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xml"/>
  <Override PartName="/xl/comments2.xml" ContentType="application/vnd.openxmlformats-officedocument.spreadsheetml.comment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5" codeName="{00000000-0000-0000-0000-000000000000}"/>
  <workbookPr updateLinks="never" codeName="ThisWorkbook"/>
  <mc:AlternateContent xmlns:mc="http://schemas.openxmlformats.org/markup-compatibility/2006">
    <mc:Choice Requires="x15">
      <x15ac:absPath xmlns:x15ac="http://schemas.microsoft.com/office/spreadsheetml/2010/11/ac" url="https://groupenorbec.sharepoint.com/sites/ServiceTechnique/Documents partages/Architectural/Calculateur_Formation/Calculateur Général/"/>
    </mc:Choice>
  </mc:AlternateContent>
  <xr:revisionPtr revIDLastSave="0" documentId="8_{D440A571-6F59-48E6-B565-660E662A2782}" xr6:coauthVersionLast="47" xr6:coauthVersionMax="47" xr10:uidLastSave="{00000000-0000-0000-0000-000000000000}"/>
  <bookViews>
    <workbookView xWindow="-28920" yWindow="-120" windowWidth="29040" windowHeight="15720" firstSheet="15" activeTab="15" xr2:uid="{9CF763DA-EC9B-49A7-878A-539DD9AD1867}"/>
  </bookViews>
  <sheets>
    <sheet name="Saisie de données" sheetId="19" state="hidden" r:id="rId1"/>
    <sheet name="Feuil1" sheetId="30" state="hidden" r:id="rId2"/>
    <sheet name="Francais10p" sheetId="18" state="hidden" r:id="rId3"/>
    <sheet name="Francais2p" sheetId="27" state="hidden" r:id="rId4"/>
    <sheet name="English" sheetId="26" state="hidden" r:id="rId5"/>
    <sheet name="Synthèse résultat" sheetId="10" state="hidden" r:id="rId6"/>
    <sheet name="Infos Techniques" sheetId="9" state="hidden" r:id="rId7"/>
    <sheet name="Courbe Déflexion" sheetId="13" state="hidden" r:id="rId8"/>
    <sheet name="Charges de vent" sheetId="1" state="hidden" r:id="rId9"/>
    <sheet name="Charges de ventUSA" sheetId="22" state="hidden" r:id="rId10"/>
    <sheet name="Longueur_Panneau" sheetId="20" state="hidden" r:id="rId11"/>
    <sheet name="Charges de ventFM" sheetId="24" state="hidden" r:id="rId12"/>
    <sheet name="Menu déroulant" sheetId="16" state="hidden" r:id="rId13"/>
    <sheet name="Charges de neige" sheetId="17" state="hidden" r:id="rId14"/>
    <sheet name="Chart" sheetId="15" state="hidden" r:id="rId15"/>
    <sheet name="Norex L - Max. Panel Length" sheetId="29" r:id="rId16"/>
    <sheet name="Norex M - Max. Panel Length SRY" sheetId="31" r:id="rId17"/>
  </sheets>
  <externalReferences>
    <externalReference r:id="rId18"/>
  </externalReferences>
  <definedNames>
    <definedName name="_xlnm._FilterDatabase" localSheetId="13" hidden="1">'Charges de neige'!$B$111:$AB$165</definedName>
    <definedName name="Alberta">'Menu déroulant'!$E$4:$E$58</definedName>
    <definedName name="Colombie_Britannique">'Menu déroulant'!$F$4:$F$108</definedName>
    <definedName name="Épaisseur_Norex_H">'Menu déroulant'!$AG$33:$AG$35</definedName>
    <definedName name="Épaisseur_Norex_L">'Menu déroulant'!$AE$33:$AE$38</definedName>
    <definedName name="Épaisseur_Noroc_">'Menu déroulant'!$AF$33:$AF$36</definedName>
    <definedName name="Île_du_Prince_Édouard">'Menu déroulant'!$G$4:$G$7</definedName>
    <definedName name="Largeur_Norex_H">'Menu déroulant'!$AG$37:$AG$40</definedName>
    <definedName name="Largeur_Norex_L">'Menu déroulant'!$AE$40:$AE$43</definedName>
    <definedName name="Largeur_Noroc_">'Menu déroulant'!$AF$38</definedName>
    <definedName name="Manitoba">'Menu déroulant'!$H$4:$H$27</definedName>
    <definedName name="Max_Panel_Length" localSheetId="16">'Norex M - Max. Panel Length SRY'!$C$62:$O$101</definedName>
    <definedName name="Max_Panel_Length">'Norex L - Max. Panel Length'!$C$62:$O$150</definedName>
    <definedName name="NComm_Norex">#REF!</definedName>
    <definedName name="NDesc_Norex">#REF!</definedName>
    <definedName name="NNormes_Norex">#REF!</definedName>
    <definedName name="Norex">'Menu déroulant'!#REF!</definedName>
    <definedName name="Norex2_22_22_M">'Courbe Déflexion'!$EE$5:$EE$186</definedName>
    <definedName name="Norex2_22_22_S">'Courbe Déflexion'!$W$5:$W$307</definedName>
    <definedName name="Norex2_22_24_M">'Courbe Déflexion'!$ED$5:$ED$186</definedName>
    <definedName name="Norex2_22_24_S">'Courbe Déflexion'!$V$5:$V$307</definedName>
    <definedName name="Norex2_22_26_M">'Courbe Déflexion'!$EC$5:$EC$187</definedName>
    <definedName name="Norex2_22_26_S">'Courbe Déflexion'!$U$5:$U$307</definedName>
    <definedName name="Norex2_24_22_M">'Courbe Déflexion'!$EB$5:$EB$186</definedName>
    <definedName name="Norex2_24_22_S">'Courbe Déflexion'!$T$5:$T$307</definedName>
    <definedName name="Norex2_24_24_M">'Courbe Déflexion'!$EA$5:$EA$186</definedName>
    <definedName name="Norex2_24_24_S">'Courbe Déflexion'!$S$5:$S$308</definedName>
    <definedName name="Norex2_24_26_M">'Courbe Déflexion'!$DZ$5:$DZ$186</definedName>
    <definedName name="Norex2_24_26_S">'Courbe Déflexion'!$R$5:$R$306</definedName>
    <definedName name="Norex2_26_22_M">'Courbe Déflexion'!$DY$5:$DY$189</definedName>
    <definedName name="Norex2_26_22_S">'Courbe Déflexion'!$Q$5:$Q$307</definedName>
    <definedName name="Norex2_26_24_M">'Courbe Déflexion'!$DX$5:$DX$191</definedName>
    <definedName name="Norex2_26_24_S">'Courbe Déflexion'!$P$5:$P$306</definedName>
    <definedName name="Norex2_26_26_M">'Courbe Déflexion'!$DW$5:$DW$196</definedName>
    <definedName name="Norex2_26_26_S">'Courbe Déflexion'!$O$5:$O$156</definedName>
    <definedName name="Norex3_22_22_M">'Courbe Déflexion'!$EP$5:$EP$246</definedName>
    <definedName name="Norex3_22_22_S">'Courbe Déflexion'!$AH$5:$AH$307</definedName>
    <definedName name="Norex3_22_24_M">'Courbe Déflexion'!$EO$5:$EO$245</definedName>
    <definedName name="Norex3_22_24_S">'Courbe Déflexion'!$AG$5:$AG$307</definedName>
    <definedName name="Norex3_22_26_M">'Courbe Déflexion'!$EN$5:$EN$245</definedName>
    <definedName name="Norex3_22_26_S">'Courbe Déflexion'!$AF$5:$AF$306</definedName>
    <definedName name="Norex3_24_22_M">'Courbe Déflexion'!$EM$5:$EM$245</definedName>
    <definedName name="Norex3_24_22_S">'Courbe Déflexion'!$AE$5:$AE$307</definedName>
    <definedName name="Norex3_24_24_M">'Courbe Déflexion'!$EL$5:$EL$246</definedName>
    <definedName name="Norex3_24_24_S">'Courbe Déflexion'!$AD$5:$AD$306</definedName>
    <definedName name="Norex3_24_26_M">'Courbe Déflexion'!$EK$5:$EK$246</definedName>
    <definedName name="Norex3_24_26_S">'Courbe Déflexion'!$AC$5:$AC$307</definedName>
    <definedName name="Norex3_26_22_M">'Courbe Déflexion'!$EJ$5:$EJ$246</definedName>
    <definedName name="Norex3_26_22_S">'Courbe Déflexion'!$AB$5:$AB$306</definedName>
    <definedName name="Norex3_26_24_M">'Courbe Déflexion'!$EI$5:$EI$246</definedName>
    <definedName name="Norex3_26_24_S">'Courbe Déflexion'!$AA$5:$AA$307</definedName>
    <definedName name="Norex3_26_26_M">'Courbe Déflexion'!$EH$5:$EH$246</definedName>
    <definedName name="Norex3_26_26_S">'Courbe Déflexion'!$Z$5:$Z$307</definedName>
    <definedName name="Norex4_22_22_M">'Courbe Déflexion'!$FA$5:$FA$286</definedName>
    <definedName name="Norex4_22_22_S">'Courbe Déflexion'!$AS$5:$AS$307</definedName>
    <definedName name="Norex4_22_24_M">'Courbe Déflexion'!$EZ$5:$EZ$286</definedName>
    <definedName name="Norex4_22_24_S">'Courbe Déflexion'!$AR$5:$AR$307</definedName>
    <definedName name="Norex4_22_26_M">'Courbe Déflexion'!$EY$5:$EY$286</definedName>
    <definedName name="Norex4_22_26_S">'Courbe Déflexion'!$AQ$5:$AQ$306</definedName>
    <definedName name="Norex4_24_22_M">'Courbe Déflexion'!$EX$5:$EX$286</definedName>
    <definedName name="Norex4_24_22_S">'Courbe Déflexion'!$AP$5:$AP$307</definedName>
    <definedName name="Norex4_24_24_M">'Courbe Déflexion'!$EW$5:$EW$286</definedName>
    <definedName name="Norex4_24_24_S">'Courbe Déflexion'!$AO$5:$AO$306</definedName>
    <definedName name="Norex4_24_26_M">'Courbe Déflexion'!$EV$5:$EV$287</definedName>
    <definedName name="Norex4_24_26_S">'Courbe Déflexion'!$AN$5:$AN$307</definedName>
    <definedName name="Norex4_26_22_M">'Courbe Déflexion'!$EU$5:$EU$286</definedName>
    <definedName name="Norex4_26_22_S">'Courbe Déflexion'!$AM$5:$AM$307</definedName>
    <definedName name="Norex4_26_24_M">'Courbe Déflexion'!$ET$5:$ET$307</definedName>
    <definedName name="Norex4_26_24_S">'Courbe Déflexion'!$AL$5:$AL$307</definedName>
    <definedName name="Norex4_26_26_M">'Courbe Déflexion'!$ES$5:$ES$286</definedName>
    <definedName name="Norex4_26_26_S">'Courbe Déflexion'!$AK$5:$AK$307</definedName>
    <definedName name="Norex5_22_22_M">'Courbe Déflexion'!$FL$5:$FL$286</definedName>
    <definedName name="Norex5_22_22_S">'Courbe Déflexion'!$BD$5:$BD$307</definedName>
    <definedName name="Norex5_22_24_M">'Courbe Déflexion'!$FK$5:$FK$286</definedName>
    <definedName name="Norex5_22_24_S">'Courbe Déflexion'!$BC$5:$BC$307</definedName>
    <definedName name="Norex5_22_26_M">'Courbe Déflexion'!$FJ$5:$FJ$286</definedName>
    <definedName name="Norex5_22_26_S">'Courbe Déflexion'!$BB$5:$BB$307</definedName>
    <definedName name="Norex5_24_22_M">'Courbe Déflexion'!$FI$5:$FI$286</definedName>
    <definedName name="Norex5_24_22_S">'Courbe Déflexion'!$BA$5:$BA$307</definedName>
    <definedName name="Norex5_24_24_M">'Courbe Déflexion'!$FH$5:$FH$286</definedName>
    <definedName name="Norex5_24_24_S">'Courbe Déflexion'!$AZ$5:$AZ$307</definedName>
    <definedName name="Norex5_24_26_M">'Courbe Déflexion'!$FG$5:$FG$286</definedName>
    <definedName name="Norex5_24_26_S">'Courbe Déflexion'!$AY$5:$AY$307</definedName>
    <definedName name="Norex5_26_22_M">'Courbe Déflexion'!$FF$5:$FF$286</definedName>
    <definedName name="Norex5_26_22_S">'Courbe Déflexion'!$AX$5:$AX$307</definedName>
    <definedName name="Norex5_26_24_M">'Courbe Déflexion'!$FE$5:$FE$286</definedName>
    <definedName name="Norex5_26_24_S">'Courbe Déflexion'!$AW$5:$AW$307</definedName>
    <definedName name="Norex5_26_26_M">'Courbe Déflexion'!$FD$5:$FD$286</definedName>
    <definedName name="Norex5_26_26_S">'Courbe Déflexion'!$AV$5:$AV$307</definedName>
    <definedName name="Norex6_22_22_M">'Courbe Déflexion'!$FW$5:$FW$286</definedName>
    <definedName name="Norex6_22_22_S">'Courbe Déflexion'!$BO$5:$BO$307</definedName>
    <definedName name="Norex6_22_24_M">'Courbe Déflexion'!$FV$5:$FV$286</definedName>
    <definedName name="Norex6_22_24_S">'Courbe Déflexion'!$BN$5:$BN$307</definedName>
    <definedName name="Norex6_22_26_M">'Courbe Déflexion'!$FU$5:$FU$286</definedName>
    <definedName name="Norex6_22_26_S">'Courbe Déflexion'!$BM$5:$BM$307</definedName>
    <definedName name="Norex6_24_22_M">'Courbe Déflexion'!$FT$5:$FT$286</definedName>
    <definedName name="Norex6_24_22_S">'Courbe Déflexion'!$BL$5:$BL$307</definedName>
    <definedName name="Norex6_24_24_M">'Courbe Déflexion'!$FS$5:$FS$286</definedName>
    <definedName name="Norex6_24_24_S">'Courbe Déflexion'!$BK$5:$BK$307</definedName>
    <definedName name="Norex6_24_26_M">'Courbe Déflexion'!$FR$5:$FR$286</definedName>
    <definedName name="Norex6_24_26_S">'Courbe Déflexion'!$BJ$5:$BJ$306</definedName>
    <definedName name="Norex6_26_22_M">'Courbe Déflexion'!$FQ$5:$FQ$286</definedName>
    <definedName name="Norex6_26_22_S">'Courbe Déflexion'!$BI$5:$BI$308</definedName>
    <definedName name="Norex6_26_24_M">'Courbe Déflexion'!$FP$5:$FP$286</definedName>
    <definedName name="Norex6_26_24_S">'Courbe Déflexion'!$BH$5:$BH$307</definedName>
    <definedName name="Norex6_26_26_M">'Courbe Déflexion'!$FO$5:$FO$286</definedName>
    <definedName name="Norex6_26_26_S">'Courbe Déflexion'!$BG$5:$BG$307</definedName>
    <definedName name="Norex8_22_22_M">'Courbe Déflexion'!$GH$5:$GH$286</definedName>
    <definedName name="Norex8_22_22_S">'Courbe Déflexion'!$BZ$5:$BZ$307</definedName>
    <definedName name="Norex8_22_24_M">'Courbe Déflexion'!$GG$5:$GG$286</definedName>
    <definedName name="Norex8_22_24_S">'Courbe Déflexion'!$BY$5:$BY$307</definedName>
    <definedName name="Norex8_22_26_M">'Courbe Déflexion'!$GF$5:$GF$286</definedName>
    <definedName name="Norex8_22_26_S">'Courbe Déflexion'!$BX$5:$BX$307</definedName>
    <definedName name="Norex8_24_22_M">'Courbe Déflexion'!$GE$5:$GE$286</definedName>
    <definedName name="Norex8_24_22_S">'Courbe Déflexion'!$BW$5:$BW$307</definedName>
    <definedName name="Norex8_24_24_M">'Courbe Déflexion'!$GD$5:$GD$286</definedName>
    <definedName name="Norex8_24_24_S">'Courbe Déflexion'!$BV$5:$BV$307</definedName>
    <definedName name="Norex8_24_26_M">'Courbe Déflexion'!$GC$5:$GC$286</definedName>
    <definedName name="Norex8_24_26_S">'Courbe Déflexion'!$BU$5:$BU$307</definedName>
    <definedName name="Norex8_26_22_M">'Courbe Déflexion'!$GB$5:$GB$286</definedName>
    <definedName name="Norex8_26_22_S">'Courbe Déflexion'!$BT$5:$BT$307</definedName>
    <definedName name="Norex8_26_24_M">'Courbe Déflexion'!$GA$5:$GA$289</definedName>
    <definedName name="Norex8_26_24_S">'Courbe Déflexion'!$BS$5:$BS$307</definedName>
    <definedName name="Norex8_26_26_M">'Courbe Déflexion'!$FZ$5:$FZ$286</definedName>
    <definedName name="Norex8_26_26_S">'Courbe Déflexion'!$BR$5:$BR$307</definedName>
    <definedName name="Noroc">'Menu déroulant'!#REF!</definedName>
    <definedName name="Noroc4_22_22_M">'Courbe Déflexion'!$GS$5:$GS$286</definedName>
    <definedName name="Noroc4_22_22_S">'Courbe Déflexion'!$CK$5:$CK$307</definedName>
    <definedName name="Noroc4_22_24_M">'Courbe Déflexion'!$GR$5:$GR$286</definedName>
    <definedName name="Noroc4_22_24_S">'Courbe Déflexion'!$CJ$5:$CJ$307</definedName>
    <definedName name="Noroc4_22_26_M">'Courbe Déflexion'!$GQ$5:$GQ$286</definedName>
    <definedName name="Noroc4_22_26_S">'Courbe Déflexion'!$CI$5:$CI$307</definedName>
    <definedName name="Noroc4_24_22_M">'Courbe Déflexion'!$GP$5:$GP$286</definedName>
    <definedName name="Noroc4_24_22_S">'Courbe Déflexion'!$CH$5:$CH$306</definedName>
    <definedName name="Noroc4_24_24_M">'Courbe Déflexion'!$GO$5:$GO$286</definedName>
    <definedName name="Noroc4_24_24_S">'Courbe Déflexion'!$CG$5:$CG$307</definedName>
    <definedName name="Noroc4_24_26_M">'Courbe Déflexion'!$GN$5:$GN$286</definedName>
    <definedName name="Noroc4_24_26_S">'Courbe Déflexion'!$CF$5:$CF$307</definedName>
    <definedName name="Noroc4_26_22_M">'Courbe Déflexion'!$GM$5:$GM$286</definedName>
    <definedName name="Noroc4_26_22_S">'Courbe Déflexion'!$CE$5:$CE$307</definedName>
    <definedName name="Noroc4_26_24_M">'Courbe Déflexion'!$GL$5:$GL$286</definedName>
    <definedName name="Noroc4_26_24_S">'Courbe Déflexion'!$CD$5:$CD$307</definedName>
    <definedName name="Noroc4_26_26_M">'Courbe Déflexion'!$GK$5:$GK$286</definedName>
    <definedName name="Noroc4_26_26_S">'Courbe Déflexion'!$CC$5:$CC$307</definedName>
    <definedName name="Noroc5_22_22_M">'Courbe Déflexion'!$HD$5:$HD$286</definedName>
    <definedName name="Noroc5_22_22_S">'Courbe Déflexion'!$CV$5:$CV$307</definedName>
    <definedName name="Noroc5_22_24_M">'Courbe Déflexion'!$HC$5:$HC$286</definedName>
    <definedName name="Noroc5_22_24_S">'Courbe Déflexion'!$CU$5:$CU$307</definedName>
    <definedName name="Noroc5_22_26_M">'Courbe Déflexion'!$HB$5:$HB$286</definedName>
    <definedName name="Noroc5_22_26_S">'Courbe Déflexion'!$CT$5:$CT$307</definedName>
    <definedName name="Noroc5_24_22_M">'Courbe Déflexion'!$HA$5:$HA$286</definedName>
    <definedName name="Noroc5_24_22_S">'Courbe Déflexion'!$CS$5:$CS$307</definedName>
    <definedName name="Noroc5_24_24_M">'Courbe Déflexion'!$GZ$5:$GZ$286</definedName>
    <definedName name="Noroc5_24_24_S">'Courbe Déflexion'!$CR$5:$CR$307</definedName>
    <definedName name="Noroc5_24_26_M">'Courbe Déflexion'!$GY$5:$GY$286</definedName>
    <definedName name="Noroc5_24_26_S">'Courbe Déflexion'!$CQ$5:$CQ$307</definedName>
    <definedName name="Noroc5_26_22_M">'Courbe Déflexion'!$GX$5:$GX$285</definedName>
    <definedName name="Noroc5_26_22_S">'Courbe Déflexion'!$CP$5:$CP$307</definedName>
    <definedName name="Noroc5_26_24_M">'Courbe Déflexion'!$GW$5:$GW$286</definedName>
    <definedName name="Noroc5_26_24_S">'Courbe Déflexion'!$CO$5:$CO$307</definedName>
    <definedName name="Noroc5_26_26_M">'Courbe Déflexion'!$GV$5:$GV$286</definedName>
    <definedName name="Noroc5_26_26_S">'Courbe Déflexion'!$CN$5:$CN$307</definedName>
    <definedName name="Noroc6_22_22_M">'Courbe Déflexion'!$HO$5:$HO$286</definedName>
    <definedName name="Noroc6_22_22_S">'Courbe Déflexion'!$DG$5:$DG$307</definedName>
    <definedName name="Noroc6_22_24_M">'Courbe Déflexion'!$HN$5:$HN$286</definedName>
    <definedName name="Noroc6_22_24_S">'Courbe Déflexion'!$DF$5:$DF$307</definedName>
    <definedName name="Noroc6_22_26_M">'Courbe Déflexion'!$HM$5:$HM$286</definedName>
    <definedName name="Noroc6_22_26_S">'Courbe Déflexion'!$DE$5:$DE$307</definedName>
    <definedName name="Noroc6_24_22_M">'Courbe Déflexion'!$HL$5:$HL$286</definedName>
    <definedName name="Noroc6_24_22_S">'Courbe Déflexion'!$DD$5:$DD$307</definedName>
    <definedName name="Noroc6_24_24_M">'Courbe Déflexion'!$HK$5:$HK$287</definedName>
    <definedName name="Noroc6_24_24_S">'Courbe Déflexion'!$DC$5:$DC$307</definedName>
    <definedName name="Noroc6_24_26_M">'Courbe Déflexion'!$HJ$5:$HJ$286</definedName>
    <definedName name="Noroc6_24_26_S">'Courbe Déflexion'!$DB$5:$DB$307</definedName>
    <definedName name="Noroc6_26_22_M">'Courbe Déflexion'!$HI$5:$HI$286</definedName>
    <definedName name="Noroc6_26_22_S">'Courbe Déflexion'!$DA$5:$DA$307</definedName>
    <definedName name="Noroc6_26_24_M">'Courbe Déflexion'!$HH$5:$HH$286</definedName>
    <definedName name="Noroc6_26_24_S">'Courbe Déflexion'!$CZ$5:$CZ$307</definedName>
    <definedName name="Noroc6_26_26_M">'Courbe Déflexion'!$HG$5:$HG$286</definedName>
    <definedName name="Noroc6_26_26_S">'Courbe Déflexion'!$CY$5:$CY$307</definedName>
    <definedName name="Noroc8_22_22_M">'Courbe Déflexion'!$HZ$5:$HZ$286</definedName>
    <definedName name="Noroc8_22_22_S">'Courbe Déflexion'!$DR$5:$DR$307</definedName>
    <definedName name="Noroc8_22_24_M">'Courbe Déflexion'!$HY$5:$HY$286</definedName>
    <definedName name="Noroc8_22_24_S">'Courbe Déflexion'!$DQ$5:$DQ$307</definedName>
    <definedName name="Noroc8_22_26_M">'Courbe Déflexion'!$HX$5:$HX$286</definedName>
    <definedName name="Noroc8_22_26_S">'Courbe Déflexion'!$DP$5:$DP$307</definedName>
    <definedName name="Noroc8_24_22_M">'Courbe Déflexion'!$HW$5:$HW$286</definedName>
    <definedName name="Noroc8_24_22_S">'Courbe Déflexion'!$DO$5:$DO$307</definedName>
    <definedName name="Noroc8_24_24_M">'Courbe Déflexion'!$HV$5:$HV$286</definedName>
    <definedName name="Noroc8_24_24_S">'Courbe Déflexion'!$DN$5:$DN$307</definedName>
    <definedName name="Noroc8_24_26_M">'Courbe Déflexion'!$HU$5:$HU$286</definedName>
    <definedName name="Noroc8_24_26_S">'Courbe Déflexion'!$DM$5:$DM$307</definedName>
    <definedName name="Noroc8_26_22_M">'Courbe Déflexion'!$HT$5:$HT$286</definedName>
    <definedName name="Noroc8_26_22_S">'Courbe Déflexion'!$DL$5:$DL$307</definedName>
    <definedName name="Noroc8_26_24_M">'Courbe Déflexion'!$HS$5:$HS$286</definedName>
    <definedName name="Noroc8_26_24_S">'Courbe Déflexion'!$DK$5:$DK$307</definedName>
    <definedName name="Noroc8_26_26_M">'Courbe Déflexion'!$HR$5:$HR$286</definedName>
    <definedName name="Noroc8_26_26_S">'Courbe Déflexion'!$DJ$5:$DJ$307</definedName>
    <definedName name="Nouveau_Brunswick">'Menu déroulant'!$I$4:$I$20</definedName>
    <definedName name="Nouvelle_Écosse">'Menu déroulant'!$J$4:$J$28</definedName>
    <definedName name="Nunavut">'Menu déroulant'!$K$4:$K$19</definedName>
    <definedName name="Ontario">'Menu déroulant'!$L$4:$L$226</definedName>
    <definedName name="Pays">'Menu déroulant'!$B$20:$B$21</definedName>
    <definedName name="_xlnm.Print_Area" localSheetId="11">'Charges de ventFM'!$B$1:$N$72</definedName>
    <definedName name="_xlnm.Print_Area" localSheetId="9">'Charges de ventUSA'!$B$1:$N$72</definedName>
    <definedName name="_xlnm.Print_Area" localSheetId="4">English!$A$1:$U$541</definedName>
    <definedName name="_xlnm.Print_Area" localSheetId="2">Francais10p!$A$1:$U$541</definedName>
    <definedName name="_xlnm.Print_Area" localSheetId="3">Francais2p!$A$1:$U$77</definedName>
    <definedName name="_xlnm.Print_Area" localSheetId="0">'Saisie de données'!$A$1:$M$98</definedName>
    <definedName name="Province">'Menu déroulant'!$D$4:$D$16</definedName>
    <definedName name="Québec">'Menu déroulant'!$M$4:$M$127</definedName>
    <definedName name="Saskatchewan">'Menu déroulant'!$N$4:$N$34</definedName>
    <definedName name="ST_HYACINTHE" localSheetId="15">'Norex L - Max. Panel Length'!$C$62:$O$150</definedName>
    <definedName name="STH">'Norex L - Max. Panel Length'!$C$62:$O$150</definedName>
    <definedName name="STRATHROY" localSheetId="16">'Norex M - Max. Panel Length SRY'!$C$62:$O$101</definedName>
    <definedName name="STRATHROY_1">'Norex M - Max. Panel Length SRY'!$C$62:$O$101</definedName>
    <definedName name="Terre_Neuve">'Menu déroulant'!$P$4:$P$21</definedName>
    <definedName name="Territoires_NO">'Menu déroulant'!$O$4:$O$19</definedName>
    <definedName name="Type_Norex">'Menu déroulant'!$AB$30:$AB$31</definedName>
    <definedName name="Type_Noroc">'Menu déroulant'!$AB$32</definedName>
    <definedName name="Type_Panneau">'Menu déroulant'!$AA$31:$AA$32</definedName>
    <definedName name="Villes">OFFSET('Menu déroulant'!$V$2,,,COUNTIF('Menu déroulant'!$V:$V,"?*")-1)</definedName>
    <definedName name="Yukon">'Menu déroulant'!$Q$4:$Q$12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8" i="29" l="1"/>
  <c r="M150" i="29"/>
  <c r="L150" i="29"/>
  <c r="K150" i="29"/>
  <c r="J150" i="29"/>
  <c r="I150" i="29"/>
  <c r="H150" i="29"/>
  <c r="M149" i="29"/>
  <c r="L149" i="29"/>
  <c r="K149" i="29"/>
  <c r="J149" i="29"/>
  <c r="I149" i="29"/>
  <c r="H149" i="29"/>
  <c r="M148" i="29"/>
  <c r="L148" i="29"/>
  <c r="J148" i="29"/>
  <c r="I148" i="29"/>
  <c r="H148" i="29"/>
  <c r="M147" i="29"/>
  <c r="L147" i="29"/>
  <c r="K147" i="29"/>
  <c r="J147" i="29"/>
  <c r="I147" i="29"/>
  <c r="H147" i="29"/>
  <c r="M146" i="29"/>
  <c r="L146" i="29"/>
  <c r="K146" i="29"/>
  <c r="J146" i="29"/>
  <c r="I146" i="29"/>
  <c r="H146" i="29"/>
  <c r="M145" i="29"/>
  <c r="L145" i="29"/>
  <c r="K145" i="29"/>
  <c r="J145" i="29"/>
  <c r="I145" i="29"/>
  <c r="H145" i="29"/>
  <c r="M144" i="29"/>
  <c r="L144" i="29"/>
  <c r="K144" i="29"/>
  <c r="J144" i="29"/>
  <c r="I144" i="29"/>
  <c r="H144" i="29"/>
  <c r="M143" i="29"/>
  <c r="L143" i="29"/>
  <c r="K143" i="29"/>
  <c r="J143" i="29"/>
  <c r="I143" i="29"/>
  <c r="H143" i="29"/>
  <c r="M142" i="29"/>
  <c r="L142" i="29"/>
  <c r="K142" i="29"/>
  <c r="J142" i="29"/>
  <c r="I142" i="29"/>
  <c r="H142" i="29"/>
  <c r="M141" i="29"/>
  <c r="L141" i="29"/>
  <c r="K141" i="29"/>
  <c r="J141" i="29"/>
  <c r="I141" i="29"/>
  <c r="H141" i="29"/>
  <c r="M140" i="29"/>
  <c r="L140" i="29"/>
  <c r="K140" i="29"/>
  <c r="J140" i="29"/>
  <c r="I140" i="29"/>
  <c r="H140" i="29"/>
  <c r="M139" i="29"/>
  <c r="L139" i="29"/>
  <c r="K139" i="29"/>
  <c r="J139" i="29"/>
  <c r="I139" i="29"/>
  <c r="H139" i="29"/>
  <c r="M138" i="29"/>
  <c r="L138" i="29"/>
  <c r="K138" i="29"/>
  <c r="J138" i="29"/>
  <c r="I138" i="29"/>
  <c r="H138" i="29"/>
  <c r="M137" i="29"/>
  <c r="L137" i="29"/>
  <c r="K137" i="29"/>
  <c r="J137" i="29"/>
  <c r="I137" i="29"/>
  <c r="H137" i="29"/>
  <c r="M136" i="29"/>
  <c r="L136" i="29"/>
  <c r="K136" i="29"/>
  <c r="J136" i="29"/>
  <c r="I136" i="29"/>
  <c r="H136" i="29"/>
  <c r="M135" i="29"/>
  <c r="L135" i="29"/>
  <c r="K135" i="29"/>
  <c r="J135" i="29"/>
  <c r="I135" i="29"/>
  <c r="H135" i="29"/>
  <c r="M134" i="29"/>
  <c r="L134" i="29"/>
  <c r="K134" i="29"/>
  <c r="J134" i="29"/>
  <c r="I134" i="29"/>
  <c r="H134" i="29"/>
  <c r="M133" i="29"/>
  <c r="L133" i="29"/>
  <c r="K133" i="29"/>
  <c r="J133" i="29"/>
  <c r="I133" i="29"/>
  <c r="H133" i="29"/>
  <c r="M132" i="29"/>
  <c r="L132" i="29"/>
  <c r="K132" i="29"/>
  <c r="J132" i="29"/>
  <c r="I132" i="29"/>
  <c r="H132" i="29"/>
  <c r="M131" i="29"/>
  <c r="L131" i="29"/>
  <c r="K131" i="29"/>
  <c r="J131" i="29"/>
  <c r="I131" i="29"/>
  <c r="H131" i="29"/>
  <c r="M130" i="29"/>
  <c r="L130" i="29"/>
  <c r="K130" i="29"/>
  <c r="J130" i="29"/>
  <c r="I130" i="29"/>
  <c r="H130" i="29"/>
  <c r="M129" i="29"/>
  <c r="L129" i="29"/>
  <c r="K129" i="29"/>
  <c r="J129" i="29"/>
  <c r="I129" i="29"/>
  <c r="H129" i="29"/>
  <c r="M128" i="29"/>
  <c r="L128" i="29"/>
  <c r="K128" i="29"/>
  <c r="J128" i="29"/>
  <c r="I128" i="29"/>
  <c r="H128" i="29"/>
  <c r="M127" i="29"/>
  <c r="L127" i="29"/>
  <c r="K127" i="29"/>
  <c r="J127" i="29"/>
  <c r="I127" i="29"/>
  <c r="H127" i="29"/>
  <c r="M126" i="29"/>
  <c r="L126" i="29"/>
  <c r="K126" i="29"/>
  <c r="J126" i="29"/>
  <c r="I126" i="29"/>
  <c r="H126" i="29"/>
  <c r="M125" i="29"/>
  <c r="L125" i="29"/>
  <c r="K125" i="29"/>
  <c r="J125" i="29"/>
  <c r="I125" i="29"/>
  <c r="H125" i="29"/>
  <c r="M124" i="29"/>
  <c r="L124" i="29"/>
  <c r="K124" i="29"/>
  <c r="J124" i="29"/>
  <c r="I124" i="29"/>
  <c r="H124" i="29"/>
  <c r="M123" i="29"/>
  <c r="L123" i="29"/>
  <c r="K123" i="29"/>
  <c r="J123" i="29"/>
  <c r="I123" i="29"/>
  <c r="H123" i="29"/>
  <c r="M122" i="29"/>
  <c r="L122" i="29"/>
  <c r="K122" i="29"/>
  <c r="J122" i="29"/>
  <c r="I122" i="29"/>
  <c r="H122" i="29"/>
  <c r="M121" i="29"/>
  <c r="L121" i="29"/>
  <c r="K121" i="29"/>
  <c r="J121" i="29"/>
  <c r="I121" i="29"/>
  <c r="H121" i="29"/>
  <c r="M120" i="29"/>
  <c r="L120" i="29"/>
  <c r="K120" i="29"/>
  <c r="J120" i="29"/>
  <c r="I120" i="29"/>
  <c r="H120" i="29"/>
  <c r="M119" i="29"/>
  <c r="L119" i="29"/>
  <c r="K119" i="29"/>
  <c r="J119" i="29"/>
  <c r="I119" i="29"/>
  <c r="H119" i="29"/>
  <c r="M118" i="29"/>
  <c r="L118" i="29"/>
  <c r="K118" i="29"/>
  <c r="J118" i="29"/>
  <c r="I118" i="29"/>
  <c r="H118" i="29"/>
  <c r="M117" i="29"/>
  <c r="L117" i="29"/>
  <c r="K117" i="29"/>
  <c r="J117" i="29"/>
  <c r="I117" i="29"/>
  <c r="H117" i="29"/>
  <c r="M116" i="29"/>
  <c r="L116" i="29"/>
  <c r="K116" i="29"/>
  <c r="J116" i="29"/>
  <c r="I116" i="29"/>
  <c r="H116" i="29"/>
  <c r="M115" i="29"/>
  <c r="L115" i="29"/>
  <c r="K115" i="29"/>
  <c r="J115" i="29"/>
  <c r="I115" i="29"/>
  <c r="H115" i="29"/>
  <c r="M114" i="29"/>
  <c r="L114" i="29"/>
  <c r="K114" i="29"/>
  <c r="J114" i="29"/>
  <c r="I114" i="29"/>
  <c r="H114" i="29"/>
  <c r="M113" i="29"/>
  <c r="L113" i="29"/>
  <c r="K113" i="29"/>
  <c r="J113" i="29"/>
  <c r="I113" i="29"/>
  <c r="H113" i="29"/>
  <c r="M112" i="29"/>
  <c r="L112" i="29"/>
  <c r="K112" i="29"/>
  <c r="J112" i="29"/>
  <c r="I112" i="29"/>
  <c r="H112" i="29"/>
  <c r="M111" i="29"/>
  <c r="L111" i="29"/>
  <c r="K111" i="29"/>
  <c r="J111" i="29"/>
  <c r="I111" i="29"/>
  <c r="H111" i="29"/>
  <c r="M110" i="29"/>
  <c r="L110" i="29"/>
  <c r="K110" i="29"/>
  <c r="J110" i="29"/>
  <c r="I110" i="29"/>
  <c r="H110" i="29"/>
  <c r="M109" i="29"/>
  <c r="L109" i="29"/>
  <c r="K109" i="29"/>
  <c r="J109" i="29"/>
  <c r="I109" i="29"/>
  <c r="H109" i="29"/>
  <c r="M108" i="29"/>
  <c r="L108" i="29"/>
  <c r="K108" i="29"/>
  <c r="J108" i="29"/>
  <c r="I108" i="29"/>
  <c r="H108" i="29"/>
  <c r="M107" i="29"/>
  <c r="L107" i="29"/>
  <c r="K107" i="29"/>
  <c r="J107" i="29"/>
  <c r="I107" i="29"/>
  <c r="H107" i="29"/>
  <c r="M106" i="29"/>
  <c r="L106" i="29"/>
  <c r="K106" i="29"/>
  <c r="J106" i="29"/>
  <c r="I106" i="29"/>
  <c r="H106" i="29"/>
  <c r="M105" i="29"/>
  <c r="L105" i="29"/>
  <c r="K105" i="29"/>
  <c r="J105" i="29"/>
  <c r="I105" i="29"/>
  <c r="H105" i="29"/>
  <c r="M104" i="29"/>
  <c r="L104" i="29"/>
  <c r="K104" i="29"/>
  <c r="J104" i="29"/>
  <c r="I104" i="29"/>
  <c r="H104" i="29"/>
  <c r="M103" i="29"/>
  <c r="L103" i="29"/>
  <c r="K103" i="29"/>
  <c r="J103" i="29"/>
  <c r="I103" i="29"/>
  <c r="H103" i="29"/>
  <c r="M102" i="29"/>
  <c r="L102" i="29"/>
  <c r="K102" i="29"/>
  <c r="J102" i="29"/>
  <c r="I102" i="29"/>
  <c r="H102" i="29"/>
  <c r="M101" i="29"/>
  <c r="L101" i="29"/>
  <c r="K101" i="29"/>
  <c r="J101" i="29"/>
  <c r="I101" i="29"/>
  <c r="H101" i="29"/>
  <c r="M100" i="29"/>
  <c r="L100" i="29"/>
  <c r="K100" i="29"/>
  <c r="J100" i="29"/>
  <c r="I100" i="29"/>
  <c r="H100" i="29"/>
  <c r="M99" i="29"/>
  <c r="L99" i="29"/>
  <c r="K99" i="29"/>
  <c r="J99" i="29"/>
  <c r="I99" i="29"/>
  <c r="H99" i="29"/>
  <c r="M98" i="29"/>
  <c r="L98" i="29"/>
  <c r="K98" i="29"/>
  <c r="J98" i="29"/>
  <c r="I98" i="29"/>
  <c r="H98" i="29"/>
  <c r="M97" i="29"/>
  <c r="L97" i="29"/>
  <c r="K97" i="29"/>
  <c r="J97" i="29"/>
  <c r="I97" i="29"/>
  <c r="H97" i="29"/>
  <c r="M96" i="29"/>
  <c r="L96" i="29"/>
  <c r="K96" i="29"/>
  <c r="J96" i="29"/>
  <c r="I96" i="29"/>
  <c r="H96" i="29"/>
  <c r="M95" i="29"/>
  <c r="L95" i="29"/>
  <c r="K95" i="29"/>
  <c r="J95" i="29"/>
  <c r="I95" i="29"/>
  <c r="H95" i="29"/>
  <c r="M94" i="29"/>
  <c r="L94" i="29"/>
  <c r="K94" i="29"/>
  <c r="J94" i="29"/>
  <c r="I94" i="29"/>
  <c r="H94" i="29"/>
  <c r="M93" i="29"/>
  <c r="L93" i="29"/>
  <c r="K93" i="29"/>
  <c r="J93" i="29"/>
  <c r="I93" i="29"/>
  <c r="H93" i="29"/>
  <c r="M92" i="29"/>
  <c r="L92" i="29"/>
  <c r="K92" i="29"/>
  <c r="J92" i="29"/>
  <c r="I92" i="29"/>
  <c r="H92" i="29"/>
  <c r="M91" i="29"/>
  <c r="L91" i="29"/>
  <c r="K91" i="29"/>
  <c r="J91" i="29"/>
  <c r="I91" i="29"/>
  <c r="H91" i="29"/>
  <c r="M90" i="29"/>
  <c r="L90" i="29"/>
  <c r="K90" i="29"/>
  <c r="J90" i="29"/>
  <c r="I90" i="29"/>
  <c r="H90" i="29"/>
  <c r="M89" i="29"/>
  <c r="L89" i="29"/>
  <c r="K89" i="29"/>
  <c r="J89" i="29"/>
  <c r="I89" i="29"/>
  <c r="H89" i="29"/>
  <c r="M88" i="29"/>
  <c r="L88" i="29"/>
  <c r="K88" i="29"/>
  <c r="J88" i="29"/>
  <c r="I88" i="29"/>
  <c r="H88" i="29"/>
  <c r="M87" i="29"/>
  <c r="L87" i="29"/>
  <c r="K87" i="29"/>
  <c r="J87" i="29"/>
  <c r="I87" i="29"/>
  <c r="H87" i="29"/>
  <c r="M86" i="29" l="1"/>
  <c r="L86" i="29"/>
  <c r="K86" i="29"/>
  <c r="J86" i="29"/>
  <c r="I86" i="29"/>
  <c r="H86" i="29"/>
  <c r="M80" i="29"/>
  <c r="L80" i="29"/>
  <c r="K80" i="29"/>
  <c r="J80" i="29"/>
  <c r="I80" i="29"/>
  <c r="H80" i="29"/>
  <c r="M85" i="29"/>
  <c r="L85" i="29"/>
  <c r="K85" i="29"/>
  <c r="J85" i="29"/>
  <c r="I85" i="29"/>
  <c r="H85" i="29"/>
  <c r="M82" i="29"/>
  <c r="L82" i="29"/>
  <c r="K82" i="29"/>
  <c r="J82" i="29"/>
  <c r="I82" i="29"/>
  <c r="H82" i="29"/>
  <c r="M79" i="29"/>
  <c r="L79" i="29"/>
  <c r="K79" i="29"/>
  <c r="J79" i="29"/>
  <c r="I79" i="29"/>
  <c r="H79" i="29"/>
  <c r="M76" i="29"/>
  <c r="L76" i="29"/>
  <c r="K76" i="29"/>
  <c r="J76" i="29"/>
  <c r="I76" i="29"/>
  <c r="H76" i="29"/>
  <c r="M81" i="29"/>
  <c r="L81" i="29"/>
  <c r="K81" i="29"/>
  <c r="J81" i="29"/>
  <c r="I81" i="29"/>
  <c r="H81" i="29"/>
  <c r="M75" i="29"/>
  <c r="L75" i="29"/>
  <c r="K75" i="29"/>
  <c r="J75" i="29"/>
  <c r="I75" i="29"/>
  <c r="H75" i="29"/>
  <c r="H69" i="29"/>
  <c r="N363" i="29" a="1"/>
  <c r="N363" i="29" s="1"/>
  <c r="M70" i="29"/>
  <c r="L70" i="29"/>
  <c r="K70" i="29"/>
  <c r="J70" i="29"/>
  <c r="I70" i="29"/>
  <c r="H70" i="29"/>
  <c r="O362" i="29"/>
  <c r="L362" i="29"/>
  <c r="Q211" i="29" a="1"/>
  <c r="Q211" i="29" s="1"/>
  <c r="L72" i="29" s="1"/>
  <c r="Q219" i="29" a="1"/>
  <c r="Q219" i="29" s="1"/>
  <c r="Q230" i="29" a="1"/>
  <c r="Q230" i="29" s="1"/>
  <c r="Q231" i="29" a="1"/>
  <c r="Q231" i="29" s="1"/>
  <c r="Q233" i="29" a="1"/>
  <c r="Q233" i="29" s="1"/>
  <c r="Q236" i="29" a="1"/>
  <c r="Q236" i="29" s="1"/>
  <c r="N211" i="29" a="1"/>
  <c r="N211" i="29" s="1"/>
  <c r="M72" i="29" s="1"/>
  <c r="N219" i="29" a="1"/>
  <c r="N219" i="29" s="1"/>
  <c r="N229" i="29" a="1"/>
  <c r="N229" i="29" s="1"/>
  <c r="N230" i="29" a="1"/>
  <c r="N230" i="29" s="1"/>
  <c r="N231" i="29" a="1"/>
  <c r="N231" i="29" s="1"/>
  <c r="N233" i="29" a="1"/>
  <c r="N233" i="29" s="1"/>
  <c r="N236" i="29" a="1"/>
  <c r="N236" i="29" s="1"/>
  <c r="K211" i="29" a="1"/>
  <c r="K211" i="29" s="1"/>
  <c r="K219" i="29" a="1"/>
  <c r="K219" i="29" s="1"/>
  <c r="K229" i="29" a="1"/>
  <c r="K229" i="29" s="1"/>
  <c r="K230" i="29" a="1"/>
  <c r="K230" i="29" s="1"/>
  <c r="K231" i="29" a="1"/>
  <c r="K231" i="29" s="1"/>
  <c r="K233" i="29" a="1"/>
  <c r="K233" i="29" s="1"/>
  <c r="K236" i="29" a="1"/>
  <c r="K236" i="29" s="1"/>
  <c r="K237" i="29" a="1"/>
  <c r="K237" i="29" s="1"/>
  <c r="H211" i="29" a="1"/>
  <c r="H211" i="29" s="1"/>
  <c r="H219" i="29" a="1"/>
  <c r="H219" i="29" s="1"/>
  <c r="H229" i="29" a="1"/>
  <c r="H229" i="29" s="1"/>
  <c r="H230" i="29" a="1"/>
  <c r="H230" i="29" s="1"/>
  <c r="H231" i="29" a="1"/>
  <c r="H231" i="29" s="1"/>
  <c r="H236" i="29" a="1"/>
  <c r="H236" i="29" s="1"/>
  <c r="H237" i="29" a="1"/>
  <c r="H237" i="29" s="1"/>
  <c r="Q160" i="31" a="1"/>
  <c r="Q160" i="31" s="1"/>
  <c r="L71" i="31" s="1"/>
  <c r="Q159" i="31" a="1"/>
  <c r="Q159" i="31" s="1"/>
  <c r="L69" i="31" s="1"/>
  <c r="N160" i="31" a="1"/>
  <c r="N160" i="31" s="1"/>
  <c r="M71" i="31" s="1"/>
  <c r="N159" i="31" a="1"/>
  <c r="N159" i="31" s="1"/>
  <c r="M69" i="31" s="1"/>
  <c r="K160" i="31" a="1"/>
  <c r="K160" i="31" s="1"/>
  <c r="K159" i="31" a="1"/>
  <c r="K159" i="31" s="1"/>
  <c r="H160" i="31" a="1"/>
  <c r="H160" i="31" s="1"/>
  <c r="H159" i="31" a="1"/>
  <c r="H159" i="31" s="1"/>
  <c r="L311" i="31"/>
  <c r="Q325" i="31"/>
  <c r="N325" i="31"/>
  <c r="K325" i="31"/>
  <c r="H325" i="31"/>
  <c r="O311" i="31"/>
  <c r="I311" i="31"/>
  <c r="F311" i="31"/>
  <c r="AL220" i="31"/>
  <c r="Z220" i="31"/>
  <c r="O220" i="31"/>
  <c r="E220" i="31"/>
  <c r="K186" i="31" a="1"/>
  <c r="K186" i="31" s="1"/>
  <c r="H186" i="31" a="1"/>
  <c r="H186" i="31" s="1"/>
  <c r="I101" i="31" s="1"/>
  <c r="Q185" i="31" a="1"/>
  <c r="Q185" i="31" s="1"/>
  <c r="L100" i="31" s="1"/>
  <c r="N185" i="31" a="1"/>
  <c r="N185" i="31" s="1"/>
  <c r="M100" i="31" s="1"/>
  <c r="K185" i="31" a="1"/>
  <c r="K185" i="31" s="1"/>
  <c r="H100" i="31" s="1"/>
  <c r="H185" i="31" a="1"/>
  <c r="H185" i="31" s="1"/>
  <c r="Q182" i="31"/>
  <c r="Q182" i="31" a="1"/>
  <c r="N182" i="31" a="1"/>
  <c r="N182" i="31" s="1"/>
  <c r="M97" i="31" s="1"/>
  <c r="K182" i="31" a="1"/>
  <c r="K182" i="31" s="1"/>
  <c r="H182" i="31" a="1"/>
  <c r="H182" i="31" s="1"/>
  <c r="F182" i="31"/>
  <c r="Q180" i="31" a="1"/>
  <c r="Q180" i="31" s="1"/>
  <c r="L94" i="31" s="1"/>
  <c r="N180" i="31" a="1"/>
  <c r="N180" i="31" s="1"/>
  <c r="M94" i="31" s="1"/>
  <c r="K180" i="31" a="1"/>
  <c r="K180" i="31" s="1"/>
  <c r="H180" i="31" a="1"/>
  <c r="H180" i="31" s="1"/>
  <c r="Q179" i="31" a="1"/>
  <c r="Q179" i="31" s="1"/>
  <c r="L93" i="31" s="1"/>
  <c r="N179" i="31"/>
  <c r="M93" i="31" s="1"/>
  <c r="N179" i="31" a="1"/>
  <c r="K179" i="31" a="1"/>
  <c r="K179" i="31" s="1"/>
  <c r="H179" i="31" a="1"/>
  <c r="H179" i="31" s="1"/>
  <c r="I93" i="31" s="1"/>
  <c r="N178" i="31" a="1"/>
  <c r="N178" i="31" s="1"/>
  <c r="M91" i="31" s="1"/>
  <c r="K178" i="31"/>
  <c r="K178" i="31" a="1"/>
  <c r="Q168" i="31" a="1"/>
  <c r="Q168" i="31" s="1"/>
  <c r="L81" i="31" s="1"/>
  <c r="N168" i="31" a="1"/>
  <c r="N168" i="31" s="1"/>
  <c r="M81" i="31" s="1"/>
  <c r="K168" i="31" a="1"/>
  <c r="K168" i="31" s="1"/>
  <c r="H168" i="31" a="1"/>
  <c r="H168" i="31" s="1"/>
  <c r="K101" i="31"/>
  <c r="L97" i="31"/>
  <c r="K93" i="31"/>
  <c r="M87" i="31"/>
  <c r="L87" i="31"/>
  <c r="K87" i="31"/>
  <c r="J87" i="31"/>
  <c r="I87" i="31"/>
  <c r="H87" i="31"/>
  <c r="K36" i="31"/>
  <c r="L36" i="31" s="1"/>
  <c r="J36" i="31"/>
  <c r="H36" i="31"/>
  <c r="K35" i="31"/>
  <c r="L35" i="31" s="1"/>
  <c r="H35" i="31"/>
  <c r="J35" i="31" s="1"/>
  <c r="K34" i="31"/>
  <c r="L34" i="31" s="1"/>
  <c r="J34" i="31"/>
  <c r="H34" i="31"/>
  <c r="K33" i="31"/>
  <c r="L33" i="31" s="1"/>
  <c r="H33" i="31"/>
  <c r="J33" i="31" s="1"/>
  <c r="K32" i="31"/>
  <c r="L32" i="31" s="1"/>
  <c r="H32" i="31"/>
  <c r="J32" i="31" s="1"/>
  <c r="K31" i="31"/>
  <c r="L31" i="31" s="1"/>
  <c r="H31" i="31"/>
  <c r="J31" i="31" s="1"/>
  <c r="K30" i="31"/>
  <c r="L30" i="31" s="1"/>
  <c r="J30" i="31"/>
  <c r="H30" i="31"/>
  <c r="K29" i="31"/>
  <c r="L29" i="31" s="1"/>
  <c r="H29" i="31"/>
  <c r="J29" i="31" s="1"/>
  <c r="K28" i="31"/>
  <c r="L28" i="31" s="1"/>
  <c r="H28" i="31"/>
  <c r="J28" i="31" s="1"/>
  <c r="K27" i="31"/>
  <c r="L27" i="31" s="1"/>
  <c r="H27" i="31"/>
  <c r="J27" i="31" s="1"/>
  <c r="K26" i="31"/>
  <c r="L26" i="31" s="1"/>
  <c r="H26" i="31"/>
  <c r="J26" i="31" s="1"/>
  <c r="K25" i="31"/>
  <c r="L25" i="31" s="1"/>
  <c r="H25" i="31"/>
  <c r="J25" i="31" s="1"/>
  <c r="K24" i="31"/>
  <c r="L24" i="31" s="1"/>
  <c r="H24" i="31"/>
  <c r="J24" i="31" s="1"/>
  <c r="K23" i="31"/>
  <c r="L23" i="31" s="1"/>
  <c r="H23" i="31"/>
  <c r="J23" i="31" s="1"/>
  <c r="K22" i="31"/>
  <c r="L22" i="31" s="1"/>
  <c r="H22" i="31"/>
  <c r="J22" i="31" s="1"/>
  <c r="K21" i="31"/>
  <c r="L21" i="31" s="1"/>
  <c r="H21" i="31"/>
  <c r="J21" i="31" s="1"/>
  <c r="K20" i="31"/>
  <c r="L20" i="31" s="1"/>
  <c r="J20" i="31"/>
  <c r="E241" i="31" s="1"/>
  <c r="H20" i="31"/>
  <c r="K19" i="31"/>
  <c r="L19" i="31" s="1"/>
  <c r="H19" i="31"/>
  <c r="J19" i="31" s="1"/>
  <c r="K18" i="31"/>
  <c r="L18" i="31" s="1"/>
  <c r="J18" i="31"/>
  <c r="H18" i="31"/>
  <c r="K17" i="31"/>
  <c r="L17" i="31" s="1"/>
  <c r="H17" i="31"/>
  <c r="J17" i="31" s="1"/>
  <c r="K16" i="31"/>
  <c r="L16" i="31" s="1"/>
  <c r="H16" i="31"/>
  <c r="J16" i="31" s="1"/>
  <c r="K15" i="31"/>
  <c r="L15" i="31" s="1"/>
  <c r="H15" i="31"/>
  <c r="J15" i="31" s="1"/>
  <c r="K14" i="31"/>
  <c r="L14" i="31" s="1"/>
  <c r="J14" i="31"/>
  <c r="H14" i="31"/>
  <c r="K13" i="31"/>
  <c r="L13" i="31" s="1"/>
  <c r="H13" i="31"/>
  <c r="J13" i="31" s="1"/>
  <c r="K12" i="31"/>
  <c r="L12" i="31" s="1"/>
  <c r="H12" i="31"/>
  <c r="J12" i="31" s="1"/>
  <c r="K11" i="31"/>
  <c r="L11" i="31" s="1"/>
  <c r="H11" i="31"/>
  <c r="J11" i="31" s="1"/>
  <c r="K10" i="31"/>
  <c r="L10" i="31" s="1"/>
  <c r="H10" i="31"/>
  <c r="J10" i="31" s="1"/>
  <c r="K9" i="31"/>
  <c r="L9" i="31" s="1"/>
  <c r="H9" i="31"/>
  <c r="J9" i="31" s="1"/>
  <c r="K8" i="31"/>
  <c r="L8" i="31" s="1"/>
  <c r="H8" i="31"/>
  <c r="J8" i="31" s="1"/>
  <c r="E310" i="31" s="1"/>
  <c r="K7" i="31"/>
  <c r="L7" i="31" s="1"/>
  <c r="H7" i="31"/>
  <c r="J7" i="31" s="1"/>
  <c r="H7" i="29"/>
  <c r="J7" i="29" s="1"/>
  <c r="K7" i="29"/>
  <c r="L7" i="29" s="1"/>
  <c r="H8" i="29"/>
  <c r="J8" i="29" s="1"/>
  <c r="K8" i="29"/>
  <c r="L8" i="29" s="1"/>
  <c r="H9" i="29"/>
  <c r="J9" i="29" s="1"/>
  <c r="E72" i="29" s="1"/>
  <c r="K9" i="29"/>
  <c r="L9" i="29" s="1"/>
  <c r="H10" i="29"/>
  <c r="J10" i="29" s="1"/>
  <c r="K10" i="29"/>
  <c r="L10" i="29" s="1"/>
  <c r="H11" i="29"/>
  <c r="J11" i="29" s="1"/>
  <c r="E283" i="29" s="1"/>
  <c r="M283" i="29" s="1"/>
  <c r="N283" i="29" s="1" a="1"/>
  <c r="N283" i="29" s="1"/>
  <c r="K11" i="29"/>
  <c r="L11" i="29" s="1"/>
  <c r="H12" i="29"/>
  <c r="J12" i="29" s="1"/>
  <c r="K12" i="29"/>
  <c r="L12" i="29" s="1"/>
  <c r="H13" i="29"/>
  <c r="J13" i="29" s="1"/>
  <c r="E366" i="29" s="1"/>
  <c r="P366" i="29" s="1"/>
  <c r="Q366" i="29" s="1" a="1"/>
  <c r="Q366" i="29" s="1"/>
  <c r="K13" i="29"/>
  <c r="L13" i="29" s="1"/>
  <c r="H14" i="29"/>
  <c r="J14" i="29" s="1"/>
  <c r="E87" i="29" s="1"/>
  <c r="K14" i="29"/>
  <c r="L14" i="29" s="1"/>
  <c r="H15" i="29"/>
  <c r="J15" i="29" s="1"/>
  <c r="E287" i="29" s="1"/>
  <c r="M287" i="29" s="1"/>
  <c r="N287" i="29" s="1" a="1"/>
  <c r="N287" i="29" s="1"/>
  <c r="K15" i="29"/>
  <c r="L15" i="29" s="1"/>
  <c r="H16" i="29"/>
  <c r="J16" i="29" s="1"/>
  <c r="E93" i="29" s="1"/>
  <c r="K16" i="29"/>
  <c r="L16" i="29" s="1"/>
  <c r="H17" i="29"/>
  <c r="J17" i="29" s="1"/>
  <c r="E96" i="29" s="1"/>
  <c r="K17" i="29"/>
  <c r="L17" i="29" s="1"/>
  <c r="H18" i="29"/>
  <c r="J18" i="29" s="1"/>
  <c r="E99" i="29" s="1"/>
  <c r="K18" i="29"/>
  <c r="L18" i="29" s="1"/>
  <c r="H19" i="29"/>
  <c r="J19" i="29" s="1"/>
  <c r="E372" i="29" s="1"/>
  <c r="J372" i="29" s="1"/>
  <c r="K372" i="29" s="1" a="1"/>
  <c r="K372" i="29" s="1"/>
  <c r="K19" i="29"/>
  <c r="L19" i="29" s="1"/>
  <c r="H20" i="29"/>
  <c r="J20" i="29" s="1"/>
  <c r="E105" i="29" s="1"/>
  <c r="K20" i="29"/>
  <c r="L20" i="29" s="1"/>
  <c r="H21" i="29"/>
  <c r="J21" i="29" s="1"/>
  <c r="E374" i="29" s="1"/>
  <c r="M374" i="29" s="1"/>
  <c r="N374" i="29" s="1" a="1"/>
  <c r="N374" i="29" s="1"/>
  <c r="K21" i="29"/>
  <c r="L21" i="29" s="1"/>
  <c r="H22" i="29"/>
  <c r="J22" i="29" s="1"/>
  <c r="E294" i="29" s="1"/>
  <c r="K22" i="29"/>
  <c r="L22" i="29" s="1"/>
  <c r="H23" i="29"/>
  <c r="J23" i="29" s="1"/>
  <c r="E114" i="29" s="1"/>
  <c r="K23" i="29"/>
  <c r="L23" i="29" s="1"/>
  <c r="H24" i="29"/>
  <c r="J24" i="29" s="1"/>
  <c r="E117" i="29" s="1"/>
  <c r="K24" i="29"/>
  <c r="L24" i="29" s="1"/>
  <c r="H25" i="29"/>
  <c r="J25" i="29" s="1"/>
  <c r="E378" i="29" s="1"/>
  <c r="J378" i="29" s="1"/>
  <c r="K378" i="29" s="1" a="1"/>
  <c r="K378" i="29" s="1"/>
  <c r="K25" i="29"/>
  <c r="L25" i="29" s="1"/>
  <c r="H26" i="29"/>
  <c r="J26" i="29" s="1"/>
  <c r="E123" i="29" s="1"/>
  <c r="K26" i="29"/>
  <c r="L26" i="29" s="1"/>
  <c r="H27" i="29"/>
  <c r="J27" i="29" s="1"/>
  <c r="E229" i="29" s="1"/>
  <c r="P229" i="29" s="1"/>
  <c r="Q229" i="29" s="1" a="1"/>
  <c r="Q229" i="29" s="1"/>
  <c r="K27" i="29"/>
  <c r="L27" i="29" s="1"/>
  <c r="H28" i="29"/>
  <c r="J28" i="29" s="1"/>
  <c r="E300" i="29" s="1"/>
  <c r="K28" i="29"/>
  <c r="L28" i="29" s="1"/>
  <c r="H29" i="29"/>
  <c r="J29" i="29" s="1"/>
  <c r="E132" i="29" s="1"/>
  <c r="K29" i="29"/>
  <c r="L29" i="29" s="1"/>
  <c r="H30" i="29"/>
  <c r="J30" i="29" s="1"/>
  <c r="K30" i="29"/>
  <c r="L30" i="29" s="1"/>
  <c r="H31" i="29"/>
  <c r="J31" i="29" s="1"/>
  <c r="E384" i="29" s="1"/>
  <c r="P384" i="29" s="1"/>
  <c r="Q384" i="29" s="1" a="1"/>
  <c r="Q384" i="29" s="1"/>
  <c r="K31" i="29"/>
  <c r="L31" i="29" s="1"/>
  <c r="H32" i="29"/>
  <c r="J32" i="29" s="1"/>
  <c r="K32" i="29"/>
  <c r="L32" i="29" s="1"/>
  <c r="H33" i="29"/>
  <c r="J33" i="29" s="1"/>
  <c r="E305" i="29" s="1"/>
  <c r="J305" i="29" s="1"/>
  <c r="K305" i="29" s="1" a="1"/>
  <c r="K305" i="29" s="1"/>
  <c r="K33" i="29"/>
  <c r="L33" i="29" s="1"/>
  <c r="H34" i="29"/>
  <c r="J34" i="29" s="1"/>
  <c r="K34" i="29"/>
  <c r="L34" i="29" s="1"/>
  <c r="H35" i="29"/>
  <c r="J35" i="29" s="1"/>
  <c r="E150" i="29" s="1"/>
  <c r="K35" i="29"/>
  <c r="L35" i="29" s="1"/>
  <c r="H36" i="29"/>
  <c r="J36" i="29" s="1"/>
  <c r="K36" i="29"/>
  <c r="L36" i="29" s="1"/>
  <c r="H210" i="29" a="1"/>
  <c r="H210" i="29" s="1"/>
  <c r="I69" i="29" s="1"/>
  <c r="K210" i="29" a="1"/>
  <c r="K210" i="29" s="1"/>
  <c r="N210" i="29" a="1"/>
  <c r="N210" i="29" s="1"/>
  <c r="M69" i="29" s="1"/>
  <c r="Q210" i="29" a="1"/>
  <c r="Q210" i="29" s="1"/>
  <c r="L69" i="29" s="1"/>
  <c r="F233" i="29"/>
  <c r="H233" i="29" s="1" a="1"/>
  <c r="H233" i="29" s="1"/>
  <c r="E271" i="29"/>
  <c r="O271" i="29"/>
  <c r="Z271" i="29"/>
  <c r="AL271" i="29"/>
  <c r="F362" i="29"/>
  <c r="I362" i="29"/>
  <c r="U57" i="26"/>
  <c r="S57" i="26"/>
  <c r="Q57" i="26"/>
  <c r="N57" i="26"/>
  <c r="L57" i="26"/>
  <c r="J57" i="26"/>
  <c r="T57" i="26"/>
  <c r="R57" i="26"/>
  <c r="O57" i="26"/>
  <c r="M57" i="26"/>
  <c r="K57" i="26"/>
  <c r="I57" i="26"/>
  <c r="H11" i="26" a="1"/>
  <c r="H11" i="26" s="1"/>
  <c r="H11" i="27" a="1"/>
  <c r="H11" i="27" s="1"/>
  <c r="S45" i="27"/>
  <c r="Q45" i="27"/>
  <c r="N45" i="27"/>
  <c r="L45" i="27"/>
  <c r="J45" i="27"/>
  <c r="H45" i="27"/>
  <c r="L57" i="18"/>
  <c r="S57" i="18"/>
  <c r="U57" i="18"/>
  <c r="T57" i="18"/>
  <c r="R57" i="18"/>
  <c r="M57" i="18"/>
  <c r="J57" i="18"/>
  <c r="N57" i="18"/>
  <c r="Q57" i="18"/>
  <c r="O57" i="18"/>
  <c r="K57" i="18"/>
  <c r="I57" i="18"/>
  <c r="H11" i="18" a="1"/>
  <c r="H11" i="18" s="1"/>
  <c r="AF42" i="9"/>
  <c r="AF41" i="9"/>
  <c r="AF40" i="9"/>
  <c r="AF39" i="9"/>
  <c r="AF38" i="9"/>
  <c r="AF37" i="9"/>
  <c r="AF36" i="9"/>
  <c r="AF35" i="9"/>
  <c r="AF34" i="9"/>
  <c r="AF33" i="9"/>
  <c r="AF32" i="9"/>
  <c r="AF31" i="9"/>
  <c r="AF30" i="9"/>
  <c r="AF29" i="9"/>
  <c r="AF28" i="9"/>
  <c r="AF27" i="9"/>
  <c r="AF26" i="9"/>
  <c r="AF25" i="9"/>
  <c r="AF24" i="9"/>
  <c r="AF23" i="9"/>
  <c r="AF22" i="9"/>
  <c r="AF21" i="9"/>
  <c r="AF20" i="9"/>
  <c r="AF19" i="9"/>
  <c r="AF18" i="9"/>
  <c r="AF17" i="9"/>
  <c r="AF16" i="9"/>
  <c r="AA43" i="9"/>
  <c r="Z43" i="9"/>
  <c r="AA35" i="9"/>
  <c r="Z35" i="9"/>
  <c r="AA31" i="9"/>
  <c r="Z31" i="9"/>
  <c r="AA26" i="9"/>
  <c r="Z27" i="9"/>
  <c r="Z26" i="9"/>
  <c r="E126" i="29" l="1"/>
  <c r="E120" i="29"/>
  <c r="E108" i="29"/>
  <c r="E102" i="29"/>
  <c r="E382" i="29"/>
  <c r="J382" i="29" s="1"/>
  <c r="K382" i="29" s="1" a="1"/>
  <c r="K382" i="29" s="1"/>
  <c r="E217" i="29"/>
  <c r="P217" i="29" s="1"/>
  <c r="Q217" i="29" s="1" a="1"/>
  <c r="Q217" i="29" s="1"/>
  <c r="E368" i="29"/>
  <c r="J368" i="29" s="1"/>
  <c r="K368" i="29" s="1" a="1"/>
  <c r="K368" i="29" s="1"/>
  <c r="E307" i="29"/>
  <c r="M307" i="29" s="1"/>
  <c r="N307" i="29" s="1" a="1"/>
  <c r="N307" i="29" s="1"/>
  <c r="P287" i="29"/>
  <c r="Q287" i="29" s="1" a="1"/>
  <c r="Q287" i="29" s="1"/>
  <c r="E237" i="29"/>
  <c r="J237" i="29" s="1"/>
  <c r="E388" i="29"/>
  <c r="G388" i="29" s="1"/>
  <c r="H388" i="29" s="1" a="1"/>
  <c r="H388" i="29" s="1"/>
  <c r="G372" i="29"/>
  <c r="H372" i="29" s="1" a="1"/>
  <c r="H372" i="29" s="1"/>
  <c r="M305" i="29"/>
  <c r="N305" i="29" s="1" a="1"/>
  <c r="N305" i="29" s="1"/>
  <c r="J366" i="29"/>
  <c r="K366" i="29" s="1" a="1"/>
  <c r="K366" i="29" s="1"/>
  <c r="G229" i="29"/>
  <c r="E380" i="29"/>
  <c r="J380" i="29" s="1"/>
  <c r="K380" i="29" s="1" a="1"/>
  <c r="K380" i="29" s="1"/>
  <c r="M372" i="29"/>
  <c r="N372" i="29" s="1" a="1"/>
  <c r="N372" i="29" s="1"/>
  <c r="P374" i="29"/>
  <c r="Q374" i="29" s="1" a="1"/>
  <c r="Q374" i="29" s="1"/>
  <c r="G384" i="29"/>
  <c r="H384" i="29" s="1" a="1"/>
  <c r="H384" i="29" s="1"/>
  <c r="J283" i="29"/>
  <c r="K283" i="29" s="1" a="1"/>
  <c r="K283" i="29" s="1"/>
  <c r="G300" i="29"/>
  <c r="H300" i="29" s="1" a="1"/>
  <c r="H300" i="29" s="1"/>
  <c r="J300" i="29"/>
  <c r="K300" i="29" s="1" a="1"/>
  <c r="K300" i="29" s="1"/>
  <c r="P300" i="29"/>
  <c r="Q300" i="29" s="1" a="1"/>
  <c r="Q300" i="29" s="1"/>
  <c r="J294" i="29"/>
  <c r="K294" i="29" s="1" a="1"/>
  <c r="K294" i="29" s="1"/>
  <c r="G294" i="29"/>
  <c r="H294" i="29" s="1" a="1"/>
  <c r="H294" i="29" s="1"/>
  <c r="P294" i="29"/>
  <c r="Q294" i="29" s="1" a="1"/>
  <c r="Q294" i="29" s="1"/>
  <c r="M294" i="29"/>
  <c r="N294" i="29" s="1" a="1"/>
  <c r="N294" i="29" s="1"/>
  <c r="M300" i="29"/>
  <c r="N300" i="29" s="1" a="1"/>
  <c r="N300" i="29" s="1"/>
  <c r="G283" i="29"/>
  <c r="H283" i="29" s="1" a="1"/>
  <c r="H283" i="29" s="1"/>
  <c r="P283" i="29"/>
  <c r="Q283" i="29" s="1" a="1"/>
  <c r="Q283" i="29" s="1"/>
  <c r="G305" i="29"/>
  <c r="H305" i="29" s="1" a="1"/>
  <c r="H305" i="29" s="1"/>
  <c r="G287" i="29"/>
  <c r="H287" i="29" s="1" a="1"/>
  <c r="H287" i="29" s="1"/>
  <c r="P305" i="29"/>
  <c r="Q305" i="29" s="1" a="1"/>
  <c r="Q305" i="29" s="1"/>
  <c r="G374" i="29"/>
  <c r="H374" i="29" s="1" a="1"/>
  <c r="H374" i="29" s="1"/>
  <c r="J287" i="29"/>
  <c r="K287" i="29" s="1" a="1"/>
  <c r="K287" i="29" s="1"/>
  <c r="J374" i="29"/>
  <c r="K374" i="29" s="1" a="1"/>
  <c r="K374" i="29" s="1"/>
  <c r="P372" i="29"/>
  <c r="Q372" i="29" s="1" a="1"/>
  <c r="Q372" i="29" s="1"/>
  <c r="J229" i="29"/>
  <c r="J384" i="29"/>
  <c r="K384" i="29" s="1" a="1"/>
  <c r="K384" i="29" s="1"/>
  <c r="M378" i="29"/>
  <c r="N378" i="29" s="1" a="1"/>
  <c r="N378" i="29" s="1"/>
  <c r="M229" i="29"/>
  <c r="P378" i="29"/>
  <c r="Q378" i="29" s="1" a="1"/>
  <c r="Q378" i="29" s="1"/>
  <c r="G378" i="29"/>
  <c r="H378" i="29" s="1" a="1"/>
  <c r="H378" i="29" s="1"/>
  <c r="G366" i="29"/>
  <c r="H366" i="29" s="1" a="1"/>
  <c r="H366" i="29" s="1"/>
  <c r="M366" i="29"/>
  <c r="N366" i="29" s="1" a="1"/>
  <c r="N366" i="29" s="1"/>
  <c r="M384" i="29"/>
  <c r="N384" i="29" s="1" a="1"/>
  <c r="N384" i="29" s="1"/>
  <c r="E226" i="29"/>
  <c r="E377" i="29"/>
  <c r="E296" i="29"/>
  <c r="E228" i="29"/>
  <c r="E298" i="29"/>
  <c r="E379" i="29"/>
  <c r="E295" i="29"/>
  <c r="E376" i="29"/>
  <c r="E225" i="29"/>
  <c r="E135" i="29"/>
  <c r="E383" i="29"/>
  <c r="E232" i="29"/>
  <c r="E302" i="29"/>
  <c r="E218" i="29"/>
  <c r="E288" i="29"/>
  <c r="E369" i="29"/>
  <c r="E282" i="29"/>
  <c r="E363" i="29"/>
  <c r="E212" i="29"/>
  <c r="E75" i="29"/>
  <c r="E90" i="29"/>
  <c r="I69" i="31"/>
  <c r="K69" i="31"/>
  <c r="J97" i="31"/>
  <c r="H97" i="31"/>
  <c r="E290" i="29"/>
  <c r="E220" i="29"/>
  <c r="E371" i="29"/>
  <c r="E141" i="29"/>
  <c r="E385" i="29"/>
  <c r="E234" i="29"/>
  <c r="E304" i="29"/>
  <c r="E373" i="29"/>
  <c r="E222" i="29"/>
  <c r="E292" i="29"/>
  <c r="E236" i="29"/>
  <c r="E306" i="29"/>
  <c r="E147" i="29"/>
  <c r="E387" i="29"/>
  <c r="E284" i="29"/>
  <c r="E365" i="29"/>
  <c r="E81" i="29"/>
  <c r="E214" i="29"/>
  <c r="E216" i="29"/>
  <c r="E381" i="29"/>
  <c r="E367" i="29"/>
  <c r="E286" i="29"/>
  <c r="E375" i="29"/>
  <c r="E361" i="29"/>
  <c r="E210" i="29"/>
  <c r="G210" i="29" s="1"/>
  <c r="E386" i="29"/>
  <c r="E129" i="29"/>
  <c r="E364" i="29"/>
  <c r="E224" i="29"/>
  <c r="E221" i="29"/>
  <c r="E111" i="29"/>
  <c r="E303" i="29"/>
  <c r="E230" i="29"/>
  <c r="J71" i="31"/>
  <c r="H71" i="31"/>
  <c r="J69" i="31"/>
  <c r="H69" i="31"/>
  <c r="I71" i="31"/>
  <c r="K71" i="31"/>
  <c r="E323" i="31"/>
  <c r="E172" i="31"/>
  <c r="E85" i="31"/>
  <c r="E242" i="31"/>
  <c r="E317" i="31"/>
  <c r="E236" i="31"/>
  <c r="E166" i="31"/>
  <c r="E79" i="31"/>
  <c r="E182" i="31"/>
  <c r="E333" i="31"/>
  <c r="E252" i="31"/>
  <c r="E97" i="31"/>
  <c r="E311" i="31"/>
  <c r="E230" i="31"/>
  <c r="E160" i="31"/>
  <c r="E71" i="31"/>
  <c r="E72" i="31"/>
  <c r="E73" i="31"/>
  <c r="E327" i="31"/>
  <c r="E246" i="31"/>
  <c r="E176" i="31"/>
  <c r="E89" i="31"/>
  <c r="E240" i="31"/>
  <c r="E83" i="31"/>
  <c r="E321" i="31"/>
  <c r="E170" i="31"/>
  <c r="E337" i="31"/>
  <c r="E256" i="31"/>
  <c r="E101" i="31"/>
  <c r="E186" i="31"/>
  <c r="E315" i="31"/>
  <c r="E164" i="31"/>
  <c r="E77" i="31"/>
  <c r="E234" i="31"/>
  <c r="E250" i="31"/>
  <c r="E180" i="31"/>
  <c r="E94" i="31"/>
  <c r="E95" i="31"/>
  <c r="E331" i="31"/>
  <c r="E325" i="31"/>
  <c r="E244" i="31"/>
  <c r="E174" i="31"/>
  <c r="E87" i="31"/>
  <c r="E99" i="31"/>
  <c r="E335" i="31"/>
  <c r="E254" i="31"/>
  <c r="E184" i="31"/>
  <c r="E162" i="31"/>
  <c r="E313" i="31"/>
  <c r="E232" i="31"/>
  <c r="E75" i="31"/>
  <c r="E329" i="31"/>
  <c r="E248" i="31"/>
  <c r="E91" i="31"/>
  <c r="E92" i="31"/>
  <c r="E178" i="31"/>
  <c r="E238" i="31"/>
  <c r="E319" i="31"/>
  <c r="E81" i="31"/>
  <c r="E168" i="31"/>
  <c r="E314" i="31"/>
  <c r="E233" i="31"/>
  <c r="E163" i="31"/>
  <c r="E69" i="31"/>
  <c r="J100" i="31"/>
  <c r="K81" i="31"/>
  <c r="I81" i="31"/>
  <c r="J81" i="31"/>
  <c r="H81" i="31"/>
  <c r="H91" i="31"/>
  <c r="J91" i="31"/>
  <c r="K94" i="31"/>
  <c r="I94" i="31"/>
  <c r="E231" i="31"/>
  <c r="E161" i="31"/>
  <c r="E312" i="31"/>
  <c r="K97" i="31"/>
  <c r="I97" i="31"/>
  <c r="J101" i="31"/>
  <c r="H101" i="31"/>
  <c r="E316" i="31"/>
  <c r="E78" i="31"/>
  <c r="E235" i="31"/>
  <c r="E165" i="31"/>
  <c r="E237" i="31"/>
  <c r="E167" i="31"/>
  <c r="E80" i="31"/>
  <c r="E82" i="31"/>
  <c r="E239" i="31"/>
  <c r="E169" i="31"/>
  <c r="E320" i="31"/>
  <c r="E171" i="31"/>
  <c r="E84" i="31"/>
  <c r="E322" i="31"/>
  <c r="E173" i="31"/>
  <c r="E86" i="31"/>
  <c r="E324" i="31"/>
  <c r="E243" i="31"/>
  <c r="E326" i="31"/>
  <c r="E245" i="31"/>
  <c r="E175" i="31"/>
  <c r="E88" i="31"/>
  <c r="E90" i="31"/>
  <c r="E328" i="31"/>
  <c r="E247" i="31"/>
  <c r="E177" i="31"/>
  <c r="E179" i="31"/>
  <c r="E249" i="31"/>
  <c r="E93" i="31"/>
  <c r="E332" i="31"/>
  <c r="E251" i="31"/>
  <c r="E181" i="31"/>
  <c r="E96" i="31"/>
  <c r="E98" i="31"/>
  <c r="E334" i="31"/>
  <c r="E253" i="31"/>
  <c r="E183" i="31"/>
  <c r="E336" i="31"/>
  <c r="E255" i="31"/>
  <c r="E185" i="31"/>
  <c r="E100" i="31"/>
  <c r="J94" i="31"/>
  <c r="H94" i="31"/>
  <c r="E74" i="31"/>
  <c r="I100" i="31"/>
  <c r="K100" i="31"/>
  <c r="E229" i="31"/>
  <c r="E159" i="31"/>
  <c r="E70" i="31"/>
  <c r="E76" i="31"/>
  <c r="J93" i="31"/>
  <c r="H93" i="31"/>
  <c r="E318" i="31"/>
  <c r="E330" i="31"/>
  <c r="J72" i="29"/>
  <c r="H72" i="29"/>
  <c r="E233" i="29"/>
  <c r="E138" i="29"/>
  <c r="I72" i="29"/>
  <c r="K72" i="29"/>
  <c r="E144" i="29"/>
  <c r="E235" i="29"/>
  <c r="E299" i="29"/>
  <c r="E291" i="29"/>
  <c r="E78" i="29"/>
  <c r="E213" i="29"/>
  <c r="E289" i="29"/>
  <c r="E219" i="29"/>
  <c r="E69" i="29"/>
  <c r="E280" i="29"/>
  <c r="E211" i="29"/>
  <c r="E281" i="29"/>
  <c r="E370" i="29"/>
  <c r="E362" i="29"/>
  <c r="E231" i="29"/>
  <c r="E301" i="29"/>
  <c r="E223" i="29"/>
  <c r="E293" i="29"/>
  <c r="E84" i="29"/>
  <c r="E215" i="29"/>
  <c r="E285" i="29"/>
  <c r="E297" i="29"/>
  <c r="E227" i="29"/>
  <c r="J69" i="29"/>
  <c r="K69" i="29"/>
  <c r="I85" i="26"/>
  <c r="M85" i="26"/>
  <c r="R85" i="26"/>
  <c r="I86" i="26"/>
  <c r="M86" i="26"/>
  <c r="R86" i="26"/>
  <c r="I87" i="26"/>
  <c r="M87" i="26"/>
  <c r="R87" i="26"/>
  <c r="I88" i="26"/>
  <c r="M88" i="26"/>
  <c r="R88" i="26"/>
  <c r="I89" i="26"/>
  <c r="M89" i="26"/>
  <c r="R89" i="26"/>
  <c r="I90" i="26"/>
  <c r="M90" i="26"/>
  <c r="R90" i="26"/>
  <c r="I91" i="26"/>
  <c r="M91" i="26"/>
  <c r="R91" i="26"/>
  <c r="I92" i="26"/>
  <c r="M92" i="26"/>
  <c r="R92" i="26"/>
  <c r="I93" i="26"/>
  <c r="M93" i="26"/>
  <c r="R93" i="26"/>
  <c r="I98" i="26"/>
  <c r="M98" i="26"/>
  <c r="R98" i="26"/>
  <c r="I99" i="26"/>
  <c r="M99" i="26"/>
  <c r="R99" i="26"/>
  <c r="I89" i="18"/>
  <c r="M89" i="18"/>
  <c r="R89" i="18"/>
  <c r="I90" i="18"/>
  <c r="M90" i="18"/>
  <c r="R90" i="18"/>
  <c r="I91" i="18"/>
  <c r="M91" i="18"/>
  <c r="R91" i="18"/>
  <c r="I92" i="18"/>
  <c r="M92" i="18"/>
  <c r="R92" i="18"/>
  <c r="I93" i="18"/>
  <c r="M93" i="18"/>
  <c r="R93" i="18"/>
  <c r="M237" i="29" l="1"/>
  <c r="N237" i="29" s="1" a="1"/>
  <c r="N237" i="29" s="1"/>
  <c r="M388" i="29"/>
  <c r="N388" i="29" s="1" a="1"/>
  <c r="N388" i="29" s="1"/>
  <c r="P382" i="29"/>
  <c r="Q382" i="29" s="1" a="1"/>
  <c r="Q382" i="29" s="1"/>
  <c r="P307" i="29"/>
  <c r="Q307" i="29" s="1" a="1"/>
  <c r="Q307" i="29" s="1"/>
  <c r="M368" i="29"/>
  <c r="N368" i="29" s="1" a="1"/>
  <c r="N368" i="29" s="1"/>
  <c r="J388" i="29"/>
  <c r="K388" i="29" s="1" a="1"/>
  <c r="K388" i="29" s="1"/>
  <c r="M217" i="29"/>
  <c r="N217" i="29" s="1" a="1"/>
  <c r="N217" i="29" s="1"/>
  <c r="M382" i="29"/>
  <c r="N382" i="29" s="1" a="1"/>
  <c r="N382" i="29" s="1"/>
  <c r="G382" i="29"/>
  <c r="H382" i="29" s="1" a="1"/>
  <c r="H382" i="29" s="1"/>
  <c r="G380" i="29"/>
  <c r="H380" i="29" s="1" a="1"/>
  <c r="H380" i="29" s="1"/>
  <c r="J217" i="29"/>
  <c r="K217" i="29" s="1" a="1"/>
  <c r="K217" i="29" s="1"/>
  <c r="G217" i="29"/>
  <c r="H217" i="29" s="1" a="1"/>
  <c r="H217" i="29" s="1"/>
  <c r="P368" i="29"/>
  <c r="Q368" i="29" s="1" a="1"/>
  <c r="Q368" i="29" s="1"/>
  <c r="P380" i="29"/>
  <c r="Q380" i="29" s="1" a="1"/>
  <c r="Q380" i="29" s="1"/>
  <c r="M380" i="29"/>
  <c r="N380" i="29" s="1" a="1"/>
  <c r="N380" i="29" s="1"/>
  <c r="G307" i="29"/>
  <c r="H307" i="29" s="1" a="1"/>
  <c r="H307" i="29" s="1"/>
  <c r="G368" i="29"/>
  <c r="H368" i="29" s="1" a="1"/>
  <c r="H368" i="29" s="1"/>
  <c r="G237" i="29"/>
  <c r="J307" i="29"/>
  <c r="K307" i="29" s="1" a="1"/>
  <c r="K307" i="29" s="1"/>
  <c r="P237" i="29"/>
  <c r="Q237" i="29" s="1" a="1"/>
  <c r="Q237" i="29" s="1"/>
  <c r="P388" i="29"/>
  <c r="Q388" i="29" s="1" a="1"/>
  <c r="Q388" i="29" s="1"/>
  <c r="J281" i="29"/>
  <c r="K281" i="29" s="1" a="1"/>
  <c r="K281" i="29" s="1"/>
  <c r="P281" i="29"/>
  <c r="Q281" i="29" s="1" a="1"/>
  <c r="Q281" i="29" s="1"/>
  <c r="L74" i="29" s="1"/>
  <c r="M281" i="29"/>
  <c r="N281" i="29" s="1" a="1"/>
  <c r="N281" i="29" s="1"/>
  <c r="M74" i="29" s="1"/>
  <c r="G281" i="29"/>
  <c r="H281" i="29" s="1" a="1"/>
  <c r="H281" i="29" s="1"/>
  <c r="P234" i="29"/>
  <c r="Q234" i="29" s="1" a="1"/>
  <c r="Q234" i="29" s="1"/>
  <c r="M234" i="29"/>
  <c r="N234" i="29" s="1" a="1"/>
  <c r="N234" i="29" s="1"/>
  <c r="J234" i="29"/>
  <c r="K234" i="29" s="1" a="1"/>
  <c r="K234" i="29" s="1"/>
  <c r="G234" i="29"/>
  <c r="H234" i="29" s="1" a="1"/>
  <c r="H234" i="29" s="1"/>
  <c r="J289" i="29"/>
  <c r="K289" i="29" s="1" a="1"/>
  <c r="K289" i="29" s="1"/>
  <c r="P289" i="29"/>
  <c r="Q289" i="29" s="1" a="1"/>
  <c r="Q289" i="29" s="1"/>
  <c r="G289" i="29"/>
  <c r="H289" i="29" s="1" a="1"/>
  <c r="H289" i="29" s="1"/>
  <c r="M289" i="29"/>
  <c r="N289" i="29" s="1" a="1"/>
  <c r="N289" i="29" s="1"/>
  <c r="P385" i="29"/>
  <c r="Q385" i="29" s="1" a="1"/>
  <c r="Q385" i="29" s="1"/>
  <c r="M385" i="29"/>
  <c r="N385" i="29" s="1" a="1"/>
  <c r="N385" i="29" s="1"/>
  <c r="J385" i="29"/>
  <c r="K385" i="29" s="1" a="1"/>
  <c r="K385" i="29" s="1"/>
  <c r="G385" i="29"/>
  <c r="H385" i="29" s="1" a="1"/>
  <c r="H385" i="29" s="1"/>
  <c r="M284" i="29"/>
  <c r="N284" i="29" s="1" a="1"/>
  <c r="N284" i="29" s="1"/>
  <c r="M83" i="29" s="1"/>
  <c r="P284" i="29"/>
  <c r="Q284" i="29" s="1" a="1"/>
  <c r="Q284" i="29" s="1"/>
  <c r="L83" i="29" s="1"/>
  <c r="G284" i="29"/>
  <c r="H284" i="29" s="1" a="1"/>
  <c r="H284" i="29" s="1"/>
  <c r="I83" i="29" s="1"/>
  <c r="J284" i="29"/>
  <c r="K284" i="29" s="1" a="1"/>
  <c r="K284" i="29" s="1"/>
  <c r="J83" i="29" s="1"/>
  <c r="J295" i="29"/>
  <c r="K295" i="29" s="1" a="1"/>
  <c r="K295" i="29" s="1"/>
  <c r="G295" i="29"/>
  <c r="H295" i="29" s="1" a="1"/>
  <c r="H295" i="29" s="1"/>
  <c r="P295" i="29"/>
  <c r="Q295" i="29" s="1" a="1"/>
  <c r="Q295" i="29" s="1"/>
  <c r="M295" i="29"/>
  <c r="N295" i="29" s="1" a="1"/>
  <c r="N295" i="29" s="1"/>
  <c r="P224" i="29"/>
  <c r="Q224" i="29" s="1" a="1"/>
  <c r="Q224" i="29" s="1"/>
  <c r="G224" i="29"/>
  <c r="H224" i="29" s="1" a="1"/>
  <c r="H224" i="29" s="1"/>
  <c r="M224" i="29"/>
  <c r="N224" i="29" s="1" a="1"/>
  <c r="N224" i="29" s="1"/>
  <c r="J224" i="29"/>
  <c r="K224" i="29" s="1" a="1"/>
  <c r="K224" i="29" s="1"/>
  <c r="J214" i="29"/>
  <c r="K214" i="29" s="1" a="1"/>
  <c r="K214" i="29" s="1"/>
  <c r="M214" i="29"/>
  <c r="N214" i="29" s="1" a="1"/>
  <c r="N214" i="29" s="1"/>
  <c r="P214" i="29"/>
  <c r="Q214" i="29" s="1" a="1"/>
  <c r="Q214" i="29" s="1"/>
  <c r="G214" i="29"/>
  <c r="H214" i="29" s="1" a="1"/>
  <c r="H214" i="29" s="1"/>
  <c r="M212" i="29"/>
  <c r="N212" i="29" s="1" a="1"/>
  <c r="N212" i="29" s="1"/>
  <c r="P212" i="29"/>
  <c r="Q212" i="29" s="1" a="1"/>
  <c r="Q212" i="29" s="1"/>
  <c r="G212" i="29"/>
  <c r="H212" i="29" s="1" a="1"/>
  <c r="H212" i="29" s="1"/>
  <c r="J212" i="29"/>
  <c r="K212" i="29" s="1" a="1"/>
  <c r="K212" i="29" s="1"/>
  <c r="M223" i="29"/>
  <c r="N223" i="29" s="1" a="1"/>
  <c r="N223" i="29" s="1"/>
  <c r="J223" i="29"/>
  <c r="K223" i="29" s="1" a="1"/>
  <c r="K223" i="29" s="1"/>
  <c r="G223" i="29"/>
  <c r="H223" i="29" s="1" a="1"/>
  <c r="H223" i="29" s="1"/>
  <c r="P223" i="29"/>
  <c r="Q223" i="29" s="1" a="1"/>
  <c r="Q223" i="29" s="1"/>
  <c r="M213" i="29"/>
  <c r="N213" i="29" s="1" a="1"/>
  <c r="N213" i="29" s="1"/>
  <c r="M78" i="29" s="1"/>
  <c r="P213" i="29"/>
  <c r="Q213" i="29" s="1" a="1"/>
  <c r="Q213" i="29" s="1"/>
  <c r="L78" i="29" s="1"/>
  <c r="G213" i="29"/>
  <c r="H213" i="29" s="1" a="1"/>
  <c r="H213" i="29" s="1"/>
  <c r="J213" i="29"/>
  <c r="K213" i="29" s="1" a="1"/>
  <c r="K213" i="29" s="1"/>
  <c r="P386" i="29"/>
  <c r="Q386" i="29" s="1" a="1"/>
  <c r="Q386" i="29" s="1"/>
  <c r="M386" i="29"/>
  <c r="N386" i="29" s="1" a="1"/>
  <c r="N386" i="29" s="1"/>
  <c r="J386" i="29"/>
  <c r="K386" i="29" s="1" a="1"/>
  <c r="K386" i="29" s="1"/>
  <c r="G386" i="29"/>
  <c r="H386" i="29" s="1" a="1"/>
  <c r="H386" i="29" s="1"/>
  <c r="G363" i="29"/>
  <c r="H363" i="29" s="1" a="1"/>
  <c r="H363" i="29" s="1"/>
  <c r="J363" i="29"/>
  <c r="K363" i="29" s="1" a="1"/>
  <c r="K363" i="29" s="1"/>
  <c r="M363" i="29"/>
  <c r="P363" i="29"/>
  <c r="Q363" i="29" s="1" a="1"/>
  <c r="Q363" i="29" s="1"/>
  <c r="M233" i="29"/>
  <c r="J233" i="29"/>
  <c r="G233" i="29"/>
  <c r="P233" i="29"/>
  <c r="G387" i="29"/>
  <c r="H387" i="29" s="1" a="1"/>
  <c r="H387" i="29" s="1"/>
  <c r="P387" i="29"/>
  <c r="Q387" i="29" s="1" a="1"/>
  <c r="Q387" i="29" s="1"/>
  <c r="M387" i="29"/>
  <c r="N387" i="29" s="1" a="1"/>
  <c r="N387" i="29" s="1"/>
  <c r="J387" i="29"/>
  <c r="K387" i="29" s="1" a="1"/>
  <c r="K387" i="29" s="1"/>
  <c r="J371" i="29"/>
  <c r="K371" i="29" s="1" a="1"/>
  <c r="K371" i="29" s="1"/>
  <c r="P371" i="29"/>
  <c r="Q371" i="29" s="1" a="1"/>
  <c r="Q371" i="29" s="1"/>
  <c r="G371" i="29"/>
  <c r="H371" i="29" s="1" a="1"/>
  <c r="H371" i="29" s="1"/>
  <c r="M371" i="29"/>
  <c r="N371" i="29" s="1" a="1"/>
  <c r="N371" i="29" s="1"/>
  <c r="G282" i="29"/>
  <c r="H282" i="29" s="1" a="1"/>
  <c r="H282" i="29" s="1"/>
  <c r="I77" i="29" s="1"/>
  <c r="J282" i="29"/>
  <c r="K282" i="29" s="1" a="1"/>
  <c r="K282" i="29" s="1"/>
  <c r="H77" i="29" s="1"/>
  <c r="M282" i="29"/>
  <c r="N282" i="29" s="1" a="1"/>
  <c r="N282" i="29" s="1"/>
  <c r="M77" i="29" s="1"/>
  <c r="P282" i="29"/>
  <c r="Q282" i="29" s="1" a="1"/>
  <c r="Q282" i="29" s="1"/>
  <c r="L77" i="29" s="1"/>
  <c r="G216" i="29"/>
  <c r="H216" i="29" s="1" a="1"/>
  <c r="H216" i="29" s="1"/>
  <c r="P216" i="29"/>
  <c r="Q216" i="29" s="1" a="1"/>
  <c r="Q216" i="29" s="1"/>
  <c r="J216" i="29"/>
  <c r="K216" i="29" s="1" a="1"/>
  <c r="K216" i="29" s="1"/>
  <c r="M216" i="29"/>
  <c r="N216" i="29" s="1" a="1"/>
  <c r="N216" i="29" s="1"/>
  <c r="J220" i="29"/>
  <c r="K220" i="29" s="1" a="1"/>
  <c r="K220" i="29" s="1"/>
  <c r="G220" i="29"/>
  <c r="H220" i="29" s="1" a="1"/>
  <c r="H220" i="29" s="1"/>
  <c r="P220" i="29"/>
  <c r="Q220" i="29" s="1" a="1"/>
  <c r="Q220" i="29" s="1"/>
  <c r="M220" i="29"/>
  <c r="N220" i="29" s="1" a="1"/>
  <c r="N220" i="29" s="1"/>
  <c r="J369" i="29"/>
  <c r="K369" i="29" s="1" a="1"/>
  <c r="K369" i="29" s="1"/>
  <c r="P369" i="29"/>
  <c r="Q369" i="29" s="1" a="1"/>
  <c r="Q369" i="29" s="1"/>
  <c r="G369" i="29"/>
  <c r="H369" i="29" s="1" a="1"/>
  <c r="H369" i="29" s="1"/>
  <c r="M369" i="29"/>
  <c r="N369" i="29" s="1" a="1"/>
  <c r="N369" i="29" s="1"/>
  <c r="J379" i="29"/>
  <c r="K379" i="29" s="1" a="1"/>
  <c r="K379" i="29" s="1"/>
  <c r="G379" i="29"/>
  <c r="H379" i="29" s="1" a="1"/>
  <c r="H379" i="29" s="1"/>
  <c r="P379" i="29"/>
  <c r="Q379" i="29" s="1" a="1"/>
  <c r="Q379" i="29" s="1"/>
  <c r="M379" i="29"/>
  <c r="N379" i="29" s="1" a="1"/>
  <c r="N379" i="29" s="1"/>
  <c r="P293" i="29"/>
  <c r="Q293" i="29" s="1" a="1"/>
  <c r="Q293" i="29" s="1"/>
  <c r="M293" i="29"/>
  <c r="N293" i="29" s="1" a="1"/>
  <c r="N293" i="29" s="1"/>
  <c r="G293" i="29"/>
  <c r="H293" i="29" s="1" a="1"/>
  <c r="H293" i="29" s="1"/>
  <c r="J293" i="29"/>
  <c r="K293" i="29" s="1" a="1"/>
  <c r="K293" i="29" s="1"/>
  <c r="P365" i="29"/>
  <c r="Q365" i="29" s="1" a="1"/>
  <c r="Q365" i="29" s="1"/>
  <c r="M365" i="29"/>
  <c r="N365" i="29" s="1" a="1"/>
  <c r="N365" i="29" s="1"/>
  <c r="G365" i="29"/>
  <c r="H365" i="29" s="1" a="1"/>
  <c r="H365" i="29" s="1"/>
  <c r="J365" i="29"/>
  <c r="K365" i="29" s="1" a="1"/>
  <c r="K365" i="29" s="1"/>
  <c r="M291" i="29"/>
  <c r="N291" i="29" s="1" a="1"/>
  <c r="N291" i="29" s="1"/>
  <c r="J291" i="29"/>
  <c r="K291" i="29" s="1" a="1"/>
  <c r="K291" i="29" s="1"/>
  <c r="G291" i="29"/>
  <c r="H291" i="29" s="1" a="1"/>
  <c r="H291" i="29" s="1"/>
  <c r="P291" i="29"/>
  <c r="Q291" i="29" s="1" a="1"/>
  <c r="Q291" i="29" s="1"/>
  <c r="G235" i="29"/>
  <c r="H235" i="29" s="1" a="1"/>
  <c r="H235" i="29" s="1"/>
  <c r="F386" i="29" s="1"/>
  <c r="P235" i="29"/>
  <c r="Q235" i="29" s="1" a="1"/>
  <c r="Q235" i="29" s="1"/>
  <c r="O386" i="29" s="1"/>
  <c r="M235" i="29"/>
  <c r="N235" i="29" s="1" a="1"/>
  <c r="N235" i="29" s="1"/>
  <c r="L386" i="29" s="1"/>
  <c r="J235" i="29"/>
  <c r="K235" i="29" s="1" a="1"/>
  <c r="K235" i="29" s="1"/>
  <c r="I386" i="29" s="1"/>
  <c r="M361" i="29"/>
  <c r="N361" i="29" s="1" a="1"/>
  <c r="N361" i="29" s="1"/>
  <c r="P361" i="29"/>
  <c r="Q361" i="29" s="1" a="1"/>
  <c r="Q361" i="29" s="1"/>
  <c r="J361" i="29"/>
  <c r="K361" i="29" s="1" a="1"/>
  <c r="K361" i="29" s="1"/>
  <c r="G361" i="29"/>
  <c r="H361" i="29" s="1" a="1"/>
  <c r="H361" i="29" s="1"/>
  <c r="G306" i="29"/>
  <c r="H306" i="29" s="1" a="1"/>
  <c r="H306" i="29" s="1"/>
  <c r="P306" i="29"/>
  <c r="Q306" i="29" s="1" a="1"/>
  <c r="Q306" i="29" s="1"/>
  <c r="J306" i="29"/>
  <c r="K306" i="29" s="1" a="1"/>
  <c r="K306" i="29" s="1"/>
  <c r="M306" i="29"/>
  <c r="N306" i="29" s="1" a="1"/>
  <c r="N306" i="29" s="1"/>
  <c r="P298" i="29"/>
  <c r="Q298" i="29" s="1" a="1"/>
  <c r="Q298" i="29" s="1"/>
  <c r="M298" i="29"/>
  <c r="N298" i="29" s="1" a="1"/>
  <c r="N298" i="29" s="1"/>
  <c r="J298" i="29"/>
  <c r="K298" i="29" s="1" a="1"/>
  <c r="K298" i="29" s="1"/>
  <c r="G298" i="29"/>
  <c r="H298" i="29" s="1" a="1"/>
  <c r="H298" i="29" s="1"/>
  <c r="J370" i="29"/>
  <c r="K370" i="29" s="1" a="1"/>
  <c r="K370" i="29" s="1"/>
  <c r="P370" i="29"/>
  <c r="Q370" i="29" s="1" a="1"/>
  <c r="Q370" i="29" s="1"/>
  <c r="G370" i="29"/>
  <c r="H370" i="29" s="1" a="1"/>
  <c r="H370" i="29" s="1"/>
  <c r="M370" i="29"/>
  <c r="N370" i="29" s="1" a="1"/>
  <c r="N370" i="29" s="1"/>
  <c r="G215" i="29"/>
  <c r="H215" i="29" s="1" a="1"/>
  <c r="H215" i="29" s="1"/>
  <c r="P215" i="29"/>
  <c r="Q215" i="29" s="1" a="1"/>
  <c r="Q215" i="29" s="1"/>
  <c r="L84" i="29" s="1"/>
  <c r="J215" i="29"/>
  <c r="K215" i="29" s="1" a="1"/>
  <c r="K215" i="29" s="1"/>
  <c r="M215" i="29"/>
  <c r="N215" i="29" s="1" a="1"/>
  <c r="N215" i="29" s="1"/>
  <c r="M84" i="29" s="1"/>
  <c r="P301" i="29"/>
  <c r="Q301" i="29" s="1" a="1"/>
  <c r="Q301" i="29" s="1"/>
  <c r="M301" i="29"/>
  <c r="N301" i="29" s="1" a="1"/>
  <c r="N301" i="29" s="1"/>
  <c r="G301" i="29"/>
  <c r="H301" i="29" s="1" a="1"/>
  <c r="H301" i="29" s="1"/>
  <c r="J301" i="29"/>
  <c r="K301" i="29" s="1" a="1"/>
  <c r="K301" i="29" s="1"/>
  <c r="G288" i="29"/>
  <c r="H288" i="29" s="1" a="1"/>
  <c r="H288" i="29" s="1"/>
  <c r="P288" i="29"/>
  <c r="Q288" i="29" s="1" a="1"/>
  <c r="Q288" i="29" s="1"/>
  <c r="M288" i="29"/>
  <c r="N288" i="29" s="1" a="1"/>
  <c r="N288" i="29" s="1"/>
  <c r="J288" i="29"/>
  <c r="K288" i="29" s="1" a="1"/>
  <c r="K288" i="29" s="1"/>
  <c r="J383" i="29"/>
  <c r="K383" i="29" s="1" a="1"/>
  <c r="K383" i="29" s="1"/>
  <c r="G383" i="29"/>
  <c r="H383" i="29" s="1" a="1"/>
  <c r="H383" i="29" s="1"/>
  <c r="M383" i="29"/>
  <c r="N383" i="29" s="1" a="1"/>
  <c r="N383" i="29" s="1"/>
  <c r="P383" i="29"/>
  <c r="Q383" i="29" s="1" a="1"/>
  <c r="Q383" i="29" s="1"/>
  <c r="J304" i="29"/>
  <c r="K304" i="29" s="1" a="1"/>
  <c r="K304" i="29" s="1"/>
  <c r="M304" i="29"/>
  <c r="N304" i="29" s="1" a="1"/>
  <c r="N304" i="29" s="1"/>
  <c r="G304" i="29"/>
  <c r="H304" i="29" s="1" a="1"/>
  <c r="H304" i="29" s="1"/>
  <c r="P304" i="29"/>
  <c r="Q304" i="29" s="1" a="1"/>
  <c r="Q304" i="29" s="1"/>
  <c r="J231" i="29"/>
  <c r="G231" i="29"/>
  <c r="P231" i="29"/>
  <c r="M231" i="29"/>
  <c r="J299" i="29"/>
  <c r="K299" i="29" s="1" a="1"/>
  <c r="K299" i="29" s="1"/>
  <c r="P299" i="29"/>
  <c r="Q299" i="29" s="1" a="1"/>
  <c r="Q299" i="29" s="1"/>
  <c r="M299" i="29"/>
  <c r="N299" i="29" s="1" a="1"/>
  <c r="N299" i="29" s="1"/>
  <c r="G299" i="29"/>
  <c r="H299" i="29" s="1" a="1"/>
  <c r="H299" i="29" s="1"/>
  <c r="P230" i="29"/>
  <c r="G230" i="29"/>
  <c r="M230" i="29"/>
  <c r="J230" i="29"/>
  <c r="G375" i="29"/>
  <c r="H375" i="29" s="1" a="1"/>
  <c r="H375" i="29" s="1"/>
  <c r="M375" i="29"/>
  <c r="N375" i="29" s="1" a="1"/>
  <c r="N375" i="29" s="1"/>
  <c r="J375" i="29"/>
  <c r="K375" i="29" s="1" a="1"/>
  <c r="K375" i="29" s="1"/>
  <c r="P375" i="29"/>
  <c r="Q375" i="29" s="1" a="1"/>
  <c r="Q375" i="29" s="1"/>
  <c r="G236" i="29"/>
  <c r="M236" i="29"/>
  <c r="P236" i="29"/>
  <c r="J236" i="29"/>
  <c r="J290" i="29"/>
  <c r="K290" i="29" s="1" a="1"/>
  <c r="K290" i="29" s="1"/>
  <c r="G290" i="29"/>
  <c r="H290" i="29" s="1" a="1"/>
  <c r="H290" i="29" s="1"/>
  <c r="P290" i="29"/>
  <c r="Q290" i="29" s="1" a="1"/>
  <c r="Q290" i="29" s="1"/>
  <c r="M290" i="29"/>
  <c r="N290" i="29" s="1" a="1"/>
  <c r="N290" i="29" s="1"/>
  <c r="M228" i="29"/>
  <c r="N228" i="29" s="1" a="1"/>
  <c r="N228" i="29" s="1"/>
  <c r="J228" i="29"/>
  <c r="K228" i="29" s="1" a="1"/>
  <c r="K228" i="29" s="1"/>
  <c r="P228" i="29"/>
  <c r="Q228" i="29" s="1" a="1"/>
  <c r="Q228" i="29" s="1"/>
  <c r="G228" i="29"/>
  <c r="H228" i="29" s="1" a="1"/>
  <c r="H228" i="29" s="1"/>
  <c r="M227" i="29"/>
  <c r="N227" i="29" s="1" a="1"/>
  <c r="N227" i="29" s="1"/>
  <c r="J227" i="29"/>
  <c r="K227" i="29" s="1" a="1"/>
  <c r="K227" i="29" s="1"/>
  <c r="P227" i="29"/>
  <c r="Q227" i="29" s="1" a="1"/>
  <c r="Q227" i="29" s="1"/>
  <c r="G227" i="29"/>
  <c r="H227" i="29" s="1" a="1"/>
  <c r="H227" i="29" s="1"/>
  <c r="M303" i="29"/>
  <c r="N303" i="29" s="1" a="1"/>
  <c r="N303" i="29" s="1"/>
  <c r="L384" i="29" s="1"/>
  <c r="P303" i="29"/>
  <c r="Q303" i="29" s="1" a="1"/>
  <c r="Q303" i="29" s="1"/>
  <c r="O384" i="29" s="1"/>
  <c r="G303" i="29"/>
  <c r="H303" i="29" s="1" a="1"/>
  <c r="H303" i="29" s="1"/>
  <c r="F384" i="29" s="1"/>
  <c r="J303" i="29"/>
  <c r="K303" i="29" s="1" a="1"/>
  <c r="K303" i="29" s="1"/>
  <c r="I384" i="29" s="1"/>
  <c r="M286" i="29"/>
  <c r="N286" i="29" s="1" a="1"/>
  <c r="N286" i="29" s="1"/>
  <c r="J286" i="29"/>
  <c r="K286" i="29" s="1" a="1"/>
  <c r="K286" i="29" s="1"/>
  <c r="P286" i="29"/>
  <c r="Q286" i="29" s="1" a="1"/>
  <c r="Q286" i="29" s="1"/>
  <c r="G286" i="29"/>
  <c r="H286" i="29" s="1" a="1"/>
  <c r="H286" i="29" s="1"/>
  <c r="P292" i="29"/>
  <c r="Q292" i="29" s="1" a="1"/>
  <c r="Q292" i="29" s="1"/>
  <c r="M292" i="29"/>
  <c r="N292" i="29" s="1" a="1"/>
  <c r="N292" i="29" s="1"/>
  <c r="J292" i="29"/>
  <c r="K292" i="29" s="1" a="1"/>
  <c r="K292" i="29" s="1"/>
  <c r="G292" i="29"/>
  <c r="H292" i="29" s="1" a="1"/>
  <c r="H292" i="29" s="1"/>
  <c r="M218" i="29"/>
  <c r="N218" i="29" s="1" a="1"/>
  <c r="N218" i="29" s="1"/>
  <c r="J218" i="29"/>
  <c r="K218" i="29" s="1" a="1"/>
  <c r="K218" i="29" s="1"/>
  <c r="G218" i="29"/>
  <c r="H218" i="29" s="1" a="1"/>
  <c r="H218" i="29" s="1"/>
  <c r="P218" i="29"/>
  <c r="Q218" i="29" s="1" a="1"/>
  <c r="Q218" i="29" s="1"/>
  <c r="M296" i="29"/>
  <c r="N296" i="29" s="1" a="1"/>
  <c r="N296" i="29" s="1"/>
  <c r="G296" i="29"/>
  <c r="H296" i="29" s="1" a="1"/>
  <c r="H296" i="29" s="1"/>
  <c r="J296" i="29"/>
  <c r="K296" i="29" s="1" a="1"/>
  <c r="K296" i="29" s="1"/>
  <c r="P296" i="29"/>
  <c r="Q296" i="29" s="1" a="1"/>
  <c r="Q296" i="29" s="1"/>
  <c r="G364" i="29"/>
  <c r="H364" i="29" s="1" a="1"/>
  <c r="H364" i="29" s="1"/>
  <c r="J364" i="29"/>
  <c r="K364" i="29" s="1" a="1"/>
  <c r="K364" i="29" s="1"/>
  <c r="M364" i="29"/>
  <c r="N364" i="29" s="1" a="1"/>
  <c r="N364" i="29" s="1"/>
  <c r="P364" i="29"/>
  <c r="Q364" i="29" s="1" a="1"/>
  <c r="Q364" i="29" s="1"/>
  <c r="P225" i="29"/>
  <c r="Q225" i="29" s="1" a="1"/>
  <c r="Q225" i="29" s="1"/>
  <c r="G225" i="29"/>
  <c r="H225" i="29" s="1" a="1"/>
  <c r="H225" i="29" s="1"/>
  <c r="J225" i="29"/>
  <c r="K225" i="29" s="1" a="1"/>
  <c r="K225" i="29" s="1"/>
  <c r="M225" i="29"/>
  <c r="N225" i="29" s="1" a="1"/>
  <c r="N225" i="29" s="1"/>
  <c r="G376" i="29"/>
  <c r="H376" i="29" s="1" a="1"/>
  <c r="H376" i="29" s="1"/>
  <c r="P376" i="29"/>
  <c r="Q376" i="29" s="1" a="1"/>
  <c r="Q376" i="29" s="1"/>
  <c r="M376" i="29"/>
  <c r="N376" i="29" s="1" a="1"/>
  <c r="N376" i="29" s="1"/>
  <c r="J376" i="29"/>
  <c r="K376" i="29" s="1" a="1"/>
  <c r="K376" i="29" s="1"/>
  <c r="P367" i="29"/>
  <c r="Q367" i="29" s="1" a="1"/>
  <c r="Q367" i="29" s="1"/>
  <c r="M367" i="29"/>
  <c r="N367" i="29" s="1" a="1"/>
  <c r="N367" i="29" s="1"/>
  <c r="G367" i="29"/>
  <c r="H367" i="29" s="1" a="1"/>
  <c r="H367" i="29" s="1"/>
  <c r="J367" i="29"/>
  <c r="K367" i="29" s="1" a="1"/>
  <c r="K367" i="29" s="1"/>
  <c r="M222" i="29"/>
  <c r="N222" i="29" s="1" a="1"/>
  <c r="N222" i="29" s="1"/>
  <c r="J222" i="29"/>
  <c r="K222" i="29" s="1" a="1"/>
  <c r="K222" i="29" s="1"/>
  <c r="P222" i="29"/>
  <c r="Q222" i="29" s="1" a="1"/>
  <c r="Q222" i="29" s="1"/>
  <c r="G222" i="29"/>
  <c r="H222" i="29" s="1" a="1"/>
  <c r="H222" i="29" s="1"/>
  <c r="M302" i="29"/>
  <c r="N302" i="29" s="1" a="1"/>
  <c r="N302" i="29" s="1"/>
  <c r="P302" i="29"/>
  <c r="Q302" i="29" s="1" a="1"/>
  <c r="Q302" i="29" s="1"/>
  <c r="G302" i="29"/>
  <c r="H302" i="29" s="1" a="1"/>
  <c r="H302" i="29" s="1"/>
  <c r="J302" i="29"/>
  <c r="K302" i="29" s="1" a="1"/>
  <c r="K302" i="29" s="1"/>
  <c r="G377" i="29"/>
  <c r="H377" i="29" s="1" a="1"/>
  <c r="H377" i="29" s="1"/>
  <c r="P377" i="29"/>
  <c r="Q377" i="29" s="1" a="1"/>
  <c r="Q377" i="29" s="1"/>
  <c r="M377" i="29"/>
  <c r="N377" i="29" s="1" a="1"/>
  <c r="N377" i="29" s="1"/>
  <c r="J377" i="29"/>
  <c r="K377" i="29" s="1" a="1"/>
  <c r="K377" i="29" s="1"/>
  <c r="J285" i="29"/>
  <c r="K285" i="29" s="1" a="1"/>
  <c r="K285" i="29" s="1"/>
  <c r="M285" i="29"/>
  <c r="N285" i="29" s="1" a="1"/>
  <c r="N285" i="29" s="1"/>
  <c r="P285" i="29"/>
  <c r="Q285" i="29" s="1" a="1"/>
  <c r="Q285" i="29" s="1"/>
  <c r="G285" i="29"/>
  <c r="H285" i="29" s="1" a="1"/>
  <c r="H285" i="29" s="1"/>
  <c r="P219" i="29"/>
  <c r="J219" i="29"/>
  <c r="M219" i="29"/>
  <c r="G219" i="29"/>
  <c r="M211" i="29"/>
  <c r="P211" i="29"/>
  <c r="G211" i="29"/>
  <c r="J211" i="29"/>
  <c r="P297" i="29"/>
  <c r="Q297" i="29" s="1" a="1"/>
  <c r="Q297" i="29" s="1"/>
  <c r="M297" i="29"/>
  <c r="N297" i="29" s="1" a="1"/>
  <c r="N297" i="29" s="1"/>
  <c r="G297" i="29"/>
  <c r="H297" i="29" s="1" a="1"/>
  <c r="H297" i="29" s="1"/>
  <c r="J297" i="29"/>
  <c r="K297" i="29" s="1" a="1"/>
  <c r="K297" i="29" s="1"/>
  <c r="J362" i="29"/>
  <c r="K362" i="29" s="1" a="1"/>
  <c r="K362" i="29" s="1"/>
  <c r="P362" i="29"/>
  <c r="Q362" i="29" s="1" a="1"/>
  <c r="Q362" i="29" s="1"/>
  <c r="L73" i="29" s="1"/>
  <c r="M362" i="29"/>
  <c r="N362" i="29" s="1" a="1"/>
  <c r="N362" i="29" s="1"/>
  <c r="G362" i="29"/>
  <c r="H362" i="29" s="1" a="1"/>
  <c r="H362" i="29" s="1"/>
  <c r="P221" i="29"/>
  <c r="Q221" i="29" s="1" a="1"/>
  <c r="Q221" i="29" s="1"/>
  <c r="M221" i="29"/>
  <c r="N221" i="29" s="1" a="1"/>
  <c r="N221" i="29" s="1"/>
  <c r="J221" i="29"/>
  <c r="K221" i="29" s="1" a="1"/>
  <c r="K221" i="29" s="1"/>
  <c r="G221" i="29"/>
  <c r="H221" i="29" s="1" a="1"/>
  <c r="H221" i="29" s="1"/>
  <c r="J381" i="29"/>
  <c r="K381" i="29" s="1" a="1"/>
  <c r="K381" i="29" s="1"/>
  <c r="G381" i="29"/>
  <c r="H381" i="29" s="1" a="1"/>
  <c r="H381" i="29" s="1"/>
  <c r="P381" i="29"/>
  <c r="Q381" i="29" s="1" a="1"/>
  <c r="Q381" i="29" s="1"/>
  <c r="M381" i="29"/>
  <c r="N381" i="29" s="1" a="1"/>
  <c r="N381" i="29" s="1"/>
  <c r="J373" i="29"/>
  <c r="K373" i="29" s="1" a="1"/>
  <c r="K373" i="29" s="1"/>
  <c r="M373" i="29"/>
  <c r="N373" i="29" s="1" a="1"/>
  <c r="N373" i="29" s="1"/>
  <c r="P373" i="29"/>
  <c r="Q373" i="29" s="1" a="1"/>
  <c r="Q373" i="29" s="1"/>
  <c r="G373" i="29"/>
  <c r="H373" i="29" s="1" a="1"/>
  <c r="H373" i="29" s="1"/>
  <c r="J232" i="29"/>
  <c r="K232" i="29" s="1" a="1"/>
  <c r="K232" i="29" s="1"/>
  <c r="G232" i="29"/>
  <c r="H232" i="29" s="1" a="1"/>
  <c r="H232" i="29" s="1"/>
  <c r="M232" i="29"/>
  <c r="N232" i="29" s="1" a="1"/>
  <c r="N232" i="29" s="1"/>
  <c r="P232" i="29"/>
  <c r="Q232" i="29" s="1" a="1"/>
  <c r="Q232" i="29" s="1"/>
  <c r="J226" i="29"/>
  <c r="K226" i="29" s="1" a="1"/>
  <c r="K226" i="29" s="1"/>
  <c r="P226" i="29"/>
  <c r="Q226" i="29" s="1" a="1"/>
  <c r="Q226" i="29" s="1"/>
  <c r="G226" i="29"/>
  <c r="H226" i="29" s="1" a="1"/>
  <c r="H226" i="29" s="1"/>
  <c r="M226" i="29"/>
  <c r="N226" i="29" s="1" a="1"/>
  <c r="N226" i="29" s="1"/>
  <c r="M210" i="29"/>
  <c r="P210" i="29"/>
  <c r="J210" i="29"/>
  <c r="P177" i="31"/>
  <c r="Q177" i="31" s="1" a="1"/>
  <c r="Q177" i="31" s="1"/>
  <c r="L90" i="31" s="1"/>
  <c r="G177" i="31"/>
  <c r="H177" i="31" s="1" a="1"/>
  <c r="H177" i="31" s="1"/>
  <c r="M177" i="31"/>
  <c r="N177" i="31" s="1" a="1"/>
  <c r="N177" i="31" s="1"/>
  <c r="M90" i="31" s="1"/>
  <c r="J177" i="31"/>
  <c r="K177" i="31" s="1" a="1"/>
  <c r="K177" i="31" s="1"/>
  <c r="P169" i="31"/>
  <c r="Q169" i="31" s="1" a="1"/>
  <c r="Q169" i="31" s="1"/>
  <c r="L82" i="31" s="1"/>
  <c r="G169" i="31"/>
  <c r="H169" i="31" s="1" a="1"/>
  <c r="H169" i="31" s="1"/>
  <c r="M169" i="31"/>
  <c r="N169" i="31" s="1" a="1"/>
  <c r="N169" i="31" s="1"/>
  <c r="M82" i="31" s="1"/>
  <c r="J169" i="31"/>
  <c r="K169" i="31" s="1" a="1"/>
  <c r="K169" i="31" s="1"/>
  <c r="J159" i="31"/>
  <c r="P159" i="31"/>
  <c r="G159" i="31"/>
  <c r="M159" i="31"/>
  <c r="G185" i="31"/>
  <c r="M185" i="31"/>
  <c r="J185" i="31"/>
  <c r="P185" i="31"/>
  <c r="J181" i="31"/>
  <c r="K181" i="31" s="1" a="1"/>
  <c r="K181" i="31" s="1"/>
  <c r="P181" i="31"/>
  <c r="Q181" i="31" s="1" a="1"/>
  <c r="Q181" i="31" s="1"/>
  <c r="L96" i="31" s="1"/>
  <c r="G181" i="31"/>
  <c r="H181" i="31" s="1" a="1"/>
  <c r="H181" i="31" s="1"/>
  <c r="M181" i="31"/>
  <c r="N181" i="31" s="1" a="1"/>
  <c r="N181" i="31" s="1"/>
  <c r="M96" i="31" s="1"/>
  <c r="J178" i="31"/>
  <c r="P178" i="31"/>
  <c r="Q178" i="31" s="1" a="1"/>
  <c r="Q178" i="31" s="1"/>
  <c r="L91" i="31" s="1"/>
  <c r="G178" i="31"/>
  <c r="H178" i="31" s="1" a="1"/>
  <c r="H178" i="31" s="1"/>
  <c r="M178" i="31"/>
  <c r="G162" i="31"/>
  <c r="H162" i="31" s="1" a="1"/>
  <c r="H162" i="31" s="1"/>
  <c r="M162" i="31"/>
  <c r="J162" i="31"/>
  <c r="K162" i="31" s="1" a="1"/>
  <c r="K162" i="31" s="1"/>
  <c r="P162" i="31"/>
  <c r="J325" i="31"/>
  <c r="G325" i="31"/>
  <c r="P325" i="31"/>
  <c r="M325" i="31"/>
  <c r="P164" i="31"/>
  <c r="G164" i="31"/>
  <c r="H164" i="31" s="1" a="1"/>
  <c r="H164" i="31" s="1"/>
  <c r="M164" i="31"/>
  <c r="J164" i="31"/>
  <c r="K164" i="31" s="1" a="1"/>
  <c r="K164" i="31" s="1"/>
  <c r="P229" i="31"/>
  <c r="G229" i="31"/>
  <c r="H229" i="31" s="1" a="1"/>
  <c r="H229" i="31" s="1"/>
  <c r="M229" i="31"/>
  <c r="J229" i="31"/>
  <c r="K229" i="31" s="1" a="1"/>
  <c r="K229" i="31" s="1"/>
  <c r="P173" i="31"/>
  <c r="Q173" i="31" s="1" a="1"/>
  <c r="Q173" i="31" s="1"/>
  <c r="L86" i="31" s="1"/>
  <c r="G173" i="31"/>
  <c r="H173" i="31" s="1" a="1"/>
  <c r="H173" i="31" s="1"/>
  <c r="M173" i="31"/>
  <c r="N173" i="31" s="1" a="1"/>
  <c r="N173" i="31" s="1"/>
  <c r="M86" i="31" s="1"/>
  <c r="J173" i="31"/>
  <c r="K173" i="31" s="1" a="1"/>
  <c r="K173" i="31" s="1"/>
  <c r="J184" i="31"/>
  <c r="K184" i="31" s="1" a="1"/>
  <c r="K184" i="31" s="1"/>
  <c r="P184" i="31"/>
  <c r="Q184" i="31" s="1" a="1"/>
  <c r="Q184" i="31" s="1"/>
  <c r="L99" i="31" s="1"/>
  <c r="G184" i="31"/>
  <c r="H184" i="31" s="1" a="1"/>
  <c r="H184" i="31" s="1"/>
  <c r="M184" i="31"/>
  <c r="N184" i="31" s="1" a="1"/>
  <c r="N184" i="31" s="1"/>
  <c r="M99" i="31" s="1"/>
  <c r="M160" i="31"/>
  <c r="J160" i="31"/>
  <c r="P160" i="31"/>
  <c r="G160" i="31"/>
  <c r="J167" i="31"/>
  <c r="K167" i="31" s="1" a="1"/>
  <c r="K167" i="31" s="1"/>
  <c r="P167" i="31"/>
  <c r="Q167" i="31" s="1" a="1"/>
  <c r="Q167" i="31" s="1"/>
  <c r="L80" i="31" s="1"/>
  <c r="G167" i="31"/>
  <c r="H167" i="31" s="1" a="1"/>
  <c r="H167" i="31" s="1"/>
  <c r="M167" i="31"/>
  <c r="N167" i="31" s="1" a="1"/>
  <c r="N167" i="31" s="1"/>
  <c r="M80" i="31" s="1"/>
  <c r="P233" i="31"/>
  <c r="Q233" i="31" s="1" a="1"/>
  <c r="Q233" i="31" s="1"/>
  <c r="L76" i="31" s="1"/>
  <c r="G233" i="31"/>
  <c r="H233" i="31" s="1" a="1"/>
  <c r="H233" i="31" s="1"/>
  <c r="M233" i="31"/>
  <c r="N233" i="31" s="1" a="1"/>
  <c r="N233" i="31" s="1"/>
  <c r="M76" i="31" s="1"/>
  <c r="J233" i="31"/>
  <c r="K233" i="31" s="1" a="1"/>
  <c r="K233" i="31" s="1"/>
  <c r="J186" i="31"/>
  <c r="P186" i="31"/>
  <c r="Q186" i="31" s="1" a="1"/>
  <c r="Q186" i="31" s="1"/>
  <c r="L101" i="31" s="1"/>
  <c r="G186" i="31"/>
  <c r="M186" i="31"/>
  <c r="N186" i="31" s="1" a="1"/>
  <c r="N186" i="31" s="1"/>
  <c r="M101" i="31" s="1"/>
  <c r="M236" i="31"/>
  <c r="N236" i="31" s="1" a="1"/>
  <c r="N236" i="31" s="1"/>
  <c r="M79" i="31" s="1"/>
  <c r="J236" i="31"/>
  <c r="K236" i="31" s="1" a="1"/>
  <c r="K236" i="31" s="1"/>
  <c r="P236" i="31"/>
  <c r="Q236" i="31" s="1" a="1"/>
  <c r="Q236" i="31" s="1"/>
  <c r="L79" i="31" s="1"/>
  <c r="G236" i="31"/>
  <c r="H236" i="31" s="1" a="1"/>
  <c r="H236" i="31" s="1"/>
  <c r="P183" i="31"/>
  <c r="Q183" i="31" s="1" a="1"/>
  <c r="Q183" i="31" s="1"/>
  <c r="L98" i="31" s="1"/>
  <c r="G183" i="31"/>
  <c r="H183" i="31" s="1" a="1"/>
  <c r="H183" i="31" s="1"/>
  <c r="M183" i="31"/>
  <c r="N183" i="31" s="1" a="1"/>
  <c r="N183" i="31" s="1"/>
  <c r="M98" i="31" s="1"/>
  <c r="J183" i="31"/>
  <c r="K183" i="31" s="1" a="1"/>
  <c r="K183" i="31" s="1"/>
  <c r="M248" i="31"/>
  <c r="N248" i="31" s="1" a="1"/>
  <c r="N248" i="31" s="1"/>
  <c r="M92" i="31" s="1"/>
  <c r="J248" i="31"/>
  <c r="K248" i="31" s="1" a="1"/>
  <c r="K248" i="31" s="1"/>
  <c r="P248" i="31"/>
  <c r="Q248" i="31" s="1" a="1"/>
  <c r="Q248" i="31" s="1"/>
  <c r="L92" i="31" s="1"/>
  <c r="G248" i="31"/>
  <c r="H248" i="31" s="1" a="1"/>
  <c r="H248" i="31" s="1"/>
  <c r="M176" i="31"/>
  <c r="N176" i="31" s="1" a="1"/>
  <c r="N176" i="31" s="1"/>
  <c r="M89" i="31" s="1"/>
  <c r="J176" i="31"/>
  <c r="K176" i="31" s="1" a="1"/>
  <c r="K176" i="31" s="1"/>
  <c r="P176" i="31"/>
  <c r="Q176" i="31" s="1" a="1"/>
  <c r="Q176" i="31" s="1"/>
  <c r="L89" i="31" s="1"/>
  <c r="G176" i="31"/>
  <c r="H176" i="31" s="1" a="1"/>
  <c r="H176" i="31" s="1"/>
  <c r="P311" i="31"/>
  <c r="J311" i="31"/>
  <c r="K311" i="31" s="1" a="1"/>
  <c r="K311" i="31" s="1"/>
  <c r="M311" i="31"/>
  <c r="N311" i="31" s="1" a="1"/>
  <c r="N311" i="31" s="1"/>
  <c r="G311" i="31"/>
  <c r="H311" i="31" s="1" a="1"/>
  <c r="H311" i="31" s="1"/>
  <c r="M171" i="31"/>
  <c r="N171" i="31" s="1" a="1"/>
  <c r="N171" i="31" s="1"/>
  <c r="M84" i="31" s="1"/>
  <c r="J171" i="31"/>
  <c r="K171" i="31" s="1" a="1"/>
  <c r="K171" i="31" s="1"/>
  <c r="P171" i="31"/>
  <c r="Q171" i="31" s="1" a="1"/>
  <c r="Q171" i="31" s="1"/>
  <c r="L84" i="31" s="1"/>
  <c r="G171" i="31"/>
  <c r="H171" i="31" s="1" a="1"/>
  <c r="H171" i="31" s="1"/>
  <c r="M168" i="31"/>
  <c r="J168" i="31"/>
  <c r="P168" i="31"/>
  <c r="G168" i="31"/>
  <c r="P180" i="31"/>
  <c r="G180" i="31"/>
  <c r="M180" i="31"/>
  <c r="J180" i="31"/>
  <c r="G231" i="31"/>
  <c r="H231" i="31" s="1" a="1"/>
  <c r="H231" i="31" s="1"/>
  <c r="M231" i="31"/>
  <c r="J231" i="31"/>
  <c r="K231" i="31" s="1" a="1"/>
  <c r="K231" i="31" s="1"/>
  <c r="P231" i="31"/>
  <c r="J230" i="31"/>
  <c r="K230" i="31" s="1" a="1"/>
  <c r="K230" i="31" s="1"/>
  <c r="P230" i="31"/>
  <c r="G230" i="31"/>
  <c r="H230" i="31" s="1" a="1"/>
  <c r="H230" i="31" s="1"/>
  <c r="M230" i="31"/>
  <c r="J175" i="31"/>
  <c r="K175" i="31" s="1" a="1"/>
  <c r="K175" i="31" s="1"/>
  <c r="P175" i="31"/>
  <c r="Q175" i="31" s="1" a="1"/>
  <c r="Q175" i="31" s="1"/>
  <c r="L88" i="31" s="1"/>
  <c r="G175" i="31"/>
  <c r="H175" i="31" s="1" a="1"/>
  <c r="H175" i="31" s="1"/>
  <c r="M175" i="31"/>
  <c r="N175" i="31" s="1" a="1"/>
  <c r="N175" i="31" s="1"/>
  <c r="M88" i="31" s="1"/>
  <c r="M179" i="31"/>
  <c r="J179" i="31"/>
  <c r="P179" i="31"/>
  <c r="G179" i="31"/>
  <c r="J235" i="31"/>
  <c r="K235" i="31" s="1" a="1"/>
  <c r="K235" i="31" s="1"/>
  <c r="P235" i="31"/>
  <c r="Q235" i="31" s="1" a="1"/>
  <c r="Q235" i="31" s="1"/>
  <c r="L78" i="31" s="1"/>
  <c r="G235" i="31"/>
  <c r="H235" i="31" s="1" a="1"/>
  <c r="H235" i="31" s="1"/>
  <c r="M235" i="31"/>
  <c r="N235" i="31" s="1" a="1"/>
  <c r="N235" i="31" s="1"/>
  <c r="M78" i="31" s="1"/>
  <c r="P250" i="31"/>
  <c r="Q250" i="31" s="1" a="1"/>
  <c r="Q250" i="31" s="1"/>
  <c r="L95" i="31" s="1"/>
  <c r="G250" i="31"/>
  <c r="H250" i="31" s="1" a="1"/>
  <c r="H250" i="31" s="1"/>
  <c r="M250" i="31"/>
  <c r="N250" i="31" s="1" a="1"/>
  <c r="N250" i="31" s="1"/>
  <c r="M95" i="31" s="1"/>
  <c r="J250" i="31"/>
  <c r="K250" i="31" s="1" a="1"/>
  <c r="K250" i="31" s="1"/>
  <c r="J170" i="31"/>
  <c r="K170" i="31" s="1" a="1"/>
  <c r="K170" i="31" s="1"/>
  <c r="P170" i="31"/>
  <c r="Q170" i="31" s="1" a="1"/>
  <c r="Q170" i="31" s="1"/>
  <c r="L83" i="31" s="1"/>
  <c r="G170" i="31"/>
  <c r="H170" i="31" s="1" a="1"/>
  <c r="H170" i="31" s="1"/>
  <c r="M170" i="31"/>
  <c r="N170" i="31" s="1" a="1"/>
  <c r="N170" i="31" s="1"/>
  <c r="M83" i="31" s="1"/>
  <c r="M182" i="31"/>
  <c r="J182" i="31"/>
  <c r="P182" i="31"/>
  <c r="G182" i="31"/>
  <c r="P323" i="31"/>
  <c r="Q323" i="31" s="1" a="1"/>
  <c r="Q323" i="31" s="1"/>
  <c r="L85" i="31" s="1"/>
  <c r="G323" i="31"/>
  <c r="H323" i="31" s="1" a="1"/>
  <c r="H323" i="31" s="1"/>
  <c r="M323" i="31"/>
  <c r="N323" i="31" s="1" a="1"/>
  <c r="N323" i="31" s="1"/>
  <c r="J323" i="31"/>
  <c r="K323" i="31" s="1" a="1"/>
  <c r="K323" i="31" s="1"/>
  <c r="G280" i="29"/>
  <c r="H280" i="29" s="1" a="1"/>
  <c r="H280" i="29" s="1"/>
  <c r="P280" i="29"/>
  <c r="Q280" i="29" s="1" a="1"/>
  <c r="Q280" i="29" s="1"/>
  <c r="L71" i="29" s="1"/>
  <c r="J280" i="29"/>
  <c r="K280" i="29" s="1" a="1"/>
  <c r="K280" i="29" s="1"/>
  <c r="M280" i="29"/>
  <c r="R70" i="27"/>
  <c r="M70" i="27"/>
  <c r="I70" i="27"/>
  <c r="R69" i="27"/>
  <c r="M69" i="27"/>
  <c r="R68" i="27"/>
  <c r="M68" i="27"/>
  <c r="I69" i="27"/>
  <c r="I68" i="27"/>
  <c r="R67" i="27"/>
  <c r="M67" i="27"/>
  <c r="R66" i="27"/>
  <c r="M66" i="27"/>
  <c r="I67" i="27"/>
  <c r="I66" i="27"/>
  <c r="R65" i="27"/>
  <c r="M65" i="27"/>
  <c r="I65" i="27"/>
  <c r="R64" i="27"/>
  <c r="M64" i="27"/>
  <c r="I64" i="27"/>
  <c r="R63" i="27"/>
  <c r="M63" i="27"/>
  <c r="I63" i="27"/>
  <c r="R62" i="27"/>
  <c r="M62" i="27"/>
  <c r="I62" i="27"/>
  <c r="M85" i="18"/>
  <c r="I85" i="18"/>
  <c r="M52" i="27" a="1"/>
  <c r="M52" i="27" s="1"/>
  <c r="M53" i="27"/>
  <c r="Q43" i="27"/>
  <c r="R61" i="27" s="1"/>
  <c r="L43" i="27"/>
  <c r="M61" i="27" s="1"/>
  <c r="H43" i="27"/>
  <c r="R33" i="27"/>
  <c r="E33" i="27"/>
  <c r="R32" i="27"/>
  <c r="E32" i="27"/>
  <c r="R31" i="27"/>
  <c r="E31" i="27"/>
  <c r="R30" i="27"/>
  <c r="E30" i="27"/>
  <c r="R29" i="27"/>
  <c r="E29" i="27"/>
  <c r="H16" i="27" a="1"/>
  <c r="H16" i="27" s="1"/>
  <c r="H15" i="27" a="1"/>
  <c r="H15" i="27" s="1"/>
  <c r="H14" i="27" a="1"/>
  <c r="H14" i="27" s="1"/>
  <c r="D14" i="27"/>
  <c r="H13" i="27" a="1"/>
  <c r="H13" i="27" s="1"/>
  <c r="D13" i="27"/>
  <c r="H12" i="27"/>
  <c r="H8" i="27"/>
  <c r="F7" i="27"/>
  <c r="F6" i="27"/>
  <c r="D1" i="27"/>
  <c r="AC26" i="9"/>
  <c r="AC31" i="9"/>
  <c r="AC35" i="9"/>
  <c r="AC43" i="9"/>
  <c r="K81" i="18" a="1"/>
  <c r="K81" i="18" s="1"/>
  <c r="I388" i="29" l="1"/>
  <c r="F388" i="29"/>
  <c r="L387" i="29"/>
  <c r="I387" i="29"/>
  <c r="O387" i="29"/>
  <c r="F387" i="29"/>
  <c r="L388" i="29"/>
  <c r="K83" i="29"/>
  <c r="J77" i="29"/>
  <c r="K77" i="29"/>
  <c r="F385" i="29"/>
  <c r="O388" i="29"/>
  <c r="I385" i="29"/>
  <c r="H83" i="29"/>
  <c r="L385" i="29"/>
  <c r="O385" i="29"/>
  <c r="N229" i="31" a="1"/>
  <c r="N229" i="31" s="1"/>
  <c r="M70" i="31" s="1"/>
  <c r="N230" i="31" a="1"/>
  <c r="N230" i="31" s="1"/>
  <c r="M73" i="31" s="1"/>
  <c r="Q229" i="31" a="1"/>
  <c r="Q229" i="31" s="1"/>
  <c r="L70" i="31" s="1"/>
  <c r="Q230" i="31" a="1"/>
  <c r="Q230" i="31" s="1"/>
  <c r="L73" i="31" s="1"/>
  <c r="Q231" i="31" a="1"/>
  <c r="Q231" i="31" s="1"/>
  <c r="L74" i="31" s="1"/>
  <c r="L75" i="31"/>
  <c r="Q162" i="31" a="1"/>
  <c r="Q162" i="31" s="1"/>
  <c r="M77" i="31"/>
  <c r="N164" i="31" a="1"/>
  <c r="N164" i="31" s="1"/>
  <c r="N231" i="31" a="1"/>
  <c r="N231" i="31" s="1"/>
  <c r="M74" i="31" s="1"/>
  <c r="N162" i="31" a="1"/>
  <c r="N162" i="31" s="1"/>
  <c r="M75" i="31" s="1"/>
  <c r="Q311" i="31" a="1"/>
  <c r="Q311" i="31" s="1"/>
  <c r="L72" i="31" s="1"/>
  <c r="L77" i="31"/>
  <c r="Q164" i="31" a="1"/>
  <c r="Q164" i="31" s="1"/>
  <c r="J95" i="31"/>
  <c r="H95" i="31"/>
  <c r="I84" i="31"/>
  <c r="K84" i="31"/>
  <c r="K89" i="31"/>
  <c r="I89" i="31"/>
  <c r="J98" i="31"/>
  <c r="H98" i="31"/>
  <c r="H70" i="31"/>
  <c r="J70" i="31"/>
  <c r="J82" i="31"/>
  <c r="H82" i="31"/>
  <c r="K73" i="31"/>
  <c r="I73" i="31"/>
  <c r="K80" i="31"/>
  <c r="I80" i="31"/>
  <c r="K99" i="31"/>
  <c r="I99" i="31"/>
  <c r="K91" i="31"/>
  <c r="I91" i="31"/>
  <c r="H84" i="31"/>
  <c r="J84" i="31"/>
  <c r="J80" i="31"/>
  <c r="H80" i="31"/>
  <c r="K72" i="31"/>
  <c r="I72" i="31"/>
  <c r="M72" i="31"/>
  <c r="I92" i="31"/>
  <c r="K92" i="31"/>
  <c r="K79" i="31"/>
  <c r="I79" i="31"/>
  <c r="H76" i="31"/>
  <c r="J76" i="31"/>
  <c r="J86" i="31"/>
  <c r="H86" i="31"/>
  <c r="J77" i="31"/>
  <c r="H77" i="31"/>
  <c r="J90" i="31"/>
  <c r="H90" i="31"/>
  <c r="K98" i="31"/>
  <c r="I98" i="31"/>
  <c r="J73" i="31"/>
  <c r="H73" i="31"/>
  <c r="H99" i="31"/>
  <c r="J99" i="31"/>
  <c r="K83" i="31"/>
  <c r="I83" i="31"/>
  <c r="K78" i="31"/>
  <c r="I78" i="31"/>
  <c r="K88" i="31"/>
  <c r="I88" i="31"/>
  <c r="H74" i="31"/>
  <c r="J74" i="31"/>
  <c r="H75" i="31"/>
  <c r="J75" i="31"/>
  <c r="K96" i="31"/>
  <c r="I96" i="31"/>
  <c r="K95" i="31"/>
  <c r="I95" i="31"/>
  <c r="J89" i="31"/>
  <c r="H89" i="31"/>
  <c r="K82" i="31"/>
  <c r="I82" i="31"/>
  <c r="J85" i="31"/>
  <c r="H85" i="31"/>
  <c r="I85" i="31"/>
  <c r="M85" i="31"/>
  <c r="K85" i="31"/>
  <c r="J72" i="31"/>
  <c r="H72" i="31"/>
  <c r="H92" i="31"/>
  <c r="J92" i="31"/>
  <c r="J79" i="31"/>
  <c r="H79" i="31"/>
  <c r="I76" i="31"/>
  <c r="K76" i="31"/>
  <c r="K86" i="31"/>
  <c r="I86" i="31"/>
  <c r="I77" i="31"/>
  <c r="K77" i="31"/>
  <c r="K90" i="31"/>
  <c r="I90" i="31"/>
  <c r="I70" i="31"/>
  <c r="K70" i="31"/>
  <c r="H83" i="31"/>
  <c r="J83" i="31"/>
  <c r="J78" i="31"/>
  <c r="H78" i="31"/>
  <c r="J88" i="31"/>
  <c r="H88" i="31"/>
  <c r="K74" i="31"/>
  <c r="I74" i="31"/>
  <c r="K75" i="31"/>
  <c r="I75" i="31"/>
  <c r="J96" i="31"/>
  <c r="H96" i="31"/>
  <c r="N280" i="29" a="1"/>
  <c r="N280" i="29" s="1"/>
  <c r="M71" i="29" s="1"/>
  <c r="J73" i="29"/>
  <c r="H73" i="29"/>
  <c r="H74" i="29"/>
  <c r="J74" i="29"/>
  <c r="K74" i="29"/>
  <c r="I74" i="29"/>
  <c r="K73" i="29"/>
  <c r="M73" i="29"/>
  <c r="I73" i="29"/>
  <c r="H71" i="29"/>
  <c r="J71" i="29"/>
  <c r="H78" i="29"/>
  <c r="J78" i="29"/>
  <c r="H84" i="29"/>
  <c r="J84" i="29"/>
  <c r="I71" i="29"/>
  <c r="K71" i="29"/>
  <c r="I78" i="29"/>
  <c r="K78" i="29"/>
  <c r="I84" i="29"/>
  <c r="K84" i="29"/>
  <c r="I61" i="27"/>
  <c r="M78" i="26" l="1"/>
  <c r="K81" i="26" a="1"/>
  <c r="K81" i="26" s="1"/>
  <c r="H15" i="26" a="1"/>
  <c r="H15" i="26" s="1"/>
  <c r="AH22" i="10" l="1" a="1"/>
  <c r="AH22" i="10" s="1"/>
  <c r="AH21" i="10" a="1"/>
  <c r="AH21" i="10" s="1"/>
  <c r="AH20" i="10" a="1"/>
  <c r="AH20" i="10" s="1"/>
  <c r="AH19" i="10" a="1"/>
  <c r="AH19" i="10" s="1"/>
  <c r="AH18" i="10" a="1"/>
  <c r="AH18" i="10" s="1"/>
  <c r="AH17" i="10" a="1"/>
  <c r="AH17" i="10" s="1"/>
  <c r="AH16" i="10" a="1"/>
  <c r="AH16" i="10" s="1"/>
  <c r="AH15" i="10" a="1"/>
  <c r="AH15" i="10" s="1"/>
  <c r="AH14" i="10" a="1"/>
  <c r="AH14" i="10" s="1"/>
  <c r="AH13" i="10" a="1"/>
  <c r="AH13" i="10" s="1"/>
  <c r="AH12" i="10" a="1"/>
  <c r="AH12" i="10" s="1"/>
  <c r="AH11" i="10" a="1"/>
  <c r="AH11" i="10" s="1"/>
  <c r="AE12" i="10" a="1"/>
  <c r="AE12" i="10" s="1"/>
  <c r="AE13" i="10" a="1"/>
  <c r="AE13" i="10" s="1"/>
  <c r="AE14" i="10" a="1"/>
  <c r="AE14" i="10" s="1"/>
  <c r="AE15" i="10" a="1"/>
  <c r="AE15" i="10" s="1"/>
  <c r="AE16" i="10" a="1"/>
  <c r="AE16" i="10" s="1"/>
  <c r="AE17" i="10" a="1"/>
  <c r="AE17" i="10" s="1"/>
  <c r="AE18" i="10" a="1"/>
  <c r="AE18" i="10" s="1"/>
  <c r="AE19" i="10" a="1"/>
  <c r="AE19" i="10" s="1"/>
  <c r="AE20" i="10" a="1"/>
  <c r="AE20" i="10" s="1"/>
  <c r="AE21" i="10" a="1"/>
  <c r="AE21" i="10" s="1"/>
  <c r="AE22" i="10" a="1"/>
  <c r="AE22" i="10" s="1"/>
  <c r="AE11" i="10" a="1"/>
  <c r="AE11" i="10" s="1"/>
  <c r="D1" i="26" l="1"/>
  <c r="R43" i="26"/>
  <c r="E43" i="26"/>
  <c r="R42" i="26"/>
  <c r="E42" i="26"/>
  <c r="R41" i="26"/>
  <c r="E41" i="26"/>
  <c r="R40" i="26"/>
  <c r="R39" i="26"/>
  <c r="E40" i="26"/>
  <c r="E39" i="26"/>
  <c r="D14" i="26" l="1"/>
  <c r="D13" i="26"/>
  <c r="H16" i="26" a="1"/>
  <c r="H16" i="26" s="1"/>
  <c r="H16" i="18" a="1"/>
  <c r="H16" i="18" s="1"/>
  <c r="H14" i="26" a="1"/>
  <c r="H14" i="26" s="1"/>
  <c r="H13" i="26" a="1"/>
  <c r="H13" i="26" s="1"/>
  <c r="H12" i="26"/>
  <c r="U74" i="26"/>
  <c r="T74" i="26"/>
  <c r="S74" i="26"/>
  <c r="R74" i="26"/>
  <c r="Q74" i="26"/>
  <c r="O74" i="26"/>
  <c r="N74" i="26"/>
  <c r="M74" i="26"/>
  <c r="L74" i="26"/>
  <c r="K74" i="26"/>
  <c r="J74" i="26"/>
  <c r="I74" i="26"/>
  <c r="R71" i="26"/>
  <c r="M71" i="26"/>
  <c r="I71" i="26"/>
  <c r="R53" i="26"/>
  <c r="M53" i="26"/>
  <c r="I53" i="26"/>
  <c r="T33" i="26"/>
  <c r="O33" i="26"/>
  <c r="T32" i="26"/>
  <c r="O32" i="26"/>
  <c r="T31" i="26"/>
  <c r="O31" i="26"/>
  <c r="T30" i="26"/>
  <c r="R30" i="26"/>
  <c r="O30" i="26"/>
  <c r="M30" i="26"/>
  <c r="I30" i="26"/>
  <c r="T29" i="26"/>
  <c r="R29" i="26"/>
  <c r="O29" i="26"/>
  <c r="M29" i="26"/>
  <c r="I29" i="26"/>
  <c r="T28" i="26"/>
  <c r="R28" i="26"/>
  <c r="O28" i="26"/>
  <c r="M28" i="26"/>
  <c r="I28" i="26"/>
  <c r="H8" i="26"/>
  <c r="F7" i="26"/>
  <c r="F6" i="26"/>
  <c r="R30" i="18"/>
  <c r="M30" i="18"/>
  <c r="I30" i="18"/>
  <c r="AH59" i="10" a="1"/>
  <c r="AH59" i="10" s="1"/>
  <c r="AH58" i="10" a="1"/>
  <c r="AH58" i="10" s="1"/>
  <c r="AH55" i="10" a="1"/>
  <c r="AH55" i="10" s="1"/>
  <c r="AH54" i="10" a="1"/>
  <c r="AH54" i="10" s="1"/>
  <c r="AH51" i="10" a="1"/>
  <c r="AH51" i="10" s="1"/>
  <c r="AH50" i="10" a="1"/>
  <c r="AH50" i="10" s="1"/>
  <c r="AE59" i="10" a="1"/>
  <c r="AE59" i="10" s="1"/>
  <c r="AE58" i="10" a="1"/>
  <c r="AE58" i="10" s="1"/>
  <c r="AE55" i="10" a="1"/>
  <c r="AE55" i="10" s="1"/>
  <c r="AE54" i="10" a="1"/>
  <c r="AE54" i="10" s="1"/>
  <c r="AE51" i="10" a="1"/>
  <c r="AE51" i="10" s="1"/>
  <c r="AE50" i="10" a="1"/>
  <c r="AE50" i="10" s="1"/>
  <c r="I97" i="26" l="1"/>
  <c r="I84" i="26"/>
  <c r="M97" i="26"/>
  <c r="M84" i="26"/>
  <c r="R97" i="26"/>
  <c r="R84" i="26"/>
  <c r="M27" i="26"/>
  <c r="I27" i="26"/>
  <c r="R27" i="26"/>
  <c r="AQ27" i="16" l="1"/>
  <c r="AM1" i="16"/>
  <c r="AM2" i="16"/>
  <c r="AM3" i="16"/>
  <c r="AM4" i="16"/>
  <c r="AM5" i="16"/>
  <c r="AM6" i="16"/>
  <c r="AM7" i="16"/>
  <c r="AM8" i="16"/>
  <c r="AM9" i="16"/>
  <c r="AM10" i="16"/>
  <c r="AM11" i="16"/>
  <c r="AM12" i="16"/>
  <c r="AM13" i="16"/>
  <c r="AM14" i="16"/>
  <c r="AM15" i="16"/>
  <c r="AM19" i="16"/>
  <c r="AM20" i="16"/>
  <c r="AM21" i="16"/>
  <c r="AM22" i="16"/>
  <c r="AM23" i="16"/>
  <c r="AM24" i="16"/>
  <c r="AM25" i="16"/>
  <c r="AM26" i="16"/>
  <c r="AM27" i="16"/>
  <c r="AM28" i="16"/>
  <c r="AM30" i="16"/>
  <c r="AQ1" i="16"/>
  <c r="AQ2" i="16"/>
  <c r="AQ3" i="16"/>
  <c r="AQ4" i="16"/>
  <c r="AQ5" i="16"/>
  <c r="AQ6" i="16"/>
  <c r="AQ7" i="16"/>
  <c r="AQ8" i="16"/>
  <c r="AQ9" i="16"/>
  <c r="AQ10" i="16"/>
  <c r="AQ11" i="16"/>
  <c r="AQ12" i="16"/>
  <c r="AQ13" i="16"/>
  <c r="AQ14" i="16"/>
  <c r="AQ15" i="16"/>
  <c r="AQ17" i="16"/>
  <c r="AQ18" i="16"/>
  <c r="AQ19" i="16"/>
  <c r="AQ20" i="16"/>
  <c r="AQ21" i="16"/>
  <c r="AQ22" i="16"/>
  <c r="AQ23" i="16"/>
  <c r="AQ25" i="16"/>
  <c r="E43" i="18" l="1"/>
  <c r="AP11" i="16"/>
  <c r="AO11" i="16"/>
  <c r="AL14" i="16"/>
  <c r="AK14" i="16"/>
  <c r="AL29" i="16"/>
  <c r="AK29" i="16"/>
  <c r="AP26" i="16"/>
  <c r="AO26" i="16"/>
  <c r="R43" i="18"/>
  <c r="AP21" i="16"/>
  <c r="AP24" i="16"/>
  <c r="AO21" i="16"/>
  <c r="AL27" i="16"/>
  <c r="AK27" i="16"/>
  <c r="AO24" i="16"/>
  <c r="AL24" i="16"/>
  <c r="AK24" i="16"/>
  <c r="AL21" i="16"/>
  <c r="AK21" i="16"/>
  <c r="E40" i="18"/>
  <c r="AP9" i="16"/>
  <c r="AO9" i="16"/>
  <c r="AP6" i="16"/>
  <c r="AO6" i="16"/>
  <c r="AL12" i="16"/>
  <c r="AK12" i="16"/>
  <c r="AL9" i="16"/>
  <c r="AK9" i="16"/>
  <c r="AL6" i="16"/>
  <c r="AK6" i="16"/>
  <c r="AK52" i="16"/>
  <c r="AJ52" i="16"/>
  <c r="E4" i="22"/>
  <c r="H15" i="18" a="1"/>
  <c r="H15" i="18" s="1"/>
  <c r="E42" i="18" l="1"/>
  <c r="E41" i="18"/>
  <c r="R40" i="18"/>
  <c r="R41" i="18"/>
  <c r="R42" i="18"/>
  <c r="N8" i="20" a="1"/>
  <c r="N8" i="20" s="1"/>
  <c r="F20" i="20" a="1"/>
  <c r="F20" i="20" s="1"/>
  <c r="F8" i="20" a="1"/>
  <c r="F8" i="20" s="1"/>
  <c r="AG38" i="16" l="1"/>
  <c r="AG37" i="16"/>
  <c r="AG33" i="16"/>
  <c r="AE41" i="16"/>
  <c r="AE40" i="16"/>
  <c r="AF36" i="16"/>
  <c r="AF35" i="16"/>
  <c r="AF34" i="16"/>
  <c r="AF33" i="16"/>
  <c r="AE38" i="16"/>
  <c r="AE33" i="16"/>
  <c r="AA32" i="16"/>
  <c r="H14" i="18" a="1"/>
  <c r="H14" i="18" s="1"/>
  <c r="H13" i="18" a="1"/>
  <c r="H13" i="18" s="1"/>
  <c r="E39" i="18"/>
  <c r="R39" i="18"/>
  <c r="U74" i="18"/>
  <c r="T74" i="18"/>
  <c r="S74" i="18"/>
  <c r="R74" i="18"/>
  <c r="Q74" i="18"/>
  <c r="O74" i="18"/>
  <c r="N74" i="18"/>
  <c r="M74" i="18"/>
  <c r="L74" i="18"/>
  <c r="K74" i="18"/>
  <c r="J74" i="18"/>
  <c r="I74" i="18"/>
  <c r="E4" i="24"/>
  <c r="F4" i="24" s="1"/>
  <c r="B70" i="19"/>
  <c r="B67" i="19"/>
  <c r="L18" i="24" a="1"/>
  <c r="L18" i="24" s="1"/>
  <c r="K20" i="24" s="1"/>
  <c r="E5" i="24" a="1"/>
  <c r="E5" i="24" s="1"/>
  <c r="S2" i="16" a="1"/>
  <c r="T3" i="16" l="1"/>
  <c r="T11" i="16"/>
  <c r="T19" i="16"/>
  <c r="T27" i="16"/>
  <c r="T35" i="16"/>
  <c r="T43" i="16"/>
  <c r="T51" i="16"/>
  <c r="T59" i="16"/>
  <c r="T67" i="16"/>
  <c r="T75" i="16"/>
  <c r="T83" i="16"/>
  <c r="T91" i="16"/>
  <c r="T99" i="16"/>
  <c r="T107" i="16"/>
  <c r="T115" i="16"/>
  <c r="T123" i="16"/>
  <c r="T131" i="16"/>
  <c r="T139" i="16"/>
  <c r="T147" i="16"/>
  <c r="T155" i="16"/>
  <c r="T163" i="16"/>
  <c r="T171" i="16"/>
  <c r="T179" i="16"/>
  <c r="T187" i="16"/>
  <c r="T195" i="16"/>
  <c r="T203" i="16"/>
  <c r="T211" i="16"/>
  <c r="T219" i="16"/>
  <c r="T140" i="16"/>
  <c r="T164" i="16"/>
  <c r="T188" i="16"/>
  <c r="T204" i="16"/>
  <c r="T220" i="16"/>
  <c r="T213" i="16"/>
  <c r="T186" i="16"/>
  <c r="T4" i="16"/>
  <c r="T12" i="16"/>
  <c r="T20" i="16"/>
  <c r="T28" i="16"/>
  <c r="T36" i="16"/>
  <c r="T44" i="16"/>
  <c r="T52" i="16"/>
  <c r="T60" i="16"/>
  <c r="T68" i="16"/>
  <c r="T76" i="16"/>
  <c r="T84" i="16"/>
  <c r="T92" i="16"/>
  <c r="T100" i="16"/>
  <c r="T108" i="16"/>
  <c r="T116" i="16"/>
  <c r="T124" i="16"/>
  <c r="T132" i="16"/>
  <c r="T148" i="16"/>
  <c r="T156" i="16"/>
  <c r="T172" i="16"/>
  <c r="T180" i="16"/>
  <c r="T196" i="16"/>
  <c r="T212" i="16"/>
  <c r="T205" i="16"/>
  <c r="T154" i="16"/>
  <c r="T202" i="16"/>
  <c r="T5" i="16"/>
  <c r="T13" i="16"/>
  <c r="T21" i="16"/>
  <c r="T29" i="16"/>
  <c r="T37" i="16"/>
  <c r="T45" i="16"/>
  <c r="T53" i="16"/>
  <c r="T61" i="16"/>
  <c r="T69" i="16"/>
  <c r="T77" i="16"/>
  <c r="T85" i="16"/>
  <c r="T93" i="16"/>
  <c r="T101" i="16"/>
  <c r="T109" i="16"/>
  <c r="T117" i="16"/>
  <c r="T125" i="16"/>
  <c r="T133" i="16"/>
  <c r="T141" i="16"/>
  <c r="T149" i="16"/>
  <c r="T157" i="16"/>
  <c r="T165" i="16"/>
  <c r="T173" i="16"/>
  <c r="T181" i="16"/>
  <c r="T189" i="16"/>
  <c r="T197" i="16"/>
  <c r="T221" i="16"/>
  <c r="T162" i="16"/>
  <c r="T218" i="16"/>
  <c r="T6" i="16"/>
  <c r="T14" i="16"/>
  <c r="T22" i="16"/>
  <c r="T30" i="16"/>
  <c r="T38" i="16"/>
  <c r="T46" i="16"/>
  <c r="T54" i="16"/>
  <c r="T62" i="16"/>
  <c r="T70" i="16"/>
  <c r="T78" i="16"/>
  <c r="T86" i="16"/>
  <c r="T94" i="16"/>
  <c r="T102" i="16"/>
  <c r="T110" i="16"/>
  <c r="T118" i="16"/>
  <c r="T126" i="16"/>
  <c r="T134" i="16"/>
  <c r="T142" i="16"/>
  <c r="T150" i="16"/>
  <c r="T158" i="16"/>
  <c r="T166" i="16"/>
  <c r="T174" i="16"/>
  <c r="T182" i="16"/>
  <c r="T190" i="16"/>
  <c r="T198" i="16"/>
  <c r="T206" i="16"/>
  <c r="T214" i="16"/>
  <c r="T222" i="16"/>
  <c r="T34" i="16"/>
  <c r="T82" i="16"/>
  <c r="T114" i="16"/>
  <c r="T146" i="16"/>
  <c r="T210" i="16"/>
  <c r="T7" i="16"/>
  <c r="T15" i="16"/>
  <c r="T23" i="16"/>
  <c r="T31" i="16"/>
  <c r="T39" i="16"/>
  <c r="T47" i="16"/>
  <c r="T55" i="16"/>
  <c r="T63" i="16"/>
  <c r="T71" i="16"/>
  <c r="T79" i="16"/>
  <c r="T87" i="16"/>
  <c r="T95" i="16"/>
  <c r="T103" i="16"/>
  <c r="T111" i="16"/>
  <c r="T119" i="16"/>
  <c r="T127" i="16"/>
  <c r="T135" i="16"/>
  <c r="T143" i="16"/>
  <c r="T151" i="16"/>
  <c r="T159" i="16"/>
  <c r="T167" i="16"/>
  <c r="T175" i="16"/>
  <c r="T183" i="16"/>
  <c r="T191" i="16"/>
  <c r="T199" i="16"/>
  <c r="T207" i="16"/>
  <c r="T215" i="16"/>
  <c r="T223" i="16"/>
  <c r="T26" i="16"/>
  <c r="T74" i="16"/>
  <c r="T106" i="16"/>
  <c r="T138" i="16"/>
  <c r="T194" i="16"/>
  <c r="T8" i="16"/>
  <c r="T16" i="16"/>
  <c r="T24" i="16"/>
  <c r="T32" i="16"/>
  <c r="T40" i="16"/>
  <c r="T48" i="16"/>
  <c r="T56" i="16"/>
  <c r="T64" i="16"/>
  <c r="T72" i="16"/>
  <c r="T80" i="16"/>
  <c r="T88" i="16"/>
  <c r="T96" i="16"/>
  <c r="T104" i="16"/>
  <c r="T112" i="16"/>
  <c r="T120" i="16"/>
  <c r="T128" i="16"/>
  <c r="T136" i="16"/>
  <c r="T144" i="16"/>
  <c r="T152" i="16"/>
  <c r="T160" i="16"/>
  <c r="T168" i="16"/>
  <c r="T176" i="16"/>
  <c r="T184" i="16"/>
  <c r="T192" i="16"/>
  <c r="T200" i="16"/>
  <c r="T208" i="16"/>
  <c r="T216" i="16"/>
  <c r="T224" i="16"/>
  <c r="T18" i="16"/>
  <c r="T42" i="16"/>
  <c r="T66" i="16"/>
  <c r="T98" i="16"/>
  <c r="T122" i="16"/>
  <c r="T178" i="16"/>
  <c r="T9" i="16"/>
  <c r="T17" i="16"/>
  <c r="T25" i="16"/>
  <c r="T33" i="16"/>
  <c r="T41" i="16"/>
  <c r="T49" i="16"/>
  <c r="T57" i="16"/>
  <c r="T65" i="16"/>
  <c r="T73" i="16"/>
  <c r="T81" i="16"/>
  <c r="T89" i="16"/>
  <c r="T97" i="16"/>
  <c r="T105" i="16"/>
  <c r="T113" i="16"/>
  <c r="T121" i="16"/>
  <c r="T129" i="16"/>
  <c r="T137" i="16"/>
  <c r="T145" i="16"/>
  <c r="T153" i="16"/>
  <c r="T161" i="16"/>
  <c r="T169" i="16"/>
  <c r="T177" i="16"/>
  <c r="T185" i="16"/>
  <c r="T193" i="16"/>
  <c r="T201" i="16"/>
  <c r="T209" i="16"/>
  <c r="T217" i="16"/>
  <c r="T10" i="16"/>
  <c r="T50" i="16"/>
  <c r="T58" i="16"/>
  <c r="T90" i="16"/>
  <c r="T130" i="16"/>
  <c r="T170" i="16"/>
  <c r="S2" i="16"/>
  <c r="M20" i="24"/>
  <c r="T2" i="16" l="1"/>
  <c r="U2" i="16" s="1"/>
  <c r="H56" i="19"/>
  <c r="H54" i="19"/>
  <c r="H30" i="19"/>
  <c r="U62" i="16" l="1"/>
  <c r="U70" i="16"/>
  <c r="U16" i="16"/>
  <c r="U8" i="16"/>
  <c r="U113" i="16"/>
  <c r="U154" i="16"/>
  <c r="U207" i="16"/>
  <c r="U142" i="16"/>
  <c r="U124" i="16"/>
  <c r="U172" i="16"/>
  <c r="U3" i="16"/>
  <c r="U134" i="16"/>
  <c r="U66" i="16"/>
  <c r="U223" i="16"/>
  <c r="U129" i="16"/>
  <c r="U32" i="16"/>
  <c r="U179" i="16"/>
  <c r="U104" i="16"/>
  <c r="U107" i="16"/>
  <c r="U48" i="16"/>
  <c r="U51" i="16"/>
  <c r="U67" i="16"/>
  <c r="U190" i="16"/>
  <c r="U136" i="16"/>
  <c r="U50" i="16"/>
  <c r="U178" i="16"/>
  <c r="U75" i="16"/>
  <c r="U198" i="16"/>
  <c r="U144" i="16"/>
  <c r="U202" i="16"/>
  <c r="U192" i="16"/>
  <c r="U151" i="16"/>
  <c r="U193" i="16"/>
  <c r="U5" i="16"/>
  <c r="U96" i="16"/>
  <c r="U174" i="16"/>
  <c r="U165" i="16"/>
  <c r="U168" i="16"/>
  <c r="U21" i="16"/>
  <c r="U112" i="16"/>
  <c r="U110" i="16"/>
  <c r="U197" i="16"/>
  <c r="U98" i="16"/>
  <c r="U212" i="16"/>
  <c r="U177" i="16"/>
  <c r="U80" i="16"/>
  <c r="U206" i="16"/>
  <c r="U91" i="16"/>
  <c r="U163" i="16"/>
  <c r="U131" i="16"/>
  <c r="U119" i="16"/>
  <c r="U200" i="16"/>
  <c r="U170" i="16"/>
  <c r="U161" i="16"/>
  <c r="U139" i="16"/>
  <c r="U135" i="16"/>
  <c r="U208" i="16"/>
  <c r="U157" i="16"/>
  <c r="U19" i="16"/>
  <c r="U127" i="16"/>
  <c r="U82" i="16"/>
  <c r="U22" i="16"/>
  <c r="U160" i="16"/>
  <c r="U199" i="16"/>
  <c r="U30" i="16"/>
  <c r="U18" i="16"/>
  <c r="U38" i="16"/>
  <c r="U176" i="16"/>
  <c r="U71" i="16"/>
  <c r="U185" i="16"/>
  <c r="U27" i="16"/>
  <c r="U43" i="16"/>
  <c r="U72" i="16"/>
  <c r="U116" i="16"/>
  <c r="U92" i="16"/>
  <c r="U156" i="16"/>
  <c r="U28" i="16"/>
  <c r="U145" i="16"/>
  <c r="U20" i="16"/>
  <c r="U146" i="16"/>
  <c r="U108" i="16"/>
  <c r="U204" i="16"/>
  <c r="U15" i="16"/>
  <c r="U210" i="16"/>
  <c r="U180" i="16"/>
  <c r="U182" i="16"/>
  <c r="U117" i="16"/>
  <c r="U23" i="16"/>
  <c r="U141" i="16"/>
  <c r="U87" i="16"/>
  <c r="U147" i="16"/>
  <c r="U88" i="16"/>
  <c r="U184" i="16"/>
  <c r="U150" i="16"/>
  <c r="U73" i="16"/>
  <c r="U12" i="16"/>
  <c r="U222" i="16"/>
  <c r="U209" i="16"/>
  <c r="U166" i="16"/>
  <c r="U89" i="16"/>
  <c r="U97" i="16"/>
  <c r="U205" i="16"/>
  <c r="U99" i="16"/>
  <c r="U130" i="16"/>
  <c r="U126" i="16"/>
  <c r="U56" i="16"/>
  <c r="U211" i="16"/>
  <c r="U123" i="16"/>
  <c r="U171" i="16"/>
  <c r="U24" i="16"/>
  <c r="U86" i="16"/>
  <c r="U158" i="16"/>
  <c r="U102" i="16"/>
  <c r="U120" i="16"/>
  <c r="U45" i="16"/>
  <c r="U95" i="16"/>
  <c r="U93" i="16"/>
  <c r="U114" i="16"/>
  <c r="U79" i="16"/>
  <c r="U53" i="16"/>
  <c r="U111" i="16"/>
  <c r="U57" i="16"/>
  <c r="U69" i="16"/>
  <c r="U61" i="16"/>
  <c r="U152" i="16"/>
  <c r="U215" i="16"/>
  <c r="U214" i="16"/>
  <c r="U137" i="16"/>
  <c r="U64" i="16"/>
  <c r="U175" i="16"/>
  <c r="U42" i="16"/>
  <c r="U55" i="16"/>
  <c r="U153" i="16"/>
  <c r="U188" i="16"/>
  <c r="U11" i="16"/>
  <c r="U74" i="16"/>
  <c r="U36" i="16"/>
  <c r="U83" i="16"/>
  <c r="U148" i="16"/>
  <c r="U221" i="16"/>
  <c r="U203" i="16"/>
  <c r="U49" i="16"/>
  <c r="U68" i="16"/>
  <c r="U58" i="16"/>
  <c r="U6" i="16"/>
  <c r="U44" i="16"/>
  <c r="U121" i="16"/>
  <c r="U33" i="16"/>
  <c r="U78" i="16"/>
  <c r="U216" i="16"/>
  <c r="U128" i="16"/>
  <c r="U39" i="16"/>
  <c r="U201" i="16"/>
  <c r="U35" i="16"/>
  <c r="U220" i="16"/>
  <c r="U103" i="16"/>
  <c r="U63" i="16"/>
  <c r="U217" i="16"/>
  <c r="U41" i="16"/>
  <c r="U186" i="16"/>
  <c r="U138" i="16"/>
  <c r="U196" i="16"/>
  <c r="U100" i="16"/>
  <c r="U106" i="16"/>
  <c r="U29" i="16"/>
  <c r="U155" i="16"/>
  <c r="U167" i="16"/>
  <c r="U224" i="16"/>
  <c r="U218" i="16"/>
  <c r="U37" i="16"/>
  <c r="U13" i="16"/>
  <c r="U47" i="16"/>
  <c r="U60" i="16"/>
  <c r="U187" i="16"/>
  <c r="U191" i="16"/>
  <c r="U26" i="16"/>
  <c r="U219" i="16"/>
  <c r="U59" i="16"/>
  <c r="U90" i="16"/>
  <c r="U140" i="16"/>
  <c r="U76" i="16"/>
  <c r="U189" i="16"/>
  <c r="U31" i="16"/>
  <c r="U195" i="16"/>
  <c r="U181" i="16"/>
  <c r="U85" i="16"/>
  <c r="U164" i="16"/>
  <c r="U122" i="16"/>
  <c r="U17" i="16"/>
  <c r="U54" i="16"/>
  <c r="U125" i="16"/>
  <c r="U159" i="16"/>
  <c r="U81" i="16"/>
  <c r="U4" i="16"/>
  <c r="U109" i="16"/>
  <c r="U162" i="16"/>
  <c r="U213" i="16"/>
  <c r="U173" i="16"/>
  <c r="U194" i="16"/>
  <c r="U14" i="16"/>
  <c r="U84" i="16"/>
  <c r="U65" i="16"/>
  <c r="U132" i="16"/>
  <c r="U101" i="16"/>
  <c r="U143" i="16"/>
  <c r="U9" i="16"/>
  <c r="U149" i="16"/>
  <c r="U105" i="16"/>
  <c r="U94" i="16"/>
  <c r="U40" i="16"/>
  <c r="U46" i="16"/>
  <c r="U133" i="16"/>
  <c r="U183" i="16"/>
  <c r="U25" i="16"/>
  <c r="U115" i="16"/>
  <c r="U7" i="16"/>
  <c r="U77" i="16"/>
  <c r="U10" i="16"/>
  <c r="U118" i="16"/>
  <c r="U34" i="16"/>
  <c r="U52" i="16"/>
  <c r="U169" i="16"/>
  <c r="H8" i="18"/>
  <c r="R86" i="18"/>
  <c r="R85" i="18"/>
  <c r="M86" i="18"/>
  <c r="R88" i="18"/>
  <c r="R87" i="18"/>
  <c r="M88" i="18"/>
  <c r="M87" i="18"/>
  <c r="I88" i="18"/>
  <c r="I87" i="18"/>
  <c r="R99" i="18"/>
  <c r="R98" i="18"/>
  <c r="M99" i="18"/>
  <c r="M98" i="18"/>
  <c r="I99" i="18"/>
  <c r="I98" i="18"/>
  <c r="I86" i="18"/>
  <c r="V2" i="16" l="1"/>
  <c r="V187" i="16"/>
  <c r="V115" i="16"/>
  <c r="V176" i="16"/>
  <c r="V21" i="16"/>
  <c r="V18" i="16"/>
  <c r="V207" i="16"/>
  <c r="V159" i="16"/>
  <c r="V146" i="16"/>
  <c r="V153" i="16"/>
  <c r="V197" i="16"/>
  <c r="V209" i="16"/>
  <c r="V179" i="16"/>
  <c r="V53" i="16"/>
  <c r="V131" i="16"/>
  <c r="V141" i="16"/>
  <c r="V167" i="16"/>
  <c r="V65" i="16"/>
  <c r="V29" i="16"/>
  <c r="V205" i="16"/>
  <c r="V6" i="16"/>
  <c r="V151" i="16"/>
  <c r="V42" i="16"/>
  <c r="V186" i="16"/>
  <c r="V215" i="16"/>
  <c r="V5" i="16"/>
  <c r="V201" i="16"/>
  <c r="V214" i="16"/>
  <c r="V69" i="16"/>
  <c r="V79" i="16"/>
  <c r="V81" i="16"/>
  <c r="V3" i="16"/>
  <c r="V13" i="16"/>
  <c r="V23" i="16"/>
  <c r="V25" i="16"/>
  <c r="V12" i="16"/>
  <c r="V31" i="16"/>
  <c r="V161" i="16"/>
  <c r="V20" i="16"/>
  <c r="V39" i="16"/>
  <c r="V66" i="16"/>
  <c r="V156" i="16"/>
  <c r="V48" i="16"/>
  <c r="V9" i="16"/>
  <c r="V118" i="16"/>
  <c r="V74" i="16"/>
  <c r="V194" i="16"/>
  <c r="V16" i="16"/>
  <c r="V217" i="16"/>
  <c r="V15" i="16"/>
  <c r="V123" i="16"/>
  <c r="V133" i="16"/>
  <c r="V143" i="16"/>
  <c r="V145" i="16"/>
  <c r="V67" i="16"/>
  <c r="V77" i="16"/>
  <c r="V87" i="16"/>
  <c r="V89" i="16"/>
  <c r="V76" i="16"/>
  <c r="V95" i="16"/>
  <c r="V10" i="16"/>
  <c r="V84" i="16"/>
  <c r="V103" i="16"/>
  <c r="V138" i="16"/>
  <c r="V101" i="16"/>
  <c r="V112" i="16"/>
  <c r="V35" i="16"/>
  <c r="V182" i="16"/>
  <c r="V114" i="16"/>
  <c r="V7" i="16"/>
  <c r="V195" i="16"/>
  <c r="V125" i="16"/>
  <c r="V26" i="16"/>
  <c r="V113" i="16"/>
  <c r="V56" i="16"/>
  <c r="V170" i="16"/>
  <c r="V60" i="16"/>
  <c r="V78" i="16"/>
  <c r="V80" i="16"/>
  <c r="V61" i="16"/>
  <c r="V4" i="16"/>
  <c r="V22" i="16"/>
  <c r="V24" i="16"/>
  <c r="V11" i="16"/>
  <c r="V149" i="16"/>
  <c r="V32" i="16"/>
  <c r="V19" i="16"/>
  <c r="V157" i="16"/>
  <c r="V40" i="16"/>
  <c r="V91" i="16"/>
  <c r="V110" i="16"/>
  <c r="V82" i="16"/>
  <c r="V100" i="16"/>
  <c r="V162" i="16"/>
  <c r="V62" i="16"/>
  <c r="V51" i="16"/>
  <c r="V85" i="16"/>
  <c r="V93" i="16"/>
  <c r="V46" i="16"/>
  <c r="V124" i="16"/>
  <c r="V142" i="16"/>
  <c r="V144" i="16"/>
  <c r="V198" i="16"/>
  <c r="V68" i="16"/>
  <c r="V86" i="16"/>
  <c r="V88" i="16"/>
  <c r="V75" i="16"/>
  <c r="V213" i="16"/>
  <c r="V96" i="16"/>
  <c r="V83" i="16"/>
  <c r="V221" i="16"/>
  <c r="V104" i="16"/>
  <c r="V219" i="16"/>
  <c r="V174" i="16"/>
  <c r="V52" i="16"/>
  <c r="V164" i="16"/>
  <c r="V57" i="16"/>
  <c r="V210" i="16"/>
  <c r="V119" i="16"/>
  <c r="V14" i="16"/>
  <c r="V223" i="16"/>
  <c r="V8" i="16"/>
  <c r="V36" i="16"/>
  <c r="V188" i="16"/>
  <c r="V206" i="16"/>
  <c r="V208" i="16"/>
  <c r="V72" i="16"/>
  <c r="V132" i="16"/>
  <c r="V150" i="16"/>
  <c r="V152" i="16"/>
  <c r="V139" i="16"/>
  <c r="V30" i="16"/>
  <c r="V33" i="16"/>
  <c r="V147" i="16"/>
  <c r="V38" i="16"/>
  <c r="V41" i="16"/>
  <c r="V28" i="16"/>
  <c r="V111" i="16"/>
  <c r="V178" i="16"/>
  <c r="V109" i="16"/>
  <c r="V130" i="16"/>
  <c r="V218" i="16"/>
  <c r="V17" i="16"/>
  <c r="V196" i="16"/>
  <c r="V216" i="16"/>
  <c r="V203" i="16"/>
  <c r="V94" i="16"/>
  <c r="V97" i="16"/>
  <c r="V211" i="16"/>
  <c r="V102" i="16"/>
  <c r="V169" i="16"/>
  <c r="V92" i="16"/>
  <c r="V98" i="16"/>
  <c r="V70" i="16"/>
  <c r="V54" i="16"/>
  <c r="V116" i="16"/>
  <c r="V193" i="16"/>
  <c r="V180" i="16"/>
  <c r="V140" i="16"/>
  <c r="V158" i="16"/>
  <c r="V160" i="16"/>
  <c r="V71" i="16"/>
  <c r="V148" i="16"/>
  <c r="V166" i="16"/>
  <c r="V168" i="16"/>
  <c r="V220" i="16"/>
  <c r="V90" i="16"/>
  <c r="V106" i="16"/>
  <c r="V135" i="16"/>
  <c r="V50" i="16"/>
  <c r="V55" i="16"/>
  <c r="V137" i="16"/>
  <c r="V202" i="16"/>
  <c r="V73" i="16"/>
  <c r="V204" i="16"/>
  <c r="V222" i="16"/>
  <c r="V224" i="16"/>
  <c r="V200" i="16"/>
  <c r="V212" i="16"/>
  <c r="V34" i="16"/>
  <c r="V58" i="16"/>
  <c r="V27" i="16"/>
  <c r="V37" i="16"/>
  <c r="V47" i="16"/>
  <c r="V49" i="16"/>
  <c r="V45" i="16"/>
  <c r="V154" i="16"/>
  <c r="V43" i="16"/>
  <c r="V63" i="16"/>
  <c r="V136" i="16"/>
  <c r="V59" i="16"/>
  <c r="V105" i="16"/>
  <c r="V155" i="16"/>
  <c r="V165" i="16"/>
  <c r="V175" i="16"/>
  <c r="V177" i="16"/>
  <c r="V99" i="16"/>
  <c r="V122" i="16"/>
  <c r="V184" i="16"/>
  <c r="V44" i="16"/>
  <c r="V64" i="16"/>
  <c r="V120" i="16"/>
  <c r="V134" i="16"/>
  <c r="V108" i="16"/>
  <c r="V126" i="16"/>
  <c r="V128" i="16"/>
  <c r="V189" i="16"/>
  <c r="V199" i="16"/>
  <c r="V172" i="16"/>
  <c r="V190" i="16"/>
  <c r="V192" i="16"/>
  <c r="V121" i="16"/>
  <c r="V107" i="16"/>
  <c r="V117" i="16"/>
  <c r="V127" i="16"/>
  <c r="V129" i="16"/>
  <c r="V163" i="16"/>
  <c r="V173" i="16"/>
  <c r="V183" i="16"/>
  <c r="V185" i="16"/>
  <c r="V171" i="16"/>
  <c r="V181" i="16"/>
  <c r="V191" i="16"/>
  <c r="B31" i="19"/>
  <c r="B30" i="19"/>
  <c r="W2" i="16" l="1" a="1"/>
  <c r="W2" i="16" s="1"/>
  <c r="X2" i="16" a="1"/>
  <c r="X2" i="16" s="1"/>
  <c r="HQ5" i="13" l="1"/>
  <c r="H12" i="18" l="1"/>
  <c r="L18" i="22" l="1"/>
  <c r="M78" i="18" l="1"/>
  <c r="D12" i="10"/>
  <c r="D13" i="10"/>
  <c r="D14" i="10"/>
  <c r="D15" i="10"/>
  <c r="D16" i="10"/>
  <c r="D17" i="10"/>
  <c r="D18" i="10"/>
  <c r="D19" i="10"/>
  <c r="D20" i="10"/>
  <c r="D21" i="10"/>
  <c r="D22" i="10"/>
  <c r="D11" i="10"/>
  <c r="O8" i="9"/>
  <c r="R53" i="18" l="1"/>
  <c r="R97" i="18" s="1"/>
  <c r="M53" i="18"/>
  <c r="M97" i="18" s="1"/>
  <c r="I53" i="18"/>
  <c r="I97" i="18" s="1"/>
  <c r="K52" i="9"/>
  <c r="R71" i="18"/>
  <c r="M71" i="18"/>
  <c r="I71" i="18"/>
  <c r="DI5" i="13" l="1"/>
  <c r="HF5" i="13"/>
  <c r="CX5" i="13"/>
  <c r="CM5" i="13"/>
  <c r="GU5" i="13"/>
  <c r="CB5" i="13"/>
  <c r="GJ5" i="13"/>
  <c r="FY5" i="13" l="1"/>
  <c r="BQ5" i="13"/>
  <c r="FN5" i="13" l="1"/>
  <c r="BF4" i="13"/>
  <c r="AU5" i="13" l="1"/>
  <c r="FC5" i="13"/>
  <c r="T56" i="9" l="1" a="1"/>
  <c r="T56" i="9" s="1"/>
  <c r="Z15" i="9"/>
  <c r="AA15" i="9" s="1"/>
  <c r="AC15" i="9" s="1"/>
  <c r="AB15" i="9" l="1"/>
  <c r="AF15" i="9"/>
  <c r="AE34" i="16"/>
  <c r="AE23" i="16"/>
  <c r="AH25" i="16" s="1"/>
  <c r="D13" i="18"/>
  <c r="D14" i="18"/>
  <c r="R29" i="18"/>
  <c r="M29" i="18"/>
  <c r="I29" i="18"/>
  <c r="R28" i="18"/>
  <c r="M28" i="18"/>
  <c r="I28" i="18"/>
  <c r="F18" i="20"/>
  <c r="N6" i="20"/>
  <c r="F6" i="20"/>
  <c r="F5" i="1" l="1"/>
  <c r="F38" i="19"/>
  <c r="E41" i="27" s="1"/>
  <c r="AG66" i="19"/>
  <c r="AG67" i="19"/>
  <c r="AG68" i="19"/>
  <c r="AG65" i="19"/>
  <c r="AJ65" i="19"/>
  <c r="L36" i="19"/>
  <c r="F36" i="19"/>
  <c r="H78" i="10" a="1"/>
  <c r="I74" i="10" a="1"/>
  <c r="L71" i="10" a="1"/>
  <c r="L79" i="10" a="1"/>
  <c r="K71" i="10" a="1"/>
  <c r="I70" i="10" a="1"/>
  <c r="N70" i="10" a="1"/>
  <c r="L75" i="10" a="1"/>
  <c r="K75" i="10" a="1"/>
  <c r="F79" i="10" a="1"/>
  <c r="G74" i="10" a="1"/>
  <c r="M74" i="10" a="1"/>
  <c r="L70" i="10" a="1"/>
  <c r="I71" i="10" a="1"/>
  <c r="K74" i="10" a="1"/>
  <c r="M71" i="10" a="1"/>
  <c r="G75" i="10" a="1"/>
  <c r="J70" i="10" a="1"/>
  <c r="I75" i="10" a="1"/>
  <c r="N74" i="10" a="1"/>
  <c r="F70" i="10" a="1"/>
  <c r="O78" i="10" a="1"/>
  <c r="J78" i="10" a="1"/>
  <c r="H74" i="10" a="1"/>
  <c r="I79" i="10" a="1"/>
  <c r="F75" i="10" a="1"/>
  <c r="N78" i="10" a="1"/>
  <c r="H70" i="10" a="1"/>
  <c r="H75" i="10" a="1"/>
  <c r="O79" i="10" a="1"/>
  <c r="O75" i="10" a="1"/>
  <c r="I78" i="10" a="1"/>
  <c r="M79" i="10" a="1"/>
  <c r="G70" i="10" a="1"/>
  <c r="H79" i="10" a="1"/>
  <c r="L74" i="10" a="1"/>
  <c r="F71" i="10" a="1"/>
  <c r="K79" i="10" a="1"/>
  <c r="K78" i="10" a="1"/>
  <c r="J75" i="10" a="1"/>
  <c r="G78" i="10" a="1"/>
  <c r="M75" i="10" a="1"/>
  <c r="J79" i="10" a="1"/>
  <c r="H71" i="10" a="1"/>
  <c r="J74" i="10" a="1"/>
  <c r="M70" i="10" a="1"/>
  <c r="F74" i="10" a="1"/>
  <c r="L78" i="10" a="1"/>
  <c r="F78" i="10" a="1"/>
  <c r="N79" i="10" a="1"/>
  <c r="O74" i="10" a="1"/>
  <c r="N71" i="10" a="1"/>
  <c r="G79" i="10" a="1"/>
  <c r="G71" i="10" a="1"/>
  <c r="J71" i="10" a="1"/>
  <c r="M78" i="10" a="1"/>
  <c r="K70" i="10" a="1"/>
  <c r="N75" i="10" a="1"/>
  <c r="C49" i="18" l="1"/>
  <c r="E46" i="27"/>
  <c r="F58" i="18"/>
  <c r="F75" i="26"/>
  <c r="F58" i="26"/>
  <c r="F75" i="18"/>
  <c r="V79" i="10"/>
  <c r="X78" i="10"/>
  <c r="T74" i="10"/>
  <c r="V71" i="10"/>
  <c r="X70" i="10"/>
  <c r="W70" i="10"/>
  <c r="W79" i="10"/>
  <c r="W71" i="10"/>
  <c r="U79" i="10"/>
  <c r="W78" i="10"/>
  <c r="Q75" i="10"/>
  <c r="S74" i="10"/>
  <c r="U71" i="10"/>
  <c r="T79" i="10"/>
  <c r="V78" i="10"/>
  <c r="X75" i="10"/>
  <c r="T71" i="10"/>
  <c r="V70" i="10"/>
  <c r="U70" i="10"/>
  <c r="S75" i="10"/>
  <c r="Q70" i="10"/>
  <c r="S79" i="10"/>
  <c r="U78" i="10"/>
  <c r="W75" i="10"/>
  <c r="Q74" i="10"/>
  <c r="S71" i="10"/>
  <c r="T78" i="10"/>
  <c r="V75" i="10"/>
  <c r="X74" i="10"/>
  <c r="T70" i="10"/>
  <c r="Q79" i="10"/>
  <c r="S78" i="10"/>
  <c r="U75" i="10"/>
  <c r="W74" i="10"/>
  <c r="Q71" i="10"/>
  <c r="S70" i="10"/>
  <c r="X79" i="10"/>
  <c r="T75" i="10"/>
  <c r="V74" i="10"/>
  <c r="X71" i="10"/>
  <c r="Q78" i="10"/>
  <c r="U74" i="10"/>
  <c r="C49" i="26"/>
  <c r="F78" i="10"/>
  <c r="O75" i="10"/>
  <c r="G75" i="10"/>
  <c r="M74" i="10"/>
  <c r="K71" i="10"/>
  <c r="G71" i="10"/>
  <c r="M70" i="10"/>
  <c r="I70" i="10"/>
  <c r="N74" i="10"/>
  <c r="H71" i="10"/>
  <c r="O79" i="10"/>
  <c r="K79" i="10"/>
  <c r="G79" i="10"/>
  <c r="M78" i="10"/>
  <c r="I78" i="10"/>
  <c r="K75" i="10"/>
  <c r="I74" i="10"/>
  <c r="H78" i="10"/>
  <c r="F75" i="10"/>
  <c r="H74" i="10"/>
  <c r="N71" i="10"/>
  <c r="J71" i="10"/>
  <c r="L70" i="10"/>
  <c r="N78" i="10"/>
  <c r="F74" i="10"/>
  <c r="J70" i="10"/>
  <c r="N79" i="10"/>
  <c r="J79" i="10"/>
  <c r="F79" i="10"/>
  <c r="L78" i="10"/>
  <c r="N75" i="10"/>
  <c r="J75" i="10"/>
  <c r="L74" i="10"/>
  <c r="F71" i="10"/>
  <c r="H70" i="10"/>
  <c r="H79" i="10"/>
  <c r="L75" i="10"/>
  <c r="L71" i="10"/>
  <c r="F70" i="10"/>
  <c r="M79" i="10"/>
  <c r="O78" i="10"/>
  <c r="G78" i="10"/>
  <c r="I75" i="10"/>
  <c r="K74" i="10"/>
  <c r="I79" i="10"/>
  <c r="K78" i="10"/>
  <c r="M75" i="10"/>
  <c r="O74" i="10"/>
  <c r="G74" i="10"/>
  <c r="M71" i="10"/>
  <c r="I71" i="10"/>
  <c r="K70" i="10"/>
  <c r="G70" i="10"/>
  <c r="L79" i="10"/>
  <c r="J78" i="10"/>
  <c r="H75" i="10"/>
  <c r="J74" i="10"/>
  <c r="N70" i="10"/>
  <c r="P75" i="10" a="1"/>
  <c r="P75" i="10" s="1"/>
  <c r="P74" i="10" a="1"/>
  <c r="P74" i="10" s="1"/>
  <c r="P71" i="10" a="1"/>
  <c r="P71" i="10" s="1"/>
  <c r="P70" i="10" a="1"/>
  <c r="P70" i="10" s="1"/>
  <c r="P72" i="10"/>
  <c r="P78" i="10" a="1"/>
  <c r="P78" i="10" s="1"/>
  <c r="P73" i="10"/>
  <c r="P79" i="10" a="1"/>
  <c r="P79" i="10" s="1"/>
  <c r="O71" i="10" a="1"/>
  <c r="O71" i="10" s="1"/>
  <c r="O70" i="10" a="1"/>
  <c r="O70" i="10" s="1"/>
  <c r="E7" i="24"/>
  <c r="E8" i="24" s="1" a="1"/>
  <c r="E8" i="24" s="1"/>
  <c r="P69" i="10"/>
  <c r="P68" i="10"/>
  <c r="P77" i="10"/>
  <c r="P76" i="10"/>
  <c r="P37" i="10"/>
  <c r="P39" i="10"/>
  <c r="P40" i="10"/>
  <c r="P41" i="10"/>
  <c r="P35" i="10"/>
  <c r="P38" i="10"/>
  <c r="P36" i="10"/>
  <c r="P34" i="10"/>
  <c r="P6" i="9"/>
  <c r="N6" i="9"/>
  <c r="P55" i="10"/>
  <c r="P57" i="10"/>
  <c r="P31" i="10"/>
  <c r="P54" i="10"/>
  <c r="P32" i="10"/>
  <c r="P59" i="10"/>
  <c r="P51" i="10"/>
  <c r="P30" i="10"/>
  <c r="P53" i="10"/>
  <c r="P33" i="10"/>
  <c r="P60" i="10"/>
  <c r="P52" i="10"/>
  <c r="P61" i="10"/>
  <c r="P58" i="10"/>
  <c r="P50" i="10"/>
  <c r="P56" i="10"/>
  <c r="E7" i="22"/>
  <c r="AR20" i="10"/>
  <c r="AR21" i="10"/>
  <c r="AR22" i="10"/>
  <c r="AR19" i="10"/>
  <c r="AR16" i="10"/>
  <c r="AR17" i="10"/>
  <c r="AR18" i="10"/>
  <c r="AR15" i="10"/>
  <c r="AR12" i="10"/>
  <c r="AR13" i="10"/>
  <c r="AR14" i="10"/>
  <c r="AR11" i="10"/>
  <c r="P11" i="10" l="1" a="1"/>
  <c r="P11" i="10" s="1"/>
  <c r="P16" i="10" a="1"/>
  <c r="P16" i="10" s="1"/>
  <c r="P20" i="10" a="1"/>
  <c r="P20" i="10" s="1"/>
  <c r="P15" i="10" a="1"/>
  <c r="P15" i="10" s="1"/>
  <c r="P12" i="10" a="1"/>
  <c r="P12" i="10" s="1"/>
  <c r="P19" i="10" a="1"/>
  <c r="P19" i="10" s="1"/>
  <c r="E9" i="24"/>
  <c r="E92" i="24" s="1"/>
  <c r="L32" i="24"/>
  <c r="D6" i="10"/>
  <c r="D194" i="9"/>
  <c r="D195" i="9"/>
  <c r="D196" i="9"/>
  <c r="D197" i="9"/>
  <c r="D198" i="9"/>
  <c r="D200" i="9"/>
  <c r="D201" i="9"/>
  <c r="D202" i="9"/>
  <c r="D203" i="9"/>
  <c r="D204" i="9"/>
  <c r="D206" i="9"/>
  <c r="D207" i="9"/>
  <c r="D208" i="9"/>
  <c r="D209" i="9"/>
  <c r="D210" i="9"/>
  <c r="AJ67" i="19"/>
  <c r="AJ68" i="19"/>
  <c r="AJ69" i="19"/>
  <c r="AJ66" i="19"/>
  <c r="E94" i="24" l="1"/>
  <c r="D18" i="24"/>
  <c r="M9" i="24"/>
  <c r="E20" i="24"/>
  <c r="M12" i="24"/>
  <c r="D92" i="24"/>
  <c r="D95" i="24"/>
  <c r="M7" i="24"/>
  <c r="E93" i="24"/>
  <c r="D94" i="24"/>
  <c r="E18" i="24"/>
  <c r="M10" i="24"/>
  <c r="E95" i="24"/>
  <c r="D93" i="24"/>
  <c r="D20" i="24"/>
  <c r="L8" i="24"/>
  <c r="E19" i="24" s="1"/>
  <c r="L14" i="24"/>
  <c r="M14" i="24" s="1"/>
  <c r="L6" i="24"/>
  <c r="D214" i="9" a="1"/>
  <c r="D214" i="9" s="1"/>
  <c r="D216" i="9" a="1"/>
  <c r="D216" i="9" s="1"/>
  <c r="D215" i="9" a="1"/>
  <c r="D215" i="9" s="1"/>
  <c r="E22" i="24" l="1"/>
  <c r="E23" i="24"/>
  <c r="P30" i="24"/>
  <c r="D97" i="24"/>
  <c r="D99" i="24"/>
  <c r="P32" i="24"/>
  <c r="M8" i="24"/>
  <c r="D98" i="24" s="1"/>
  <c r="D19" i="24"/>
  <c r="D17" i="24"/>
  <c r="E17" i="24"/>
  <c r="M6" i="24"/>
  <c r="AL62" i="19" a="1"/>
  <c r="AL62" i="19" s="1"/>
  <c r="C218" i="9" a="1"/>
  <c r="C218" i="9" s="1"/>
  <c r="E32" i="24" l="1"/>
  <c r="E69" i="10" s="1"/>
  <c r="U69" i="10" s="1"/>
  <c r="E36" i="24"/>
  <c r="E73" i="10" s="1"/>
  <c r="E40" i="24"/>
  <c r="E77" i="10" s="1"/>
  <c r="T77" i="10" s="1"/>
  <c r="D22" i="24"/>
  <c r="D23" i="24"/>
  <c r="P29" i="24"/>
  <c r="P31" i="24"/>
  <c r="D96" i="24"/>
  <c r="E5" i="22"/>
  <c r="E8" i="22" s="1" a="1"/>
  <c r="E8" i="22" s="1"/>
  <c r="H73" i="10" a="1"/>
  <c r="K77" i="10" a="1"/>
  <c r="F69" i="10" a="1"/>
  <c r="G73" i="10" a="1"/>
  <c r="O77" i="10" a="1"/>
  <c r="H77" i="10" a="1"/>
  <c r="N69" i="10" a="1"/>
  <c r="J73" i="10" a="1"/>
  <c r="I69" i="10" a="1"/>
  <c r="M69" i="10" a="1"/>
  <c r="O73" i="10" a="1"/>
  <c r="L73" i="10" a="1"/>
  <c r="L69" i="10" a="1"/>
  <c r="K73" i="10" a="1"/>
  <c r="N77" i="10" a="1"/>
  <c r="L77" i="10" a="1"/>
  <c r="G69" i="10" a="1"/>
  <c r="J69" i="10" a="1"/>
  <c r="O69" i="10" a="1"/>
  <c r="N73" i="10" a="1"/>
  <c r="F73" i="10" a="1"/>
  <c r="I73" i="10" a="1"/>
  <c r="H69" i="10" a="1"/>
  <c r="M73" i="10" a="1"/>
  <c r="K69" i="10" a="1"/>
  <c r="G77" i="10" a="1"/>
  <c r="I77" i="10" a="1"/>
  <c r="M77" i="10" a="1"/>
  <c r="J77" i="10" a="1"/>
  <c r="F77" i="10" a="1"/>
  <c r="Q77" i="10" l="1"/>
  <c r="S69" i="10"/>
  <c r="W77" i="10"/>
  <c r="V69" i="10"/>
  <c r="U77" i="10"/>
  <c r="T69" i="10"/>
  <c r="V77" i="10"/>
  <c r="S73" i="10"/>
  <c r="W69" i="10"/>
  <c r="Q69" i="10"/>
  <c r="M69" i="10"/>
  <c r="N69" i="10"/>
  <c r="L69" i="10"/>
  <c r="F69" i="10"/>
  <c r="I69" i="10"/>
  <c r="G69" i="10"/>
  <c r="K69" i="10"/>
  <c r="H69" i="10"/>
  <c r="J69" i="10"/>
  <c r="O69" i="10"/>
  <c r="O77" i="10"/>
  <c r="F77" i="10"/>
  <c r="J77" i="10"/>
  <c r="H77" i="10"/>
  <c r="K77" i="10"/>
  <c r="I77" i="10"/>
  <c r="N77" i="10"/>
  <c r="G77" i="10"/>
  <c r="L77" i="10"/>
  <c r="M77" i="10"/>
  <c r="K73" i="10"/>
  <c r="H73" i="10"/>
  <c r="I73" i="10"/>
  <c r="F73" i="10"/>
  <c r="J73" i="10"/>
  <c r="L73" i="10"/>
  <c r="M73" i="10"/>
  <c r="O73" i="10"/>
  <c r="N73" i="10"/>
  <c r="G73" i="10"/>
  <c r="T73" i="10"/>
  <c r="X69" i="10"/>
  <c r="V73" i="10"/>
  <c r="S77" i="10"/>
  <c r="W73" i="10"/>
  <c r="Q73" i="10"/>
  <c r="X73" i="10"/>
  <c r="D32" i="24"/>
  <c r="E68" i="10" s="1"/>
  <c r="D40" i="24"/>
  <c r="E76" i="10" s="1"/>
  <c r="T76" i="10" s="1"/>
  <c r="D36" i="24"/>
  <c r="E72" i="10" s="1"/>
  <c r="X77" i="10"/>
  <c r="U73" i="10"/>
  <c r="K20" i="22"/>
  <c r="M20" i="22"/>
  <c r="E66" i="9"/>
  <c r="E67" i="9" s="1"/>
  <c r="E68" i="9" s="1"/>
  <c r="E69" i="9" s="1"/>
  <c r="E70" i="9" s="1"/>
  <c r="E71" i="9" s="1"/>
  <c r="E72" i="9" s="1"/>
  <c r="E73" i="9" s="1"/>
  <c r="E74" i="9" s="1"/>
  <c r="E56" i="9"/>
  <c r="E57" i="9" s="1"/>
  <c r="E58" i="9" s="1"/>
  <c r="E59" i="9" s="1"/>
  <c r="E60" i="9" s="1"/>
  <c r="E61" i="9" s="1"/>
  <c r="E62" i="9" s="1"/>
  <c r="E63" i="9" s="1"/>
  <c r="E64" i="9" s="1"/>
  <c r="E46" i="9"/>
  <c r="E47" i="9" s="1"/>
  <c r="E48" i="9" s="1"/>
  <c r="E49" i="9" s="1"/>
  <c r="E50" i="9" s="1"/>
  <c r="E51" i="9" s="1"/>
  <c r="E52" i="9" s="1"/>
  <c r="E53" i="9" s="1"/>
  <c r="E54" i="9" s="1"/>
  <c r="E41" i="9"/>
  <c r="E42" i="9" s="1"/>
  <c r="E43" i="9" s="1"/>
  <c r="E44" i="9" s="1"/>
  <c r="E36" i="9"/>
  <c r="E37" i="9" s="1"/>
  <c r="E38" i="9" s="1"/>
  <c r="E39" i="9" s="1"/>
  <c r="E31" i="9"/>
  <c r="E32" i="9" s="1"/>
  <c r="E33" i="9" s="1"/>
  <c r="E34" i="9" s="1"/>
  <c r="D66" i="9"/>
  <c r="D67" i="9" s="1"/>
  <c r="D68" i="9" s="1"/>
  <c r="D69" i="9" s="1"/>
  <c r="D70" i="9" s="1"/>
  <c r="D71" i="9" s="1"/>
  <c r="D72" i="9" s="1"/>
  <c r="D73" i="9" s="1"/>
  <c r="D74" i="9" s="1"/>
  <c r="D56" i="9"/>
  <c r="D57" i="9" s="1"/>
  <c r="D58" i="9" s="1"/>
  <c r="D59" i="9" s="1"/>
  <c r="D60" i="9" s="1"/>
  <c r="D61" i="9" s="1"/>
  <c r="D62" i="9" s="1"/>
  <c r="D63" i="9" s="1"/>
  <c r="D64" i="9" s="1"/>
  <c r="D31" i="9"/>
  <c r="D32" i="9" s="1"/>
  <c r="D33" i="9" s="1"/>
  <c r="D34" i="9" s="1"/>
  <c r="D36" i="9"/>
  <c r="D37" i="9" s="1"/>
  <c r="D38" i="9" s="1"/>
  <c r="D39" i="9" s="1"/>
  <c r="D41" i="9"/>
  <c r="D42" i="9" s="1"/>
  <c r="D43" i="9" s="1"/>
  <c r="D44" i="9" s="1"/>
  <c r="D46" i="9"/>
  <c r="D47" i="9" s="1"/>
  <c r="D48" i="9" s="1"/>
  <c r="D49" i="9" s="1"/>
  <c r="D50" i="9" s="1"/>
  <c r="D51" i="9" s="1"/>
  <c r="D52" i="9" s="1"/>
  <c r="D53" i="9" s="1"/>
  <c r="D54" i="9" s="1"/>
  <c r="C66" i="9"/>
  <c r="C67" i="9" s="1"/>
  <c r="C68" i="9" s="1"/>
  <c r="C69" i="9" s="1"/>
  <c r="C70" i="9" s="1"/>
  <c r="C71" i="9" s="1"/>
  <c r="C72" i="9" s="1"/>
  <c r="C73" i="9" s="1"/>
  <c r="C74" i="9" s="1"/>
  <c r="C56" i="9"/>
  <c r="C57" i="9" s="1"/>
  <c r="C58" i="9" s="1"/>
  <c r="C59" i="9" s="1"/>
  <c r="C60" i="9" s="1"/>
  <c r="C61" i="9" s="1"/>
  <c r="C62" i="9" s="1"/>
  <c r="C63" i="9" s="1"/>
  <c r="C64" i="9" s="1"/>
  <c r="C46" i="9"/>
  <c r="L68" i="10" a="1"/>
  <c r="O68" i="10" a="1"/>
  <c r="H76" i="10" a="1"/>
  <c r="I72" i="10" a="1"/>
  <c r="M68" i="10" a="1"/>
  <c r="K76" i="10" a="1"/>
  <c r="I76" i="10" a="1"/>
  <c r="O76" i="10" a="1"/>
  <c r="O72" i="10" a="1"/>
  <c r="N72" i="10" a="1"/>
  <c r="H72" i="10" a="1"/>
  <c r="L72" i="10" a="1"/>
  <c r="N68" i="10" a="1"/>
  <c r="K72" i="10" a="1"/>
  <c r="G68" i="10" a="1"/>
  <c r="G72" i="10" a="1"/>
  <c r="H68" i="10" a="1"/>
  <c r="F76" i="10" a="1"/>
  <c r="G76" i="10" a="1"/>
  <c r="I68" i="10" a="1"/>
  <c r="M76" i="10" a="1"/>
  <c r="F68" i="10" a="1"/>
  <c r="M72" i="10" a="1"/>
  <c r="J76" i="10" a="1"/>
  <c r="L76" i="10" a="1"/>
  <c r="J72" i="10" a="1"/>
  <c r="J68" i="10" a="1"/>
  <c r="K68" i="10" a="1"/>
  <c r="N76" i="10" a="1"/>
  <c r="F72" i="10" a="1"/>
  <c r="S72" i="10" l="1"/>
  <c r="U72" i="10"/>
  <c r="V72" i="10"/>
  <c r="S76" i="10"/>
  <c r="T72" i="10"/>
  <c r="W72" i="10"/>
  <c r="W76" i="10"/>
  <c r="U76" i="10"/>
  <c r="X72" i="10"/>
  <c r="X76" i="10"/>
  <c r="Q72" i="10"/>
  <c r="Q76" i="10"/>
  <c r="X68" i="10"/>
  <c r="S68" i="10"/>
  <c r="V68" i="10"/>
  <c r="U68" i="10"/>
  <c r="O72" i="10"/>
  <c r="G72" i="10"/>
  <c r="I72" i="10"/>
  <c r="J72" i="10"/>
  <c r="N72" i="10"/>
  <c r="M72" i="10"/>
  <c r="F72" i="10"/>
  <c r="L72" i="10"/>
  <c r="H72" i="10"/>
  <c r="K72" i="10"/>
  <c r="F76" i="10"/>
  <c r="K76" i="10"/>
  <c r="G76" i="10"/>
  <c r="M76" i="10"/>
  <c r="I76" i="10"/>
  <c r="L76" i="10"/>
  <c r="O76" i="10"/>
  <c r="J76" i="10"/>
  <c r="H76" i="10"/>
  <c r="N76" i="10"/>
  <c r="H68" i="10"/>
  <c r="K68" i="10"/>
  <c r="I68" i="10"/>
  <c r="N68" i="10"/>
  <c r="M68" i="10"/>
  <c r="J68" i="10"/>
  <c r="O68" i="10"/>
  <c r="G68" i="10"/>
  <c r="L68" i="10"/>
  <c r="F68" i="10"/>
  <c r="T68" i="10"/>
  <c r="V76" i="10"/>
  <c r="Q68" i="10"/>
  <c r="W68" i="10"/>
  <c r="L14" i="22"/>
  <c r="L9" i="22"/>
  <c r="L8" i="22"/>
  <c r="L7" i="22"/>
  <c r="L6" i="22"/>
  <c r="L10" i="22"/>
  <c r="L12" i="22"/>
  <c r="F4" i="22"/>
  <c r="E9" i="22" l="1"/>
  <c r="E95" i="22" l="1"/>
  <c r="E19" i="22"/>
  <c r="E17" i="22"/>
  <c r="D32" i="22" s="1"/>
  <c r="E50" i="10" s="1"/>
  <c r="M12" i="22"/>
  <c r="E92" i="22"/>
  <c r="D17" i="22"/>
  <c r="D93" i="22"/>
  <c r="D20" i="22"/>
  <c r="D92" i="22"/>
  <c r="D19" i="22"/>
  <c r="M6" i="22"/>
  <c r="M14" i="22"/>
  <c r="E93" i="22"/>
  <c r="D18" i="22"/>
  <c r="M10" i="22"/>
  <c r="M9" i="22"/>
  <c r="D94" i="22"/>
  <c r="E20" i="22"/>
  <c r="M8" i="22"/>
  <c r="E94" i="22"/>
  <c r="M7" i="22"/>
  <c r="D95" i="22"/>
  <c r="E18" i="22"/>
  <c r="AG40" i="16"/>
  <c r="AG39" i="16"/>
  <c r="AG35" i="16"/>
  <c r="AG34" i="16"/>
  <c r="AE43" i="16"/>
  <c r="AE42" i="16"/>
  <c r="AE37" i="16"/>
  <c r="AE36" i="16"/>
  <c r="AE35" i="16"/>
  <c r="X50" i="10" l="1"/>
  <c r="W50" i="10"/>
  <c r="T50" i="10"/>
  <c r="V50" i="10"/>
  <c r="U50" i="10"/>
  <c r="S50" i="10"/>
  <c r="Q50" i="10"/>
  <c r="P32" i="22"/>
  <c r="P30" i="22"/>
  <c r="P29" i="22"/>
  <c r="P31" i="22"/>
  <c r="E40" i="22"/>
  <c r="E59" i="10" s="1"/>
  <c r="E36" i="22"/>
  <c r="E55" i="10" s="1"/>
  <c r="E32" i="22"/>
  <c r="E51" i="10" s="1"/>
  <c r="D36" i="22"/>
  <c r="E54" i="10" s="1"/>
  <c r="D40" i="22"/>
  <c r="E58" i="10" s="1"/>
  <c r="D99" i="22"/>
  <c r="D97" i="22"/>
  <c r="D98" i="22"/>
  <c r="D96" i="22"/>
  <c r="F54" i="10" a="1"/>
  <c r="F55" i="10" a="1"/>
  <c r="F58" i="10" a="1"/>
  <c r="F59" i="10" a="1"/>
  <c r="V55" i="10" l="1"/>
  <c r="U55" i="10"/>
  <c r="Q55" i="10"/>
  <c r="T55" i="10"/>
  <c r="S55" i="10"/>
  <c r="W55" i="10"/>
  <c r="X55" i="10"/>
  <c r="V59" i="10"/>
  <c r="Q59" i="10"/>
  <c r="U59" i="10"/>
  <c r="T59" i="10"/>
  <c r="S59" i="10"/>
  <c r="X59" i="10"/>
  <c r="W59" i="10"/>
  <c r="X58" i="10"/>
  <c r="Q58" i="10"/>
  <c r="W58" i="10"/>
  <c r="S58" i="10"/>
  <c r="V58" i="10"/>
  <c r="U58" i="10"/>
  <c r="T58" i="10"/>
  <c r="X54" i="10"/>
  <c r="W54" i="10"/>
  <c r="V54" i="10"/>
  <c r="U54" i="10"/>
  <c r="T54" i="10"/>
  <c r="S54" i="10"/>
  <c r="Q54" i="10"/>
  <c r="V51" i="10"/>
  <c r="U51" i="10"/>
  <c r="W51" i="10"/>
  <c r="T51" i="10"/>
  <c r="S51" i="10"/>
  <c r="Q51" i="10"/>
  <c r="X51" i="10"/>
  <c r="F54" i="10"/>
  <c r="F59" i="10"/>
  <c r="F58" i="10"/>
  <c r="F55" i="10"/>
  <c r="D23" i="22"/>
  <c r="D33" i="22" s="1"/>
  <c r="E52" i="10" s="1"/>
  <c r="E23" i="22"/>
  <c r="E37" i="22" s="1"/>
  <c r="E57" i="10" s="1"/>
  <c r="AB26" i="9"/>
  <c r="AB31" i="9"/>
  <c r="AB35" i="9"/>
  <c r="AB43" i="9"/>
  <c r="N57" i="10" a="1"/>
  <c r="M57" i="10" a="1"/>
  <c r="K52" i="10" a="1"/>
  <c r="J57" i="10" a="1"/>
  <c r="G57" i="10" a="1"/>
  <c r="N52" i="10" a="1"/>
  <c r="I57" i="10" a="1"/>
  <c r="F52" i="10" a="1"/>
  <c r="G52" i="10" a="1"/>
  <c r="I52" i="10" a="1"/>
  <c r="F57" i="10" a="1"/>
  <c r="H57" i="10" a="1"/>
  <c r="M52" i="10" a="1"/>
  <c r="J52" i="10" a="1"/>
  <c r="O57" i="10" a="1"/>
  <c r="L52" i="10" a="1"/>
  <c r="L57" i="10" a="1"/>
  <c r="H52" i="10" a="1"/>
  <c r="K57" i="10" a="1"/>
  <c r="E33" i="22" l="1"/>
  <c r="E53" i="10" s="1"/>
  <c r="D37" i="22"/>
  <c r="E56" i="10" s="1"/>
  <c r="D41" i="22"/>
  <c r="E60" i="10" s="1"/>
  <c r="N52" i="10"/>
  <c r="M52" i="10"/>
  <c r="L52" i="10"/>
  <c r="K52" i="10"/>
  <c r="J52" i="10"/>
  <c r="I52" i="10"/>
  <c r="H52" i="10"/>
  <c r="F52" i="10"/>
  <c r="O57" i="10"/>
  <c r="N57" i="10"/>
  <c r="L57" i="10"/>
  <c r="K57" i="10"/>
  <c r="J57" i="10"/>
  <c r="I57" i="10"/>
  <c r="H57" i="10"/>
  <c r="M57" i="10"/>
  <c r="F57" i="10"/>
  <c r="G52" i="10"/>
  <c r="G57" i="10"/>
  <c r="E41" i="22"/>
  <c r="E61" i="10" s="1"/>
  <c r="O52" i="10" a="1"/>
  <c r="O52" i="10" s="1"/>
  <c r="D22" i="22"/>
  <c r="E22" i="22"/>
  <c r="Z16" i="9"/>
  <c r="AA16" i="9" s="1"/>
  <c r="AC16" i="9" s="1"/>
  <c r="Z30" i="9"/>
  <c r="AA30" i="9" s="1"/>
  <c r="AC30" i="9" s="1"/>
  <c r="Z25" i="9"/>
  <c r="AA25" i="9" s="1"/>
  <c r="AC25" i="9" s="1"/>
  <c r="Z20" i="9"/>
  <c r="AA20" i="9" s="1"/>
  <c r="AC20" i="9" s="1"/>
  <c r="Z36" i="9"/>
  <c r="AA36" i="9" s="1"/>
  <c r="AC36" i="9" s="1"/>
  <c r="Z39" i="9"/>
  <c r="AA39" i="9" s="1"/>
  <c r="AC39" i="9" s="1"/>
  <c r="M51" i="10" a="1"/>
  <c r="N59" i="10" a="1"/>
  <c r="I55" i="10" a="1"/>
  <c r="H50" i="10" a="1"/>
  <c r="G50" i="10" a="1"/>
  <c r="H59" i="10" a="1"/>
  <c r="O59" i="10" a="1"/>
  <c r="J54" i="10" a="1"/>
  <c r="I61" i="10" a="1"/>
  <c r="G61" i="10" a="1"/>
  <c r="G59" i="10" a="1"/>
  <c r="K51" i="10" a="1"/>
  <c r="N55" i="10" a="1"/>
  <c r="O58" i="10" a="1"/>
  <c r="K55" i="10" a="1"/>
  <c r="L55" i="10" a="1"/>
  <c r="H54" i="10" a="1"/>
  <c r="O51" i="10" a="1"/>
  <c r="K54" i="10" a="1"/>
  <c r="J59" i="10" a="1"/>
  <c r="K59" i="10" a="1"/>
  <c r="L51" i="10" a="1"/>
  <c r="I58" i="10" a="1"/>
  <c r="M50" i="10" a="1"/>
  <c r="M54" i="10" a="1"/>
  <c r="O50" i="10" a="1"/>
  <c r="I50" i="10" a="1"/>
  <c r="O61" i="10" a="1"/>
  <c r="L59" i="10" a="1"/>
  <c r="G55" i="10" a="1"/>
  <c r="H58" i="10" a="1"/>
  <c r="J55" i="10" a="1"/>
  <c r="M55" i="10" a="1"/>
  <c r="H55" i="10" a="1"/>
  <c r="J50" i="10" a="1"/>
  <c r="K61" i="10" a="1"/>
  <c r="N51" i="10" a="1"/>
  <c r="M61" i="10" a="1"/>
  <c r="O54" i="10" a="1"/>
  <c r="O55" i="10" a="1"/>
  <c r="L50" i="10" a="1"/>
  <c r="I51" i="10" a="1"/>
  <c r="K50" i="10" a="1"/>
  <c r="F51" i="10" a="1"/>
  <c r="F61" i="10" a="1"/>
  <c r="N50" i="10" a="1"/>
  <c r="L61" i="10" a="1"/>
  <c r="J58" i="10" a="1"/>
  <c r="L58" i="10" a="1"/>
  <c r="H61" i="10" a="1"/>
  <c r="H51" i="10" a="1"/>
  <c r="G58" i="10" a="1"/>
  <c r="I54" i="10" a="1"/>
  <c r="M58" i="10" a="1"/>
  <c r="K58" i="10" a="1"/>
  <c r="L54" i="10" a="1"/>
  <c r="M59" i="10" a="1"/>
  <c r="G54" i="10" a="1"/>
  <c r="N61" i="10" a="1"/>
  <c r="N54" i="10" a="1"/>
  <c r="I59" i="10" a="1"/>
  <c r="G51" i="10" a="1"/>
  <c r="J61" i="10" a="1"/>
  <c r="J51" i="10" a="1"/>
  <c r="F50" i="10" a="1"/>
  <c r="N58" i="10" a="1"/>
  <c r="O53" i="10" l="1" a="1"/>
  <c r="O53" i="10" s="1"/>
  <c r="O58" i="10"/>
  <c r="N58" i="10"/>
  <c r="M58" i="10"/>
  <c r="L58" i="10"/>
  <c r="K58" i="10"/>
  <c r="J58" i="10"/>
  <c r="I58" i="10"/>
  <c r="H58" i="10"/>
  <c r="G58" i="10"/>
  <c r="O59" i="10"/>
  <c r="N59" i="10"/>
  <c r="M59" i="10"/>
  <c r="L59" i="10"/>
  <c r="K59" i="10"/>
  <c r="J59" i="10"/>
  <c r="I59" i="10"/>
  <c r="H59" i="10"/>
  <c r="G59" i="10"/>
  <c r="O50" i="10"/>
  <c r="N50" i="10"/>
  <c r="M50" i="10"/>
  <c r="L50" i="10"/>
  <c r="K50" i="10"/>
  <c r="J50" i="10"/>
  <c r="I50" i="10"/>
  <c r="H50" i="10"/>
  <c r="G50" i="10"/>
  <c r="O61" i="10"/>
  <c r="N61" i="10"/>
  <c r="M61" i="10"/>
  <c r="L61" i="10"/>
  <c r="K61" i="10"/>
  <c r="J61" i="10"/>
  <c r="I61" i="10"/>
  <c r="H61" i="10"/>
  <c r="F61" i="10"/>
  <c r="O55" i="10"/>
  <c r="N55" i="10"/>
  <c r="M55" i="10"/>
  <c r="L55" i="10"/>
  <c r="K55" i="10"/>
  <c r="J55" i="10"/>
  <c r="I55" i="10"/>
  <c r="H55" i="10"/>
  <c r="G55" i="10"/>
  <c r="O51" i="10"/>
  <c r="N51" i="10"/>
  <c r="M51" i="10"/>
  <c r="L51" i="10"/>
  <c r="K51" i="10"/>
  <c r="J51" i="10"/>
  <c r="I51" i="10"/>
  <c r="H51" i="10"/>
  <c r="G51" i="10"/>
  <c r="F51" i="10"/>
  <c r="O54" i="10"/>
  <c r="N54" i="10"/>
  <c r="M54" i="10"/>
  <c r="L54" i="10"/>
  <c r="K54" i="10"/>
  <c r="J54" i="10"/>
  <c r="I54" i="10"/>
  <c r="H54" i="10"/>
  <c r="G54" i="10"/>
  <c r="F50" i="10"/>
  <c r="G61" i="10"/>
  <c r="AB20" i="9"/>
  <c r="AB30" i="9"/>
  <c r="AB39" i="9"/>
  <c r="AP50" i="10"/>
  <c r="AF50" i="10"/>
  <c r="AD50" i="10"/>
  <c r="AO50" i="10"/>
  <c r="AN50" i="10"/>
  <c r="AM50" i="10"/>
  <c r="AC50" i="10"/>
  <c r="AL50" i="10"/>
  <c r="AB50" i="10"/>
  <c r="AK50" i="10"/>
  <c r="AA50" i="10"/>
  <c r="AJ50" i="10"/>
  <c r="AI50" i="10"/>
  <c r="AG50" i="10"/>
  <c r="AB36" i="9"/>
  <c r="AJ59" i="10"/>
  <c r="AL59" i="10"/>
  <c r="AI59" i="10"/>
  <c r="AB59" i="10"/>
  <c r="AP59" i="10"/>
  <c r="AG59" i="10"/>
  <c r="AO59" i="10"/>
  <c r="AF59" i="10"/>
  <c r="AN59" i="10"/>
  <c r="AD59" i="10"/>
  <c r="AM59" i="10"/>
  <c r="AC59" i="10"/>
  <c r="AK59" i="10"/>
  <c r="AA59" i="10"/>
  <c r="AP58" i="10"/>
  <c r="AG58" i="10"/>
  <c r="AO58" i="10"/>
  <c r="AF58" i="10"/>
  <c r="AN58" i="10"/>
  <c r="AD58" i="10"/>
  <c r="AM58" i="10"/>
  <c r="AC58" i="10"/>
  <c r="AJ58" i="10"/>
  <c r="AL58" i="10"/>
  <c r="AB58" i="10"/>
  <c r="AK58" i="10"/>
  <c r="AA58" i="10"/>
  <c r="AI58" i="10"/>
  <c r="AI51" i="10"/>
  <c r="AP51" i="10"/>
  <c r="AB51" i="10"/>
  <c r="AO51" i="10"/>
  <c r="AF51" i="10"/>
  <c r="AL51" i="10"/>
  <c r="AN51" i="10"/>
  <c r="AD51" i="10"/>
  <c r="AM51" i="10"/>
  <c r="AC51" i="10"/>
  <c r="AK51" i="10"/>
  <c r="AA51" i="10"/>
  <c r="AJ51" i="10"/>
  <c r="AG51" i="10"/>
  <c r="AP54" i="10"/>
  <c r="AG54" i="10"/>
  <c r="AO54" i="10"/>
  <c r="AF54" i="10"/>
  <c r="AN54" i="10"/>
  <c r="AD54" i="10"/>
  <c r="AM54" i="10"/>
  <c r="AC54" i="10"/>
  <c r="AJ54" i="10"/>
  <c r="AL54" i="10"/>
  <c r="AB54" i="10"/>
  <c r="AK54" i="10"/>
  <c r="AA54" i="10"/>
  <c r="AI54" i="10"/>
  <c r="AB25" i="9"/>
  <c r="AJ55" i="10"/>
  <c r="AL55" i="10"/>
  <c r="AI55" i="10"/>
  <c r="AB55" i="10"/>
  <c r="AP55" i="10"/>
  <c r="AG55" i="10"/>
  <c r="AO55" i="10"/>
  <c r="AF55" i="10"/>
  <c r="AN55" i="10"/>
  <c r="AD55" i="10"/>
  <c r="AM55" i="10"/>
  <c r="AC55" i="10"/>
  <c r="AK55" i="10"/>
  <c r="AA55" i="10"/>
  <c r="Z18" i="9"/>
  <c r="AA18" i="9" s="1"/>
  <c r="AC18" i="9" s="1"/>
  <c r="Z19" i="9"/>
  <c r="AA19" i="9" s="1"/>
  <c r="AC19" i="9" s="1"/>
  <c r="Z21" i="9"/>
  <c r="AA21" i="9" s="1"/>
  <c r="AC21" i="9" s="1"/>
  <c r="Z22" i="9"/>
  <c r="AA22" i="9" s="1"/>
  <c r="AC22" i="9" s="1"/>
  <c r="Z23" i="9"/>
  <c r="AA23" i="9" s="1"/>
  <c r="AC23" i="9" s="1"/>
  <c r="Z24" i="9"/>
  <c r="AA24" i="9" s="1"/>
  <c r="AC24" i="9" s="1"/>
  <c r="AA27" i="9"/>
  <c r="AC27" i="9" s="1"/>
  <c r="Z28" i="9"/>
  <c r="AA28" i="9" s="1"/>
  <c r="AC28" i="9" s="1"/>
  <c r="Z29" i="9"/>
  <c r="AA29" i="9" s="1"/>
  <c r="AC29" i="9" s="1"/>
  <c r="Z32" i="9"/>
  <c r="AA32" i="9" s="1"/>
  <c r="AC32" i="9" s="1"/>
  <c r="Z33" i="9"/>
  <c r="AA33" i="9" s="1"/>
  <c r="AC33" i="9" s="1"/>
  <c r="Z34" i="9"/>
  <c r="AA34" i="9" s="1"/>
  <c r="AC34" i="9" s="1"/>
  <c r="Z37" i="9"/>
  <c r="AA37" i="9" s="1"/>
  <c r="AC37" i="9" s="1"/>
  <c r="Z38" i="9"/>
  <c r="AA38" i="9" s="1"/>
  <c r="AC38" i="9" s="1"/>
  <c r="Z40" i="9"/>
  <c r="AA40" i="9" s="1"/>
  <c r="AC40" i="9" s="1"/>
  <c r="Z41" i="9"/>
  <c r="AA41" i="9" s="1"/>
  <c r="AC41" i="9" s="1"/>
  <c r="Z42" i="9"/>
  <c r="AA42" i="9" s="1"/>
  <c r="AC42" i="9" s="1"/>
  <c r="Z17" i="9"/>
  <c r="AA17" i="9" s="1"/>
  <c r="AC17" i="9" s="1"/>
  <c r="N56" i="10" a="1"/>
  <c r="H60" i="10" a="1"/>
  <c r="K60" i="10" a="1"/>
  <c r="M60" i="10" a="1"/>
  <c r="N53" i="10" a="1"/>
  <c r="L56" i="10" a="1"/>
  <c r="M53" i="10" a="1"/>
  <c r="F53" i="10" a="1"/>
  <c r="O60" i="10" a="1"/>
  <c r="G56" i="10" a="1"/>
  <c r="I53" i="10" a="1"/>
  <c r="G53" i="10" a="1"/>
  <c r="F60" i="10" a="1"/>
  <c r="G60" i="10" a="1"/>
  <c r="J53" i="10" a="1"/>
  <c r="J56" i="10" a="1"/>
  <c r="H53" i="10" a="1"/>
  <c r="I56" i="10" a="1"/>
  <c r="L60" i="10" a="1"/>
  <c r="I60" i="10" a="1"/>
  <c r="J60" i="10" a="1"/>
  <c r="K53" i="10" a="1"/>
  <c r="O56" i="10" a="1"/>
  <c r="L53" i="10" a="1"/>
  <c r="H56" i="10" a="1"/>
  <c r="F56" i="10" a="1"/>
  <c r="K56" i="10" a="1"/>
  <c r="N60" i="10" a="1"/>
  <c r="M56" i="10" a="1"/>
  <c r="K53" i="10" l="1"/>
  <c r="H53" i="10"/>
  <c r="F53" i="10"/>
  <c r="N53" i="10"/>
  <c r="I53" i="10"/>
  <c r="J53" i="10"/>
  <c r="L53" i="10"/>
  <c r="M53" i="10"/>
  <c r="G53" i="10"/>
  <c r="K56" i="10"/>
  <c r="J56" i="10"/>
  <c r="L56" i="10"/>
  <c r="N56" i="10"/>
  <c r="G56" i="10"/>
  <c r="I56" i="10"/>
  <c r="F56" i="10"/>
  <c r="M56" i="10"/>
  <c r="H56" i="10"/>
  <c r="O56" i="10"/>
  <c r="M60" i="10"/>
  <c r="I60" i="10"/>
  <c r="O60" i="10"/>
  <c r="K60" i="10"/>
  <c r="N60" i="10"/>
  <c r="H60" i="10"/>
  <c r="L60" i="10"/>
  <c r="F60" i="10"/>
  <c r="J60" i="10"/>
  <c r="G60" i="10"/>
  <c r="AB22" i="9"/>
  <c r="AB41" i="9"/>
  <c r="AB37" i="9"/>
  <c r="AB33" i="9"/>
  <c r="AB21" i="9"/>
  <c r="AB34" i="9"/>
  <c r="AB32" i="9"/>
  <c r="AB28" i="9"/>
  <c r="AB23" i="9"/>
  <c r="AB17" i="9"/>
  <c r="AB19" i="9"/>
  <c r="AB40" i="9"/>
  <c r="AB38" i="9"/>
  <c r="AB24" i="9"/>
  <c r="AB16" i="9"/>
  <c r="AB42" i="9"/>
  <c r="AB29" i="9"/>
  <c r="AB18" i="9"/>
  <c r="AB27" i="9"/>
  <c r="H21" i="20" l="1"/>
  <c r="H22" i="20" s="1"/>
  <c r="P9" i="20"/>
  <c r="P10" i="20" s="1"/>
  <c r="H9" i="20"/>
  <c r="H10" i="20" s="1"/>
  <c r="O33" i="18"/>
  <c r="T33" i="18"/>
  <c r="M29" i="9"/>
  <c r="M28" i="9"/>
  <c r="M27" i="9"/>
  <c r="L40" i="9" l="1"/>
  <c r="M36" i="9" l="1"/>
  <c r="M37" i="9"/>
  <c r="M38" i="9"/>
  <c r="M39" i="9"/>
  <c r="M40" i="9"/>
  <c r="M35" i="9"/>
  <c r="L38" i="9"/>
  <c r="L39" i="9"/>
  <c r="L37" i="9"/>
  <c r="C22" i="20"/>
  <c r="K10" i="20"/>
  <c r="G20" i="20"/>
  <c r="G18" i="20"/>
  <c r="C10" i="20"/>
  <c r="G10" i="20" s="1"/>
  <c r="O8" i="20"/>
  <c r="O6" i="20"/>
  <c r="G8" i="20"/>
  <c r="G6" i="20"/>
  <c r="F13" i="20" l="1"/>
  <c r="F14" i="20" s="1"/>
  <c r="F12" i="20"/>
  <c r="I31" i="26" s="1"/>
  <c r="R32" i="18"/>
  <c r="R32" i="26"/>
  <c r="M32" i="26"/>
  <c r="I32" i="26"/>
  <c r="M32" i="18"/>
  <c r="I32" i="18"/>
  <c r="F22" i="20"/>
  <c r="G22" i="20"/>
  <c r="N10" i="20"/>
  <c r="O10" i="20"/>
  <c r="F10" i="20"/>
  <c r="N13" i="20" l="1"/>
  <c r="N12" i="20"/>
  <c r="M31" i="26" s="1"/>
  <c r="M33" i="26" s="1"/>
  <c r="F25" i="20"/>
  <c r="F24" i="20"/>
  <c r="R31" i="26" s="1"/>
  <c r="R33" i="26" s="1"/>
  <c r="I33" i="26"/>
  <c r="I31" i="18"/>
  <c r="I33" i="18" s="1"/>
  <c r="E88" i="20"/>
  <c r="M31" i="18" l="1"/>
  <c r="M33" i="18" s="1"/>
  <c r="R31" i="18"/>
  <c r="R33" i="18" s="1"/>
  <c r="T29" i="18"/>
  <c r="O29" i="18"/>
  <c r="E14" i="1"/>
  <c r="D14" i="1"/>
  <c r="F6" i="18"/>
  <c r="F7" i="18"/>
  <c r="F4" i="1"/>
  <c r="AD24" i="16"/>
  <c r="AC23" i="16"/>
  <c r="F7" i="1" s="1"/>
  <c r="L6" i="1" l="1" a="1"/>
  <c r="L6" i="1" s="1"/>
  <c r="F8" i="1" a="1"/>
  <c r="F8" i="1" s="1"/>
  <c r="L13" i="1" a="1"/>
  <c r="L13" i="1" s="1"/>
  <c r="L12" i="1" a="1"/>
  <c r="L12" i="1" s="1"/>
  <c r="L11" i="1" a="1"/>
  <c r="L11" i="1" s="1"/>
  <c r="L10" i="1" a="1"/>
  <c r="L10" i="1" s="1"/>
  <c r="L9" i="1" a="1"/>
  <c r="L9" i="1" s="1"/>
  <c r="L15" i="1" a="1"/>
  <c r="L15" i="1" s="1"/>
  <c r="L14" i="1" a="1"/>
  <c r="L14" i="1" s="1"/>
  <c r="F6" i="1" a="1"/>
  <c r="F6" i="1" s="1"/>
  <c r="L8" i="1" a="1"/>
  <c r="L8" i="1" s="1"/>
  <c r="L7" i="1" a="1"/>
  <c r="L7" i="1" s="1"/>
  <c r="I27" i="18"/>
  <c r="I84" i="18"/>
  <c r="M27" i="18"/>
  <c r="M84" i="18"/>
  <c r="R27" i="18"/>
  <c r="R84" i="18"/>
  <c r="L19" i="1" a="1"/>
  <c r="L19" i="1" s="1"/>
  <c r="C8" i="1" a="1"/>
  <c r="C8" i="1" s="1"/>
  <c r="W661" i="15" l="1" a="1"/>
  <c r="W661" i="15" s="1"/>
  <c r="W662" i="15" a="1"/>
  <c r="W662" i="15" s="1"/>
  <c r="W663" i="15" a="1"/>
  <c r="W663" i="15" s="1"/>
  <c r="W664" i="15" a="1"/>
  <c r="W664" i="15" s="1"/>
  <c r="W665" i="15" a="1"/>
  <c r="W665" i="15" s="1"/>
  <c r="W666" i="15" a="1"/>
  <c r="W666" i="15" s="1"/>
  <c r="W667" i="15" a="1"/>
  <c r="W667" i="15" s="1"/>
  <c r="W668" i="15" a="1"/>
  <c r="W668" i="15" s="1"/>
  <c r="W669" i="15" a="1"/>
  <c r="W669" i="15" s="1"/>
  <c r="W670" i="15" a="1"/>
  <c r="W670" i="15" s="1"/>
  <c r="W671" i="15" a="1"/>
  <c r="W671" i="15" s="1"/>
  <c r="W672" i="15" a="1"/>
  <c r="W672" i="15" s="1"/>
  <c r="W673" i="15" a="1"/>
  <c r="W673" i="15" s="1"/>
  <c r="W674" i="15" a="1"/>
  <c r="W674" i="15" s="1"/>
  <c r="W675" i="15" a="1"/>
  <c r="W675" i="15" s="1"/>
  <c r="W676" i="15" a="1"/>
  <c r="W676" i="15" s="1"/>
  <c r="W677" i="15" a="1"/>
  <c r="W677" i="15" s="1"/>
  <c r="W678" i="15" a="1"/>
  <c r="W678" i="15" s="1"/>
  <c r="W679" i="15" a="1"/>
  <c r="W679" i="15" s="1"/>
  <c r="AJ679" i="15"/>
  <c r="AI679" i="15"/>
  <c r="AH679" i="15"/>
  <c r="AG679" i="15"/>
  <c r="AF679" i="15"/>
  <c r="AE679" i="15"/>
  <c r="AD679" i="15"/>
  <c r="AC679" i="15"/>
  <c r="AJ678" i="15"/>
  <c r="AI678" i="15"/>
  <c r="AH678" i="15"/>
  <c r="AG678" i="15"/>
  <c r="AF678" i="15"/>
  <c r="AE678" i="15"/>
  <c r="AD678" i="15"/>
  <c r="AC678" i="15"/>
  <c r="AJ677" i="15"/>
  <c r="AI677" i="15"/>
  <c r="AH677" i="15"/>
  <c r="AG677" i="15"/>
  <c r="AF677" i="15"/>
  <c r="AE677" i="15"/>
  <c r="AD677" i="15"/>
  <c r="AC677" i="15"/>
  <c r="AJ676" i="15"/>
  <c r="AI676" i="15"/>
  <c r="AH676" i="15"/>
  <c r="AG676" i="15"/>
  <c r="AF676" i="15"/>
  <c r="AE676" i="15"/>
  <c r="AD676" i="15"/>
  <c r="AC676" i="15"/>
  <c r="AJ675" i="15"/>
  <c r="AI675" i="15"/>
  <c r="AH675" i="15"/>
  <c r="AG675" i="15"/>
  <c r="AF675" i="15"/>
  <c r="AE675" i="15"/>
  <c r="AD675" i="15"/>
  <c r="AC675" i="15"/>
  <c r="AJ674" i="15"/>
  <c r="AI674" i="15"/>
  <c r="AH674" i="15"/>
  <c r="AG674" i="15"/>
  <c r="AF674" i="15"/>
  <c r="AE674" i="15"/>
  <c r="AD674" i="15"/>
  <c r="AC674" i="15"/>
  <c r="AJ673" i="15"/>
  <c r="AI673" i="15"/>
  <c r="AH673" i="15"/>
  <c r="AG673" i="15"/>
  <c r="AF673" i="15"/>
  <c r="AE673" i="15"/>
  <c r="AD673" i="15"/>
  <c r="AC673" i="15"/>
  <c r="AJ672" i="15"/>
  <c r="AI672" i="15"/>
  <c r="AH672" i="15"/>
  <c r="AG672" i="15"/>
  <c r="AF672" i="15"/>
  <c r="AE672" i="15"/>
  <c r="AD672" i="15"/>
  <c r="AC672" i="15"/>
  <c r="AJ671" i="15"/>
  <c r="AI671" i="15"/>
  <c r="AH671" i="15"/>
  <c r="AG671" i="15"/>
  <c r="AF671" i="15"/>
  <c r="AE671" i="15"/>
  <c r="AD671" i="15"/>
  <c r="AC671" i="15"/>
  <c r="AJ670" i="15"/>
  <c r="AI670" i="15"/>
  <c r="AH670" i="15"/>
  <c r="AG670" i="15"/>
  <c r="AF670" i="15"/>
  <c r="AE670" i="15"/>
  <c r="AD670" i="15"/>
  <c r="AC670" i="15"/>
  <c r="AJ669" i="15"/>
  <c r="AI669" i="15"/>
  <c r="AH669" i="15"/>
  <c r="AG669" i="15"/>
  <c r="AF669" i="15"/>
  <c r="AE669" i="15"/>
  <c r="AD669" i="15"/>
  <c r="AC669" i="15"/>
  <c r="AJ668" i="15"/>
  <c r="AI668" i="15"/>
  <c r="AH668" i="15"/>
  <c r="AG668" i="15"/>
  <c r="AF668" i="15"/>
  <c r="AE668" i="15"/>
  <c r="AD668" i="15"/>
  <c r="AC668" i="15"/>
  <c r="AJ667" i="15"/>
  <c r="AI667" i="15"/>
  <c r="AH667" i="15"/>
  <c r="AG667" i="15"/>
  <c r="AF667" i="15"/>
  <c r="AE667" i="15"/>
  <c r="AD667" i="15"/>
  <c r="AC667" i="15"/>
  <c r="AJ666" i="15"/>
  <c r="AI666" i="15"/>
  <c r="AH666" i="15"/>
  <c r="AG666" i="15"/>
  <c r="AF666" i="15"/>
  <c r="AE666" i="15"/>
  <c r="AD666" i="15"/>
  <c r="AC666" i="15"/>
  <c r="AJ665" i="15"/>
  <c r="AI665" i="15"/>
  <c r="AH665" i="15"/>
  <c r="AG665" i="15"/>
  <c r="AF665" i="15"/>
  <c r="AE665" i="15"/>
  <c r="AD665" i="15"/>
  <c r="AC665" i="15"/>
  <c r="AJ664" i="15"/>
  <c r="AI664" i="15"/>
  <c r="AH664" i="15"/>
  <c r="AG664" i="15"/>
  <c r="AF664" i="15"/>
  <c r="AE664" i="15"/>
  <c r="AD664" i="15"/>
  <c r="AC664" i="15"/>
  <c r="AJ663" i="15"/>
  <c r="AI663" i="15"/>
  <c r="AH663" i="15"/>
  <c r="AG663" i="15"/>
  <c r="AF663" i="15"/>
  <c r="AE663" i="15"/>
  <c r="AD663" i="15"/>
  <c r="AC663" i="15"/>
  <c r="AJ662" i="15"/>
  <c r="AI662" i="15"/>
  <c r="AH662" i="15"/>
  <c r="AG662" i="15"/>
  <c r="AF662" i="15"/>
  <c r="AE662" i="15"/>
  <c r="AD662" i="15"/>
  <c r="AC662" i="15"/>
  <c r="AJ661" i="15"/>
  <c r="AI661" i="15"/>
  <c r="AH661" i="15"/>
  <c r="AG661" i="15"/>
  <c r="AF661" i="15"/>
  <c r="AE661" i="15"/>
  <c r="AD661" i="15"/>
  <c r="AC661" i="15"/>
  <c r="AJ660" i="15"/>
  <c r="AI660" i="15"/>
  <c r="AH660" i="15"/>
  <c r="AG660" i="15"/>
  <c r="AF660" i="15"/>
  <c r="AE660" i="15"/>
  <c r="AD660" i="15"/>
  <c r="AC660" i="15"/>
  <c r="W617" i="15" a="1"/>
  <c r="W617" i="15" s="1"/>
  <c r="W618" i="15" a="1"/>
  <c r="W618" i="15" s="1"/>
  <c r="W619" i="15" a="1"/>
  <c r="W619" i="15" s="1"/>
  <c r="W620" i="15" a="1"/>
  <c r="W620" i="15" s="1"/>
  <c r="W621" i="15" a="1"/>
  <c r="W621" i="15" s="1"/>
  <c r="W622" i="15" a="1"/>
  <c r="W622" i="15" s="1"/>
  <c r="W623" i="15" a="1"/>
  <c r="W623" i="15" s="1"/>
  <c r="W624" i="15" a="1"/>
  <c r="W624" i="15" s="1"/>
  <c r="W625" i="15" a="1"/>
  <c r="W625" i="15" s="1"/>
  <c r="W626" i="15" a="1"/>
  <c r="W626" i="15" s="1"/>
  <c r="W627" i="15" a="1"/>
  <c r="W627" i="15" s="1"/>
  <c r="W628" i="15" a="1"/>
  <c r="W628" i="15" s="1"/>
  <c r="W629" i="15" a="1"/>
  <c r="W629" i="15" s="1"/>
  <c r="W630" i="15" a="1"/>
  <c r="W630" i="15" s="1"/>
  <c r="W631" i="15" a="1"/>
  <c r="W631" i="15" s="1"/>
  <c r="W632" i="15" a="1"/>
  <c r="W632" i="15" s="1"/>
  <c r="W633" i="15" a="1"/>
  <c r="W633" i="15" s="1"/>
  <c r="W634" i="15" a="1"/>
  <c r="W634" i="15" s="1"/>
  <c r="W635" i="15" a="1"/>
  <c r="W635" i="15" s="1"/>
  <c r="AJ635" i="15"/>
  <c r="AI635" i="15"/>
  <c r="AH635" i="15"/>
  <c r="AG635" i="15"/>
  <c r="AF635" i="15"/>
  <c r="AE635" i="15"/>
  <c r="AD635" i="15"/>
  <c r="AC635" i="15"/>
  <c r="AJ634" i="15"/>
  <c r="AI634" i="15"/>
  <c r="AH634" i="15"/>
  <c r="AG634" i="15"/>
  <c r="AF634" i="15"/>
  <c r="AE634" i="15"/>
  <c r="AD634" i="15"/>
  <c r="AC634" i="15"/>
  <c r="AJ633" i="15"/>
  <c r="AI633" i="15"/>
  <c r="AH633" i="15"/>
  <c r="AG633" i="15"/>
  <c r="AF633" i="15"/>
  <c r="AE633" i="15"/>
  <c r="AD633" i="15"/>
  <c r="AC633" i="15"/>
  <c r="AJ632" i="15"/>
  <c r="AI632" i="15"/>
  <c r="AH632" i="15"/>
  <c r="AG632" i="15"/>
  <c r="AF632" i="15"/>
  <c r="AE632" i="15"/>
  <c r="AD632" i="15"/>
  <c r="AC632" i="15"/>
  <c r="AJ631" i="15"/>
  <c r="AI631" i="15"/>
  <c r="AH631" i="15"/>
  <c r="AG631" i="15"/>
  <c r="AF631" i="15"/>
  <c r="AE631" i="15"/>
  <c r="AD631" i="15"/>
  <c r="AC631" i="15"/>
  <c r="AJ630" i="15"/>
  <c r="AI630" i="15"/>
  <c r="AH630" i="15"/>
  <c r="AG630" i="15"/>
  <c r="AF630" i="15"/>
  <c r="AE630" i="15"/>
  <c r="AD630" i="15"/>
  <c r="AC630" i="15"/>
  <c r="AJ629" i="15"/>
  <c r="AI629" i="15"/>
  <c r="AH629" i="15"/>
  <c r="AG629" i="15"/>
  <c r="AF629" i="15"/>
  <c r="AE629" i="15"/>
  <c r="AD629" i="15"/>
  <c r="AC629" i="15"/>
  <c r="AJ628" i="15"/>
  <c r="AI628" i="15"/>
  <c r="AH628" i="15"/>
  <c r="AG628" i="15"/>
  <c r="AF628" i="15"/>
  <c r="AE628" i="15"/>
  <c r="AD628" i="15"/>
  <c r="AC628" i="15"/>
  <c r="AJ627" i="15"/>
  <c r="AI627" i="15"/>
  <c r="AH627" i="15"/>
  <c r="AG627" i="15"/>
  <c r="AF627" i="15"/>
  <c r="AE627" i="15"/>
  <c r="AD627" i="15"/>
  <c r="AC627" i="15"/>
  <c r="AJ626" i="15"/>
  <c r="AI626" i="15"/>
  <c r="AH626" i="15"/>
  <c r="AG626" i="15"/>
  <c r="AF626" i="15"/>
  <c r="AE626" i="15"/>
  <c r="AD626" i="15"/>
  <c r="AC626" i="15"/>
  <c r="AJ625" i="15"/>
  <c r="AI625" i="15"/>
  <c r="AH625" i="15"/>
  <c r="AG625" i="15"/>
  <c r="AF625" i="15"/>
  <c r="AE625" i="15"/>
  <c r="AD625" i="15"/>
  <c r="AC625" i="15"/>
  <c r="AJ624" i="15"/>
  <c r="AI624" i="15"/>
  <c r="AH624" i="15"/>
  <c r="AG624" i="15"/>
  <c r="AF624" i="15"/>
  <c r="AE624" i="15"/>
  <c r="AD624" i="15"/>
  <c r="AC624" i="15"/>
  <c r="AJ623" i="15"/>
  <c r="AI623" i="15"/>
  <c r="AH623" i="15"/>
  <c r="AG623" i="15"/>
  <c r="AF623" i="15"/>
  <c r="AE623" i="15"/>
  <c r="AD623" i="15"/>
  <c r="AC623" i="15"/>
  <c r="AJ622" i="15"/>
  <c r="AI622" i="15"/>
  <c r="AH622" i="15"/>
  <c r="AG622" i="15"/>
  <c r="AF622" i="15"/>
  <c r="AE622" i="15"/>
  <c r="AD622" i="15"/>
  <c r="AC622" i="15"/>
  <c r="AJ621" i="15"/>
  <c r="AI621" i="15"/>
  <c r="AH621" i="15"/>
  <c r="AG621" i="15"/>
  <c r="AF621" i="15"/>
  <c r="AE621" i="15"/>
  <c r="AD621" i="15"/>
  <c r="AC621" i="15"/>
  <c r="AJ620" i="15"/>
  <c r="AI620" i="15"/>
  <c r="AH620" i="15"/>
  <c r="AG620" i="15"/>
  <c r="AF620" i="15"/>
  <c r="AE620" i="15"/>
  <c r="AD620" i="15"/>
  <c r="AC620" i="15"/>
  <c r="AJ619" i="15"/>
  <c r="AI619" i="15"/>
  <c r="AH619" i="15"/>
  <c r="AG619" i="15"/>
  <c r="AF619" i="15"/>
  <c r="AE619" i="15"/>
  <c r="AD619" i="15"/>
  <c r="AC619" i="15"/>
  <c r="AJ618" i="15"/>
  <c r="AI618" i="15"/>
  <c r="AH618" i="15"/>
  <c r="AG618" i="15"/>
  <c r="AF618" i="15"/>
  <c r="AE618" i="15"/>
  <c r="AD618" i="15"/>
  <c r="AC618" i="15"/>
  <c r="AJ617" i="15"/>
  <c r="AI617" i="15"/>
  <c r="AH617" i="15"/>
  <c r="AG617" i="15"/>
  <c r="AF617" i="15"/>
  <c r="AE617" i="15"/>
  <c r="AD617" i="15"/>
  <c r="AC617" i="15"/>
  <c r="AJ616" i="15"/>
  <c r="AI616" i="15"/>
  <c r="AH616" i="15"/>
  <c r="AG616" i="15"/>
  <c r="AF616" i="15"/>
  <c r="AE616" i="15"/>
  <c r="AD616" i="15"/>
  <c r="AC616" i="15"/>
  <c r="AJ573" i="15"/>
  <c r="AJ574" i="15"/>
  <c r="AJ575" i="15"/>
  <c r="AJ576" i="15"/>
  <c r="AJ577" i="15"/>
  <c r="AJ578" i="15"/>
  <c r="AJ579" i="15"/>
  <c r="AJ580" i="15"/>
  <c r="AJ581" i="15"/>
  <c r="AJ582" i="15"/>
  <c r="AJ583" i="15"/>
  <c r="AJ584" i="15"/>
  <c r="AJ585" i="15"/>
  <c r="AJ586" i="15"/>
  <c r="AJ587" i="15"/>
  <c r="AJ588" i="15"/>
  <c r="AJ589" i="15"/>
  <c r="AJ590" i="15"/>
  <c r="AJ591" i="15"/>
  <c r="AI573" i="15"/>
  <c r="AI574" i="15"/>
  <c r="AI575" i="15"/>
  <c r="AI576" i="15"/>
  <c r="AI577" i="15"/>
  <c r="AI578" i="15"/>
  <c r="AI579" i="15"/>
  <c r="AI580" i="15"/>
  <c r="AI581" i="15"/>
  <c r="AI582" i="15"/>
  <c r="AI583" i="15"/>
  <c r="AI584" i="15"/>
  <c r="AI585" i="15"/>
  <c r="AI586" i="15"/>
  <c r="AI587" i="15"/>
  <c r="AI588" i="15"/>
  <c r="AI589" i="15"/>
  <c r="AI590" i="15"/>
  <c r="AI591" i="15"/>
  <c r="AH573" i="15"/>
  <c r="AH574" i="15"/>
  <c r="AH575" i="15"/>
  <c r="AH576" i="15"/>
  <c r="AH577" i="15"/>
  <c r="AH578" i="15"/>
  <c r="AH579" i="15"/>
  <c r="AH580" i="15"/>
  <c r="AH581" i="15"/>
  <c r="AH582" i="15"/>
  <c r="AH583" i="15"/>
  <c r="AH584" i="15"/>
  <c r="AH585" i="15"/>
  <c r="AH586" i="15"/>
  <c r="AH587" i="15"/>
  <c r="AH588" i="15"/>
  <c r="AH589" i="15"/>
  <c r="AH590" i="15"/>
  <c r="AH591" i="15"/>
  <c r="AI572" i="15"/>
  <c r="J572" i="15" s="1"/>
  <c r="AJ572" i="15"/>
  <c r="K572" i="15" s="1"/>
  <c r="AH572" i="15"/>
  <c r="I572" i="15" s="1"/>
  <c r="AG573" i="15"/>
  <c r="AG574" i="15"/>
  <c r="AG575" i="15"/>
  <c r="AG576" i="15"/>
  <c r="AG577" i="15"/>
  <c r="AG578" i="15"/>
  <c r="AG579" i="15"/>
  <c r="AG580" i="15"/>
  <c r="AG581" i="15"/>
  <c r="AG582" i="15"/>
  <c r="AG583" i="15"/>
  <c r="AG584" i="15"/>
  <c r="AG585" i="15"/>
  <c r="AG586" i="15"/>
  <c r="AG587" i="15"/>
  <c r="AG588" i="15"/>
  <c r="AG589" i="15"/>
  <c r="AG590" i="15"/>
  <c r="AG591" i="15"/>
  <c r="AF573" i="15"/>
  <c r="AF574" i="15"/>
  <c r="AF575" i="15"/>
  <c r="AF576" i="15"/>
  <c r="AF577" i="15"/>
  <c r="AF578" i="15"/>
  <c r="AF579" i="15"/>
  <c r="AF580" i="15"/>
  <c r="AF581" i="15"/>
  <c r="AF582" i="15"/>
  <c r="AF583" i="15"/>
  <c r="AF584" i="15"/>
  <c r="AF585" i="15"/>
  <c r="AF586" i="15"/>
  <c r="AF587" i="15"/>
  <c r="AF588" i="15"/>
  <c r="AF589" i="15"/>
  <c r="AF590" i="15"/>
  <c r="AF591" i="15"/>
  <c r="AE573" i="15"/>
  <c r="AE574" i="15"/>
  <c r="AE575" i="15"/>
  <c r="AE576" i="15"/>
  <c r="AE577" i="15"/>
  <c r="AE578" i="15"/>
  <c r="AE579" i="15"/>
  <c r="AE580" i="15"/>
  <c r="AE581" i="15"/>
  <c r="AE582" i="15"/>
  <c r="AE583" i="15"/>
  <c r="AE584" i="15"/>
  <c r="AE585" i="15"/>
  <c r="AE586" i="15"/>
  <c r="AE587" i="15"/>
  <c r="AE588" i="15"/>
  <c r="AE589" i="15"/>
  <c r="AE590" i="15"/>
  <c r="AE591" i="15"/>
  <c r="AD573" i="15"/>
  <c r="AD574" i="15"/>
  <c r="AD575" i="15"/>
  <c r="AD576" i="15"/>
  <c r="AD577" i="15"/>
  <c r="AD578" i="15"/>
  <c r="AD579" i="15"/>
  <c r="AD580" i="15"/>
  <c r="AD581" i="15"/>
  <c r="AD582" i="15"/>
  <c r="AD583" i="15"/>
  <c r="AD584" i="15"/>
  <c r="AD585" i="15"/>
  <c r="AD586" i="15"/>
  <c r="AD587" i="15"/>
  <c r="AD588" i="15"/>
  <c r="AD589" i="15"/>
  <c r="AD590" i="15"/>
  <c r="AD591" i="15"/>
  <c r="AC573" i="15"/>
  <c r="AC574" i="15"/>
  <c r="AC575" i="15"/>
  <c r="AC576" i="15"/>
  <c r="AC577" i="15"/>
  <c r="AC578" i="15"/>
  <c r="AC579" i="15"/>
  <c r="AC580" i="15"/>
  <c r="AC581" i="15"/>
  <c r="AC582" i="15"/>
  <c r="AC583" i="15"/>
  <c r="AC584" i="15"/>
  <c r="AC585" i="15"/>
  <c r="AC586" i="15"/>
  <c r="AC587" i="15"/>
  <c r="AC588" i="15"/>
  <c r="AC589" i="15"/>
  <c r="AC590" i="15"/>
  <c r="AC591" i="15"/>
  <c r="AD572" i="15"/>
  <c r="E572" i="15" s="1"/>
  <c r="AE572" i="15"/>
  <c r="F572" i="15" s="1"/>
  <c r="AF572" i="15"/>
  <c r="G572" i="15" s="1"/>
  <c r="AG572" i="15"/>
  <c r="H572" i="15" s="1"/>
  <c r="AC572" i="15"/>
  <c r="D572" i="15" s="1"/>
  <c r="W591" i="15" a="1"/>
  <c r="W591" i="15" s="1"/>
  <c r="W590" i="15" a="1"/>
  <c r="W590" i="15" s="1"/>
  <c r="W589" i="15" a="1"/>
  <c r="W589" i="15" s="1"/>
  <c r="W588" i="15" a="1"/>
  <c r="W588" i="15" s="1"/>
  <c r="W587" i="15" a="1"/>
  <c r="W587" i="15" s="1"/>
  <c r="W586" i="15" a="1"/>
  <c r="W586" i="15" s="1"/>
  <c r="W585" i="15" a="1"/>
  <c r="W585" i="15" s="1"/>
  <c r="W584" i="15" a="1"/>
  <c r="W584" i="15" s="1"/>
  <c r="W583" i="15" a="1"/>
  <c r="W583" i="15" s="1"/>
  <c r="W582" i="15" a="1"/>
  <c r="W582" i="15" s="1"/>
  <c r="W581" i="15" a="1"/>
  <c r="W581" i="15" s="1"/>
  <c r="W580" i="15" a="1"/>
  <c r="W580" i="15" s="1"/>
  <c r="W579" i="15" a="1"/>
  <c r="W579" i="15" s="1"/>
  <c r="W578" i="15" a="1"/>
  <c r="W578" i="15" s="1"/>
  <c r="W577" i="15" a="1"/>
  <c r="W577" i="15" s="1"/>
  <c r="W576" i="15" a="1"/>
  <c r="W576" i="15" s="1"/>
  <c r="W575" i="15" a="1"/>
  <c r="W575" i="15" s="1"/>
  <c r="W574" i="15" a="1"/>
  <c r="W574" i="15" s="1"/>
  <c r="W573" i="15" a="1"/>
  <c r="W573" i="15" s="1"/>
  <c r="W531" i="15" a="1"/>
  <c r="W531" i="15" s="1"/>
  <c r="W532" i="15" a="1"/>
  <c r="W532" i="15" s="1"/>
  <c r="W533" i="15" a="1"/>
  <c r="W533" i="15" s="1"/>
  <c r="W534" i="15" a="1"/>
  <c r="W534" i="15" s="1"/>
  <c r="W535" i="15" a="1"/>
  <c r="W535" i="15" s="1"/>
  <c r="W536" i="15" a="1"/>
  <c r="W536" i="15" s="1"/>
  <c r="W537" i="15" a="1"/>
  <c r="W537" i="15" s="1"/>
  <c r="W538" i="15" a="1"/>
  <c r="W538" i="15" s="1"/>
  <c r="W539" i="15" a="1"/>
  <c r="W539" i="15" s="1"/>
  <c r="W540" i="15" a="1"/>
  <c r="W540" i="15" s="1"/>
  <c r="W541" i="15" a="1"/>
  <c r="W541" i="15" s="1"/>
  <c r="W542" i="15" a="1"/>
  <c r="W542" i="15" s="1"/>
  <c r="W543" i="15" a="1"/>
  <c r="W543" i="15" s="1"/>
  <c r="W544" i="15" a="1"/>
  <c r="W544" i="15" s="1"/>
  <c r="W545" i="15" a="1"/>
  <c r="W545" i="15" s="1"/>
  <c r="W546" i="15" a="1"/>
  <c r="W546" i="15" s="1"/>
  <c r="W547" i="15" a="1"/>
  <c r="W547" i="15" s="1"/>
  <c r="W548" i="15" a="1"/>
  <c r="W548" i="15" s="1"/>
  <c r="AJ548" i="15"/>
  <c r="AI548" i="15"/>
  <c r="AH548" i="15"/>
  <c r="AG548" i="15"/>
  <c r="AF548" i="15"/>
  <c r="AE548" i="15"/>
  <c r="AC548" i="15"/>
  <c r="AB548" i="15"/>
  <c r="AA548" i="15"/>
  <c r="Z548" i="15"/>
  <c r="Y548" i="15"/>
  <c r="X548" i="15"/>
  <c r="AJ547" i="15"/>
  <c r="AI547" i="15"/>
  <c r="AH547" i="15"/>
  <c r="AG547" i="15"/>
  <c r="AF547" i="15"/>
  <c r="AE547" i="15"/>
  <c r="AC547" i="15"/>
  <c r="AB547" i="15"/>
  <c r="AA547" i="15"/>
  <c r="Z547" i="15"/>
  <c r="Y547" i="15"/>
  <c r="X547" i="15"/>
  <c r="AJ546" i="15"/>
  <c r="AI546" i="15"/>
  <c r="AH546" i="15"/>
  <c r="AG546" i="15"/>
  <c r="AF546" i="15"/>
  <c r="AE546" i="15"/>
  <c r="AC546" i="15"/>
  <c r="AB546" i="15"/>
  <c r="AA546" i="15"/>
  <c r="Z546" i="15"/>
  <c r="Y546" i="15"/>
  <c r="X546" i="15"/>
  <c r="AJ545" i="15"/>
  <c r="AI545" i="15"/>
  <c r="AH545" i="15"/>
  <c r="AG545" i="15"/>
  <c r="AF545" i="15"/>
  <c r="AE545" i="15"/>
  <c r="AC545" i="15"/>
  <c r="AB545" i="15"/>
  <c r="AA545" i="15"/>
  <c r="Z545" i="15"/>
  <c r="Y545" i="15"/>
  <c r="X545" i="15"/>
  <c r="AJ544" i="15"/>
  <c r="AI544" i="15"/>
  <c r="AH544" i="15"/>
  <c r="AG544" i="15"/>
  <c r="AF544" i="15"/>
  <c r="AE544" i="15"/>
  <c r="AC544" i="15"/>
  <c r="AB544" i="15"/>
  <c r="AA544" i="15"/>
  <c r="Z544" i="15"/>
  <c r="Y544" i="15"/>
  <c r="X544" i="15"/>
  <c r="AJ543" i="15"/>
  <c r="AI543" i="15"/>
  <c r="AH543" i="15"/>
  <c r="AG543" i="15"/>
  <c r="AF543" i="15"/>
  <c r="AE543" i="15"/>
  <c r="AC543" i="15"/>
  <c r="AB543" i="15"/>
  <c r="AA543" i="15"/>
  <c r="Z543" i="15"/>
  <c r="Y543" i="15"/>
  <c r="X543" i="15"/>
  <c r="AJ542" i="15"/>
  <c r="AI542" i="15"/>
  <c r="AH542" i="15"/>
  <c r="AG542" i="15"/>
  <c r="AF542" i="15"/>
  <c r="AE542" i="15"/>
  <c r="AC542" i="15"/>
  <c r="AB542" i="15"/>
  <c r="AA542" i="15"/>
  <c r="Z542" i="15"/>
  <c r="Y542" i="15"/>
  <c r="X542" i="15"/>
  <c r="AJ541" i="15"/>
  <c r="AI541" i="15"/>
  <c r="AH541" i="15"/>
  <c r="AG541" i="15"/>
  <c r="AF541" i="15"/>
  <c r="AE541" i="15"/>
  <c r="AC541" i="15"/>
  <c r="AB541" i="15"/>
  <c r="AA541" i="15"/>
  <c r="Z541" i="15"/>
  <c r="Y541" i="15"/>
  <c r="X541" i="15"/>
  <c r="AJ540" i="15"/>
  <c r="AI540" i="15"/>
  <c r="AH540" i="15"/>
  <c r="AG540" i="15"/>
  <c r="AF540" i="15"/>
  <c r="AE540" i="15"/>
  <c r="AC540" i="15"/>
  <c r="AB540" i="15"/>
  <c r="AA540" i="15"/>
  <c r="Z540" i="15"/>
  <c r="Y540" i="15"/>
  <c r="X540" i="15"/>
  <c r="AJ539" i="15"/>
  <c r="AI539" i="15"/>
  <c r="AH539" i="15"/>
  <c r="AG539" i="15"/>
  <c r="AF539" i="15"/>
  <c r="AE539" i="15"/>
  <c r="AC539" i="15"/>
  <c r="AB539" i="15"/>
  <c r="AA539" i="15"/>
  <c r="Z539" i="15"/>
  <c r="Y539" i="15"/>
  <c r="X539" i="15"/>
  <c r="AJ538" i="15"/>
  <c r="AI538" i="15"/>
  <c r="AH538" i="15"/>
  <c r="AG538" i="15"/>
  <c r="AF538" i="15"/>
  <c r="AE538" i="15"/>
  <c r="AC538" i="15"/>
  <c r="AB538" i="15"/>
  <c r="AA538" i="15"/>
  <c r="Z538" i="15"/>
  <c r="Y538" i="15"/>
  <c r="X538" i="15"/>
  <c r="AJ537" i="15"/>
  <c r="AI537" i="15"/>
  <c r="AH537" i="15"/>
  <c r="AG537" i="15"/>
  <c r="AF537" i="15"/>
  <c r="AE537" i="15"/>
  <c r="AC537" i="15"/>
  <c r="AB537" i="15"/>
  <c r="AA537" i="15"/>
  <c r="Z537" i="15"/>
  <c r="Y537" i="15"/>
  <c r="X537" i="15"/>
  <c r="AJ536" i="15"/>
  <c r="AI536" i="15"/>
  <c r="AH536" i="15"/>
  <c r="AG536" i="15"/>
  <c r="AF536" i="15"/>
  <c r="AE536" i="15"/>
  <c r="AC536" i="15"/>
  <c r="AB536" i="15"/>
  <c r="AA536" i="15"/>
  <c r="Z536" i="15"/>
  <c r="Y536" i="15"/>
  <c r="X536" i="15"/>
  <c r="AJ535" i="15"/>
  <c r="AI535" i="15"/>
  <c r="AH535" i="15"/>
  <c r="AG535" i="15"/>
  <c r="AF535" i="15"/>
  <c r="AE535" i="15"/>
  <c r="AC535" i="15"/>
  <c r="AB535" i="15"/>
  <c r="AA535" i="15"/>
  <c r="Z535" i="15"/>
  <c r="Y535" i="15"/>
  <c r="X535" i="15"/>
  <c r="AJ534" i="15"/>
  <c r="AI534" i="15"/>
  <c r="AH534" i="15"/>
  <c r="AG534" i="15"/>
  <c r="AF534" i="15"/>
  <c r="AE534" i="15"/>
  <c r="AC534" i="15"/>
  <c r="AB534" i="15"/>
  <c r="AA534" i="15"/>
  <c r="Z534" i="15"/>
  <c r="Y534" i="15"/>
  <c r="X534" i="15"/>
  <c r="AJ533" i="15"/>
  <c r="AI533" i="15"/>
  <c r="AH533" i="15"/>
  <c r="AG533" i="15"/>
  <c r="AF533" i="15"/>
  <c r="AE533" i="15"/>
  <c r="AC533" i="15"/>
  <c r="AB533" i="15"/>
  <c r="AA533" i="15"/>
  <c r="Z533" i="15"/>
  <c r="Y533" i="15"/>
  <c r="X533" i="15"/>
  <c r="AJ532" i="15"/>
  <c r="AI532" i="15"/>
  <c r="AH532" i="15"/>
  <c r="AG532" i="15"/>
  <c r="AF532" i="15"/>
  <c r="AE532" i="15"/>
  <c r="AC532" i="15"/>
  <c r="AB532" i="15"/>
  <c r="AA532" i="15"/>
  <c r="Z532" i="15"/>
  <c r="Y532" i="15"/>
  <c r="X532" i="15"/>
  <c r="AJ531" i="15"/>
  <c r="AI531" i="15"/>
  <c r="AH531" i="15"/>
  <c r="AG531" i="15"/>
  <c r="AF531" i="15"/>
  <c r="AE531" i="15"/>
  <c r="AC531" i="15"/>
  <c r="AB531" i="15"/>
  <c r="AA531" i="15"/>
  <c r="Z531" i="15"/>
  <c r="Y531" i="15"/>
  <c r="X531" i="15"/>
  <c r="AJ530" i="15"/>
  <c r="AI530" i="15"/>
  <c r="AH530" i="15"/>
  <c r="AG530" i="15"/>
  <c r="AF530" i="15"/>
  <c r="AE530" i="15"/>
  <c r="AC530" i="15"/>
  <c r="AB530" i="15"/>
  <c r="AA530" i="15"/>
  <c r="Z530" i="15"/>
  <c r="Y530" i="15"/>
  <c r="X530" i="15"/>
  <c r="AJ529" i="15"/>
  <c r="AI529" i="15"/>
  <c r="AH529" i="15"/>
  <c r="AG529" i="15"/>
  <c r="AF529" i="15"/>
  <c r="AE529" i="15"/>
  <c r="AC529" i="15"/>
  <c r="AB529" i="15"/>
  <c r="AA529" i="15"/>
  <c r="Z529" i="15"/>
  <c r="Y529" i="15"/>
  <c r="X529" i="15"/>
  <c r="W484" i="15" a="1"/>
  <c r="W484" i="15" s="1"/>
  <c r="W485" i="15" a="1"/>
  <c r="W485" i="15" s="1"/>
  <c r="W486" i="15" a="1"/>
  <c r="W486" i="15" s="1"/>
  <c r="W487" i="15" a="1"/>
  <c r="W487" i="15" s="1"/>
  <c r="W488" i="15" a="1"/>
  <c r="W488" i="15" s="1"/>
  <c r="W489" i="15" a="1"/>
  <c r="W489" i="15" s="1"/>
  <c r="W490" i="15" a="1"/>
  <c r="W490" i="15" s="1"/>
  <c r="W491" i="15" a="1"/>
  <c r="W491" i="15" s="1"/>
  <c r="W492" i="15" a="1"/>
  <c r="W492" i="15" s="1"/>
  <c r="W493" i="15" a="1"/>
  <c r="W493" i="15" s="1"/>
  <c r="W494" i="15" a="1"/>
  <c r="W494" i="15" s="1"/>
  <c r="W495" i="15" a="1"/>
  <c r="W495" i="15" s="1"/>
  <c r="W496" i="15" a="1"/>
  <c r="W496" i="15" s="1"/>
  <c r="W497" i="15" a="1"/>
  <c r="W497" i="15" s="1"/>
  <c r="W498" i="15" a="1"/>
  <c r="W498" i="15" s="1"/>
  <c r="W499" i="15" a="1"/>
  <c r="W499" i="15" s="1"/>
  <c r="W500" i="15" a="1"/>
  <c r="W500" i="15" s="1"/>
  <c r="W501" i="15" a="1"/>
  <c r="W501" i="15" s="1"/>
  <c r="AJ501" i="15"/>
  <c r="AI501" i="15"/>
  <c r="AH501" i="15"/>
  <c r="AG501" i="15"/>
  <c r="AF501" i="15"/>
  <c r="AE501" i="15"/>
  <c r="AC501" i="15"/>
  <c r="AB501" i="15"/>
  <c r="AA501" i="15"/>
  <c r="Z501" i="15"/>
  <c r="Y501" i="15"/>
  <c r="X501" i="15"/>
  <c r="AJ500" i="15"/>
  <c r="AI500" i="15"/>
  <c r="AH500" i="15"/>
  <c r="AG500" i="15"/>
  <c r="AF500" i="15"/>
  <c r="AE500" i="15"/>
  <c r="AC500" i="15"/>
  <c r="AB500" i="15"/>
  <c r="AA500" i="15"/>
  <c r="Z500" i="15"/>
  <c r="Y500" i="15"/>
  <c r="X500" i="15"/>
  <c r="AJ499" i="15"/>
  <c r="AI499" i="15"/>
  <c r="AH499" i="15"/>
  <c r="AG499" i="15"/>
  <c r="AF499" i="15"/>
  <c r="AE499" i="15"/>
  <c r="AC499" i="15"/>
  <c r="AB499" i="15"/>
  <c r="AA499" i="15"/>
  <c r="Z499" i="15"/>
  <c r="Y499" i="15"/>
  <c r="X499" i="15"/>
  <c r="AJ498" i="15"/>
  <c r="AI498" i="15"/>
  <c r="AH498" i="15"/>
  <c r="AG498" i="15"/>
  <c r="AF498" i="15"/>
  <c r="AE498" i="15"/>
  <c r="AC498" i="15"/>
  <c r="AB498" i="15"/>
  <c r="AA498" i="15"/>
  <c r="Z498" i="15"/>
  <c r="Y498" i="15"/>
  <c r="X498" i="15"/>
  <c r="AJ497" i="15"/>
  <c r="AI497" i="15"/>
  <c r="AH497" i="15"/>
  <c r="AG497" i="15"/>
  <c r="AF497" i="15"/>
  <c r="AE497" i="15"/>
  <c r="AC497" i="15"/>
  <c r="AB497" i="15"/>
  <c r="AA497" i="15"/>
  <c r="Z497" i="15"/>
  <c r="Y497" i="15"/>
  <c r="X497" i="15"/>
  <c r="AJ496" i="15"/>
  <c r="AI496" i="15"/>
  <c r="AH496" i="15"/>
  <c r="AG496" i="15"/>
  <c r="AF496" i="15"/>
  <c r="AE496" i="15"/>
  <c r="AC496" i="15"/>
  <c r="AB496" i="15"/>
  <c r="AA496" i="15"/>
  <c r="Z496" i="15"/>
  <c r="Y496" i="15"/>
  <c r="X496" i="15"/>
  <c r="AJ495" i="15"/>
  <c r="AI495" i="15"/>
  <c r="AH495" i="15"/>
  <c r="AG495" i="15"/>
  <c r="AF495" i="15"/>
  <c r="AE495" i="15"/>
  <c r="AC495" i="15"/>
  <c r="AB495" i="15"/>
  <c r="AA495" i="15"/>
  <c r="Z495" i="15"/>
  <c r="Y495" i="15"/>
  <c r="X495" i="15"/>
  <c r="AJ494" i="15"/>
  <c r="AI494" i="15"/>
  <c r="AH494" i="15"/>
  <c r="AG494" i="15"/>
  <c r="AF494" i="15"/>
  <c r="AE494" i="15"/>
  <c r="AC494" i="15"/>
  <c r="AB494" i="15"/>
  <c r="AA494" i="15"/>
  <c r="Z494" i="15"/>
  <c r="Y494" i="15"/>
  <c r="X494" i="15"/>
  <c r="AJ493" i="15"/>
  <c r="AI493" i="15"/>
  <c r="AH493" i="15"/>
  <c r="AG493" i="15"/>
  <c r="AF493" i="15"/>
  <c r="AE493" i="15"/>
  <c r="AC493" i="15"/>
  <c r="AB493" i="15"/>
  <c r="AA493" i="15"/>
  <c r="Z493" i="15"/>
  <c r="Y493" i="15"/>
  <c r="X493" i="15"/>
  <c r="AJ492" i="15"/>
  <c r="AI492" i="15"/>
  <c r="AH492" i="15"/>
  <c r="AG492" i="15"/>
  <c r="AF492" i="15"/>
  <c r="AE492" i="15"/>
  <c r="AC492" i="15"/>
  <c r="AB492" i="15"/>
  <c r="AA492" i="15"/>
  <c r="Z492" i="15"/>
  <c r="Y492" i="15"/>
  <c r="X492" i="15"/>
  <c r="AJ491" i="15"/>
  <c r="AI491" i="15"/>
  <c r="AH491" i="15"/>
  <c r="AG491" i="15"/>
  <c r="AF491" i="15"/>
  <c r="AE491" i="15"/>
  <c r="AC491" i="15"/>
  <c r="AB491" i="15"/>
  <c r="AA491" i="15"/>
  <c r="Z491" i="15"/>
  <c r="Y491" i="15"/>
  <c r="X491" i="15"/>
  <c r="AJ490" i="15"/>
  <c r="AI490" i="15"/>
  <c r="AH490" i="15"/>
  <c r="AG490" i="15"/>
  <c r="AF490" i="15"/>
  <c r="AE490" i="15"/>
  <c r="AC490" i="15"/>
  <c r="AB490" i="15"/>
  <c r="AA490" i="15"/>
  <c r="Z490" i="15"/>
  <c r="Y490" i="15"/>
  <c r="X490" i="15"/>
  <c r="AJ489" i="15"/>
  <c r="AI489" i="15"/>
  <c r="AH489" i="15"/>
  <c r="AG489" i="15"/>
  <c r="AF489" i="15"/>
  <c r="AE489" i="15"/>
  <c r="AC489" i="15"/>
  <c r="AB489" i="15"/>
  <c r="AA489" i="15"/>
  <c r="Z489" i="15"/>
  <c r="Y489" i="15"/>
  <c r="X489" i="15"/>
  <c r="AJ488" i="15"/>
  <c r="AI488" i="15"/>
  <c r="AH488" i="15"/>
  <c r="AG488" i="15"/>
  <c r="AF488" i="15"/>
  <c r="AE488" i="15"/>
  <c r="AC488" i="15"/>
  <c r="AB488" i="15"/>
  <c r="AA488" i="15"/>
  <c r="Z488" i="15"/>
  <c r="Y488" i="15"/>
  <c r="X488" i="15"/>
  <c r="AJ487" i="15"/>
  <c r="AI487" i="15"/>
  <c r="AH487" i="15"/>
  <c r="AG487" i="15"/>
  <c r="AF487" i="15"/>
  <c r="AE487" i="15"/>
  <c r="AC487" i="15"/>
  <c r="AB487" i="15"/>
  <c r="AA487" i="15"/>
  <c r="Z487" i="15"/>
  <c r="Y487" i="15"/>
  <c r="X487" i="15"/>
  <c r="AJ486" i="15"/>
  <c r="AI486" i="15"/>
  <c r="AH486" i="15"/>
  <c r="AG486" i="15"/>
  <c r="AF486" i="15"/>
  <c r="AE486" i="15"/>
  <c r="AC486" i="15"/>
  <c r="AB486" i="15"/>
  <c r="AA486" i="15"/>
  <c r="Z486" i="15"/>
  <c r="Y486" i="15"/>
  <c r="X486" i="15"/>
  <c r="AJ485" i="15"/>
  <c r="AI485" i="15"/>
  <c r="AH485" i="15"/>
  <c r="AG485" i="15"/>
  <c r="AF485" i="15"/>
  <c r="AE485" i="15"/>
  <c r="AC485" i="15"/>
  <c r="AB485" i="15"/>
  <c r="AA485" i="15"/>
  <c r="Z485" i="15"/>
  <c r="Y485" i="15"/>
  <c r="X485" i="15"/>
  <c r="AJ484" i="15"/>
  <c r="AI484" i="15"/>
  <c r="AH484" i="15"/>
  <c r="AG484" i="15"/>
  <c r="AF484" i="15"/>
  <c r="AE484" i="15"/>
  <c r="AC484" i="15"/>
  <c r="AB484" i="15"/>
  <c r="AA484" i="15"/>
  <c r="Z484" i="15"/>
  <c r="Y484" i="15"/>
  <c r="X484" i="15"/>
  <c r="AJ483" i="15"/>
  <c r="AI483" i="15"/>
  <c r="AH483" i="15"/>
  <c r="AG483" i="15"/>
  <c r="AF483" i="15"/>
  <c r="AE483" i="15"/>
  <c r="AC483" i="15"/>
  <c r="AB483" i="15"/>
  <c r="AA483" i="15"/>
  <c r="Z483" i="15"/>
  <c r="Y483" i="15"/>
  <c r="X483" i="15"/>
  <c r="AJ482" i="15"/>
  <c r="AI482" i="15"/>
  <c r="AH482" i="15"/>
  <c r="AG482" i="15"/>
  <c r="AF482" i="15"/>
  <c r="AE482" i="15"/>
  <c r="AC482" i="15"/>
  <c r="AB482" i="15"/>
  <c r="AA482" i="15"/>
  <c r="Z482" i="15"/>
  <c r="Y482" i="15"/>
  <c r="X482" i="15"/>
  <c r="W442" i="15" a="1"/>
  <c r="W442" i="15" s="1"/>
  <c r="W443" i="15" a="1"/>
  <c r="W443" i="15" s="1"/>
  <c r="W444" i="15" a="1"/>
  <c r="W444" i="15" s="1"/>
  <c r="W445" i="15" a="1"/>
  <c r="W445" i="15" s="1"/>
  <c r="W446" i="15" a="1"/>
  <c r="W446" i="15" s="1"/>
  <c r="W447" i="15" a="1"/>
  <c r="W447" i="15" s="1"/>
  <c r="W448" i="15" a="1"/>
  <c r="W448" i="15" s="1"/>
  <c r="W449" i="15" a="1"/>
  <c r="W449" i="15" s="1"/>
  <c r="W450" i="15" a="1"/>
  <c r="W450" i="15" s="1"/>
  <c r="W451" i="15" a="1"/>
  <c r="W451" i="15" s="1"/>
  <c r="W452" i="15" a="1"/>
  <c r="W452" i="15" s="1"/>
  <c r="W453" i="15" a="1"/>
  <c r="W453" i="15" s="1"/>
  <c r="W454" i="15" a="1"/>
  <c r="W454" i="15" s="1"/>
  <c r="W455" i="15" a="1"/>
  <c r="W455" i="15" s="1"/>
  <c r="W456" i="15" a="1"/>
  <c r="W456" i="15" s="1"/>
  <c r="W457" i="15" a="1"/>
  <c r="W457" i="15" s="1"/>
  <c r="W458" i="15" a="1"/>
  <c r="W458" i="15" s="1"/>
  <c r="W459" i="15" a="1"/>
  <c r="W459" i="15" s="1"/>
  <c r="W460" i="15" a="1"/>
  <c r="W460" i="15" s="1"/>
  <c r="AJ460" i="15"/>
  <c r="AI460" i="15"/>
  <c r="AH460" i="15"/>
  <c r="AG460" i="15"/>
  <c r="AF460" i="15"/>
  <c r="AE460" i="15"/>
  <c r="AC460" i="15"/>
  <c r="AB460" i="15"/>
  <c r="AA460" i="15"/>
  <c r="Z460" i="15"/>
  <c r="Y460" i="15"/>
  <c r="X460" i="15"/>
  <c r="AJ459" i="15"/>
  <c r="AI459" i="15"/>
  <c r="AH459" i="15"/>
  <c r="AG459" i="15"/>
  <c r="AF459" i="15"/>
  <c r="AE459" i="15"/>
  <c r="AC459" i="15"/>
  <c r="AB459" i="15"/>
  <c r="AA459" i="15"/>
  <c r="Z459" i="15"/>
  <c r="Y459" i="15"/>
  <c r="X459" i="15"/>
  <c r="AJ458" i="15"/>
  <c r="AI458" i="15"/>
  <c r="AH458" i="15"/>
  <c r="AG458" i="15"/>
  <c r="AF458" i="15"/>
  <c r="AE458" i="15"/>
  <c r="AC458" i="15"/>
  <c r="AB458" i="15"/>
  <c r="AA458" i="15"/>
  <c r="Z458" i="15"/>
  <c r="Y458" i="15"/>
  <c r="X458" i="15"/>
  <c r="AJ457" i="15"/>
  <c r="AI457" i="15"/>
  <c r="AH457" i="15"/>
  <c r="AG457" i="15"/>
  <c r="AF457" i="15"/>
  <c r="AE457" i="15"/>
  <c r="AC457" i="15"/>
  <c r="AB457" i="15"/>
  <c r="AA457" i="15"/>
  <c r="Z457" i="15"/>
  <c r="Y457" i="15"/>
  <c r="X457" i="15"/>
  <c r="AJ456" i="15"/>
  <c r="AI456" i="15"/>
  <c r="AH456" i="15"/>
  <c r="AG456" i="15"/>
  <c r="AF456" i="15"/>
  <c r="AE456" i="15"/>
  <c r="AC456" i="15"/>
  <c r="AB456" i="15"/>
  <c r="AA456" i="15"/>
  <c r="Z456" i="15"/>
  <c r="Y456" i="15"/>
  <c r="X456" i="15"/>
  <c r="AJ455" i="15"/>
  <c r="AI455" i="15"/>
  <c r="AH455" i="15"/>
  <c r="AG455" i="15"/>
  <c r="AF455" i="15"/>
  <c r="AE455" i="15"/>
  <c r="AC455" i="15"/>
  <c r="AB455" i="15"/>
  <c r="AA455" i="15"/>
  <c r="Z455" i="15"/>
  <c r="Y455" i="15"/>
  <c r="X455" i="15"/>
  <c r="AJ454" i="15"/>
  <c r="AI454" i="15"/>
  <c r="AH454" i="15"/>
  <c r="AG454" i="15"/>
  <c r="AF454" i="15"/>
  <c r="AE454" i="15"/>
  <c r="AC454" i="15"/>
  <c r="AB454" i="15"/>
  <c r="AA454" i="15"/>
  <c r="Z454" i="15"/>
  <c r="Y454" i="15"/>
  <c r="X454" i="15"/>
  <c r="AJ453" i="15"/>
  <c r="AI453" i="15"/>
  <c r="AH453" i="15"/>
  <c r="AG453" i="15"/>
  <c r="AF453" i="15"/>
  <c r="AE453" i="15"/>
  <c r="AC453" i="15"/>
  <c r="AB453" i="15"/>
  <c r="AA453" i="15"/>
  <c r="Z453" i="15"/>
  <c r="Y453" i="15"/>
  <c r="X453" i="15"/>
  <c r="AJ452" i="15"/>
  <c r="AI452" i="15"/>
  <c r="AH452" i="15"/>
  <c r="AG452" i="15"/>
  <c r="AF452" i="15"/>
  <c r="AE452" i="15"/>
  <c r="AC452" i="15"/>
  <c r="AB452" i="15"/>
  <c r="AA452" i="15"/>
  <c r="Z452" i="15"/>
  <c r="Y452" i="15"/>
  <c r="X452" i="15"/>
  <c r="AJ451" i="15"/>
  <c r="AI451" i="15"/>
  <c r="AH451" i="15"/>
  <c r="AG451" i="15"/>
  <c r="AF451" i="15"/>
  <c r="AE451" i="15"/>
  <c r="AC451" i="15"/>
  <c r="AB451" i="15"/>
  <c r="AA451" i="15"/>
  <c r="Z451" i="15"/>
  <c r="Y451" i="15"/>
  <c r="X451" i="15"/>
  <c r="AJ450" i="15"/>
  <c r="AI450" i="15"/>
  <c r="AH450" i="15"/>
  <c r="AG450" i="15"/>
  <c r="AF450" i="15"/>
  <c r="AE450" i="15"/>
  <c r="AC450" i="15"/>
  <c r="AB450" i="15"/>
  <c r="AA450" i="15"/>
  <c r="Z450" i="15"/>
  <c r="Y450" i="15"/>
  <c r="X450" i="15"/>
  <c r="AJ449" i="15"/>
  <c r="AI449" i="15"/>
  <c r="AH449" i="15"/>
  <c r="AG449" i="15"/>
  <c r="AF449" i="15"/>
  <c r="AE449" i="15"/>
  <c r="AC449" i="15"/>
  <c r="AB449" i="15"/>
  <c r="AA449" i="15"/>
  <c r="Z449" i="15"/>
  <c r="Y449" i="15"/>
  <c r="X449" i="15"/>
  <c r="AJ448" i="15"/>
  <c r="AI448" i="15"/>
  <c r="AH448" i="15"/>
  <c r="AG448" i="15"/>
  <c r="AF448" i="15"/>
  <c r="AE448" i="15"/>
  <c r="AC448" i="15"/>
  <c r="AB448" i="15"/>
  <c r="AA448" i="15"/>
  <c r="Z448" i="15"/>
  <c r="Y448" i="15"/>
  <c r="X448" i="15"/>
  <c r="AJ447" i="15"/>
  <c r="AI447" i="15"/>
  <c r="AH447" i="15"/>
  <c r="AG447" i="15"/>
  <c r="AF447" i="15"/>
  <c r="AE447" i="15"/>
  <c r="AC447" i="15"/>
  <c r="AB447" i="15"/>
  <c r="AA447" i="15"/>
  <c r="Z447" i="15"/>
  <c r="Y447" i="15"/>
  <c r="X447" i="15"/>
  <c r="AJ446" i="15"/>
  <c r="AI446" i="15"/>
  <c r="AH446" i="15"/>
  <c r="AG446" i="15"/>
  <c r="AF446" i="15"/>
  <c r="AE446" i="15"/>
  <c r="AC446" i="15"/>
  <c r="AB446" i="15"/>
  <c r="AA446" i="15"/>
  <c r="Z446" i="15"/>
  <c r="Y446" i="15"/>
  <c r="X446" i="15"/>
  <c r="AJ445" i="15"/>
  <c r="AI445" i="15"/>
  <c r="AH445" i="15"/>
  <c r="AG445" i="15"/>
  <c r="AF445" i="15"/>
  <c r="AE445" i="15"/>
  <c r="AC445" i="15"/>
  <c r="AB445" i="15"/>
  <c r="AA445" i="15"/>
  <c r="Z445" i="15"/>
  <c r="Y445" i="15"/>
  <c r="X445" i="15"/>
  <c r="AJ444" i="15"/>
  <c r="AI444" i="15"/>
  <c r="AH444" i="15"/>
  <c r="AG444" i="15"/>
  <c r="AF444" i="15"/>
  <c r="AE444" i="15"/>
  <c r="AC444" i="15"/>
  <c r="AB444" i="15"/>
  <c r="AA444" i="15"/>
  <c r="Z444" i="15"/>
  <c r="Y444" i="15"/>
  <c r="X444" i="15"/>
  <c r="AJ443" i="15"/>
  <c r="AI443" i="15"/>
  <c r="AH443" i="15"/>
  <c r="AG443" i="15"/>
  <c r="AF443" i="15"/>
  <c r="AE443" i="15"/>
  <c r="AC443" i="15"/>
  <c r="AB443" i="15"/>
  <c r="AA443" i="15"/>
  <c r="Z443" i="15"/>
  <c r="Y443" i="15"/>
  <c r="X443" i="15"/>
  <c r="AJ442" i="15"/>
  <c r="AI442" i="15"/>
  <c r="AH442" i="15"/>
  <c r="AG442" i="15"/>
  <c r="AF442" i="15"/>
  <c r="AE442" i="15"/>
  <c r="AC442" i="15"/>
  <c r="AB442" i="15"/>
  <c r="AA442" i="15"/>
  <c r="Z442" i="15"/>
  <c r="Y442" i="15"/>
  <c r="X442" i="15"/>
  <c r="AJ441" i="15"/>
  <c r="AI441" i="15"/>
  <c r="AH441" i="15"/>
  <c r="AG441" i="15"/>
  <c r="AF441" i="15"/>
  <c r="AE441" i="15"/>
  <c r="AC441" i="15"/>
  <c r="AB441" i="15"/>
  <c r="AA441" i="15"/>
  <c r="Z441" i="15"/>
  <c r="Y441" i="15"/>
  <c r="X441" i="15"/>
  <c r="W366" i="15" a="1"/>
  <c r="W366" i="15" s="1"/>
  <c r="W367" i="15" a="1"/>
  <c r="W367" i="15" s="1"/>
  <c r="W368" i="15" a="1"/>
  <c r="W368" i="15" s="1"/>
  <c r="W369" i="15" a="1"/>
  <c r="W369" i="15" s="1"/>
  <c r="W370" i="15" a="1"/>
  <c r="W370" i="15" s="1"/>
  <c r="W371" i="15" a="1"/>
  <c r="W371" i="15" s="1"/>
  <c r="W372" i="15" a="1"/>
  <c r="W372" i="15" s="1"/>
  <c r="W373" i="15" a="1"/>
  <c r="W373" i="15" s="1"/>
  <c r="W374" i="15" a="1"/>
  <c r="W374" i="15" s="1"/>
  <c r="W375" i="15" a="1"/>
  <c r="W375" i="15" s="1"/>
  <c r="W376" i="15" a="1"/>
  <c r="W376" i="15" s="1"/>
  <c r="W377" i="15" a="1"/>
  <c r="W377" i="15" s="1"/>
  <c r="W378" i="15" a="1"/>
  <c r="W378" i="15" s="1"/>
  <c r="W379" i="15" a="1"/>
  <c r="W379" i="15" s="1"/>
  <c r="W380" i="15" a="1"/>
  <c r="W380" i="15" s="1"/>
  <c r="W381" i="15" a="1"/>
  <c r="W381" i="15" s="1"/>
  <c r="W382" i="15" a="1"/>
  <c r="W382" i="15" s="1"/>
  <c r="W383" i="15" a="1"/>
  <c r="W383" i="15" s="1"/>
  <c r="W384" i="15" a="1"/>
  <c r="W384" i="15" s="1"/>
  <c r="W365" i="15" a="1"/>
  <c r="W365" i="15" s="1"/>
  <c r="W403" i="15" a="1"/>
  <c r="W403" i="15" s="1"/>
  <c r="W404" i="15" a="1"/>
  <c r="W404" i="15" s="1"/>
  <c r="W405" i="15" a="1"/>
  <c r="W405" i="15" s="1"/>
  <c r="W406" i="15" a="1"/>
  <c r="W406" i="15" s="1"/>
  <c r="W407" i="15" a="1"/>
  <c r="W407" i="15" s="1"/>
  <c r="W408" i="15" a="1"/>
  <c r="W408" i="15" s="1"/>
  <c r="W409" i="15" a="1"/>
  <c r="W409" i="15" s="1"/>
  <c r="W410" i="15" a="1"/>
  <c r="W410" i="15" s="1"/>
  <c r="W411" i="15" a="1"/>
  <c r="W411" i="15" s="1"/>
  <c r="W412" i="15" a="1"/>
  <c r="W412" i="15" s="1"/>
  <c r="W413" i="15" a="1"/>
  <c r="W413" i="15" s="1"/>
  <c r="W414" i="15" a="1"/>
  <c r="W414" i="15" s="1"/>
  <c r="W415" i="15" a="1"/>
  <c r="W415" i="15" s="1"/>
  <c r="W416" i="15" a="1"/>
  <c r="W416" i="15" s="1"/>
  <c r="W417" i="15" a="1"/>
  <c r="W417" i="15" s="1"/>
  <c r="W418" i="15" a="1"/>
  <c r="W418" i="15" s="1"/>
  <c r="W419" i="15" a="1"/>
  <c r="W419" i="15" s="1"/>
  <c r="W420" i="15" a="1"/>
  <c r="W420" i="15" s="1"/>
  <c r="W421" i="15" a="1"/>
  <c r="W421" i="15" s="1"/>
  <c r="W402" i="15" a="1"/>
  <c r="W402" i="15" s="1"/>
  <c r="AJ421" i="15"/>
  <c r="AI421" i="15"/>
  <c r="AH421" i="15"/>
  <c r="AG421" i="15"/>
  <c r="AF421" i="15"/>
  <c r="AE421" i="15"/>
  <c r="AC421" i="15"/>
  <c r="AB421" i="15"/>
  <c r="AA421" i="15"/>
  <c r="Z421" i="15"/>
  <c r="Y421" i="15"/>
  <c r="X421" i="15"/>
  <c r="AJ420" i="15"/>
  <c r="AI420" i="15"/>
  <c r="AH420" i="15"/>
  <c r="AG420" i="15"/>
  <c r="AF420" i="15"/>
  <c r="AE420" i="15"/>
  <c r="AC420" i="15"/>
  <c r="AB420" i="15"/>
  <c r="AA420" i="15"/>
  <c r="Z420" i="15"/>
  <c r="Y420" i="15"/>
  <c r="X420" i="15"/>
  <c r="AJ419" i="15"/>
  <c r="AI419" i="15"/>
  <c r="AH419" i="15"/>
  <c r="AG419" i="15"/>
  <c r="AF419" i="15"/>
  <c r="AE419" i="15"/>
  <c r="AC419" i="15"/>
  <c r="AB419" i="15"/>
  <c r="AA419" i="15"/>
  <c r="Z419" i="15"/>
  <c r="Y419" i="15"/>
  <c r="X419" i="15"/>
  <c r="AJ418" i="15"/>
  <c r="AI418" i="15"/>
  <c r="AH418" i="15"/>
  <c r="AG418" i="15"/>
  <c r="AF418" i="15"/>
  <c r="AE418" i="15"/>
  <c r="AC418" i="15"/>
  <c r="AB418" i="15"/>
  <c r="AA418" i="15"/>
  <c r="Z418" i="15"/>
  <c r="Y418" i="15"/>
  <c r="X418" i="15"/>
  <c r="AJ417" i="15"/>
  <c r="AI417" i="15"/>
  <c r="AH417" i="15"/>
  <c r="AG417" i="15"/>
  <c r="AF417" i="15"/>
  <c r="AE417" i="15"/>
  <c r="AC417" i="15"/>
  <c r="AB417" i="15"/>
  <c r="AA417" i="15"/>
  <c r="Z417" i="15"/>
  <c r="Y417" i="15"/>
  <c r="X417" i="15"/>
  <c r="AJ416" i="15"/>
  <c r="AI416" i="15"/>
  <c r="AH416" i="15"/>
  <c r="AG416" i="15"/>
  <c r="AF416" i="15"/>
  <c r="AE416" i="15"/>
  <c r="AC416" i="15"/>
  <c r="AB416" i="15"/>
  <c r="AA416" i="15"/>
  <c r="Z416" i="15"/>
  <c r="Y416" i="15"/>
  <c r="X416" i="15"/>
  <c r="AJ415" i="15"/>
  <c r="AI415" i="15"/>
  <c r="AH415" i="15"/>
  <c r="AG415" i="15"/>
  <c r="AF415" i="15"/>
  <c r="AE415" i="15"/>
  <c r="AC415" i="15"/>
  <c r="AB415" i="15"/>
  <c r="AA415" i="15"/>
  <c r="Z415" i="15"/>
  <c r="Y415" i="15"/>
  <c r="X415" i="15"/>
  <c r="AJ414" i="15"/>
  <c r="AI414" i="15"/>
  <c r="AH414" i="15"/>
  <c r="AG414" i="15"/>
  <c r="AF414" i="15"/>
  <c r="AE414" i="15"/>
  <c r="AC414" i="15"/>
  <c r="AB414" i="15"/>
  <c r="AA414" i="15"/>
  <c r="Z414" i="15"/>
  <c r="Y414" i="15"/>
  <c r="X414" i="15"/>
  <c r="AJ413" i="15"/>
  <c r="AI413" i="15"/>
  <c r="AH413" i="15"/>
  <c r="AG413" i="15"/>
  <c r="AF413" i="15"/>
  <c r="AE413" i="15"/>
  <c r="AC413" i="15"/>
  <c r="AB413" i="15"/>
  <c r="AA413" i="15"/>
  <c r="Z413" i="15"/>
  <c r="Y413" i="15"/>
  <c r="X413" i="15"/>
  <c r="AJ412" i="15"/>
  <c r="AI412" i="15"/>
  <c r="AH412" i="15"/>
  <c r="AG412" i="15"/>
  <c r="AF412" i="15"/>
  <c r="AE412" i="15"/>
  <c r="AC412" i="15"/>
  <c r="AB412" i="15"/>
  <c r="AA412" i="15"/>
  <c r="Z412" i="15"/>
  <c r="Y412" i="15"/>
  <c r="X412" i="15"/>
  <c r="AJ411" i="15"/>
  <c r="AI411" i="15"/>
  <c r="AH411" i="15"/>
  <c r="AG411" i="15"/>
  <c r="AF411" i="15"/>
  <c r="AE411" i="15"/>
  <c r="AC411" i="15"/>
  <c r="AB411" i="15"/>
  <c r="AA411" i="15"/>
  <c r="Z411" i="15"/>
  <c r="Y411" i="15"/>
  <c r="X411" i="15"/>
  <c r="AJ410" i="15"/>
  <c r="AI410" i="15"/>
  <c r="AH410" i="15"/>
  <c r="AG410" i="15"/>
  <c r="AF410" i="15"/>
  <c r="AE410" i="15"/>
  <c r="AC410" i="15"/>
  <c r="AB410" i="15"/>
  <c r="AA410" i="15"/>
  <c r="Z410" i="15"/>
  <c r="Y410" i="15"/>
  <c r="X410" i="15"/>
  <c r="AJ409" i="15"/>
  <c r="AI409" i="15"/>
  <c r="AH409" i="15"/>
  <c r="AG409" i="15"/>
  <c r="AF409" i="15"/>
  <c r="AE409" i="15"/>
  <c r="AC409" i="15"/>
  <c r="AB409" i="15"/>
  <c r="AA409" i="15"/>
  <c r="Z409" i="15"/>
  <c r="Y409" i="15"/>
  <c r="X409" i="15"/>
  <c r="AJ408" i="15"/>
  <c r="AI408" i="15"/>
  <c r="AH408" i="15"/>
  <c r="AG408" i="15"/>
  <c r="AF408" i="15"/>
  <c r="AE408" i="15"/>
  <c r="AC408" i="15"/>
  <c r="AB408" i="15"/>
  <c r="AA408" i="15"/>
  <c r="Z408" i="15"/>
  <c r="Y408" i="15"/>
  <c r="X408" i="15"/>
  <c r="AJ407" i="15"/>
  <c r="AI407" i="15"/>
  <c r="AH407" i="15"/>
  <c r="AG407" i="15"/>
  <c r="AF407" i="15"/>
  <c r="AE407" i="15"/>
  <c r="AC407" i="15"/>
  <c r="AB407" i="15"/>
  <c r="AA407" i="15"/>
  <c r="Z407" i="15"/>
  <c r="Y407" i="15"/>
  <c r="X407" i="15"/>
  <c r="AJ406" i="15"/>
  <c r="AI406" i="15"/>
  <c r="AH406" i="15"/>
  <c r="AG406" i="15"/>
  <c r="AF406" i="15"/>
  <c r="AE406" i="15"/>
  <c r="AC406" i="15"/>
  <c r="AB406" i="15"/>
  <c r="AA406" i="15"/>
  <c r="Z406" i="15"/>
  <c r="Y406" i="15"/>
  <c r="X406" i="15"/>
  <c r="AJ405" i="15"/>
  <c r="AI405" i="15"/>
  <c r="AH405" i="15"/>
  <c r="AG405" i="15"/>
  <c r="AF405" i="15"/>
  <c r="AE405" i="15"/>
  <c r="AC405" i="15"/>
  <c r="AB405" i="15"/>
  <c r="AA405" i="15"/>
  <c r="Z405" i="15"/>
  <c r="Y405" i="15"/>
  <c r="X405" i="15"/>
  <c r="AJ404" i="15"/>
  <c r="AI404" i="15"/>
  <c r="AH404" i="15"/>
  <c r="AG404" i="15"/>
  <c r="AF404" i="15"/>
  <c r="AE404" i="15"/>
  <c r="AC404" i="15"/>
  <c r="AB404" i="15"/>
  <c r="AA404" i="15"/>
  <c r="Z404" i="15"/>
  <c r="Y404" i="15"/>
  <c r="X404" i="15"/>
  <c r="AJ403" i="15"/>
  <c r="AI403" i="15"/>
  <c r="AH403" i="15"/>
  <c r="AG403" i="15"/>
  <c r="AF403" i="15"/>
  <c r="AE403" i="15"/>
  <c r="AC403" i="15"/>
  <c r="AB403" i="15"/>
  <c r="AA403" i="15"/>
  <c r="Z403" i="15"/>
  <c r="Y403" i="15"/>
  <c r="X403" i="15"/>
  <c r="AJ402" i="15"/>
  <c r="AI402" i="15"/>
  <c r="AH402" i="15"/>
  <c r="AG402" i="15"/>
  <c r="AF402" i="15"/>
  <c r="AE402" i="15"/>
  <c r="AC402" i="15"/>
  <c r="AB402" i="15"/>
  <c r="AA402" i="15"/>
  <c r="Z402" i="15"/>
  <c r="Y402" i="15"/>
  <c r="X402" i="15"/>
  <c r="AJ348" i="15"/>
  <c r="AI348" i="15"/>
  <c r="AH348" i="15"/>
  <c r="AG348" i="15"/>
  <c r="AF348" i="15"/>
  <c r="AE348" i="15"/>
  <c r="AD348" i="15"/>
  <c r="AC348" i="15"/>
  <c r="AJ347" i="15"/>
  <c r="AI347" i="15"/>
  <c r="AH347" i="15"/>
  <c r="AG347" i="15"/>
  <c r="AF347" i="15"/>
  <c r="AE347" i="15"/>
  <c r="AD347" i="15"/>
  <c r="AC347" i="15"/>
  <c r="AJ346" i="15"/>
  <c r="AI346" i="15"/>
  <c r="AH346" i="15"/>
  <c r="AG346" i="15"/>
  <c r="AF346" i="15"/>
  <c r="AE346" i="15"/>
  <c r="AD346" i="15"/>
  <c r="AC346" i="15"/>
  <c r="AJ345" i="15"/>
  <c r="AI345" i="15"/>
  <c r="AH345" i="15"/>
  <c r="AG345" i="15"/>
  <c r="AF345" i="15"/>
  <c r="AE345" i="15"/>
  <c r="AD345" i="15"/>
  <c r="AC345" i="15"/>
  <c r="AJ344" i="15"/>
  <c r="AI344" i="15"/>
  <c r="AH344" i="15"/>
  <c r="AG344" i="15"/>
  <c r="AF344" i="15"/>
  <c r="AE344" i="15"/>
  <c r="AD344" i="15"/>
  <c r="AC344" i="15"/>
  <c r="AJ343" i="15"/>
  <c r="AI343" i="15"/>
  <c r="AH343" i="15"/>
  <c r="AG343" i="15"/>
  <c r="AF343" i="15"/>
  <c r="AE343" i="15"/>
  <c r="AD343" i="15"/>
  <c r="AC343" i="15"/>
  <c r="AJ342" i="15"/>
  <c r="AI342" i="15"/>
  <c r="AH342" i="15"/>
  <c r="AG342" i="15"/>
  <c r="AF342" i="15"/>
  <c r="AE342" i="15"/>
  <c r="AD342" i="15"/>
  <c r="AC342" i="15"/>
  <c r="AJ341" i="15"/>
  <c r="AI341" i="15"/>
  <c r="AH341" i="15"/>
  <c r="AG341" i="15"/>
  <c r="AF341" i="15"/>
  <c r="AE341" i="15"/>
  <c r="AD341" i="15"/>
  <c r="AC341" i="15"/>
  <c r="AJ340" i="15"/>
  <c r="AI340" i="15"/>
  <c r="AH340" i="15"/>
  <c r="AG340" i="15"/>
  <c r="AF340" i="15"/>
  <c r="AE340" i="15"/>
  <c r="AD340" i="15"/>
  <c r="AC340" i="15"/>
  <c r="AJ339" i="15"/>
  <c r="AI339" i="15"/>
  <c r="AH339" i="15"/>
  <c r="AG339" i="15"/>
  <c r="AF339" i="15"/>
  <c r="AE339" i="15"/>
  <c r="AD339" i="15"/>
  <c r="AC339" i="15"/>
  <c r="AJ338" i="15"/>
  <c r="AI338" i="15"/>
  <c r="AH338" i="15"/>
  <c r="AG338" i="15"/>
  <c r="AF338" i="15"/>
  <c r="AE338" i="15"/>
  <c r="AD338" i="15"/>
  <c r="AC338" i="15"/>
  <c r="AJ337" i="15"/>
  <c r="AI337" i="15"/>
  <c r="AH337" i="15"/>
  <c r="AG337" i="15"/>
  <c r="AF337" i="15"/>
  <c r="AE337" i="15"/>
  <c r="AD337" i="15"/>
  <c r="AC337" i="15"/>
  <c r="AJ336" i="15"/>
  <c r="AI336" i="15"/>
  <c r="AH336" i="15"/>
  <c r="AG336" i="15"/>
  <c r="AF336" i="15"/>
  <c r="AE336" i="15"/>
  <c r="AD336" i="15"/>
  <c r="AC336" i="15"/>
  <c r="AJ335" i="15"/>
  <c r="AI335" i="15"/>
  <c r="AH335" i="15"/>
  <c r="AG335" i="15"/>
  <c r="AF335" i="15"/>
  <c r="AE335" i="15"/>
  <c r="AD335" i="15"/>
  <c r="AC335" i="15"/>
  <c r="AJ334" i="15"/>
  <c r="AI334" i="15"/>
  <c r="AH334" i="15"/>
  <c r="AG334" i="15"/>
  <c r="AF334" i="15"/>
  <c r="AE334" i="15"/>
  <c r="AD334" i="15"/>
  <c r="AC334" i="15"/>
  <c r="AJ333" i="15"/>
  <c r="AI333" i="15"/>
  <c r="AH333" i="15"/>
  <c r="AG333" i="15"/>
  <c r="AF333" i="15"/>
  <c r="AE333" i="15"/>
  <c r="AD333" i="15"/>
  <c r="AC333" i="15"/>
  <c r="AJ332" i="15"/>
  <c r="AI332" i="15"/>
  <c r="AH332" i="15"/>
  <c r="AG332" i="15"/>
  <c r="AF332" i="15"/>
  <c r="AE332" i="15"/>
  <c r="AD332" i="15"/>
  <c r="AC332" i="15"/>
  <c r="AJ331" i="15"/>
  <c r="AI331" i="15"/>
  <c r="AH331" i="15"/>
  <c r="AG331" i="15"/>
  <c r="AF331" i="15"/>
  <c r="AE331" i="15"/>
  <c r="AD331" i="15"/>
  <c r="AC331" i="15"/>
  <c r="AJ330" i="15"/>
  <c r="AI330" i="15"/>
  <c r="AH330" i="15"/>
  <c r="AG330" i="15"/>
  <c r="AF330" i="15"/>
  <c r="AE330" i="15"/>
  <c r="AD330" i="15"/>
  <c r="AC330" i="15"/>
  <c r="AJ329" i="15"/>
  <c r="AI329" i="15"/>
  <c r="AH329" i="15"/>
  <c r="AG329" i="15"/>
  <c r="AF329" i="15"/>
  <c r="AE329" i="15"/>
  <c r="AD329" i="15"/>
  <c r="AC329" i="15"/>
  <c r="D329" i="15" s="1"/>
  <c r="AJ306" i="15"/>
  <c r="AI306" i="15"/>
  <c r="AH306" i="15"/>
  <c r="AG306" i="15"/>
  <c r="AF306" i="15"/>
  <c r="AE306" i="15"/>
  <c r="AD306" i="15"/>
  <c r="AC306" i="15"/>
  <c r="AJ305" i="15"/>
  <c r="AI305" i="15"/>
  <c r="AH305" i="15"/>
  <c r="AG305" i="15"/>
  <c r="AF305" i="15"/>
  <c r="AE305" i="15"/>
  <c r="AD305" i="15"/>
  <c r="AC305" i="15"/>
  <c r="AJ304" i="15"/>
  <c r="AI304" i="15"/>
  <c r="AH304" i="15"/>
  <c r="AG304" i="15"/>
  <c r="AF304" i="15"/>
  <c r="AE304" i="15"/>
  <c r="AD304" i="15"/>
  <c r="AC304" i="15"/>
  <c r="AJ303" i="15"/>
  <c r="AI303" i="15"/>
  <c r="AH303" i="15"/>
  <c r="AG303" i="15"/>
  <c r="AF303" i="15"/>
  <c r="AE303" i="15"/>
  <c r="AD303" i="15"/>
  <c r="AC303" i="15"/>
  <c r="AJ302" i="15"/>
  <c r="AI302" i="15"/>
  <c r="AH302" i="15"/>
  <c r="AG302" i="15"/>
  <c r="AF302" i="15"/>
  <c r="AE302" i="15"/>
  <c r="AD302" i="15"/>
  <c r="AC302" i="15"/>
  <c r="AJ301" i="15"/>
  <c r="AI301" i="15"/>
  <c r="AH301" i="15"/>
  <c r="AG301" i="15"/>
  <c r="AF301" i="15"/>
  <c r="AE301" i="15"/>
  <c r="AD301" i="15"/>
  <c r="AC301" i="15"/>
  <c r="AJ300" i="15"/>
  <c r="AI300" i="15"/>
  <c r="AH300" i="15"/>
  <c r="AG300" i="15"/>
  <c r="AF300" i="15"/>
  <c r="AE300" i="15"/>
  <c r="AD300" i="15"/>
  <c r="AC300" i="15"/>
  <c r="AJ299" i="15"/>
  <c r="AI299" i="15"/>
  <c r="AH299" i="15"/>
  <c r="AG299" i="15"/>
  <c r="AF299" i="15"/>
  <c r="AE299" i="15"/>
  <c r="AD299" i="15"/>
  <c r="AC299" i="15"/>
  <c r="AJ298" i="15"/>
  <c r="AI298" i="15"/>
  <c r="AH298" i="15"/>
  <c r="AG298" i="15"/>
  <c r="AF298" i="15"/>
  <c r="AE298" i="15"/>
  <c r="AD298" i="15"/>
  <c r="AC298" i="15"/>
  <c r="AJ297" i="15"/>
  <c r="AI297" i="15"/>
  <c r="AH297" i="15"/>
  <c r="AG297" i="15"/>
  <c r="AF297" i="15"/>
  <c r="AE297" i="15"/>
  <c r="AD297" i="15"/>
  <c r="AC297" i="15"/>
  <c r="AJ296" i="15"/>
  <c r="AI296" i="15"/>
  <c r="AH296" i="15"/>
  <c r="AG296" i="15"/>
  <c r="AF296" i="15"/>
  <c r="AE296" i="15"/>
  <c r="AD296" i="15"/>
  <c r="AC296" i="15"/>
  <c r="AJ295" i="15"/>
  <c r="AI295" i="15"/>
  <c r="AH295" i="15"/>
  <c r="AG295" i="15"/>
  <c r="AF295" i="15"/>
  <c r="AE295" i="15"/>
  <c r="AD295" i="15"/>
  <c r="AC295" i="15"/>
  <c r="AJ294" i="15"/>
  <c r="AI294" i="15"/>
  <c r="AH294" i="15"/>
  <c r="AG294" i="15"/>
  <c r="AF294" i="15"/>
  <c r="AE294" i="15"/>
  <c r="AD294" i="15"/>
  <c r="AC294" i="15"/>
  <c r="AJ293" i="15"/>
  <c r="AI293" i="15"/>
  <c r="AH293" i="15"/>
  <c r="AG293" i="15"/>
  <c r="AF293" i="15"/>
  <c r="AE293" i="15"/>
  <c r="AD293" i="15"/>
  <c r="AC293" i="15"/>
  <c r="AJ292" i="15"/>
  <c r="AI292" i="15"/>
  <c r="AH292" i="15"/>
  <c r="AG292" i="15"/>
  <c r="AF292" i="15"/>
  <c r="AE292" i="15"/>
  <c r="AD292" i="15"/>
  <c r="AC292" i="15"/>
  <c r="AJ291" i="15"/>
  <c r="AI291" i="15"/>
  <c r="AH291" i="15"/>
  <c r="AG291" i="15"/>
  <c r="AF291" i="15"/>
  <c r="AE291" i="15"/>
  <c r="AD291" i="15"/>
  <c r="AC291" i="15"/>
  <c r="AJ290" i="15"/>
  <c r="AI290" i="15"/>
  <c r="AH290" i="15"/>
  <c r="AG290" i="15"/>
  <c r="AF290" i="15"/>
  <c r="AE290" i="15"/>
  <c r="AD290" i="15"/>
  <c r="AC290" i="15"/>
  <c r="AJ289" i="15"/>
  <c r="AI289" i="15"/>
  <c r="AH289" i="15"/>
  <c r="AG289" i="15"/>
  <c r="AF289" i="15"/>
  <c r="AE289" i="15"/>
  <c r="AD289" i="15"/>
  <c r="AC289" i="15"/>
  <c r="AJ288" i="15"/>
  <c r="AI288" i="15"/>
  <c r="AH288" i="15"/>
  <c r="AG288" i="15"/>
  <c r="AF288" i="15"/>
  <c r="AE288" i="15"/>
  <c r="AD288" i="15"/>
  <c r="AC288" i="15"/>
  <c r="AJ287" i="15"/>
  <c r="K287" i="15" s="1"/>
  <c r="AI287" i="15"/>
  <c r="J287" i="15" s="1"/>
  <c r="AH287" i="15"/>
  <c r="I287" i="15" s="1"/>
  <c r="AG287" i="15"/>
  <c r="H287" i="15" s="1"/>
  <c r="AF287" i="15"/>
  <c r="G287" i="15" s="1"/>
  <c r="AE287" i="15"/>
  <c r="F287" i="15" s="1"/>
  <c r="AD287" i="15"/>
  <c r="E287" i="15" s="1"/>
  <c r="AC287" i="15"/>
  <c r="D287" i="15" s="1"/>
  <c r="AJ250" i="15"/>
  <c r="AJ251" i="15"/>
  <c r="AJ252" i="15"/>
  <c r="AJ253" i="15"/>
  <c r="AJ254" i="15"/>
  <c r="AJ255" i="15"/>
  <c r="AJ256" i="15"/>
  <c r="AJ257" i="15"/>
  <c r="AJ258" i="15"/>
  <c r="AJ259" i="15"/>
  <c r="AJ260" i="15"/>
  <c r="AJ261" i="15"/>
  <c r="AJ262" i="15"/>
  <c r="AJ263" i="15"/>
  <c r="AJ264" i="15"/>
  <c r="AJ265" i="15"/>
  <c r="AJ266" i="15"/>
  <c r="AJ267" i="15"/>
  <c r="AJ268" i="15"/>
  <c r="AI250" i="15"/>
  <c r="AI251" i="15"/>
  <c r="AI252" i="15"/>
  <c r="AI253" i="15"/>
  <c r="AI254" i="15"/>
  <c r="AI255" i="15"/>
  <c r="AI256" i="15"/>
  <c r="AI257" i="15"/>
  <c r="AI258" i="15"/>
  <c r="AI259" i="15"/>
  <c r="AI260" i="15"/>
  <c r="AI261" i="15"/>
  <c r="AI262" i="15"/>
  <c r="AI263" i="15"/>
  <c r="AI264" i="15"/>
  <c r="AI265" i="15"/>
  <c r="AI266" i="15"/>
  <c r="AI267" i="15"/>
  <c r="AI268" i="15"/>
  <c r="AH250" i="15"/>
  <c r="AH251" i="15"/>
  <c r="AH252" i="15"/>
  <c r="AH253" i="15"/>
  <c r="AH254" i="15"/>
  <c r="AH255" i="15"/>
  <c r="AH256" i="15"/>
  <c r="AH257" i="15"/>
  <c r="AH258" i="15"/>
  <c r="AH259" i="15"/>
  <c r="AH260" i="15"/>
  <c r="AH261" i="15"/>
  <c r="AH262" i="15"/>
  <c r="AH263" i="15"/>
  <c r="AH264" i="15"/>
  <c r="AH265" i="15"/>
  <c r="AH266" i="15"/>
  <c r="AH267" i="15"/>
  <c r="AH268" i="15"/>
  <c r="AI249" i="15"/>
  <c r="J249" i="15" s="1"/>
  <c r="AJ249" i="15"/>
  <c r="K249" i="15" s="1"/>
  <c r="AH249" i="15"/>
  <c r="I249" i="15" s="1"/>
  <c r="AG250" i="15"/>
  <c r="AG251" i="15"/>
  <c r="AG252" i="15"/>
  <c r="AG253" i="15"/>
  <c r="AG254" i="15"/>
  <c r="AG255" i="15"/>
  <c r="AG256" i="15"/>
  <c r="AG257" i="15"/>
  <c r="AG258" i="15"/>
  <c r="AG259" i="15"/>
  <c r="AG260" i="15"/>
  <c r="AG261" i="15"/>
  <c r="AG262" i="15"/>
  <c r="AG263" i="15"/>
  <c r="AG264" i="15"/>
  <c r="AG265" i="15"/>
  <c r="AG266" i="15"/>
  <c r="AG267" i="15"/>
  <c r="AG268" i="15"/>
  <c r="H268" i="15" s="1"/>
  <c r="AF250" i="15"/>
  <c r="AF251" i="15"/>
  <c r="AF252" i="15"/>
  <c r="AF253" i="15"/>
  <c r="AF254" i="15"/>
  <c r="AF255" i="15"/>
  <c r="AF256" i="15"/>
  <c r="AF257" i="15"/>
  <c r="AF258" i="15"/>
  <c r="AF259" i="15"/>
  <c r="AF260" i="15"/>
  <c r="AF261" i="15"/>
  <c r="AF262" i="15"/>
  <c r="AF263" i="15"/>
  <c r="AF264" i="15"/>
  <c r="AF265" i="15"/>
  <c r="AF266" i="15"/>
  <c r="AF267" i="15"/>
  <c r="AF268" i="15"/>
  <c r="AE250" i="15"/>
  <c r="AE251" i="15"/>
  <c r="AE252" i="15"/>
  <c r="AE253" i="15"/>
  <c r="AE254" i="15"/>
  <c r="AE255" i="15"/>
  <c r="AE256" i="15"/>
  <c r="AE257" i="15"/>
  <c r="AE258" i="15"/>
  <c r="AE259" i="15"/>
  <c r="AE260" i="15"/>
  <c r="AE261" i="15"/>
  <c r="AE262" i="15"/>
  <c r="AE263" i="15"/>
  <c r="AE264" i="15"/>
  <c r="AE265" i="15"/>
  <c r="AE266" i="15"/>
  <c r="AE267" i="15"/>
  <c r="AE268" i="15"/>
  <c r="AD250" i="15"/>
  <c r="AD251" i="15"/>
  <c r="AD252" i="15"/>
  <c r="AD253" i="15"/>
  <c r="AD254" i="15"/>
  <c r="AD255" i="15"/>
  <c r="AD256" i="15"/>
  <c r="AD257" i="15"/>
  <c r="AD258" i="15"/>
  <c r="AD259" i="15"/>
  <c r="AD260" i="15"/>
  <c r="AD261" i="15"/>
  <c r="AD262" i="15"/>
  <c r="AD263" i="15"/>
  <c r="AD264" i="15"/>
  <c r="AD265" i="15"/>
  <c r="AD266" i="15"/>
  <c r="AD267" i="15"/>
  <c r="AD268" i="15"/>
  <c r="AD249" i="15"/>
  <c r="E249" i="15" s="1"/>
  <c r="AE249" i="15"/>
  <c r="F249" i="15" s="1"/>
  <c r="AF249" i="15"/>
  <c r="G249" i="15" s="1"/>
  <c r="AG249" i="15"/>
  <c r="H249" i="15" s="1"/>
  <c r="AC250" i="15"/>
  <c r="AC251" i="15"/>
  <c r="AC252" i="15"/>
  <c r="AC253" i="15"/>
  <c r="AC254" i="15"/>
  <c r="AC255" i="15"/>
  <c r="AC256" i="15"/>
  <c r="AC257" i="15"/>
  <c r="AC258" i="15"/>
  <c r="AC259" i="15"/>
  <c r="AC260" i="15"/>
  <c r="AC261" i="15"/>
  <c r="AC262" i="15"/>
  <c r="AC263" i="15"/>
  <c r="AC264" i="15"/>
  <c r="AC265" i="15"/>
  <c r="AC266" i="15"/>
  <c r="AC267" i="15"/>
  <c r="AC268" i="15"/>
  <c r="AC249" i="15"/>
  <c r="D249" i="15" s="1"/>
  <c r="AJ366" i="15"/>
  <c r="AJ367" i="15"/>
  <c r="AJ368" i="15"/>
  <c r="AJ369" i="15"/>
  <c r="AJ370" i="15"/>
  <c r="AJ371" i="15"/>
  <c r="AJ372" i="15"/>
  <c r="AJ373" i="15"/>
  <c r="AJ374" i="15"/>
  <c r="AJ375" i="15"/>
  <c r="AJ376" i="15"/>
  <c r="AJ377" i="15"/>
  <c r="AJ378" i="15"/>
  <c r="AJ379" i="15"/>
  <c r="AJ380" i="15"/>
  <c r="AJ381" i="15"/>
  <c r="AJ382" i="15"/>
  <c r="AJ383" i="15"/>
  <c r="AJ384" i="15"/>
  <c r="AI366" i="15"/>
  <c r="AI367" i="15"/>
  <c r="AI368" i="15"/>
  <c r="AI369" i="15"/>
  <c r="AI370" i="15"/>
  <c r="AI371" i="15"/>
  <c r="AI372" i="15"/>
  <c r="AI373" i="15"/>
  <c r="AI374" i="15"/>
  <c r="AI375" i="15"/>
  <c r="AI376" i="15"/>
  <c r="AI377" i="15"/>
  <c r="AI378" i="15"/>
  <c r="AI379" i="15"/>
  <c r="AI380" i="15"/>
  <c r="AI381" i="15"/>
  <c r="AI382" i="15"/>
  <c r="AI383" i="15"/>
  <c r="AI384" i="15"/>
  <c r="AH366" i="15"/>
  <c r="AH367" i="15"/>
  <c r="AH368" i="15"/>
  <c r="AH369" i="15"/>
  <c r="AH370" i="15"/>
  <c r="AH371" i="15"/>
  <c r="AH372" i="15"/>
  <c r="AH373" i="15"/>
  <c r="AH374" i="15"/>
  <c r="AH375" i="15"/>
  <c r="AH376" i="15"/>
  <c r="AH377" i="15"/>
  <c r="AH378" i="15"/>
  <c r="AH379" i="15"/>
  <c r="AH380" i="15"/>
  <c r="AH381" i="15"/>
  <c r="AH382" i="15"/>
  <c r="AH383" i="15"/>
  <c r="AH384" i="15"/>
  <c r="AI365" i="15"/>
  <c r="AJ365" i="15"/>
  <c r="AH365" i="15"/>
  <c r="AG366" i="15"/>
  <c r="AG367" i="15"/>
  <c r="AG368" i="15"/>
  <c r="AG369" i="15"/>
  <c r="AG370" i="15"/>
  <c r="AG371" i="15"/>
  <c r="AG372" i="15"/>
  <c r="AG373" i="15"/>
  <c r="AG374" i="15"/>
  <c r="AG375" i="15"/>
  <c r="AG376" i="15"/>
  <c r="AG377" i="15"/>
  <c r="AG378" i="15"/>
  <c r="AG379" i="15"/>
  <c r="AG380" i="15"/>
  <c r="AG381" i="15"/>
  <c r="AG382" i="15"/>
  <c r="AG383" i="15"/>
  <c r="AG384" i="15"/>
  <c r="AF366" i="15"/>
  <c r="AF367" i="15"/>
  <c r="AF368" i="15"/>
  <c r="AF369" i="15"/>
  <c r="AF370" i="15"/>
  <c r="AF371" i="15"/>
  <c r="AF372" i="15"/>
  <c r="AF373" i="15"/>
  <c r="AF374" i="15"/>
  <c r="AF375" i="15"/>
  <c r="AF376" i="15"/>
  <c r="AF377" i="15"/>
  <c r="AF378" i="15"/>
  <c r="AF379" i="15"/>
  <c r="AF380" i="15"/>
  <c r="AF381" i="15"/>
  <c r="AF382" i="15"/>
  <c r="AF383" i="15"/>
  <c r="AF384" i="15"/>
  <c r="AE366" i="15"/>
  <c r="AE367" i="15"/>
  <c r="AE368" i="15"/>
  <c r="AE369" i="15"/>
  <c r="AE370" i="15"/>
  <c r="AE371" i="15"/>
  <c r="AE372" i="15"/>
  <c r="AE373" i="15"/>
  <c r="AE374" i="15"/>
  <c r="AE375" i="15"/>
  <c r="AE376" i="15"/>
  <c r="AE377" i="15"/>
  <c r="AE378" i="15"/>
  <c r="AE379" i="15"/>
  <c r="AE380" i="15"/>
  <c r="AE381" i="15"/>
  <c r="AE382" i="15"/>
  <c r="AE383" i="15"/>
  <c r="AE384" i="15"/>
  <c r="AC366" i="15"/>
  <c r="AC367" i="15"/>
  <c r="AC368" i="15"/>
  <c r="AC369" i="15"/>
  <c r="AC370" i="15"/>
  <c r="AC371" i="15"/>
  <c r="AC372" i="15"/>
  <c r="AC373" i="15"/>
  <c r="AC374" i="15"/>
  <c r="AC375" i="15"/>
  <c r="AC376" i="15"/>
  <c r="AC377" i="15"/>
  <c r="AC378" i="15"/>
  <c r="AC379" i="15"/>
  <c r="AC380" i="15"/>
  <c r="AC381" i="15"/>
  <c r="AC382" i="15"/>
  <c r="AC383" i="15"/>
  <c r="AC384" i="15"/>
  <c r="AB366" i="15"/>
  <c r="AB367" i="15"/>
  <c r="AB368" i="15"/>
  <c r="AB369" i="15"/>
  <c r="AB370" i="15"/>
  <c r="AB371" i="15"/>
  <c r="AB372" i="15"/>
  <c r="AB373" i="15"/>
  <c r="AB374" i="15"/>
  <c r="AB375" i="15"/>
  <c r="AB376" i="15"/>
  <c r="AB377" i="15"/>
  <c r="AB378" i="15"/>
  <c r="AB379" i="15"/>
  <c r="AB380" i="15"/>
  <c r="AB381" i="15"/>
  <c r="AB382" i="15"/>
  <c r="AB383" i="15"/>
  <c r="AB384" i="15"/>
  <c r="AA366" i="15"/>
  <c r="AA367" i="15"/>
  <c r="AA368" i="15"/>
  <c r="AA369" i="15"/>
  <c r="AA370" i="15"/>
  <c r="AA371" i="15"/>
  <c r="AA372" i="15"/>
  <c r="AA373" i="15"/>
  <c r="AA374" i="15"/>
  <c r="AA375" i="15"/>
  <c r="AA376" i="15"/>
  <c r="AA377" i="15"/>
  <c r="AA378" i="15"/>
  <c r="AA379" i="15"/>
  <c r="AA380" i="15"/>
  <c r="AA381" i="15"/>
  <c r="AA382" i="15"/>
  <c r="AA383" i="15"/>
  <c r="AA384" i="15"/>
  <c r="Z384" i="15"/>
  <c r="Z366" i="15"/>
  <c r="Z367" i="15"/>
  <c r="Z368" i="15"/>
  <c r="Z369" i="15"/>
  <c r="Z370" i="15"/>
  <c r="Z371" i="15"/>
  <c r="Z372" i="15"/>
  <c r="Z373" i="15"/>
  <c r="Z374" i="15"/>
  <c r="Z375" i="15"/>
  <c r="Z376" i="15"/>
  <c r="Z377" i="15"/>
  <c r="Z378" i="15"/>
  <c r="Z379" i="15"/>
  <c r="Z380" i="15"/>
  <c r="Z381" i="15"/>
  <c r="Z382" i="15"/>
  <c r="Z383" i="15"/>
  <c r="Y366" i="15"/>
  <c r="Y367" i="15"/>
  <c r="Y368" i="15"/>
  <c r="Y369" i="15"/>
  <c r="Y370" i="15"/>
  <c r="Y371" i="15"/>
  <c r="Y372" i="15"/>
  <c r="Y373" i="15"/>
  <c r="Y374" i="15"/>
  <c r="Y375" i="15"/>
  <c r="Y376" i="15"/>
  <c r="Y377" i="15"/>
  <c r="Y378" i="15"/>
  <c r="Y379" i="15"/>
  <c r="Y380" i="15"/>
  <c r="Y381" i="15"/>
  <c r="Y382" i="15"/>
  <c r="Y383" i="15"/>
  <c r="Y384" i="15"/>
  <c r="AE365" i="15"/>
  <c r="AF365" i="15"/>
  <c r="AG365" i="15"/>
  <c r="AC365" i="15"/>
  <c r="X366" i="15"/>
  <c r="X367" i="15"/>
  <c r="X368" i="15"/>
  <c r="X369" i="15"/>
  <c r="X370" i="15"/>
  <c r="X371" i="15"/>
  <c r="X372" i="15"/>
  <c r="X373" i="15"/>
  <c r="X374" i="15"/>
  <c r="X375" i="15"/>
  <c r="X376" i="15"/>
  <c r="X377" i="15"/>
  <c r="X378" i="15"/>
  <c r="X379" i="15"/>
  <c r="X380" i="15"/>
  <c r="X381" i="15"/>
  <c r="X382" i="15"/>
  <c r="X383" i="15"/>
  <c r="X384" i="15"/>
  <c r="Y365" i="15"/>
  <c r="Z365" i="15"/>
  <c r="AA365" i="15"/>
  <c r="AB365" i="15"/>
  <c r="X365" i="15"/>
  <c r="X86" i="15"/>
  <c r="X87" i="15"/>
  <c r="X88" i="15"/>
  <c r="X89" i="15"/>
  <c r="X90" i="15"/>
  <c r="X91" i="15"/>
  <c r="X92" i="15"/>
  <c r="X93" i="15"/>
  <c r="X94" i="15"/>
  <c r="X95" i="15"/>
  <c r="X96" i="15"/>
  <c r="W330" i="15" a="1"/>
  <c r="W330" i="15" s="1"/>
  <c r="W331" i="15" a="1"/>
  <c r="W331" i="15" s="1"/>
  <c r="W332" i="15" a="1"/>
  <c r="W332" i="15" s="1"/>
  <c r="W333" i="15" a="1"/>
  <c r="W333" i="15" s="1"/>
  <c r="W334" i="15" a="1"/>
  <c r="W334" i="15" s="1"/>
  <c r="W335" i="15" a="1"/>
  <c r="W335" i="15" s="1"/>
  <c r="W336" i="15" a="1"/>
  <c r="W336" i="15" s="1"/>
  <c r="W337" i="15" a="1"/>
  <c r="W337" i="15" s="1"/>
  <c r="W338" i="15" a="1"/>
  <c r="W338" i="15" s="1"/>
  <c r="W339" i="15" a="1"/>
  <c r="W339" i="15" s="1"/>
  <c r="W340" i="15" a="1"/>
  <c r="W340" i="15" s="1"/>
  <c r="W341" i="15" a="1"/>
  <c r="W341" i="15" s="1"/>
  <c r="W342" i="15" a="1"/>
  <c r="W342" i="15" s="1"/>
  <c r="W343" i="15" a="1"/>
  <c r="W343" i="15" s="1"/>
  <c r="W344" i="15" a="1"/>
  <c r="W344" i="15" s="1"/>
  <c r="W345" i="15" a="1"/>
  <c r="W345" i="15" s="1"/>
  <c r="W346" i="15" a="1"/>
  <c r="W346" i="15" s="1"/>
  <c r="W347" i="15" a="1"/>
  <c r="W347" i="15" s="1"/>
  <c r="W348" i="15" a="1"/>
  <c r="W348" i="15" s="1"/>
  <c r="W288" i="15" a="1"/>
  <c r="W288" i="15" s="1"/>
  <c r="W289" i="15" a="1"/>
  <c r="W289" i="15" s="1"/>
  <c r="W290" i="15" a="1"/>
  <c r="W290" i="15" s="1"/>
  <c r="W291" i="15" a="1"/>
  <c r="W291" i="15" s="1"/>
  <c r="W292" i="15" a="1"/>
  <c r="W292" i="15" s="1"/>
  <c r="W293" i="15" a="1"/>
  <c r="W293" i="15" s="1"/>
  <c r="W294" i="15" a="1"/>
  <c r="W294" i="15" s="1"/>
  <c r="W295" i="15" a="1"/>
  <c r="W295" i="15" s="1"/>
  <c r="W296" i="15" a="1"/>
  <c r="W296" i="15" s="1"/>
  <c r="W297" i="15" a="1"/>
  <c r="W297" i="15" s="1"/>
  <c r="W298" i="15" a="1"/>
  <c r="W298" i="15" s="1"/>
  <c r="W299" i="15" a="1"/>
  <c r="W299" i="15" s="1"/>
  <c r="W300" i="15" a="1"/>
  <c r="W300" i="15" s="1"/>
  <c r="W301" i="15" a="1"/>
  <c r="W301" i="15" s="1"/>
  <c r="W302" i="15" a="1"/>
  <c r="W302" i="15" s="1"/>
  <c r="W303" i="15" a="1"/>
  <c r="W303" i="15" s="1"/>
  <c r="W304" i="15" a="1"/>
  <c r="W304" i="15" s="1"/>
  <c r="W305" i="15" a="1"/>
  <c r="W305" i="15" s="1"/>
  <c r="W306" i="15" a="1"/>
  <c r="W306" i="15" s="1"/>
  <c r="W252" i="15" a="1"/>
  <c r="W252" i="15" s="1"/>
  <c r="W253" i="15" a="1"/>
  <c r="W253" i="15" s="1"/>
  <c r="W254" i="15" a="1"/>
  <c r="W254" i="15" s="1"/>
  <c r="W255" i="15" a="1"/>
  <c r="W255" i="15" s="1"/>
  <c r="W256" i="15" a="1"/>
  <c r="W256" i="15" s="1"/>
  <c r="W257" i="15" a="1"/>
  <c r="W257" i="15" s="1"/>
  <c r="W258" i="15" a="1"/>
  <c r="W258" i="15" s="1"/>
  <c r="W259" i="15" a="1"/>
  <c r="W259" i="15" s="1"/>
  <c r="W260" i="15" a="1"/>
  <c r="W260" i="15" s="1"/>
  <c r="W261" i="15" a="1"/>
  <c r="W261" i="15" s="1"/>
  <c r="W262" i="15" a="1"/>
  <c r="W262" i="15" s="1"/>
  <c r="W263" i="15" a="1"/>
  <c r="W263" i="15" s="1"/>
  <c r="W264" i="15" a="1"/>
  <c r="W264" i="15" s="1"/>
  <c r="W265" i="15" a="1"/>
  <c r="W265" i="15" s="1"/>
  <c r="W266" i="15" a="1"/>
  <c r="W266" i="15" s="1"/>
  <c r="W267" i="15" a="1"/>
  <c r="W267" i="15" s="1"/>
  <c r="W250" i="15" a="1"/>
  <c r="W250" i="15" s="1"/>
  <c r="W251" i="15" a="1"/>
  <c r="W251" i="15" s="1"/>
  <c r="W206" i="15" a="1"/>
  <c r="W206" i="15" s="1"/>
  <c r="W207" i="15" a="1"/>
  <c r="W207" i="15" s="1"/>
  <c r="W208" i="15" a="1"/>
  <c r="W208" i="15" s="1"/>
  <c r="W209" i="15" a="1"/>
  <c r="W209" i="15" s="1"/>
  <c r="W210" i="15" a="1"/>
  <c r="W210" i="15" s="1"/>
  <c r="W211" i="15" a="1"/>
  <c r="W211" i="15" s="1"/>
  <c r="W212" i="15" a="1"/>
  <c r="W212" i="15" s="1"/>
  <c r="W213" i="15" a="1"/>
  <c r="W213" i="15" s="1"/>
  <c r="W214" i="15" a="1"/>
  <c r="W214" i="15" s="1"/>
  <c r="W215" i="15" a="1"/>
  <c r="W215" i="15" s="1"/>
  <c r="W216" i="15" a="1"/>
  <c r="W216" i="15" s="1"/>
  <c r="W217" i="15" a="1"/>
  <c r="W217" i="15" s="1"/>
  <c r="W218" i="15" a="1"/>
  <c r="W218" i="15" s="1"/>
  <c r="W219" i="15" a="1"/>
  <c r="W219" i="15" s="1"/>
  <c r="W220" i="15" a="1"/>
  <c r="W220" i="15" s="1"/>
  <c r="W221" i="15" a="1"/>
  <c r="W221" i="15" s="1"/>
  <c r="W222" i="15" a="1"/>
  <c r="W222" i="15" s="1"/>
  <c r="W223" i="15" a="1"/>
  <c r="W223" i="15" s="1"/>
  <c r="AJ223" i="15"/>
  <c r="AI223" i="15"/>
  <c r="AH223" i="15"/>
  <c r="AG223" i="15"/>
  <c r="AF223" i="15"/>
  <c r="AE223" i="15"/>
  <c r="AC223" i="15"/>
  <c r="AB223" i="15"/>
  <c r="AA223" i="15"/>
  <c r="Z223" i="15"/>
  <c r="Y223" i="15"/>
  <c r="X223" i="15"/>
  <c r="AJ222" i="15"/>
  <c r="AI222" i="15"/>
  <c r="AH222" i="15"/>
  <c r="AG222" i="15"/>
  <c r="AF222" i="15"/>
  <c r="AE222" i="15"/>
  <c r="AC222" i="15"/>
  <c r="AB222" i="15"/>
  <c r="AA222" i="15"/>
  <c r="Z222" i="15"/>
  <c r="Y222" i="15"/>
  <c r="X222" i="15"/>
  <c r="AJ221" i="15"/>
  <c r="AI221" i="15"/>
  <c r="AH221" i="15"/>
  <c r="AG221" i="15"/>
  <c r="AF221" i="15"/>
  <c r="AE221" i="15"/>
  <c r="AC221" i="15"/>
  <c r="AB221" i="15"/>
  <c r="AA221" i="15"/>
  <c r="Z221" i="15"/>
  <c r="Y221" i="15"/>
  <c r="X221" i="15"/>
  <c r="AJ220" i="15"/>
  <c r="AI220" i="15"/>
  <c r="AH220" i="15"/>
  <c r="AG220" i="15"/>
  <c r="AF220" i="15"/>
  <c r="AE220" i="15"/>
  <c r="AC220" i="15"/>
  <c r="AB220" i="15"/>
  <c r="AA220" i="15"/>
  <c r="Z220" i="15"/>
  <c r="Y220" i="15"/>
  <c r="X220" i="15"/>
  <c r="AJ219" i="15"/>
  <c r="AI219" i="15"/>
  <c r="AH219" i="15"/>
  <c r="AG219" i="15"/>
  <c r="AF219" i="15"/>
  <c r="AE219" i="15"/>
  <c r="AC219" i="15"/>
  <c r="AB219" i="15"/>
  <c r="AA219" i="15"/>
  <c r="Z219" i="15"/>
  <c r="Y219" i="15"/>
  <c r="X219" i="15"/>
  <c r="AJ218" i="15"/>
  <c r="AI218" i="15"/>
  <c r="AH218" i="15"/>
  <c r="AG218" i="15"/>
  <c r="AF218" i="15"/>
  <c r="AE218" i="15"/>
  <c r="AC218" i="15"/>
  <c r="AB218" i="15"/>
  <c r="AA218" i="15"/>
  <c r="Z218" i="15"/>
  <c r="Y218" i="15"/>
  <c r="X218" i="15"/>
  <c r="AJ217" i="15"/>
  <c r="AI217" i="15"/>
  <c r="AH217" i="15"/>
  <c r="AG217" i="15"/>
  <c r="AF217" i="15"/>
  <c r="AE217" i="15"/>
  <c r="AC217" i="15"/>
  <c r="AB217" i="15"/>
  <c r="AA217" i="15"/>
  <c r="Z217" i="15"/>
  <c r="Y217" i="15"/>
  <c r="X217" i="15"/>
  <c r="AJ216" i="15"/>
  <c r="AI216" i="15"/>
  <c r="AH216" i="15"/>
  <c r="AG216" i="15"/>
  <c r="AF216" i="15"/>
  <c r="AE216" i="15"/>
  <c r="AC216" i="15"/>
  <c r="AB216" i="15"/>
  <c r="AA216" i="15"/>
  <c r="Z216" i="15"/>
  <c r="Y216" i="15"/>
  <c r="X216" i="15"/>
  <c r="AJ215" i="15"/>
  <c r="AI215" i="15"/>
  <c r="AH215" i="15"/>
  <c r="AG215" i="15"/>
  <c r="AF215" i="15"/>
  <c r="AE215" i="15"/>
  <c r="AC215" i="15"/>
  <c r="AB215" i="15"/>
  <c r="AA215" i="15"/>
  <c r="Z215" i="15"/>
  <c r="Y215" i="15"/>
  <c r="X215" i="15"/>
  <c r="AJ214" i="15"/>
  <c r="AI214" i="15"/>
  <c r="AH214" i="15"/>
  <c r="AG214" i="15"/>
  <c r="AF214" i="15"/>
  <c r="AE214" i="15"/>
  <c r="AC214" i="15"/>
  <c r="AB214" i="15"/>
  <c r="AA214" i="15"/>
  <c r="Z214" i="15"/>
  <c r="Y214" i="15"/>
  <c r="X214" i="15"/>
  <c r="AJ213" i="15"/>
  <c r="AI213" i="15"/>
  <c r="AH213" i="15"/>
  <c r="AG213" i="15"/>
  <c r="AF213" i="15"/>
  <c r="AE213" i="15"/>
  <c r="AC213" i="15"/>
  <c r="AB213" i="15"/>
  <c r="AA213" i="15"/>
  <c r="Z213" i="15"/>
  <c r="Y213" i="15"/>
  <c r="X213" i="15"/>
  <c r="AJ212" i="15"/>
  <c r="AI212" i="15"/>
  <c r="AH212" i="15"/>
  <c r="AG212" i="15"/>
  <c r="AF212" i="15"/>
  <c r="AE212" i="15"/>
  <c r="AC212" i="15"/>
  <c r="AB212" i="15"/>
  <c r="AA212" i="15"/>
  <c r="Z212" i="15"/>
  <c r="Y212" i="15"/>
  <c r="X212" i="15"/>
  <c r="AJ211" i="15"/>
  <c r="AI211" i="15"/>
  <c r="AH211" i="15"/>
  <c r="AG211" i="15"/>
  <c r="AF211" i="15"/>
  <c r="AE211" i="15"/>
  <c r="AC211" i="15"/>
  <c r="AB211" i="15"/>
  <c r="AA211" i="15"/>
  <c r="Z211" i="15"/>
  <c r="Y211" i="15"/>
  <c r="X211" i="15"/>
  <c r="AJ210" i="15"/>
  <c r="AI210" i="15"/>
  <c r="AH210" i="15"/>
  <c r="AG210" i="15"/>
  <c r="AF210" i="15"/>
  <c r="AE210" i="15"/>
  <c r="AC210" i="15"/>
  <c r="AB210" i="15"/>
  <c r="AA210" i="15"/>
  <c r="Z210" i="15"/>
  <c r="Y210" i="15"/>
  <c r="X210" i="15"/>
  <c r="AJ209" i="15"/>
  <c r="AI209" i="15"/>
  <c r="AH209" i="15"/>
  <c r="AG209" i="15"/>
  <c r="AF209" i="15"/>
  <c r="AE209" i="15"/>
  <c r="AC209" i="15"/>
  <c r="AB209" i="15"/>
  <c r="AA209" i="15"/>
  <c r="Z209" i="15"/>
  <c r="Y209" i="15"/>
  <c r="X209" i="15"/>
  <c r="AJ208" i="15"/>
  <c r="AI208" i="15"/>
  <c r="AH208" i="15"/>
  <c r="AG208" i="15"/>
  <c r="AF208" i="15"/>
  <c r="AE208" i="15"/>
  <c r="AC208" i="15"/>
  <c r="AB208" i="15"/>
  <c r="AA208" i="15"/>
  <c r="Z208" i="15"/>
  <c r="Y208" i="15"/>
  <c r="X208" i="15"/>
  <c r="AJ207" i="15"/>
  <c r="AI207" i="15"/>
  <c r="AH207" i="15"/>
  <c r="AG207" i="15"/>
  <c r="AF207" i="15"/>
  <c r="AE207" i="15"/>
  <c r="AC207" i="15"/>
  <c r="AB207" i="15"/>
  <c r="AA207" i="15"/>
  <c r="Z207" i="15"/>
  <c r="Y207" i="15"/>
  <c r="X207" i="15"/>
  <c r="AJ206" i="15"/>
  <c r="AI206" i="15"/>
  <c r="AH206" i="15"/>
  <c r="AG206" i="15"/>
  <c r="AF206" i="15"/>
  <c r="AE206" i="15"/>
  <c r="AC206" i="15"/>
  <c r="AB206" i="15"/>
  <c r="AA206" i="15"/>
  <c r="Z206" i="15"/>
  <c r="Y206" i="15"/>
  <c r="X206" i="15"/>
  <c r="AJ205" i="15"/>
  <c r="AI205" i="15"/>
  <c r="AH205" i="15"/>
  <c r="AG205" i="15"/>
  <c r="AF205" i="15"/>
  <c r="AE205" i="15"/>
  <c r="AC205" i="15"/>
  <c r="AB205" i="15"/>
  <c r="AA205" i="15"/>
  <c r="Z205" i="15"/>
  <c r="Y205" i="15"/>
  <c r="X205" i="15"/>
  <c r="AJ204" i="15"/>
  <c r="AI204" i="15"/>
  <c r="AH204" i="15"/>
  <c r="AG204" i="15"/>
  <c r="AF204" i="15"/>
  <c r="AE204" i="15"/>
  <c r="AC204" i="15"/>
  <c r="AB204" i="15"/>
  <c r="AA204" i="15"/>
  <c r="Z204" i="15"/>
  <c r="Y204" i="15"/>
  <c r="X204" i="15"/>
  <c r="W167" i="15" a="1"/>
  <c r="W167" i="15" s="1"/>
  <c r="W168" i="15" a="1"/>
  <c r="W168" i="15" s="1"/>
  <c r="W169" i="15" a="1"/>
  <c r="W169" i="15" s="1"/>
  <c r="W170" i="15" a="1"/>
  <c r="W170" i="15" s="1"/>
  <c r="W171" i="15" a="1"/>
  <c r="W171" i="15" s="1"/>
  <c r="W172" i="15" a="1"/>
  <c r="W172" i="15" s="1"/>
  <c r="W173" i="15" a="1"/>
  <c r="W173" i="15" s="1"/>
  <c r="W174" i="15" a="1"/>
  <c r="W174" i="15" s="1"/>
  <c r="W175" i="15" a="1"/>
  <c r="W175" i="15" s="1"/>
  <c r="W176" i="15" a="1"/>
  <c r="W176" i="15" s="1"/>
  <c r="W177" i="15" a="1"/>
  <c r="W177" i="15" s="1"/>
  <c r="W178" i="15" a="1"/>
  <c r="W178" i="15" s="1"/>
  <c r="W179" i="15" a="1"/>
  <c r="W179" i="15" s="1"/>
  <c r="W180" i="15" a="1"/>
  <c r="W180" i="15" s="1"/>
  <c r="W181" i="15" a="1"/>
  <c r="W181" i="15" s="1"/>
  <c r="W182" i="15" a="1"/>
  <c r="W182" i="15" s="1"/>
  <c r="W183" i="15" a="1"/>
  <c r="W183" i="15" s="1"/>
  <c r="W184" i="15" a="1"/>
  <c r="W184" i="15" s="1"/>
  <c r="W86" i="15" a="1"/>
  <c r="W86" i="15" s="1"/>
  <c r="W87" i="15" a="1"/>
  <c r="W87" i="15" s="1"/>
  <c r="W88" i="15" a="1"/>
  <c r="W88" i="15" s="1"/>
  <c r="W89" i="15" a="1"/>
  <c r="W89" i="15" s="1"/>
  <c r="W90" i="15" a="1"/>
  <c r="W90" i="15" s="1"/>
  <c r="W91" i="15" a="1"/>
  <c r="W91" i="15" s="1"/>
  <c r="W92" i="15" a="1"/>
  <c r="W92" i="15" s="1"/>
  <c r="W93" i="15" a="1"/>
  <c r="W93" i="15" s="1"/>
  <c r="W94" i="15" a="1"/>
  <c r="W94" i="15" s="1"/>
  <c r="W95" i="15" a="1"/>
  <c r="W95" i="15" s="1"/>
  <c r="W96" i="15" a="1"/>
  <c r="W96" i="15" s="1"/>
  <c r="W97" i="15" a="1"/>
  <c r="W97" i="15" s="1"/>
  <c r="W98" i="15" a="1"/>
  <c r="W98" i="15" s="1"/>
  <c r="W99" i="15" a="1"/>
  <c r="W99" i="15" s="1"/>
  <c r="W100" i="15" a="1"/>
  <c r="W100" i="15" s="1"/>
  <c r="W101" i="15" a="1"/>
  <c r="W101" i="15" s="1"/>
  <c r="W102" i="15" a="1"/>
  <c r="W102" i="15" s="1"/>
  <c r="W103" i="15" a="1"/>
  <c r="W103" i="15" s="1"/>
  <c r="W104" i="15" a="1"/>
  <c r="W104" i="15" s="1"/>
  <c r="W85" i="15" a="1"/>
  <c r="W85" i="15" s="1"/>
  <c r="W128" i="15" a="1"/>
  <c r="W128" i="15" s="1"/>
  <c r="AJ184" i="15"/>
  <c r="AI184" i="15"/>
  <c r="AH184" i="15"/>
  <c r="AG184" i="15"/>
  <c r="AF184" i="15"/>
  <c r="AE184" i="15"/>
  <c r="AC184" i="15"/>
  <c r="AB184" i="15"/>
  <c r="AA184" i="15"/>
  <c r="Z184" i="15"/>
  <c r="Y184" i="15"/>
  <c r="X184" i="15"/>
  <c r="AJ183" i="15"/>
  <c r="AI183" i="15"/>
  <c r="AH183" i="15"/>
  <c r="AG183" i="15"/>
  <c r="AF183" i="15"/>
  <c r="AE183" i="15"/>
  <c r="AC183" i="15"/>
  <c r="AB183" i="15"/>
  <c r="AA183" i="15"/>
  <c r="Z183" i="15"/>
  <c r="Y183" i="15"/>
  <c r="X183" i="15"/>
  <c r="AJ182" i="15"/>
  <c r="AI182" i="15"/>
  <c r="AH182" i="15"/>
  <c r="AG182" i="15"/>
  <c r="AF182" i="15"/>
  <c r="AE182" i="15"/>
  <c r="AC182" i="15"/>
  <c r="AB182" i="15"/>
  <c r="AA182" i="15"/>
  <c r="Z182" i="15"/>
  <c r="Y182" i="15"/>
  <c r="X182" i="15"/>
  <c r="AJ181" i="15"/>
  <c r="AI181" i="15"/>
  <c r="AH181" i="15"/>
  <c r="AG181" i="15"/>
  <c r="AF181" i="15"/>
  <c r="AE181" i="15"/>
  <c r="AC181" i="15"/>
  <c r="AB181" i="15"/>
  <c r="AA181" i="15"/>
  <c r="Z181" i="15"/>
  <c r="Y181" i="15"/>
  <c r="X181" i="15"/>
  <c r="AJ180" i="15"/>
  <c r="AI180" i="15"/>
  <c r="AH180" i="15"/>
  <c r="AG180" i="15"/>
  <c r="AF180" i="15"/>
  <c r="AE180" i="15"/>
  <c r="AC180" i="15"/>
  <c r="AB180" i="15"/>
  <c r="AA180" i="15"/>
  <c r="Z180" i="15"/>
  <c r="Y180" i="15"/>
  <c r="X180" i="15"/>
  <c r="AJ179" i="15"/>
  <c r="AI179" i="15"/>
  <c r="AH179" i="15"/>
  <c r="AG179" i="15"/>
  <c r="AF179" i="15"/>
  <c r="AE179" i="15"/>
  <c r="AC179" i="15"/>
  <c r="AB179" i="15"/>
  <c r="AA179" i="15"/>
  <c r="Z179" i="15"/>
  <c r="Y179" i="15"/>
  <c r="X179" i="15"/>
  <c r="AJ178" i="15"/>
  <c r="AI178" i="15"/>
  <c r="AH178" i="15"/>
  <c r="AG178" i="15"/>
  <c r="AF178" i="15"/>
  <c r="AE178" i="15"/>
  <c r="AC178" i="15"/>
  <c r="AB178" i="15"/>
  <c r="AA178" i="15"/>
  <c r="Z178" i="15"/>
  <c r="Y178" i="15"/>
  <c r="X178" i="15"/>
  <c r="AJ177" i="15"/>
  <c r="AI177" i="15"/>
  <c r="AH177" i="15"/>
  <c r="AG177" i="15"/>
  <c r="AF177" i="15"/>
  <c r="AE177" i="15"/>
  <c r="AC177" i="15"/>
  <c r="AB177" i="15"/>
  <c r="AA177" i="15"/>
  <c r="Z177" i="15"/>
  <c r="Y177" i="15"/>
  <c r="X177" i="15"/>
  <c r="AJ176" i="15"/>
  <c r="AI176" i="15"/>
  <c r="AH176" i="15"/>
  <c r="AG176" i="15"/>
  <c r="AF176" i="15"/>
  <c r="AE176" i="15"/>
  <c r="AC176" i="15"/>
  <c r="AB176" i="15"/>
  <c r="AA176" i="15"/>
  <c r="Z176" i="15"/>
  <c r="Y176" i="15"/>
  <c r="X176" i="15"/>
  <c r="AJ175" i="15"/>
  <c r="AI175" i="15"/>
  <c r="AH175" i="15"/>
  <c r="AG175" i="15"/>
  <c r="AF175" i="15"/>
  <c r="AE175" i="15"/>
  <c r="AC175" i="15"/>
  <c r="AB175" i="15"/>
  <c r="AA175" i="15"/>
  <c r="Z175" i="15"/>
  <c r="Y175" i="15"/>
  <c r="X175" i="15"/>
  <c r="AJ174" i="15"/>
  <c r="AI174" i="15"/>
  <c r="AH174" i="15"/>
  <c r="AG174" i="15"/>
  <c r="AF174" i="15"/>
  <c r="AE174" i="15"/>
  <c r="AC174" i="15"/>
  <c r="AB174" i="15"/>
  <c r="AA174" i="15"/>
  <c r="Z174" i="15"/>
  <c r="Y174" i="15"/>
  <c r="X174" i="15"/>
  <c r="AJ173" i="15"/>
  <c r="AI173" i="15"/>
  <c r="AH173" i="15"/>
  <c r="AG173" i="15"/>
  <c r="AF173" i="15"/>
  <c r="AE173" i="15"/>
  <c r="AC173" i="15"/>
  <c r="AB173" i="15"/>
  <c r="AA173" i="15"/>
  <c r="Z173" i="15"/>
  <c r="Y173" i="15"/>
  <c r="X173" i="15"/>
  <c r="AJ172" i="15"/>
  <c r="AI172" i="15"/>
  <c r="AH172" i="15"/>
  <c r="AG172" i="15"/>
  <c r="AF172" i="15"/>
  <c r="AE172" i="15"/>
  <c r="AC172" i="15"/>
  <c r="AB172" i="15"/>
  <c r="AA172" i="15"/>
  <c r="Z172" i="15"/>
  <c r="Y172" i="15"/>
  <c r="X172" i="15"/>
  <c r="AJ171" i="15"/>
  <c r="AI171" i="15"/>
  <c r="AH171" i="15"/>
  <c r="AG171" i="15"/>
  <c r="AF171" i="15"/>
  <c r="AE171" i="15"/>
  <c r="AC171" i="15"/>
  <c r="AB171" i="15"/>
  <c r="AA171" i="15"/>
  <c r="Z171" i="15"/>
  <c r="Y171" i="15"/>
  <c r="X171" i="15"/>
  <c r="AJ170" i="15"/>
  <c r="AI170" i="15"/>
  <c r="AH170" i="15"/>
  <c r="AG170" i="15"/>
  <c r="AF170" i="15"/>
  <c r="AE170" i="15"/>
  <c r="AC170" i="15"/>
  <c r="AB170" i="15"/>
  <c r="AA170" i="15"/>
  <c r="Z170" i="15"/>
  <c r="Y170" i="15"/>
  <c r="X170" i="15"/>
  <c r="AJ169" i="15"/>
  <c r="AI169" i="15"/>
  <c r="AH169" i="15"/>
  <c r="AG169" i="15"/>
  <c r="AF169" i="15"/>
  <c r="AE169" i="15"/>
  <c r="AC169" i="15"/>
  <c r="AB169" i="15"/>
  <c r="AA169" i="15"/>
  <c r="Z169" i="15"/>
  <c r="Y169" i="15"/>
  <c r="X169" i="15"/>
  <c r="AJ168" i="15"/>
  <c r="AI168" i="15"/>
  <c r="AH168" i="15"/>
  <c r="AG168" i="15"/>
  <c r="AF168" i="15"/>
  <c r="AE168" i="15"/>
  <c r="AC168" i="15"/>
  <c r="AB168" i="15"/>
  <c r="AA168" i="15"/>
  <c r="Z168" i="15"/>
  <c r="Y168" i="15"/>
  <c r="X168" i="15"/>
  <c r="AJ167" i="15"/>
  <c r="AI167" i="15"/>
  <c r="AH167" i="15"/>
  <c r="AG167" i="15"/>
  <c r="AF167" i="15"/>
  <c r="AE167" i="15"/>
  <c r="AC167" i="15"/>
  <c r="AB167" i="15"/>
  <c r="AA167" i="15"/>
  <c r="Z167" i="15"/>
  <c r="Y167" i="15"/>
  <c r="X167" i="15"/>
  <c r="AJ166" i="15"/>
  <c r="AI166" i="15"/>
  <c r="AH166" i="15"/>
  <c r="AG166" i="15"/>
  <c r="AF166" i="15"/>
  <c r="AE166" i="15"/>
  <c r="AC166" i="15"/>
  <c r="AB166" i="15"/>
  <c r="AA166" i="15"/>
  <c r="Z166" i="15"/>
  <c r="Y166" i="15"/>
  <c r="X166" i="15"/>
  <c r="AJ165" i="15"/>
  <c r="AI165" i="15"/>
  <c r="AH165" i="15"/>
  <c r="AG165" i="15"/>
  <c r="AF165" i="15"/>
  <c r="AE165" i="15"/>
  <c r="AC165" i="15"/>
  <c r="AB165" i="15"/>
  <c r="AA165" i="15"/>
  <c r="Z165" i="15"/>
  <c r="Y165" i="15"/>
  <c r="X165" i="15"/>
  <c r="T30" i="18"/>
  <c r="T31" i="18"/>
  <c r="T32" i="18"/>
  <c r="T28" i="18"/>
  <c r="O30" i="18"/>
  <c r="O31" i="18"/>
  <c r="O32" i="18"/>
  <c r="O28" i="18"/>
  <c r="W129" i="15" a="1"/>
  <c r="W129" i="15" s="1"/>
  <c r="W130" i="15" a="1"/>
  <c r="W130" i="15" s="1"/>
  <c r="W131" i="15" a="1"/>
  <c r="W131" i="15" s="1"/>
  <c r="W132" i="15" a="1"/>
  <c r="W132" i="15" s="1"/>
  <c r="W133" i="15" a="1"/>
  <c r="W133" i="15" s="1"/>
  <c r="W134" i="15" a="1"/>
  <c r="W134" i="15" s="1"/>
  <c r="W135" i="15" a="1"/>
  <c r="W135" i="15" s="1"/>
  <c r="W136" i="15" a="1"/>
  <c r="W136" i="15" s="1"/>
  <c r="W137" i="15" a="1"/>
  <c r="W137" i="15" s="1"/>
  <c r="W138" i="15" a="1"/>
  <c r="W138" i="15" s="1"/>
  <c r="W139" i="15" a="1"/>
  <c r="W139" i="15" s="1"/>
  <c r="W140" i="15" a="1"/>
  <c r="W140" i="15" s="1"/>
  <c r="W141" i="15" a="1"/>
  <c r="W141" i="15" s="1"/>
  <c r="W142" i="15" a="1"/>
  <c r="W142" i="15" s="1"/>
  <c r="W143" i="15" a="1"/>
  <c r="W143" i="15" s="1"/>
  <c r="W144" i="15" a="1"/>
  <c r="W144" i="15" s="1"/>
  <c r="W145" i="15" a="1"/>
  <c r="W145" i="15" s="1"/>
  <c r="W146" i="15" a="1"/>
  <c r="W146" i="15" s="1"/>
  <c r="AJ146" i="15"/>
  <c r="AI146" i="15"/>
  <c r="AH146" i="15"/>
  <c r="AG146" i="15"/>
  <c r="AF146" i="15"/>
  <c r="AE146" i="15"/>
  <c r="AC146" i="15"/>
  <c r="AB146" i="15"/>
  <c r="AA146" i="15"/>
  <c r="Z146" i="15"/>
  <c r="Y146" i="15"/>
  <c r="X146" i="15"/>
  <c r="AJ145" i="15"/>
  <c r="AI145" i="15"/>
  <c r="AH145" i="15"/>
  <c r="AG145" i="15"/>
  <c r="AF145" i="15"/>
  <c r="AE145" i="15"/>
  <c r="AC145" i="15"/>
  <c r="AB145" i="15"/>
  <c r="AA145" i="15"/>
  <c r="Z145" i="15"/>
  <c r="Y145" i="15"/>
  <c r="X145" i="15"/>
  <c r="AJ144" i="15"/>
  <c r="AI144" i="15"/>
  <c r="AH144" i="15"/>
  <c r="AG144" i="15"/>
  <c r="AF144" i="15"/>
  <c r="AE144" i="15"/>
  <c r="AC144" i="15"/>
  <c r="AB144" i="15"/>
  <c r="AA144" i="15"/>
  <c r="Z144" i="15"/>
  <c r="Y144" i="15"/>
  <c r="X144" i="15"/>
  <c r="AJ143" i="15"/>
  <c r="AI143" i="15"/>
  <c r="AH143" i="15"/>
  <c r="AG143" i="15"/>
  <c r="AF143" i="15"/>
  <c r="AE143" i="15"/>
  <c r="AC143" i="15"/>
  <c r="AB143" i="15"/>
  <c r="AA143" i="15"/>
  <c r="Z143" i="15"/>
  <c r="Y143" i="15"/>
  <c r="X143" i="15"/>
  <c r="AJ142" i="15"/>
  <c r="AI142" i="15"/>
  <c r="AH142" i="15"/>
  <c r="AG142" i="15"/>
  <c r="AF142" i="15"/>
  <c r="AE142" i="15"/>
  <c r="AC142" i="15"/>
  <c r="AB142" i="15"/>
  <c r="AA142" i="15"/>
  <c r="Z142" i="15"/>
  <c r="Y142" i="15"/>
  <c r="X142" i="15"/>
  <c r="AJ141" i="15"/>
  <c r="AI141" i="15"/>
  <c r="AH141" i="15"/>
  <c r="AG141" i="15"/>
  <c r="AF141" i="15"/>
  <c r="AE141" i="15"/>
  <c r="AC141" i="15"/>
  <c r="AB141" i="15"/>
  <c r="AA141" i="15"/>
  <c r="Z141" i="15"/>
  <c r="Y141" i="15"/>
  <c r="X141" i="15"/>
  <c r="AJ140" i="15"/>
  <c r="AI140" i="15"/>
  <c r="AH140" i="15"/>
  <c r="AG140" i="15"/>
  <c r="AF140" i="15"/>
  <c r="AE140" i="15"/>
  <c r="AC140" i="15"/>
  <c r="AB140" i="15"/>
  <c r="AA140" i="15"/>
  <c r="Z140" i="15"/>
  <c r="Y140" i="15"/>
  <c r="X140" i="15"/>
  <c r="AJ139" i="15"/>
  <c r="AI139" i="15"/>
  <c r="AH139" i="15"/>
  <c r="AG139" i="15"/>
  <c r="AF139" i="15"/>
  <c r="AE139" i="15"/>
  <c r="AC139" i="15"/>
  <c r="AB139" i="15"/>
  <c r="AA139" i="15"/>
  <c r="Z139" i="15"/>
  <c r="Y139" i="15"/>
  <c r="X139" i="15"/>
  <c r="AJ138" i="15"/>
  <c r="AI138" i="15"/>
  <c r="AH138" i="15"/>
  <c r="AG138" i="15"/>
  <c r="AF138" i="15"/>
  <c r="AE138" i="15"/>
  <c r="AC138" i="15"/>
  <c r="AB138" i="15"/>
  <c r="AA138" i="15"/>
  <c r="Z138" i="15"/>
  <c r="Y138" i="15"/>
  <c r="X138" i="15"/>
  <c r="AJ137" i="15"/>
  <c r="AI137" i="15"/>
  <c r="AH137" i="15"/>
  <c r="AG137" i="15"/>
  <c r="AF137" i="15"/>
  <c r="AE137" i="15"/>
  <c r="AC137" i="15"/>
  <c r="AB137" i="15"/>
  <c r="AA137" i="15"/>
  <c r="Z137" i="15"/>
  <c r="Y137" i="15"/>
  <c r="X137" i="15"/>
  <c r="AJ136" i="15"/>
  <c r="AI136" i="15"/>
  <c r="AH136" i="15"/>
  <c r="AG136" i="15"/>
  <c r="AF136" i="15"/>
  <c r="AE136" i="15"/>
  <c r="AC136" i="15"/>
  <c r="AB136" i="15"/>
  <c r="AA136" i="15"/>
  <c r="Z136" i="15"/>
  <c r="Y136" i="15"/>
  <c r="X136" i="15"/>
  <c r="AJ135" i="15"/>
  <c r="AI135" i="15"/>
  <c r="AH135" i="15"/>
  <c r="AG135" i="15"/>
  <c r="AF135" i="15"/>
  <c r="AE135" i="15"/>
  <c r="AC135" i="15"/>
  <c r="AB135" i="15"/>
  <c r="AA135" i="15"/>
  <c r="Z135" i="15"/>
  <c r="Y135" i="15"/>
  <c r="X135" i="15"/>
  <c r="AJ134" i="15"/>
  <c r="AI134" i="15"/>
  <c r="AH134" i="15"/>
  <c r="AG134" i="15"/>
  <c r="AF134" i="15"/>
  <c r="AE134" i="15"/>
  <c r="AC134" i="15"/>
  <c r="AB134" i="15"/>
  <c r="AA134" i="15"/>
  <c r="Z134" i="15"/>
  <c r="Y134" i="15"/>
  <c r="X134" i="15"/>
  <c r="AJ133" i="15"/>
  <c r="AI133" i="15"/>
  <c r="AH133" i="15"/>
  <c r="AG133" i="15"/>
  <c r="AF133" i="15"/>
  <c r="AE133" i="15"/>
  <c r="AC133" i="15"/>
  <c r="AB133" i="15"/>
  <c r="AA133" i="15"/>
  <c r="Z133" i="15"/>
  <c r="Y133" i="15"/>
  <c r="X133" i="15"/>
  <c r="AJ132" i="15"/>
  <c r="AI132" i="15"/>
  <c r="AH132" i="15"/>
  <c r="AG132" i="15"/>
  <c r="AF132" i="15"/>
  <c r="AE132" i="15"/>
  <c r="AC132" i="15"/>
  <c r="AB132" i="15"/>
  <c r="AA132" i="15"/>
  <c r="Z132" i="15"/>
  <c r="Y132" i="15"/>
  <c r="X132" i="15"/>
  <c r="AJ131" i="15"/>
  <c r="AI131" i="15"/>
  <c r="AH131" i="15"/>
  <c r="AG131" i="15"/>
  <c r="AF131" i="15"/>
  <c r="AE131" i="15"/>
  <c r="AC131" i="15"/>
  <c r="AB131" i="15"/>
  <c r="AA131" i="15"/>
  <c r="Z131" i="15"/>
  <c r="Y131" i="15"/>
  <c r="X131" i="15"/>
  <c r="AJ130" i="15"/>
  <c r="AI130" i="15"/>
  <c r="AH130" i="15"/>
  <c r="AG130" i="15"/>
  <c r="AF130" i="15"/>
  <c r="AE130" i="15"/>
  <c r="AC130" i="15"/>
  <c r="AB130" i="15"/>
  <c r="AA130" i="15"/>
  <c r="Z130" i="15"/>
  <c r="Y130" i="15"/>
  <c r="X130" i="15"/>
  <c r="AJ129" i="15"/>
  <c r="AI129" i="15"/>
  <c r="AH129" i="15"/>
  <c r="AG129" i="15"/>
  <c r="AF129" i="15"/>
  <c r="AE129" i="15"/>
  <c r="AC129" i="15"/>
  <c r="AB129" i="15"/>
  <c r="AA129" i="15"/>
  <c r="Z129" i="15"/>
  <c r="Y129" i="15"/>
  <c r="X129" i="15"/>
  <c r="AJ128" i="15"/>
  <c r="AI128" i="15"/>
  <c r="AH128" i="15"/>
  <c r="AG128" i="15"/>
  <c r="AF128" i="15"/>
  <c r="AE128" i="15"/>
  <c r="AC128" i="15"/>
  <c r="AB128" i="15"/>
  <c r="AA128" i="15"/>
  <c r="Z128" i="15"/>
  <c r="Y128" i="15"/>
  <c r="X128" i="15"/>
  <c r="AJ127" i="15"/>
  <c r="AI127" i="15"/>
  <c r="AH127" i="15"/>
  <c r="AG127" i="15"/>
  <c r="AF127" i="15"/>
  <c r="AE127" i="15"/>
  <c r="AC127" i="15"/>
  <c r="AB127" i="15"/>
  <c r="AA127" i="15"/>
  <c r="Z127" i="15"/>
  <c r="Y127" i="15"/>
  <c r="X127" i="15"/>
  <c r="W67" i="15" a="1"/>
  <c r="W67" i="15" s="1"/>
  <c r="W66" i="15" a="1"/>
  <c r="W66" i="15" s="1"/>
  <c r="W65" i="15" a="1"/>
  <c r="W65" i="15" s="1"/>
  <c r="W64" i="15" a="1"/>
  <c r="W64" i="15" s="1"/>
  <c r="W63" i="15" a="1"/>
  <c r="W63" i="15" s="1"/>
  <c r="W62" i="15" a="1"/>
  <c r="W62" i="15" s="1"/>
  <c r="W61" i="15" a="1"/>
  <c r="W61" i="15" s="1"/>
  <c r="W60" i="15" a="1"/>
  <c r="W60" i="15" s="1"/>
  <c r="W59" i="15" a="1"/>
  <c r="W59" i="15" s="1"/>
  <c r="W58" i="15" a="1"/>
  <c r="W58" i="15" s="1"/>
  <c r="W57" i="15" a="1"/>
  <c r="W57" i="15" s="1"/>
  <c r="W56" i="15" a="1"/>
  <c r="W56" i="15" s="1"/>
  <c r="W55" i="15" a="1"/>
  <c r="W55" i="15" s="1"/>
  <c r="W54" i="15" a="1"/>
  <c r="W54" i="15" s="1"/>
  <c r="W53" i="15" a="1"/>
  <c r="W53" i="15" s="1"/>
  <c r="W52" i="15" a="1"/>
  <c r="W52" i="15" s="1"/>
  <c r="W51" i="15" a="1"/>
  <c r="W51" i="15" s="1"/>
  <c r="W50" i="15" a="1"/>
  <c r="W50" i="15" s="1"/>
  <c r="W49" i="15" a="1"/>
  <c r="W49" i="15" s="1"/>
  <c r="W48" i="15" a="1"/>
  <c r="W48" i="15" s="1"/>
  <c r="AJ67" i="15"/>
  <c r="AI67" i="15"/>
  <c r="AH67" i="15"/>
  <c r="AG67" i="15"/>
  <c r="AF67" i="15"/>
  <c r="AE67" i="15"/>
  <c r="AC67" i="15"/>
  <c r="AB67" i="15"/>
  <c r="AA67" i="15"/>
  <c r="Z67" i="15"/>
  <c r="Y67" i="15"/>
  <c r="X67" i="15"/>
  <c r="AJ66" i="15"/>
  <c r="AI66" i="15"/>
  <c r="AH66" i="15"/>
  <c r="AG66" i="15"/>
  <c r="AF66" i="15"/>
  <c r="AE66" i="15"/>
  <c r="AC66" i="15"/>
  <c r="AB66" i="15"/>
  <c r="AA66" i="15"/>
  <c r="Z66" i="15"/>
  <c r="Y66" i="15"/>
  <c r="X66" i="15"/>
  <c r="AJ65" i="15"/>
  <c r="AI65" i="15"/>
  <c r="AH65" i="15"/>
  <c r="AG65" i="15"/>
  <c r="AF65" i="15"/>
  <c r="AE65" i="15"/>
  <c r="AC65" i="15"/>
  <c r="AB65" i="15"/>
  <c r="AA65" i="15"/>
  <c r="Z65" i="15"/>
  <c r="Y65" i="15"/>
  <c r="X65" i="15"/>
  <c r="AJ64" i="15"/>
  <c r="AI64" i="15"/>
  <c r="AH64" i="15"/>
  <c r="AG64" i="15"/>
  <c r="AF64" i="15"/>
  <c r="AE64" i="15"/>
  <c r="AC64" i="15"/>
  <c r="AB64" i="15"/>
  <c r="AA64" i="15"/>
  <c r="Z64" i="15"/>
  <c r="Y64" i="15"/>
  <c r="X64" i="15"/>
  <c r="AJ63" i="15"/>
  <c r="AI63" i="15"/>
  <c r="AH63" i="15"/>
  <c r="AG63" i="15"/>
  <c r="AF63" i="15"/>
  <c r="AE63" i="15"/>
  <c r="AC63" i="15"/>
  <c r="AB63" i="15"/>
  <c r="AA63" i="15"/>
  <c r="Z63" i="15"/>
  <c r="Y63" i="15"/>
  <c r="X63" i="15"/>
  <c r="AJ62" i="15"/>
  <c r="AI62" i="15"/>
  <c r="AH62" i="15"/>
  <c r="AG62" i="15"/>
  <c r="AF62" i="15"/>
  <c r="AE62" i="15"/>
  <c r="AC62" i="15"/>
  <c r="AB62" i="15"/>
  <c r="AA62" i="15"/>
  <c r="Z62" i="15"/>
  <c r="Y62" i="15"/>
  <c r="X62" i="15"/>
  <c r="AJ61" i="15"/>
  <c r="AI61" i="15"/>
  <c r="AH61" i="15"/>
  <c r="AG61" i="15"/>
  <c r="AF61" i="15"/>
  <c r="AE61" i="15"/>
  <c r="AC61" i="15"/>
  <c r="AB61" i="15"/>
  <c r="AA61" i="15"/>
  <c r="Z61" i="15"/>
  <c r="Y61" i="15"/>
  <c r="X61" i="15"/>
  <c r="AJ60" i="15"/>
  <c r="AI60" i="15"/>
  <c r="AH60" i="15"/>
  <c r="AG60" i="15"/>
  <c r="AF60" i="15"/>
  <c r="AE60" i="15"/>
  <c r="AC60" i="15"/>
  <c r="AB60" i="15"/>
  <c r="AA60" i="15"/>
  <c r="Z60" i="15"/>
  <c r="Y60" i="15"/>
  <c r="X60" i="15"/>
  <c r="AJ59" i="15"/>
  <c r="AI59" i="15"/>
  <c r="AH59" i="15"/>
  <c r="AG59" i="15"/>
  <c r="AF59" i="15"/>
  <c r="AE59" i="15"/>
  <c r="AC59" i="15"/>
  <c r="AB59" i="15"/>
  <c r="AA59" i="15"/>
  <c r="Z59" i="15"/>
  <c r="Y59" i="15"/>
  <c r="X59" i="15"/>
  <c r="AJ58" i="15"/>
  <c r="AI58" i="15"/>
  <c r="AH58" i="15"/>
  <c r="AG58" i="15"/>
  <c r="AF58" i="15"/>
  <c r="AE58" i="15"/>
  <c r="AC58" i="15"/>
  <c r="AB58" i="15"/>
  <c r="AA58" i="15"/>
  <c r="Z58" i="15"/>
  <c r="Y58" i="15"/>
  <c r="X58" i="15"/>
  <c r="AJ57" i="15"/>
  <c r="AI57" i="15"/>
  <c r="AH57" i="15"/>
  <c r="AG57" i="15"/>
  <c r="AF57" i="15"/>
  <c r="AE57" i="15"/>
  <c r="AC57" i="15"/>
  <c r="AB57" i="15"/>
  <c r="AA57" i="15"/>
  <c r="Z57" i="15"/>
  <c r="Y57" i="15"/>
  <c r="X57" i="15"/>
  <c r="AJ56" i="15"/>
  <c r="AI56" i="15"/>
  <c r="AH56" i="15"/>
  <c r="AG56" i="15"/>
  <c r="AF56" i="15"/>
  <c r="AE56" i="15"/>
  <c r="AC56" i="15"/>
  <c r="AB56" i="15"/>
  <c r="AA56" i="15"/>
  <c r="Z56" i="15"/>
  <c r="Y56" i="15"/>
  <c r="X56" i="15"/>
  <c r="AJ55" i="15"/>
  <c r="AI55" i="15"/>
  <c r="AH55" i="15"/>
  <c r="AG55" i="15"/>
  <c r="AF55" i="15"/>
  <c r="AE55" i="15"/>
  <c r="AC55" i="15"/>
  <c r="AB55" i="15"/>
  <c r="AA55" i="15"/>
  <c r="Z55" i="15"/>
  <c r="Y55" i="15"/>
  <c r="X55" i="15"/>
  <c r="AJ54" i="15"/>
  <c r="AI54" i="15"/>
  <c r="AH54" i="15"/>
  <c r="AG54" i="15"/>
  <c r="AF54" i="15"/>
  <c r="AE54" i="15"/>
  <c r="AC54" i="15"/>
  <c r="AB54" i="15"/>
  <c r="AA54" i="15"/>
  <c r="Z54" i="15"/>
  <c r="Y54" i="15"/>
  <c r="X54" i="15"/>
  <c r="AJ53" i="15"/>
  <c r="AI53" i="15"/>
  <c r="AH53" i="15"/>
  <c r="AG53" i="15"/>
  <c r="AF53" i="15"/>
  <c r="AE53" i="15"/>
  <c r="AC53" i="15"/>
  <c r="AB53" i="15"/>
  <c r="AA53" i="15"/>
  <c r="Z53" i="15"/>
  <c r="Y53" i="15"/>
  <c r="X53" i="15"/>
  <c r="AJ52" i="15"/>
  <c r="AI52" i="15"/>
  <c r="AH52" i="15"/>
  <c r="AG52" i="15"/>
  <c r="AF52" i="15"/>
  <c r="AE52" i="15"/>
  <c r="AC52" i="15"/>
  <c r="AB52" i="15"/>
  <c r="AA52" i="15"/>
  <c r="Z52" i="15"/>
  <c r="Y52" i="15"/>
  <c r="X52" i="15"/>
  <c r="AJ51" i="15"/>
  <c r="AI51" i="15"/>
  <c r="AH51" i="15"/>
  <c r="AG51" i="15"/>
  <c r="AF51" i="15"/>
  <c r="AE51" i="15"/>
  <c r="AC51" i="15"/>
  <c r="AB51" i="15"/>
  <c r="AA51" i="15"/>
  <c r="Z51" i="15"/>
  <c r="Y51" i="15"/>
  <c r="X51" i="15"/>
  <c r="AJ50" i="15"/>
  <c r="AI50" i="15"/>
  <c r="AH50" i="15"/>
  <c r="AG50" i="15"/>
  <c r="AF50" i="15"/>
  <c r="AE50" i="15"/>
  <c r="AC50" i="15"/>
  <c r="AB50" i="15"/>
  <c r="AA50" i="15"/>
  <c r="Z50" i="15"/>
  <c r="Y50" i="15"/>
  <c r="X50" i="15"/>
  <c r="AJ49" i="15"/>
  <c r="AI49" i="15"/>
  <c r="AH49" i="15"/>
  <c r="AG49" i="15"/>
  <c r="AF49" i="15"/>
  <c r="AE49" i="15"/>
  <c r="AC49" i="15"/>
  <c r="AB49" i="15"/>
  <c r="AA49" i="15"/>
  <c r="Z49" i="15"/>
  <c r="Y49" i="15"/>
  <c r="X49" i="15"/>
  <c r="AJ48" i="15"/>
  <c r="AI48" i="15"/>
  <c r="AH48" i="15"/>
  <c r="AG48" i="15"/>
  <c r="AF48" i="15"/>
  <c r="AE48" i="15"/>
  <c r="AC48" i="15"/>
  <c r="AB48" i="15"/>
  <c r="AA48" i="15"/>
  <c r="Z48" i="15"/>
  <c r="Y48" i="15"/>
  <c r="X48" i="15"/>
  <c r="H12" i="9"/>
  <c r="H11" i="9"/>
  <c r="E12" i="9"/>
  <c r="E11" i="9"/>
  <c r="K2" i="19"/>
  <c r="Y70" i="10" l="1"/>
  <c r="Y71" i="10"/>
  <c r="Y69" i="10"/>
  <c r="Y68" i="10"/>
  <c r="Y50" i="10"/>
  <c r="Y51" i="10"/>
  <c r="Z70" i="10"/>
  <c r="Z71" i="10"/>
  <c r="Z69" i="10"/>
  <c r="Z68" i="10"/>
  <c r="Z50" i="10"/>
  <c r="Z51" i="10"/>
  <c r="Y79" i="10"/>
  <c r="Y78" i="10"/>
  <c r="Y75" i="10"/>
  <c r="Y74" i="10"/>
  <c r="Y73" i="10"/>
  <c r="Y77" i="10"/>
  <c r="Y76" i="10"/>
  <c r="Y72" i="10"/>
  <c r="Y59" i="10"/>
  <c r="Y54" i="10"/>
  <c r="Y55" i="10"/>
  <c r="Y58" i="10"/>
  <c r="Z79" i="10"/>
  <c r="Z75" i="10"/>
  <c r="Z74" i="10"/>
  <c r="Z78" i="10"/>
  <c r="Z73" i="10"/>
  <c r="Z77" i="10"/>
  <c r="Z76" i="10"/>
  <c r="Z72" i="10"/>
  <c r="Z58" i="10"/>
  <c r="Z54" i="10"/>
  <c r="Z55" i="10"/>
  <c r="Z59" i="10"/>
  <c r="I306" i="15"/>
  <c r="L131" i="15"/>
  <c r="E131" i="15"/>
  <c r="E62" i="15"/>
  <c r="K62" i="15"/>
  <c r="M62" i="15"/>
  <c r="G136" i="15"/>
  <c r="L139" i="15"/>
  <c r="G62" i="15"/>
  <c r="D131" i="15"/>
  <c r="I62" i="15"/>
  <c r="N63" i="15"/>
  <c r="M54" i="15"/>
  <c r="E54" i="15"/>
  <c r="L53" i="15"/>
  <c r="G54" i="15"/>
  <c r="L61" i="15"/>
  <c r="D61" i="15"/>
  <c r="D139" i="15"/>
  <c r="M139" i="15"/>
  <c r="L65" i="15"/>
  <c r="G130" i="15"/>
  <c r="G134" i="15"/>
  <c r="G142" i="15"/>
  <c r="G144" i="15"/>
  <c r="D65" i="15"/>
  <c r="I54" i="15"/>
  <c r="N65" i="15"/>
  <c r="K54" i="15"/>
  <c r="G133" i="15"/>
  <c r="G138" i="15"/>
  <c r="G146" i="15"/>
  <c r="O50" i="15"/>
  <c r="O58" i="15"/>
  <c r="O66" i="15"/>
  <c r="F585" i="15"/>
  <c r="H583" i="15"/>
  <c r="I50" i="15"/>
  <c r="N55" i="15"/>
  <c r="N57" i="15"/>
  <c r="I58" i="15"/>
  <c r="I66" i="15"/>
  <c r="K50" i="15"/>
  <c r="F55" i="15"/>
  <c r="F57" i="15"/>
  <c r="K58" i="15"/>
  <c r="F63" i="15"/>
  <c r="F65" i="15"/>
  <c r="K66" i="15"/>
  <c r="L49" i="15"/>
  <c r="G50" i="15"/>
  <c r="G52" i="15"/>
  <c r="L57" i="15"/>
  <c r="G58" i="15"/>
  <c r="G60" i="15"/>
  <c r="G66" i="15"/>
  <c r="D57" i="15"/>
  <c r="H49" i="15"/>
  <c r="M50" i="15"/>
  <c r="H57" i="15"/>
  <c r="M58" i="15"/>
  <c r="H61" i="15"/>
  <c r="H65" i="15"/>
  <c r="M66" i="15"/>
  <c r="H131" i="15"/>
  <c r="H135" i="15"/>
  <c r="D260" i="15"/>
  <c r="D252" i="15"/>
  <c r="E267" i="15"/>
  <c r="E259" i="15"/>
  <c r="E251" i="15"/>
  <c r="G265" i="15"/>
  <c r="G257" i="15"/>
  <c r="H260" i="15"/>
  <c r="H252" i="15"/>
  <c r="I266" i="15"/>
  <c r="I258" i="15"/>
  <c r="I250" i="15"/>
  <c r="J261" i="15"/>
  <c r="J253" i="15"/>
  <c r="K264" i="15"/>
  <c r="K256" i="15"/>
  <c r="E288" i="15"/>
  <c r="E289" i="15"/>
  <c r="E290" i="15"/>
  <c r="E291" i="15"/>
  <c r="E292" i="15"/>
  <c r="E293" i="15"/>
  <c r="E295" i="15"/>
  <c r="E296" i="15"/>
  <c r="E297" i="15"/>
  <c r="E298" i="15"/>
  <c r="E299" i="15"/>
  <c r="E300" i="15"/>
  <c r="E301" i="15"/>
  <c r="E303" i="15"/>
  <c r="E304" i="15"/>
  <c r="E305" i="15"/>
  <c r="E306" i="15"/>
  <c r="D576" i="15"/>
  <c r="E587" i="15"/>
  <c r="E579" i="15"/>
  <c r="F574" i="15"/>
  <c r="G585" i="15"/>
  <c r="G577" i="15"/>
  <c r="H580" i="15"/>
  <c r="J581" i="15"/>
  <c r="J573" i="15"/>
  <c r="K576" i="15"/>
  <c r="E50" i="15"/>
  <c r="E58" i="15"/>
  <c r="E66" i="15"/>
  <c r="H53" i="15"/>
  <c r="O52" i="15"/>
  <c r="O54" i="15"/>
  <c r="O60" i="15"/>
  <c r="O62" i="15"/>
  <c r="D261" i="15"/>
  <c r="D253" i="15"/>
  <c r="E260" i="15"/>
  <c r="E252" i="15"/>
  <c r="F263" i="15"/>
  <c r="F255" i="15"/>
  <c r="G266" i="15"/>
  <c r="G258" i="15"/>
  <c r="G250" i="15"/>
  <c r="H261" i="15"/>
  <c r="H253" i="15"/>
  <c r="I267" i="15"/>
  <c r="I259" i="15"/>
  <c r="I251" i="15"/>
  <c r="J262" i="15"/>
  <c r="J254" i="15"/>
  <c r="K265" i="15"/>
  <c r="K257" i="15"/>
  <c r="D288" i="15"/>
  <c r="D289" i="15"/>
  <c r="D290" i="15"/>
  <c r="D291" i="15"/>
  <c r="D292" i="15"/>
  <c r="D293" i="15"/>
  <c r="D294" i="15"/>
  <c r="D295" i="15"/>
  <c r="D296" i="15"/>
  <c r="D297" i="15"/>
  <c r="D298" i="15"/>
  <c r="D299" i="15"/>
  <c r="D300" i="15"/>
  <c r="D301" i="15"/>
  <c r="D302" i="15"/>
  <c r="D303" i="15"/>
  <c r="D304" i="15"/>
  <c r="D305" i="15"/>
  <c r="D306" i="15"/>
  <c r="D585" i="15"/>
  <c r="D577" i="15"/>
  <c r="E588" i="15"/>
  <c r="E580" i="15"/>
  <c r="F583" i="15"/>
  <c r="F575" i="15"/>
  <c r="G586" i="15"/>
  <c r="G578" i="15"/>
  <c r="H589" i="15"/>
  <c r="H581" i="15"/>
  <c r="H573" i="15"/>
  <c r="I587" i="15"/>
  <c r="I579" i="15"/>
  <c r="J590" i="15"/>
  <c r="J582" i="15"/>
  <c r="J574" i="15"/>
  <c r="K585" i="15"/>
  <c r="K577" i="15"/>
  <c r="D584" i="15"/>
  <c r="F590" i="15"/>
  <c r="F582" i="15"/>
  <c r="H588" i="15"/>
  <c r="I586" i="15"/>
  <c r="I578" i="15"/>
  <c r="K584" i="15"/>
  <c r="D267" i="15"/>
  <c r="D259" i="15"/>
  <c r="D251" i="15"/>
  <c r="E266" i="15"/>
  <c r="E258" i="15"/>
  <c r="E250" i="15"/>
  <c r="F261" i="15"/>
  <c r="F253" i="15"/>
  <c r="G264" i="15"/>
  <c r="G256" i="15"/>
  <c r="H267" i="15"/>
  <c r="H259" i="15"/>
  <c r="H251" i="15"/>
  <c r="I265" i="15"/>
  <c r="I257" i="15"/>
  <c r="J260" i="15"/>
  <c r="J252" i="15"/>
  <c r="K263" i="15"/>
  <c r="K255" i="15"/>
  <c r="F288" i="15"/>
  <c r="F289" i="15"/>
  <c r="F290" i="15"/>
  <c r="F291" i="15"/>
  <c r="F292" i="15"/>
  <c r="F293" i="15"/>
  <c r="F294" i="15"/>
  <c r="F295" i="15"/>
  <c r="F296" i="15"/>
  <c r="F297" i="15"/>
  <c r="F298" i="15"/>
  <c r="F299" i="15"/>
  <c r="F300" i="15"/>
  <c r="F301" i="15"/>
  <c r="F302" i="15"/>
  <c r="F303" i="15"/>
  <c r="F304" i="15"/>
  <c r="F305" i="15"/>
  <c r="F306" i="15"/>
  <c r="D583" i="15"/>
  <c r="D575" i="15"/>
  <c r="E586" i="15"/>
  <c r="E578" i="15"/>
  <c r="F589" i="15"/>
  <c r="F581" i="15"/>
  <c r="F573" i="15"/>
  <c r="G584" i="15"/>
  <c r="G576" i="15"/>
  <c r="H587" i="15"/>
  <c r="H579" i="15"/>
  <c r="I585" i="15"/>
  <c r="I577" i="15"/>
  <c r="J588" i="15"/>
  <c r="J580" i="15"/>
  <c r="K583" i="15"/>
  <c r="K575" i="15"/>
  <c r="D49" i="15"/>
  <c r="D53" i="15"/>
  <c r="N143" i="15"/>
  <c r="D266" i="15"/>
  <c r="D258" i="15"/>
  <c r="D250" i="15"/>
  <c r="E265" i="15"/>
  <c r="E257" i="15"/>
  <c r="F260" i="15"/>
  <c r="F252" i="15"/>
  <c r="G263" i="15"/>
  <c r="G255" i="15"/>
  <c r="H266" i="15"/>
  <c r="H258" i="15"/>
  <c r="H250" i="15"/>
  <c r="I264" i="15"/>
  <c r="I256" i="15"/>
  <c r="J267" i="15"/>
  <c r="J259" i="15"/>
  <c r="J251" i="15"/>
  <c r="K262" i="15"/>
  <c r="K254" i="15"/>
  <c r="G288" i="15"/>
  <c r="G289" i="15"/>
  <c r="G290" i="15"/>
  <c r="G291" i="15"/>
  <c r="G292" i="15"/>
  <c r="G293" i="15"/>
  <c r="G294" i="15"/>
  <c r="G295" i="15"/>
  <c r="G296" i="15"/>
  <c r="G297" i="15"/>
  <c r="G298" i="15"/>
  <c r="G299" i="15"/>
  <c r="G300" i="15"/>
  <c r="G301" i="15"/>
  <c r="G302" i="15"/>
  <c r="G303" i="15"/>
  <c r="G304" i="15"/>
  <c r="G305" i="15"/>
  <c r="G306" i="15"/>
  <c r="D590" i="15"/>
  <c r="D582" i="15"/>
  <c r="D574" i="15"/>
  <c r="E585" i="15"/>
  <c r="E577" i="15"/>
  <c r="F588" i="15"/>
  <c r="F580" i="15"/>
  <c r="G583" i="15"/>
  <c r="G575" i="15"/>
  <c r="H586" i="15"/>
  <c r="H578" i="15"/>
  <c r="I584" i="15"/>
  <c r="I576" i="15"/>
  <c r="J587" i="15"/>
  <c r="J579" i="15"/>
  <c r="K590" i="15"/>
  <c r="K582" i="15"/>
  <c r="K574" i="15"/>
  <c r="G132" i="15"/>
  <c r="G140" i="15"/>
  <c r="N49" i="15"/>
  <c r="N51" i="15"/>
  <c r="N59" i="15"/>
  <c r="F49" i="15"/>
  <c r="D265" i="15"/>
  <c r="D257" i="15"/>
  <c r="E264" i="15"/>
  <c r="E256" i="15"/>
  <c r="F267" i="15"/>
  <c r="F259" i="15"/>
  <c r="F251" i="15"/>
  <c r="G262" i="15"/>
  <c r="G254" i="15"/>
  <c r="H265" i="15"/>
  <c r="H257" i="15"/>
  <c r="I263" i="15"/>
  <c r="I255" i="15"/>
  <c r="J266" i="15"/>
  <c r="J258" i="15"/>
  <c r="J250" i="15"/>
  <c r="K261" i="15"/>
  <c r="K253" i="15"/>
  <c r="H288" i="15"/>
  <c r="H289" i="15"/>
  <c r="H290" i="15"/>
  <c r="H291" i="15"/>
  <c r="H292" i="15"/>
  <c r="H293" i="15"/>
  <c r="H294" i="15"/>
  <c r="H295" i="15"/>
  <c r="H296" i="15"/>
  <c r="H297" i="15"/>
  <c r="H298" i="15"/>
  <c r="H299" i="15"/>
  <c r="H300" i="15"/>
  <c r="H301" i="15"/>
  <c r="H302" i="15"/>
  <c r="H303" i="15"/>
  <c r="H304" i="15"/>
  <c r="H305" i="15"/>
  <c r="H306" i="15"/>
  <c r="D589" i="15"/>
  <c r="D581" i="15"/>
  <c r="D573" i="15"/>
  <c r="E584" i="15"/>
  <c r="E576" i="15"/>
  <c r="F587" i="15"/>
  <c r="F579" i="15"/>
  <c r="G590" i="15"/>
  <c r="G582" i="15"/>
  <c r="G574" i="15"/>
  <c r="H585" i="15"/>
  <c r="H577" i="15"/>
  <c r="I583" i="15"/>
  <c r="I575" i="15"/>
  <c r="J586" i="15"/>
  <c r="J578" i="15"/>
  <c r="K589" i="15"/>
  <c r="K581" i="15"/>
  <c r="K573" i="15"/>
  <c r="F51" i="15"/>
  <c r="K52" i="15"/>
  <c r="F59" i="15"/>
  <c r="K60" i="15"/>
  <c r="F143" i="15"/>
  <c r="P49" i="15"/>
  <c r="P53" i="15"/>
  <c r="P57" i="15"/>
  <c r="P61" i="15"/>
  <c r="P65" i="15"/>
  <c r="G129" i="15"/>
  <c r="G131" i="15"/>
  <c r="P131" i="15"/>
  <c r="P135" i="15"/>
  <c r="G137" i="15"/>
  <c r="G139" i="15"/>
  <c r="G143" i="15"/>
  <c r="P143" i="15"/>
  <c r="G145" i="15"/>
  <c r="D264" i="15"/>
  <c r="D256" i="15"/>
  <c r="E263" i="15"/>
  <c r="E255" i="15"/>
  <c r="F266" i="15"/>
  <c r="F258" i="15"/>
  <c r="F250" i="15"/>
  <c r="G261" i="15"/>
  <c r="G253" i="15"/>
  <c r="H264" i="15"/>
  <c r="H256" i="15"/>
  <c r="I262" i="15"/>
  <c r="I254" i="15"/>
  <c r="J265" i="15"/>
  <c r="J257" i="15"/>
  <c r="K260" i="15"/>
  <c r="K252" i="15"/>
  <c r="I288" i="15"/>
  <c r="I289" i="15"/>
  <c r="I290" i="15"/>
  <c r="I291" i="15"/>
  <c r="I292" i="15"/>
  <c r="I293" i="15"/>
  <c r="I294" i="15"/>
  <c r="I295" i="15"/>
  <c r="I296" i="15"/>
  <c r="I297" i="15"/>
  <c r="I298" i="15"/>
  <c r="I299" i="15"/>
  <c r="I300" i="15"/>
  <c r="I301" i="15"/>
  <c r="I302" i="15"/>
  <c r="I303" i="15"/>
  <c r="I304" i="15"/>
  <c r="I305" i="15"/>
  <c r="D588" i="15"/>
  <c r="D580" i="15"/>
  <c r="E583" i="15"/>
  <c r="E575" i="15"/>
  <c r="F586" i="15"/>
  <c r="F578" i="15"/>
  <c r="G589" i="15"/>
  <c r="G581" i="15"/>
  <c r="G573" i="15"/>
  <c r="H584" i="15"/>
  <c r="H576" i="15"/>
  <c r="I590" i="15"/>
  <c r="I582" i="15"/>
  <c r="I574" i="15"/>
  <c r="J585" i="15"/>
  <c r="J577" i="15"/>
  <c r="K588" i="15"/>
  <c r="K580" i="15"/>
  <c r="F262" i="15"/>
  <c r="F254" i="15"/>
  <c r="E294" i="15"/>
  <c r="E302" i="15"/>
  <c r="J589" i="15"/>
  <c r="H143" i="15"/>
  <c r="D263" i="15"/>
  <c r="D255" i="15"/>
  <c r="E262" i="15"/>
  <c r="E254" i="15"/>
  <c r="F265" i="15"/>
  <c r="F257" i="15"/>
  <c r="G260" i="15"/>
  <c r="G252" i="15"/>
  <c r="H263" i="15"/>
  <c r="H255" i="15"/>
  <c r="I261" i="15"/>
  <c r="I253" i="15"/>
  <c r="J264" i="15"/>
  <c r="J256" i="15"/>
  <c r="K267" i="15"/>
  <c r="K259" i="15"/>
  <c r="K251" i="15"/>
  <c r="J288" i="15"/>
  <c r="J289" i="15"/>
  <c r="J290" i="15"/>
  <c r="J291" i="15"/>
  <c r="J292" i="15"/>
  <c r="J293" i="15"/>
  <c r="J294" i="15"/>
  <c r="J295" i="15"/>
  <c r="J296" i="15"/>
  <c r="J297" i="15"/>
  <c r="J298" i="15"/>
  <c r="J299" i="15"/>
  <c r="J300" i="15"/>
  <c r="J301" i="15"/>
  <c r="J302" i="15"/>
  <c r="J303" i="15"/>
  <c r="J304" i="15"/>
  <c r="J305" i="15"/>
  <c r="J306" i="15"/>
  <c r="D587" i="15"/>
  <c r="D579" i="15"/>
  <c r="E590" i="15"/>
  <c r="E582" i="15"/>
  <c r="E574" i="15"/>
  <c r="F577" i="15"/>
  <c r="G588" i="15"/>
  <c r="G580" i="15"/>
  <c r="H575" i="15"/>
  <c r="I589" i="15"/>
  <c r="I581" i="15"/>
  <c r="I573" i="15"/>
  <c r="J584" i="15"/>
  <c r="J576" i="15"/>
  <c r="K587" i="15"/>
  <c r="K579" i="15"/>
  <c r="I135" i="15"/>
  <c r="I143" i="15"/>
  <c r="D262" i="15"/>
  <c r="D254" i="15"/>
  <c r="E261" i="15"/>
  <c r="E253" i="15"/>
  <c r="F264" i="15"/>
  <c r="F256" i="15"/>
  <c r="G267" i="15"/>
  <c r="G259" i="15"/>
  <c r="G251" i="15"/>
  <c r="H262" i="15"/>
  <c r="H254" i="15"/>
  <c r="I260" i="15"/>
  <c r="I252" i="15"/>
  <c r="J263" i="15"/>
  <c r="J255" i="15"/>
  <c r="K266" i="15"/>
  <c r="K258" i="15"/>
  <c r="K250" i="15"/>
  <c r="K288" i="15"/>
  <c r="K289" i="15"/>
  <c r="K290" i="15"/>
  <c r="K291" i="15"/>
  <c r="K292" i="15"/>
  <c r="K293" i="15"/>
  <c r="K294" i="15"/>
  <c r="K295" i="15"/>
  <c r="K296" i="15"/>
  <c r="K297" i="15"/>
  <c r="K298" i="15"/>
  <c r="K299" i="15"/>
  <c r="K300" i="15"/>
  <c r="K301" i="15"/>
  <c r="K302" i="15"/>
  <c r="K303" i="15"/>
  <c r="K304" i="15"/>
  <c r="K305" i="15"/>
  <c r="K306" i="15"/>
  <c r="D586" i="15"/>
  <c r="D578" i="15"/>
  <c r="E589" i="15"/>
  <c r="E581" i="15"/>
  <c r="E573" i="15"/>
  <c r="F584" i="15"/>
  <c r="F576" i="15"/>
  <c r="G587" i="15"/>
  <c r="G579" i="15"/>
  <c r="H590" i="15"/>
  <c r="H582" i="15"/>
  <c r="H574" i="15"/>
  <c r="I588" i="15"/>
  <c r="I580" i="15"/>
  <c r="J583" i="15"/>
  <c r="J575" i="15"/>
  <c r="K586" i="15"/>
  <c r="K578" i="15"/>
  <c r="AK169" i="15"/>
  <c r="Q169" i="15" s="1"/>
  <c r="AL176" i="15"/>
  <c r="R176" i="15" s="1"/>
  <c r="AK94" i="15"/>
  <c r="AK87" i="15"/>
  <c r="AK103" i="15"/>
  <c r="AK102" i="15"/>
  <c r="AK97" i="15"/>
  <c r="AL51" i="15"/>
  <c r="R51" i="15" s="1"/>
  <c r="AK85" i="15"/>
  <c r="AK129" i="15"/>
  <c r="Q129" i="15" s="1"/>
  <c r="AK137" i="15"/>
  <c r="Q137" i="15" s="1"/>
  <c r="AK58" i="15"/>
  <c r="Q58" i="15" s="1"/>
  <c r="AK145" i="15"/>
  <c r="Q145" i="15" s="1"/>
  <c r="AK89" i="15"/>
  <c r="AK66" i="15"/>
  <c r="Q66" i="15" s="1"/>
  <c r="AK86" i="15"/>
  <c r="AL59" i="15"/>
  <c r="R59" i="15" s="1"/>
  <c r="AL130" i="15"/>
  <c r="R130" i="15" s="1"/>
  <c r="AL99" i="15"/>
  <c r="AK50" i="15"/>
  <c r="Q50" i="15" s="1"/>
  <c r="AL98" i="15"/>
  <c r="AL67" i="15"/>
  <c r="R67" i="15" s="1"/>
  <c r="AL138" i="15"/>
  <c r="R138" i="15" s="1"/>
  <c r="AL91" i="15"/>
  <c r="AK95" i="15"/>
  <c r="AL90" i="15"/>
  <c r="AL146" i="15"/>
  <c r="R146" i="15" s="1"/>
  <c r="AK51" i="15"/>
  <c r="Q51" i="15" s="1"/>
  <c r="AL52" i="15"/>
  <c r="R52" i="15" s="1"/>
  <c r="AK59" i="15"/>
  <c r="Q59" i="15" s="1"/>
  <c r="AL60" i="15"/>
  <c r="AK67" i="15"/>
  <c r="Q67" i="15" s="1"/>
  <c r="AK130" i="15"/>
  <c r="Q130" i="15" s="1"/>
  <c r="AL131" i="15"/>
  <c r="R131" i="15" s="1"/>
  <c r="AK138" i="15"/>
  <c r="Q138" i="15" s="1"/>
  <c r="AL139" i="15"/>
  <c r="R139" i="15" s="1"/>
  <c r="AK146" i="15"/>
  <c r="Q146" i="15" s="1"/>
  <c r="AK541" i="15"/>
  <c r="Q541" i="15" s="1"/>
  <c r="AK533" i="15"/>
  <c r="Q533" i="15" s="1"/>
  <c r="AK496" i="15"/>
  <c r="Q496" i="15" s="1"/>
  <c r="AK488" i="15"/>
  <c r="Q488" i="15" s="1"/>
  <c r="AK456" i="15"/>
  <c r="Q456" i="15" s="1"/>
  <c r="AK448" i="15"/>
  <c r="Q448" i="15" s="1"/>
  <c r="AK416" i="15"/>
  <c r="Q416" i="15" s="1"/>
  <c r="AK408" i="15"/>
  <c r="Q408" i="15" s="1"/>
  <c r="AK367" i="15"/>
  <c r="Q367" i="15" s="1"/>
  <c r="AK375" i="15"/>
  <c r="Q375" i="15" s="1"/>
  <c r="AK383" i="15"/>
  <c r="Q383" i="15" s="1"/>
  <c r="AK222" i="15"/>
  <c r="Q222" i="15" s="1"/>
  <c r="AK214" i="15"/>
  <c r="Q214" i="15" s="1"/>
  <c r="AK206" i="15"/>
  <c r="Q206" i="15" s="1"/>
  <c r="AK542" i="15"/>
  <c r="Q542" i="15" s="1"/>
  <c r="AK534" i="15"/>
  <c r="Q534" i="15" s="1"/>
  <c r="AK497" i="15"/>
  <c r="Q497" i="15" s="1"/>
  <c r="AK489" i="15"/>
  <c r="AK457" i="15"/>
  <c r="Q457" i="15" s="1"/>
  <c r="AK449" i="15"/>
  <c r="Q449" i="15" s="1"/>
  <c r="AK441" i="15"/>
  <c r="Q441" i="15" s="1"/>
  <c r="AK417" i="15"/>
  <c r="Q417" i="15" s="1"/>
  <c r="AK409" i="15"/>
  <c r="Q409" i="15" s="1"/>
  <c r="AK368" i="15"/>
  <c r="Q368" i="15" s="1"/>
  <c r="AK376" i="15"/>
  <c r="Q376" i="15" s="1"/>
  <c r="AK384" i="15"/>
  <c r="Q384" i="15" s="1"/>
  <c r="AK223" i="15"/>
  <c r="Q223" i="15" s="1"/>
  <c r="AK215" i="15"/>
  <c r="Q215" i="15" s="1"/>
  <c r="AK207" i="15"/>
  <c r="Q207" i="15" s="1"/>
  <c r="AK181" i="15"/>
  <c r="Q181" i="15" s="1"/>
  <c r="AK173" i="15"/>
  <c r="Q173" i="15" s="1"/>
  <c r="AK543" i="15"/>
  <c r="Q543" i="15" s="1"/>
  <c r="AK535" i="15"/>
  <c r="Q535" i="15" s="1"/>
  <c r="AK498" i="15"/>
  <c r="Q498" i="15" s="1"/>
  <c r="AK490" i="15"/>
  <c r="Q490" i="15" s="1"/>
  <c r="AK482" i="15"/>
  <c r="Q482" i="15" s="1"/>
  <c r="AK458" i="15"/>
  <c r="Q458" i="15" s="1"/>
  <c r="AK450" i="15"/>
  <c r="Q450" i="15" s="1"/>
  <c r="AK442" i="15"/>
  <c r="Q442" i="15" s="1"/>
  <c r="AK418" i="15"/>
  <c r="Q418" i="15" s="1"/>
  <c r="AK410" i="15"/>
  <c r="Q410" i="15" s="1"/>
  <c r="AK402" i="15"/>
  <c r="Q402" i="15" s="1"/>
  <c r="AK369" i="15"/>
  <c r="Q369" i="15" s="1"/>
  <c r="AK377" i="15"/>
  <c r="Q377" i="15" s="1"/>
  <c r="AK216" i="15"/>
  <c r="Q216" i="15" s="1"/>
  <c r="AK208" i="15"/>
  <c r="Q208" i="15" s="1"/>
  <c r="AK182" i="15"/>
  <c r="Q182" i="15" s="1"/>
  <c r="AK174" i="15"/>
  <c r="Q174" i="15" s="1"/>
  <c r="AK544" i="15"/>
  <c r="Q544" i="15" s="1"/>
  <c r="AK536" i="15"/>
  <c r="Q536" i="15" s="1"/>
  <c r="AK499" i="15"/>
  <c r="Q499" i="15" s="1"/>
  <c r="AK491" i="15"/>
  <c r="Q491" i="15" s="1"/>
  <c r="AK483" i="15"/>
  <c r="Q483" i="15" s="1"/>
  <c r="AK459" i="15"/>
  <c r="Q459" i="15" s="1"/>
  <c r="AK451" i="15"/>
  <c r="Q451" i="15" s="1"/>
  <c r="AK443" i="15"/>
  <c r="Q443" i="15" s="1"/>
  <c r="AK419" i="15"/>
  <c r="Q419" i="15" s="1"/>
  <c r="AK411" i="15"/>
  <c r="Q411" i="15" s="1"/>
  <c r="AK403" i="15"/>
  <c r="Q403" i="15" s="1"/>
  <c r="AK370" i="15"/>
  <c r="Q370" i="15" s="1"/>
  <c r="AK378" i="15"/>
  <c r="Q378" i="15" s="1"/>
  <c r="AK217" i="15"/>
  <c r="Q217" i="15" s="1"/>
  <c r="AK209" i="15"/>
  <c r="Q209" i="15" s="1"/>
  <c r="AK183" i="15"/>
  <c r="Q183" i="15" s="1"/>
  <c r="AK545" i="15"/>
  <c r="Q545" i="15" s="1"/>
  <c r="AK537" i="15"/>
  <c r="Q537" i="15" s="1"/>
  <c r="AK529" i="15"/>
  <c r="Q529" i="15" s="1"/>
  <c r="AK500" i="15"/>
  <c r="Q500" i="15" s="1"/>
  <c r="AK492" i="15"/>
  <c r="Q492" i="15" s="1"/>
  <c r="AK484" i="15"/>
  <c r="Q484" i="15" s="1"/>
  <c r="AK460" i="15"/>
  <c r="Q460" i="15" s="1"/>
  <c r="AK452" i="15"/>
  <c r="Q452" i="15" s="1"/>
  <c r="AK444" i="15"/>
  <c r="Q444" i="15" s="1"/>
  <c r="AK420" i="15"/>
  <c r="Q420" i="15" s="1"/>
  <c r="AK412" i="15"/>
  <c r="Q412" i="15" s="1"/>
  <c r="AK404" i="15"/>
  <c r="Q404" i="15" s="1"/>
  <c r="AK371" i="15"/>
  <c r="Q371" i="15" s="1"/>
  <c r="AK379" i="15"/>
  <c r="Q379" i="15" s="1"/>
  <c r="AK218" i="15"/>
  <c r="Q218" i="15" s="1"/>
  <c r="AK210" i="15"/>
  <c r="Q210" i="15" s="1"/>
  <c r="AK184" i="15"/>
  <c r="Q184" i="15" s="1"/>
  <c r="AK176" i="15"/>
  <c r="Q176" i="15" s="1"/>
  <c r="AK168" i="15"/>
  <c r="Q168" i="15" s="1"/>
  <c r="AK546" i="15"/>
  <c r="Q546" i="15" s="1"/>
  <c r="AK538" i="15"/>
  <c r="Q538" i="15" s="1"/>
  <c r="AK530" i="15"/>
  <c r="Q530" i="15" s="1"/>
  <c r="AK501" i="15"/>
  <c r="Q501" i="15" s="1"/>
  <c r="AK493" i="15"/>
  <c r="Q493" i="15" s="1"/>
  <c r="AK485" i="15"/>
  <c r="Q485" i="15" s="1"/>
  <c r="AK453" i="15"/>
  <c r="Q453" i="15" s="1"/>
  <c r="AK445" i="15"/>
  <c r="Q445" i="15" s="1"/>
  <c r="AK421" i="15"/>
  <c r="Q421" i="15" s="1"/>
  <c r="AK413" i="15"/>
  <c r="Q413" i="15" s="1"/>
  <c r="AK405" i="15"/>
  <c r="Q405" i="15" s="1"/>
  <c r="AK372" i="15"/>
  <c r="Q372" i="15" s="1"/>
  <c r="AK380" i="15"/>
  <c r="Q380" i="15" s="1"/>
  <c r="AK365" i="15"/>
  <c r="Q365" i="15" s="1"/>
  <c r="AK219" i="15"/>
  <c r="Q219" i="15" s="1"/>
  <c r="AK211" i="15"/>
  <c r="Q211" i="15" s="1"/>
  <c r="AK177" i="15"/>
  <c r="Q177" i="15" s="1"/>
  <c r="AK547" i="15"/>
  <c r="Q547" i="15" s="1"/>
  <c r="AK539" i="15"/>
  <c r="Q539" i="15" s="1"/>
  <c r="AK531" i="15"/>
  <c r="Q531" i="15" s="1"/>
  <c r="AK494" i="15"/>
  <c r="Q494" i="15" s="1"/>
  <c r="AK486" i="15"/>
  <c r="Q486" i="15" s="1"/>
  <c r="AK454" i="15"/>
  <c r="Q454" i="15" s="1"/>
  <c r="AK446" i="15"/>
  <c r="Q446" i="15" s="1"/>
  <c r="AK414" i="15"/>
  <c r="Q414" i="15" s="1"/>
  <c r="AK406" i="15"/>
  <c r="Q406" i="15" s="1"/>
  <c r="AK373" i="15"/>
  <c r="Q373" i="15" s="1"/>
  <c r="AK381" i="15"/>
  <c r="Q381" i="15" s="1"/>
  <c r="AK220" i="15"/>
  <c r="Q220" i="15" s="1"/>
  <c r="AK212" i="15"/>
  <c r="Q212" i="15" s="1"/>
  <c r="AK204" i="15"/>
  <c r="Q204" i="15" s="1"/>
  <c r="AK178" i="15"/>
  <c r="Q178" i="15" s="1"/>
  <c r="AK170" i="15"/>
  <c r="Q170" i="15" s="1"/>
  <c r="AK548" i="15"/>
  <c r="Q548" i="15" s="1"/>
  <c r="AK540" i="15"/>
  <c r="Q540" i="15" s="1"/>
  <c r="AK532" i="15"/>
  <c r="Q532" i="15" s="1"/>
  <c r="AK495" i="15"/>
  <c r="Q495" i="15" s="1"/>
  <c r="AK487" i="15"/>
  <c r="Q487" i="15" s="1"/>
  <c r="AK455" i="15"/>
  <c r="Q455" i="15" s="1"/>
  <c r="AK447" i="15"/>
  <c r="Q447" i="15" s="1"/>
  <c r="AK415" i="15"/>
  <c r="Q415" i="15" s="1"/>
  <c r="AK407" i="15"/>
  <c r="Q407" i="15" s="1"/>
  <c r="AK366" i="15"/>
  <c r="Q366" i="15" s="1"/>
  <c r="AK374" i="15"/>
  <c r="Q374" i="15" s="1"/>
  <c r="AK382" i="15"/>
  <c r="Q382" i="15" s="1"/>
  <c r="AK221" i="15"/>
  <c r="Q221" i="15" s="1"/>
  <c r="AK213" i="15"/>
  <c r="Q213" i="15" s="1"/>
  <c r="AK205" i="15"/>
  <c r="Q205" i="15" s="1"/>
  <c r="AK179" i="15"/>
  <c r="Q179" i="15" s="1"/>
  <c r="AK171" i="15"/>
  <c r="Q171" i="15" s="1"/>
  <c r="AK93" i="15"/>
  <c r="AL85" i="15"/>
  <c r="AL97" i="15"/>
  <c r="AL89" i="15"/>
  <c r="AK49" i="15"/>
  <c r="Q49" i="15" s="1"/>
  <c r="AL50" i="15"/>
  <c r="R50" i="15" s="1"/>
  <c r="AK57" i="15"/>
  <c r="Q57" i="15" s="1"/>
  <c r="AL58" i="15"/>
  <c r="R58" i="15" s="1"/>
  <c r="AK65" i="15"/>
  <c r="Q65" i="15" s="1"/>
  <c r="AL66" i="15"/>
  <c r="R66" i="15" s="1"/>
  <c r="AK128" i="15"/>
  <c r="Q128" i="15" s="1"/>
  <c r="AL129" i="15"/>
  <c r="R129" i="15" s="1"/>
  <c r="AK136" i="15"/>
  <c r="Q136" i="15" s="1"/>
  <c r="AL137" i="15"/>
  <c r="R137" i="15" s="1"/>
  <c r="AK144" i="15"/>
  <c r="Q144" i="15" s="1"/>
  <c r="AL145" i="15"/>
  <c r="R145" i="15" s="1"/>
  <c r="AK100" i="15"/>
  <c r="AL104" i="15"/>
  <c r="AL96" i="15"/>
  <c r="AL88" i="15"/>
  <c r="AK48" i="15"/>
  <c r="Q48" i="15" s="1"/>
  <c r="AL49" i="15"/>
  <c r="R49" i="15" s="1"/>
  <c r="AK56" i="15"/>
  <c r="Q56" i="15" s="1"/>
  <c r="AL57" i="15"/>
  <c r="R57" i="15" s="1"/>
  <c r="AK64" i="15"/>
  <c r="Q64" i="15" s="1"/>
  <c r="AL65" i="15"/>
  <c r="R65" i="15" s="1"/>
  <c r="AK127" i="15"/>
  <c r="Q127" i="15" s="1"/>
  <c r="AL128" i="15"/>
  <c r="R128" i="15" s="1"/>
  <c r="AK135" i="15"/>
  <c r="Q135" i="15" s="1"/>
  <c r="AL136" i="15"/>
  <c r="R136" i="15" s="1"/>
  <c r="AK143" i="15"/>
  <c r="Q143" i="15" s="1"/>
  <c r="AL144" i="15"/>
  <c r="R144" i="15" s="1"/>
  <c r="AL168" i="15"/>
  <c r="R168" i="15" s="1"/>
  <c r="AK633" i="15"/>
  <c r="L633" i="15" s="1"/>
  <c r="AK629" i="15"/>
  <c r="L629" i="15" s="1"/>
  <c r="AK625" i="15"/>
  <c r="L625" i="15" s="1"/>
  <c r="AK621" i="15"/>
  <c r="L621" i="15" s="1"/>
  <c r="AK617" i="15"/>
  <c r="L617" i="15" s="1"/>
  <c r="AK574" i="15"/>
  <c r="L574" i="15" s="1"/>
  <c r="AK582" i="15"/>
  <c r="L582" i="15" s="1"/>
  <c r="AK590" i="15"/>
  <c r="L590" i="15" s="1"/>
  <c r="AK256" i="15"/>
  <c r="L256" i="15" s="1"/>
  <c r="AK264" i="15"/>
  <c r="L264" i="15" s="1"/>
  <c r="AK249" i="15"/>
  <c r="L249" i="15" s="1"/>
  <c r="AK679" i="15"/>
  <c r="L679" i="15" s="1"/>
  <c r="AK675" i="15"/>
  <c r="L675" i="15" s="1"/>
  <c r="AK671" i="15"/>
  <c r="L671" i="15" s="1"/>
  <c r="AK667" i="15"/>
  <c r="L667" i="15" s="1"/>
  <c r="AK663" i="15"/>
  <c r="L663" i="15" s="1"/>
  <c r="AK575" i="15"/>
  <c r="L575" i="15" s="1"/>
  <c r="AK583" i="15"/>
  <c r="L583" i="15" s="1"/>
  <c r="AK348" i="15"/>
  <c r="L348" i="15" s="1"/>
  <c r="AK344" i="15"/>
  <c r="L344" i="15" s="1"/>
  <c r="AK340" i="15"/>
  <c r="L340" i="15" s="1"/>
  <c r="AK336" i="15"/>
  <c r="L336" i="15" s="1"/>
  <c r="AK332" i="15"/>
  <c r="L332" i="15" s="1"/>
  <c r="AK306" i="15"/>
  <c r="L306" i="15" s="1"/>
  <c r="AK302" i="15"/>
  <c r="L302" i="15" s="1"/>
  <c r="AK298" i="15"/>
  <c r="L298" i="15" s="1"/>
  <c r="AK294" i="15"/>
  <c r="L294" i="15" s="1"/>
  <c r="AK290" i="15"/>
  <c r="L290" i="15" s="1"/>
  <c r="AK257" i="15"/>
  <c r="L257" i="15" s="1"/>
  <c r="AK265" i="15"/>
  <c r="L265" i="15" s="1"/>
  <c r="AK632" i="15"/>
  <c r="L632" i="15" s="1"/>
  <c r="AK628" i="15"/>
  <c r="L628" i="15" s="1"/>
  <c r="AK624" i="15"/>
  <c r="L624" i="15" s="1"/>
  <c r="AK620" i="15"/>
  <c r="L620" i="15" s="1"/>
  <c r="AK616" i="15"/>
  <c r="L616" i="15" s="1"/>
  <c r="AK576" i="15"/>
  <c r="L576" i="15" s="1"/>
  <c r="AK584" i="15"/>
  <c r="L584" i="15" s="1"/>
  <c r="AK250" i="15"/>
  <c r="L250" i="15" s="1"/>
  <c r="AK258" i="15"/>
  <c r="L258" i="15" s="1"/>
  <c r="AK266" i="15"/>
  <c r="L266" i="15" s="1"/>
  <c r="AK678" i="15"/>
  <c r="L678" i="15" s="1"/>
  <c r="AK674" i="15"/>
  <c r="L674" i="15" s="1"/>
  <c r="AK670" i="15"/>
  <c r="L670" i="15" s="1"/>
  <c r="AK666" i="15"/>
  <c r="L666" i="15" s="1"/>
  <c r="AK662" i="15"/>
  <c r="L662" i="15" s="1"/>
  <c r="AK577" i="15"/>
  <c r="L577" i="15" s="1"/>
  <c r="AK585" i="15"/>
  <c r="L585" i="15" s="1"/>
  <c r="AK347" i="15"/>
  <c r="L347" i="15" s="1"/>
  <c r="AK343" i="15"/>
  <c r="L343" i="15" s="1"/>
  <c r="AK339" i="15"/>
  <c r="L339" i="15" s="1"/>
  <c r="AK335" i="15"/>
  <c r="L335" i="15" s="1"/>
  <c r="AK331" i="15"/>
  <c r="L331" i="15" s="1"/>
  <c r="AK305" i="15"/>
  <c r="L305" i="15" s="1"/>
  <c r="AK301" i="15"/>
  <c r="L301" i="15" s="1"/>
  <c r="AK297" i="15"/>
  <c r="L297" i="15" s="1"/>
  <c r="AK293" i="15"/>
  <c r="L293" i="15" s="1"/>
  <c r="AK289" i="15"/>
  <c r="L289" i="15" s="1"/>
  <c r="AK251" i="15"/>
  <c r="L251" i="15" s="1"/>
  <c r="AK259" i="15"/>
  <c r="L259" i="15" s="1"/>
  <c r="AK267" i="15"/>
  <c r="L267" i="15" s="1"/>
  <c r="AK635" i="15"/>
  <c r="L635" i="15" s="1"/>
  <c r="AK631" i="15"/>
  <c r="L631" i="15" s="1"/>
  <c r="AK627" i="15"/>
  <c r="L627" i="15" s="1"/>
  <c r="AK623" i="15"/>
  <c r="L623" i="15" s="1"/>
  <c r="AK619" i="15"/>
  <c r="L619" i="15" s="1"/>
  <c r="AK578" i="15"/>
  <c r="L578" i="15" s="1"/>
  <c r="AK586" i="15"/>
  <c r="L586" i="15" s="1"/>
  <c r="AK572" i="15"/>
  <c r="L572" i="15" s="1"/>
  <c r="AK252" i="15"/>
  <c r="L252" i="15" s="1"/>
  <c r="AK260" i="15"/>
  <c r="L260" i="15" s="1"/>
  <c r="AK268" i="15"/>
  <c r="AK677" i="15"/>
  <c r="L677" i="15" s="1"/>
  <c r="AK673" i="15"/>
  <c r="L673" i="15" s="1"/>
  <c r="AK669" i="15"/>
  <c r="L669" i="15" s="1"/>
  <c r="AK665" i="15"/>
  <c r="L665" i="15" s="1"/>
  <c r="AK661" i="15"/>
  <c r="L661" i="15" s="1"/>
  <c r="AK579" i="15"/>
  <c r="L579" i="15" s="1"/>
  <c r="AK587" i="15"/>
  <c r="L587" i="15" s="1"/>
  <c r="AK346" i="15"/>
  <c r="L346" i="15" s="1"/>
  <c r="AK342" i="15"/>
  <c r="L342" i="15" s="1"/>
  <c r="AK338" i="15"/>
  <c r="L338" i="15" s="1"/>
  <c r="AK334" i="15"/>
  <c r="L334" i="15" s="1"/>
  <c r="AK330" i="15"/>
  <c r="L330" i="15" s="1"/>
  <c r="AK304" i="15"/>
  <c r="L304" i="15" s="1"/>
  <c r="AK300" i="15"/>
  <c r="L300" i="15" s="1"/>
  <c r="AK296" i="15"/>
  <c r="L296" i="15" s="1"/>
  <c r="AK292" i="15"/>
  <c r="L292" i="15" s="1"/>
  <c r="AK288" i="15"/>
  <c r="L288" i="15" s="1"/>
  <c r="AK253" i="15"/>
  <c r="L253" i="15" s="1"/>
  <c r="AK261" i="15"/>
  <c r="L261" i="15" s="1"/>
  <c r="AK634" i="15"/>
  <c r="L634" i="15" s="1"/>
  <c r="AK630" i="15"/>
  <c r="L630" i="15" s="1"/>
  <c r="AK626" i="15"/>
  <c r="L626" i="15" s="1"/>
  <c r="AK622" i="15"/>
  <c r="L622" i="15" s="1"/>
  <c r="AK618" i="15"/>
  <c r="L618" i="15" s="1"/>
  <c r="AK591" i="15"/>
  <c r="AK580" i="15"/>
  <c r="L580" i="15" s="1"/>
  <c r="AK588" i="15"/>
  <c r="L588" i="15" s="1"/>
  <c r="AK254" i="15"/>
  <c r="L254" i="15" s="1"/>
  <c r="AK262" i="15"/>
  <c r="L262" i="15" s="1"/>
  <c r="AK676" i="15"/>
  <c r="L676" i="15" s="1"/>
  <c r="AK672" i="15"/>
  <c r="L672" i="15" s="1"/>
  <c r="AK668" i="15"/>
  <c r="L668" i="15" s="1"/>
  <c r="AK664" i="15"/>
  <c r="L664" i="15" s="1"/>
  <c r="AK660" i="15"/>
  <c r="L660" i="15" s="1"/>
  <c r="AK573" i="15"/>
  <c r="L573" i="15" s="1"/>
  <c r="AK581" i="15"/>
  <c r="L581" i="15" s="1"/>
  <c r="AK589" i="15"/>
  <c r="L589" i="15" s="1"/>
  <c r="AK345" i="15"/>
  <c r="L345" i="15" s="1"/>
  <c r="AK341" i="15"/>
  <c r="L341" i="15" s="1"/>
  <c r="AK337" i="15"/>
  <c r="L337" i="15" s="1"/>
  <c r="AK333" i="15"/>
  <c r="L333" i="15" s="1"/>
  <c r="AK329" i="15"/>
  <c r="L329" i="15" s="1"/>
  <c r="AK303" i="15"/>
  <c r="L303" i="15" s="1"/>
  <c r="AK299" i="15"/>
  <c r="L299" i="15" s="1"/>
  <c r="AK295" i="15"/>
  <c r="L295" i="15" s="1"/>
  <c r="AK291" i="15"/>
  <c r="L291" i="15" s="1"/>
  <c r="AK287" i="15"/>
  <c r="L287" i="15" s="1"/>
  <c r="AK255" i="15"/>
  <c r="L255" i="15" s="1"/>
  <c r="AK263" i="15"/>
  <c r="L263" i="15" s="1"/>
  <c r="AK99" i="15"/>
  <c r="AK91" i="15"/>
  <c r="AL103" i="15"/>
  <c r="AL95" i="15"/>
  <c r="AL87" i="15"/>
  <c r="AL48" i="15"/>
  <c r="R48" i="15" s="1"/>
  <c r="AK55" i="15"/>
  <c r="Q55" i="15" s="1"/>
  <c r="AL56" i="15"/>
  <c r="R56" i="15" s="1"/>
  <c r="AK63" i="15"/>
  <c r="Q63" i="15" s="1"/>
  <c r="AL64" i="15"/>
  <c r="R64" i="15" s="1"/>
  <c r="AL127" i="15"/>
  <c r="R127" i="15" s="1"/>
  <c r="AK134" i="15"/>
  <c r="Q134" i="15" s="1"/>
  <c r="AL135" i="15"/>
  <c r="R135" i="15" s="1"/>
  <c r="AK142" i="15"/>
  <c r="Q142" i="15" s="1"/>
  <c r="AL143" i="15"/>
  <c r="R143" i="15" s="1"/>
  <c r="AK167" i="15"/>
  <c r="Q167" i="15" s="1"/>
  <c r="AK101" i="15"/>
  <c r="AL542" i="15"/>
  <c r="R542" i="15" s="1"/>
  <c r="AL534" i="15"/>
  <c r="R534" i="15" s="1"/>
  <c r="AL497" i="15"/>
  <c r="R497" i="15" s="1"/>
  <c r="AL489" i="15"/>
  <c r="R489" i="15" s="1"/>
  <c r="AL457" i="15"/>
  <c r="R457" i="15" s="1"/>
  <c r="AL449" i="15"/>
  <c r="R449" i="15" s="1"/>
  <c r="AL441" i="15"/>
  <c r="R441" i="15" s="1"/>
  <c r="AL417" i="15"/>
  <c r="R417" i="15" s="1"/>
  <c r="AL409" i="15"/>
  <c r="R409" i="15" s="1"/>
  <c r="AL348" i="15"/>
  <c r="M348" i="15" s="1"/>
  <c r="AL344" i="15"/>
  <c r="M344" i="15" s="1"/>
  <c r="AL340" i="15"/>
  <c r="M340" i="15" s="1"/>
  <c r="AL336" i="15"/>
  <c r="M336" i="15" s="1"/>
  <c r="AL332" i="15"/>
  <c r="M332" i="15" s="1"/>
  <c r="AL306" i="15"/>
  <c r="M306" i="15" s="1"/>
  <c r="AL302" i="15"/>
  <c r="M302" i="15" s="1"/>
  <c r="AL298" i="15"/>
  <c r="M298" i="15" s="1"/>
  <c r="AL294" i="15"/>
  <c r="M294" i="15" s="1"/>
  <c r="AL290" i="15"/>
  <c r="M290" i="15" s="1"/>
  <c r="AL251" i="15"/>
  <c r="M251" i="15" s="1"/>
  <c r="AL259" i="15"/>
  <c r="M259" i="15" s="1"/>
  <c r="AL267" i="15"/>
  <c r="M267" i="15" s="1"/>
  <c r="AL370" i="15"/>
  <c r="R370" i="15" s="1"/>
  <c r="AL378" i="15"/>
  <c r="R378" i="15" s="1"/>
  <c r="AL223" i="15"/>
  <c r="R223" i="15" s="1"/>
  <c r="AL215" i="15"/>
  <c r="R215" i="15" s="1"/>
  <c r="AL207" i="15"/>
  <c r="R207" i="15" s="1"/>
  <c r="AL181" i="15"/>
  <c r="R181" i="15" s="1"/>
  <c r="AL543" i="15"/>
  <c r="R543" i="15" s="1"/>
  <c r="AL535" i="15"/>
  <c r="R535" i="15" s="1"/>
  <c r="AL498" i="15"/>
  <c r="R498" i="15" s="1"/>
  <c r="AL490" i="15"/>
  <c r="R490" i="15" s="1"/>
  <c r="AL482" i="15"/>
  <c r="R482" i="15" s="1"/>
  <c r="AL458" i="15"/>
  <c r="R458" i="15" s="1"/>
  <c r="AL450" i="15"/>
  <c r="R450" i="15" s="1"/>
  <c r="AL442" i="15"/>
  <c r="R442" i="15" s="1"/>
  <c r="AL418" i="15"/>
  <c r="R418" i="15" s="1"/>
  <c r="AL410" i="15"/>
  <c r="R410" i="15" s="1"/>
  <c r="AL402" i="15"/>
  <c r="R402" i="15" s="1"/>
  <c r="AL252" i="15"/>
  <c r="M252" i="15" s="1"/>
  <c r="AL260" i="15"/>
  <c r="M260" i="15" s="1"/>
  <c r="AL268" i="15"/>
  <c r="M268" i="15" s="1"/>
  <c r="AL371" i="15"/>
  <c r="R371" i="15" s="1"/>
  <c r="AL379" i="15"/>
  <c r="R379" i="15" s="1"/>
  <c r="AL216" i="15"/>
  <c r="R216" i="15" s="1"/>
  <c r="AL208" i="15"/>
  <c r="R208" i="15" s="1"/>
  <c r="AL182" i="15"/>
  <c r="R182" i="15" s="1"/>
  <c r="AL174" i="15"/>
  <c r="R174" i="15" s="1"/>
  <c r="AL544" i="15"/>
  <c r="R544" i="15" s="1"/>
  <c r="AL536" i="15"/>
  <c r="R536" i="15" s="1"/>
  <c r="AL499" i="15"/>
  <c r="R499" i="15" s="1"/>
  <c r="AL491" i="15"/>
  <c r="R491" i="15" s="1"/>
  <c r="AL483" i="15"/>
  <c r="R483" i="15" s="1"/>
  <c r="AL459" i="15"/>
  <c r="R459" i="15" s="1"/>
  <c r="AL451" i="15"/>
  <c r="R451" i="15" s="1"/>
  <c r="AL443" i="15"/>
  <c r="R443" i="15" s="1"/>
  <c r="AL419" i="15"/>
  <c r="R419" i="15" s="1"/>
  <c r="AL411" i="15"/>
  <c r="R411" i="15" s="1"/>
  <c r="AL403" i="15"/>
  <c r="R403" i="15" s="1"/>
  <c r="AL347" i="15"/>
  <c r="M347" i="15" s="1"/>
  <c r="AL343" i="15"/>
  <c r="M343" i="15" s="1"/>
  <c r="AL339" i="15"/>
  <c r="M339" i="15" s="1"/>
  <c r="AL335" i="15"/>
  <c r="M335" i="15" s="1"/>
  <c r="AL331" i="15"/>
  <c r="M331" i="15" s="1"/>
  <c r="AL305" i="15"/>
  <c r="M305" i="15" s="1"/>
  <c r="AL301" i="15"/>
  <c r="M301" i="15" s="1"/>
  <c r="AL297" i="15"/>
  <c r="M297" i="15" s="1"/>
  <c r="AL293" i="15"/>
  <c r="M293" i="15" s="1"/>
  <c r="AL289" i="15"/>
  <c r="M289" i="15" s="1"/>
  <c r="AL253" i="15"/>
  <c r="M253" i="15" s="1"/>
  <c r="AL261" i="15"/>
  <c r="M261" i="15" s="1"/>
  <c r="AL372" i="15"/>
  <c r="R372" i="15" s="1"/>
  <c r="AL380" i="15"/>
  <c r="R380" i="15" s="1"/>
  <c r="AL217" i="15"/>
  <c r="R217" i="15" s="1"/>
  <c r="AL209" i="15"/>
  <c r="R209" i="15" s="1"/>
  <c r="AL183" i="15"/>
  <c r="R183" i="15" s="1"/>
  <c r="AL175" i="15"/>
  <c r="R175" i="15" s="1"/>
  <c r="AL545" i="15"/>
  <c r="R545" i="15" s="1"/>
  <c r="AL537" i="15"/>
  <c r="R537" i="15" s="1"/>
  <c r="AL529" i="15"/>
  <c r="R529" i="15" s="1"/>
  <c r="AL500" i="15"/>
  <c r="R500" i="15" s="1"/>
  <c r="AL492" i="15"/>
  <c r="R492" i="15" s="1"/>
  <c r="AL484" i="15"/>
  <c r="R484" i="15" s="1"/>
  <c r="AL460" i="15"/>
  <c r="R460" i="15" s="1"/>
  <c r="AL452" i="15"/>
  <c r="R452" i="15" s="1"/>
  <c r="AL444" i="15"/>
  <c r="R444" i="15" s="1"/>
  <c r="AL420" i="15"/>
  <c r="R420" i="15" s="1"/>
  <c r="AL412" i="15"/>
  <c r="R412" i="15" s="1"/>
  <c r="AL404" i="15"/>
  <c r="R404" i="15" s="1"/>
  <c r="AL254" i="15"/>
  <c r="M254" i="15" s="1"/>
  <c r="AL262" i="15"/>
  <c r="M262" i="15" s="1"/>
  <c r="AL373" i="15"/>
  <c r="R373" i="15" s="1"/>
  <c r="AL381" i="15"/>
  <c r="R381" i="15" s="1"/>
  <c r="AL218" i="15"/>
  <c r="R218" i="15" s="1"/>
  <c r="AL210" i="15"/>
  <c r="R210" i="15" s="1"/>
  <c r="AL184" i="15"/>
  <c r="R184" i="15" s="1"/>
  <c r="AL546" i="15"/>
  <c r="R546" i="15" s="1"/>
  <c r="AL538" i="15"/>
  <c r="R538" i="15" s="1"/>
  <c r="AL530" i="15"/>
  <c r="R530" i="15" s="1"/>
  <c r="AL501" i="15"/>
  <c r="R501" i="15" s="1"/>
  <c r="AL493" i="15"/>
  <c r="R493" i="15" s="1"/>
  <c r="AL485" i="15"/>
  <c r="R485" i="15" s="1"/>
  <c r="AL453" i="15"/>
  <c r="R453" i="15" s="1"/>
  <c r="AL445" i="15"/>
  <c r="R445" i="15" s="1"/>
  <c r="AL421" i="15"/>
  <c r="R421" i="15" s="1"/>
  <c r="AL413" i="15"/>
  <c r="R413" i="15" s="1"/>
  <c r="AL405" i="15"/>
  <c r="R405" i="15" s="1"/>
  <c r="AL346" i="15"/>
  <c r="M346" i="15" s="1"/>
  <c r="AL342" i="15"/>
  <c r="M342" i="15" s="1"/>
  <c r="AL338" i="15"/>
  <c r="M338" i="15" s="1"/>
  <c r="AL334" i="15"/>
  <c r="M334" i="15" s="1"/>
  <c r="AL330" i="15"/>
  <c r="M330" i="15" s="1"/>
  <c r="AL304" i="15"/>
  <c r="M304" i="15" s="1"/>
  <c r="AL300" i="15"/>
  <c r="M300" i="15" s="1"/>
  <c r="AL296" i="15"/>
  <c r="M296" i="15" s="1"/>
  <c r="AL292" i="15"/>
  <c r="M292" i="15" s="1"/>
  <c r="AL288" i="15"/>
  <c r="M288" i="15" s="1"/>
  <c r="AL255" i="15"/>
  <c r="M255" i="15" s="1"/>
  <c r="AL263" i="15"/>
  <c r="M263" i="15" s="1"/>
  <c r="AL366" i="15"/>
  <c r="R366" i="15" s="1"/>
  <c r="AL374" i="15"/>
  <c r="R374" i="15" s="1"/>
  <c r="AL382" i="15"/>
  <c r="R382" i="15" s="1"/>
  <c r="AL219" i="15"/>
  <c r="R219" i="15" s="1"/>
  <c r="AL211" i="15"/>
  <c r="R211" i="15" s="1"/>
  <c r="AL177" i="15"/>
  <c r="R177" i="15" s="1"/>
  <c r="AL169" i="15"/>
  <c r="R169" i="15" s="1"/>
  <c r="AL547" i="15"/>
  <c r="R547" i="15" s="1"/>
  <c r="AL539" i="15"/>
  <c r="R539" i="15" s="1"/>
  <c r="AL531" i="15"/>
  <c r="R531" i="15" s="1"/>
  <c r="AL494" i="15"/>
  <c r="R494" i="15" s="1"/>
  <c r="AL486" i="15"/>
  <c r="R486" i="15" s="1"/>
  <c r="AL454" i="15"/>
  <c r="R454" i="15" s="1"/>
  <c r="AL446" i="15"/>
  <c r="R446" i="15" s="1"/>
  <c r="AL414" i="15"/>
  <c r="R414" i="15" s="1"/>
  <c r="AL406" i="15"/>
  <c r="R406" i="15" s="1"/>
  <c r="AL256" i="15"/>
  <c r="M256" i="15" s="1"/>
  <c r="AL264" i="15"/>
  <c r="M264" i="15" s="1"/>
  <c r="AL367" i="15"/>
  <c r="R367" i="15" s="1"/>
  <c r="AL375" i="15"/>
  <c r="R375" i="15" s="1"/>
  <c r="AL383" i="15"/>
  <c r="R383" i="15" s="1"/>
  <c r="AL250" i="15"/>
  <c r="M250" i="15" s="1"/>
  <c r="AL220" i="15"/>
  <c r="R220" i="15" s="1"/>
  <c r="AL212" i="15"/>
  <c r="R212" i="15" s="1"/>
  <c r="AL204" i="15"/>
  <c r="R204" i="15" s="1"/>
  <c r="AL178" i="15"/>
  <c r="R178" i="15" s="1"/>
  <c r="AL548" i="15"/>
  <c r="R548" i="15" s="1"/>
  <c r="AL540" i="15"/>
  <c r="R540" i="15" s="1"/>
  <c r="AL532" i="15"/>
  <c r="R532" i="15" s="1"/>
  <c r="AL495" i="15"/>
  <c r="R495" i="15" s="1"/>
  <c r="AL487" i="15"/>
  <c r="R487" i="15" s="1"/>
  <c r="AL455" i="15"/>
  <c r="R455" i="15" s="1"/>
  <c r="AL447" i="15"/>
  <c r="R447" i="15" s="1"/>
  <c r="AL415" i="15"/>
  <c r="R415" i="15" s="1"/>
  <c r="AL407" i="15"/>
  <c r="R407" i="15" s="1"/>
  <c r="AL345" i="15"/>
  <c r="M345" i="15" s="1"/>
  <c r="AL341" i="15"/>
  <c r="M341" i="15" s="1"/>
  <c r="AL337" i="15"/>
  <c r="M337" i="15" s="1"/>
  <c r="AL333" i="15"/>
  <c r="M333" i="15" s="1"/>
  <c r="AL303" i="15"/>
  <c r="M303" i="15" s="1"/>
  <c r="AL299" i="15"/>
  <c r="M299" i="15" s="1"/>
  <c r="AL295" i="15"/>
  <c r="M295" i="15" s="1"/>
  <c r="AL291" i="15"/>
  <c r="M291" i="15" s="1"/>
  <c r="AL257" i="15"/>
  <c r="M257" i="15" s="1"/>
  <c r="AL265" i="15"/>
  <c r="M265" i="15" s="1"/>
  <c r="AL368" i="15"/>
  <c r="R368" i="15" s="1"/>
  <c r="AL376" i="15"/>
  <c r="R376" i="15" s="1"/>
  <c r="AL384" i="15"/>
  <c r="R384" i="15" s="1"/>
  <c r="AL365" i="15"/>
  <c r="R365" i="15" s="1"/>
  <c r="AL221" i="15"/>
  <c r="R221" i="15" s="1"/>
  <c r="AL213" i="15"/>
  <c r="R213" i="15" s="1"/>
  <c r="AL205" i="15"/>
  <c r="R205" i="15" s="1"/>
  <c r="AL179" i="15"/>
  <c r="R179" i="15" s="1"/>
  <c r="AL171" i="15"/>
  <c r="R171" i="15" s="1"/>
  <c r="AL541" i="15"/>
  <c r="R541" i="15" s="1"/>
  <c r="AL533" i="15"/>
  <c r="R533" i="15" s="1"/>
  <c r="AL496" i="15"/>
  <c r="R496" i="15" s="1"/>
  <c r="AL488" i="15"/>
  <c r="R488" i="15" s="1"/>
  <c r="AL456" i="15"/>
  <c r="R456" i="15" s="1"/>
  <c r="AL448" i="15"/>
  <c r="R448" i="15" s="1"/>
  <c r="AL416" i="15"/>
  <c r="R416" i="15" s="1"/>
  <c r="AL408" i="15"/>
  <c r="R408" i="15" s="1"/>
  <c r="AL258" i="15"/>
  <c r="M258" i="15" s="1"/>
  <c r="AL266" i="15"/>
  <c r="M266" i="15" s="1"/>
  <c r="AL369" i="15"/>
  <c r="R369" i="15" s="1"/>
  <c r="AL377" i="15"/>
  <c r="R377" i="15" s="1"/>
  <c r="AL222" i="15"/>
  <c r="R222" i="15" s="1"/>
  <c r="AL214" i="15"/>
  <c r="R214" i="15" s="1"/>
  <c r="AL206" i="15"/>
  <c r="R206" i="15" s="1"/>
  <c r="AL180" i="15"/>
  <c r="R180" i="15" s="1"/>
  <c r="AL172" i="15"/>
  <c r="R172" i="15" s="1"/>
  <c r="AK92" i="15"/>
  <c r="AL679" i="15"/>
  <c r="M679" i="15" s="1"/>
  <c r="AL675" i="15"/>
  <c r="M675" i="15" s="1"/>
  <c r="AL671" i="15"/>
  <c r="M671" i="15" s="1"/>
  <c r="AL667" i="15"/>
  <c r="M667" i="15" s="1"/>
  <c r="AL663" i="15"/>
  <c r="M663" i="15" s="1"/>
  <c r="AL578" i="15"/>
  <c r="M578" i="15" s="1"/>
  <c r="AL586" i="15"/>
  <c r="M586" i="15" s="1"/>
  <c r="AL632" i="15"/>
  <c r="M632" i="15" s="1"/>
  <c r="AL628" i="15"/>
  <c r="M628" i="15" s="1"/>
  <c r="AL624" i="15"/>
  <c r="M624" i="15" s="1"/>
  <c r="AL620" i="15"/>
  <c r="M620" i="15" s="1"/>
  <c r="AL616" i="15"/>
  <c r="M616" i="15" s="1"/>
  <c r="AL579" i="15"/>
  <c r="M579" i="15" s="1"/>
  <c r="AL587" i="15"/>
  <c r="M587" i="15" s="1"/>
  <c r="AL249" i="15"/>
  <c r="M249" i="15" s="1"/>
  <c r="AL678" i="15"/>
  <c r="M678" i="15" s="1"/>
  <c r="AL674" i="15"/>
  <c r="M674" i="15" s="1"/>
  <c r="AL670" i="15"/>
  <c r="M670" i="15" s="1"/>
  <c r="AL666" i="15"/>
  <c r="M666" i="15" s="1"/>
  <c r="AL662" i="15"/>
  <c r="M662" i="15" s="1"/>
  <c r="AL580" i="15"/>
  <c r="M580" i="15" s="1"/>
  <c r="AL588" i="15"/>
  <c r="M588" i="15" s="1"/>
  <c r="AL635" i="15"/>
  <c r="M635" i="15" s="1"/>
  <c r="AL631" i="15"/>
  <c r="M631" i="15" s="1"/>
  <c r="AL627" i="15"/>
  <c r="M627" i="15" s="1"/>
  <c r="AL623" i="15"/>
  <c r="M623" i="15" s="1"/>
  <c r="AL619" i="15"/>
  <c r="M619" i="15" s="1"/>
  <c r="AL573" i="15"/>
  <c r="M573" i="15" s="1"/>
  <c r="AL581" i="15"/>
  <c r="M581" i="15" s="1"/>
  <c r="AL589" i="15"/>
  <c r="M589" i="15" s="1"/>
  <c r="AL677" i="15"/>
  <c r="M677" i="15" s="1"/>
  <c r="AL673" i="15"/>
  <c r="M673" i="15" s="1"/>
  <c r="AL669" i="15"/>
  <c r="M669" i="15" s="1"/>
  <c r="AL665" i="15"/>
  <c r="M665" i="15" s="1"/>
  <c r="AL661" i="15"/>
  <c r="M661" i="15" s="1"/>
  <c r="AL574" i="15"/>
  <c r="M574" i="15" s="1"/>
  <c r="AL582" i="15"/>
  <c r="M582" i="15" s="1"/>
  <c r="AL590" i="15"/>
  <c r="M590" i="15" s="1"/>
  <c r="AL634" i="15"/>
  <c r="M634" i="15" s="1"/>
  <c r="AL630" i="15"/>
  <c r="M630" i="15" s="1"/>
  <c r="AL626" i="15"/>
  <c r="M626" i="15" s="1"/>
  <c r="AL622" i="15"/>
  <c r="M622" i="15" s="1"/>
  <c r="AL618" i="15"/>
  <c r="M618" i="15" s="1"/>
  <c r="AL575" i="15"/>
  <c r="M575" i="15" s="1"/>
  <c r="AL583" i="15"/>
  <c r="M583" i="15" s="1"/>
  <c r="AL591" i="15"/>
  <c r="AL572" i="15"/>
  <c r="M572" i="15" s="1"/>
  <c r="AL676" i="15"/>
  <c r="M676" i="15" s="1"/>
  <c r="AL672" i="15"/>
  <c r="M672" i="15" s="1"/>
  <c r="AL668" i="15"/>
  <c r="M668" i="15" s="1"/>
  <c r="AL664" i="15"/>
  <c r="M664" i="15" s="1"/>
  <c r="AL660" i="15"/>
  <c r="M660" i="15" s="1"/>
  <c r="AL576" i="15"/>
  <c r="M576" i="15" s="1"/>
  <c r="AL584" i="15"/>
  <c r="M584" i="15" s="1"/>
  <c r="AL329" i="15"/>
  <c r="M329" i="15" s="1"/>
  <c r="AL287" i="15"/>
  <c r="M287" i="15" s="1"/>
  <c r="AL633" i="15"/>
  <c r="M633" i="15" s="1"/>
  <c r="AL629" i="15"/>
  <c r="M629" i="15" s="1"/>
  <c r="AL625" i="15"/>
  <c r="M625" i="15" s="1"/>
  <c r="AL621" i="15"/>
  <c r="M621" i="15" s="1"/>
  <c r="AL617" i="15"/>
  <c r="M617" i="15" s="1"/>
  <c r="AL577" i="15"/>
  <c r="M577" i="15" s="1"/>
  <c r="AL585" i="15"/>
  <c r="M585" i="15" s="1"/>
  <c r="AK98" i="15"/>
  <c r="AK90" i="15"/>
  <c r="AL102" i="15"/>
  <c r="AL94" i="15"/>
  <c r="AL86" i="15"/>
  <c r="AK54" i="15"/>
  <c r="Q54" i="15" s="1"/>
  <c r="AL55" i="15"/>
  <c r="R55" i="15" s="1"/>
  <c r="AK62" i="15"/>
  <c r="Q62" i="15" s="1"/>
  <c r="AL63" i="15"/>
  <c r="R63" i="15" s="1"/>
  <c r="AK133" i="15"/>
  <c r="Q133" i="15" s="1"/>
  <c r="AL134" i="15"/>
  <c r="R134" i="15" s="1"/>
  <c r="AK141" i="15"/>
  <c r="Q141" i="15" s="1"/>
  <c r="AL142" i="15"/>
  <c r="R142" i="15" s="1"/>
  <c r="AK166" i="15"/>
  <c r="Q166" i="15" s="1"/>
  <c r="AL167" i="15"/>
  <c r="R167" i="15" s="1"/>
  <c r="AL173" i="15"/>
  <c r="R173" i="15" s="1"/>
  <c r="AK180" i="15"/>
  <c r="Q180" i="15" s="1"/>
  <c r="AL101" i="15"/>
  <c r="AL93" i="15"/>
  <c r="AK53" i="15"/>
  <c r="Q53" i="15" s="1"/>
  <c r="AL54" i="15"/>
  <c r="R54" i="15" s="1"/>
  <c r="AK61" i="15"/>
  <c r="Q61" i="15" s="1"/>
  <c r="AL62" i="15"/>
  <c r="R62" i="15" s="1"/>
  <c r="AK132" i="15"/>
  <c r="Q132" i="15" s="1"/>
  <c r="AL133" i="15"/>
  <c r="R133" i="15" s="1"/>
  <c r="AK140" i="15"/>
  <c r="Q140" i="15" s="1"/>
  <c r="AL141" i="15"/>
  <c r="R141" i="15" s="1"/>
  <c r="AK165" i="15"/>
  <c r="Q165" i="15" s="1"/>
  <c r="AL166" i="15"/>
  <c r="R166" i="15" s="1"/>
  <c r="AL170" i="15"/>
  <c r="R170" i="15" s="1"/>
  <c r="AK175" i="15"/>
  <c r="Q175" i="15" s="1"/>
  <c r="AK104" i="15"/>
  <c r="AK96" i="15"/>
  <c r="AK88" i="15"/>
  <c r="AL100" i="15"/>
  <c r="AL92" i="15"/>
  <c r="AK52" i="15"/>
  <c r="Q52" i="15" s="1"/>
  <c r="AL53" i="15"/>
  <c r="R53" i="15" s="1"/>
  <c r="AK60" i="15"/>
  <c r="Q60" i="15" s="1"/>
  <c r="AL61" i="15"/>
  <c r="R61" i="15" s="1"/>
  <c r="AK131" i="15"/>
  <c r="Q131" i="15" s="1"/>
  <c r="AL132" i="15"/>
  <c r="R132" i="15" s="1"/>
  <c r="AK139" i="15"/>
  <c r="Q139" i="15" s="1"/>
  <c r="AL140" i="15"/>
  <c r="R140" i="15" s="1"/>
  <c r="AL165" i="15"/>
  <c r="AK172" i="15"/>
  <c r="Q172" i="15" s="1"/>
  <c r="I501" i="15"/>
  <c r="K369" i="15"/>
  <c r="G499" i="15"/>
  <c r="O491" i="15"/>
  <c r="K495" i="15"/>
  <c r="G141" i="15"/>
  <c r="F370" i="15"/>
  <c r="I676" i="15"/>
  <c r="H676" i="15"/>
  <c r="G676" i="15"/>
  <c r="F676" i="15"/>
  <c r="E676" i="15"/>
  <c r="D676" i="15"/>
  <c r="K676" i="15"/>
  <c r="J676" i="15"/>
  <c r="I668" i="15"/>
  <c r="H668" i="15"/>
  <c r="G668" i="15"/>
  <c r="F668" i="15"/>
  <c r="E668" i="15"/>
  <c r="D668" i="15"/>
  <c r="K668" i="15"/>
  <c r="J668" i="15"/>
  <c r="K675" i="15"/>
  <c r="J675" i="15"/>
  <c r="I675" i="15"/>
  <c r="H675" i="15"/>
  <c r="G675" i="15"/>
  <c r="F675" i="15"/>
  <c r="E675" i="15"/>
  <c r="D675" i="15"/>
  <c r="E674" i="15"/>
  <c r="D674" i="15"/>
  <c r="K674" i="15"/>
  <c r="J674" i="15"/>
  <c r="I674" i="15"/>
  <c r="H674" i="15"/>
  <c r="G674" i="15"/>
  <c r="F674" i="15"/>
  <c r="E666" i="15"/>
  <c r="D666" i="15"/>
  <c r="K666" i="15"/>
  <c r="J666" i="15"/>
  <c r="I666" i="15"/>
  <c r="H666" i="15"/>
  <c r="G666" i="15"/>
  <c r="F666" i="15"/>
  <c r="K667" i="15"/>
  <c r="J667" i="15"/>
  <c r="I667" i="15"/>
  <c r="H667" i="15"/>
  <c r="G667" i="15"/>
  <c r="F667" i="15"/>
  <c r="E667" i="15"/>
  <c r="D667" i="15"/>
  <c r="G673" i="15"/>
  <c r="F673" i="15"/>
  <c r="E673" i="15"/>
  <c r="D673" i="15"/>
  <c r="K673" i="15"/>
  <c r="J673" i="15"/>
  <c r="I673" i="15"/>
  <c r="H673" i="15"/>
  <c r="G665" i="15"/>
  <c r="F665" i="15"/>
  <c r="E665" i="15"/>
  <c r="D665" i="15"/>
  <c r="K665" i="15"/>
  <c r="J665" i="15"/>
  <c r="I665" i="15"/>
  <c r="H665" i="15"/>
  <c r="I672" i="15"/>
  <c r="H672" i="15"/>
  <c r="G672" i="15"/>
  <c r="F672" i="15"/>
  <c r="E672" i="15"/>
  <c r="D672" i="15"/>
  <c r="K672" i="15"/>
  <c r="J672" i="15"/>
  <c r="I664" i="15"/>
  <c r="H664" i="15"/>
  <c r="G664" i="15"/>
  <c r="F664" i="15"/>
  <c r="E664" i="15"/>
  <c r="D664" i="15"/>
  <c r="K664" i="15"/>
  <c r="J664" i="15"/>
  <c r="K679" i="15"/>
  <c r="J679" i="15"/>
  <c r="I679" i="15"/>
  <c r="H679" i="15"/>
  <c r="G679" i="15"/>
  <c r="F679" i="15"/>
  <c r="E679" i="15"/>
  <c r="D679" i="15"/>
  <c r="K671" i="15"/>
  <c r="J671" i="15"/>
  <c r="I671" i="15"/>
  <c r="H671" i="15"/>
  <c r="G671" i="15"/>
  <c r="F671" i="15"/>
  <c r="E671" i="15"/>
  <c r="D671" i="15"/>
  <c r="K663" i="15"/>
  <c r="J663" i="15"/>
  <c r="I663" i="15"/>
  <c r="H663" i="15"/>
  <c r="G663" i="15"/>
  <c r="F663" i="15"/>
  <c r="E663" i="15"/>
  <c r="D663" i="15"/>
  <c r="E678" i="15"/>
  <c r="D678" i="15"/>
  <c r="K678" i="15"/>
  <c r="J678" i="15"/>
  <c r="I678" i="15"/>
  <c r="H678" i="15"/>
  <c r="G678" i="15"/>
  <c r="F678" i="15"/>
  <c r="E670" i="15"/>
  <c r="D670" i="15"/>
  <c r="K670" i="15"/>
  <c r="J670" i="15"/>
  <c r="I670" i="15"/>
  <c r="H670" i="15"/>
  <c r="G670" i="15"/>
  <c r="F670" i="15"/>
  <c r="E662" i="15"/>
  <c r="D662" i="15"/>
  <c r="K662" i="15"/>
  <c r="J662" i="15"/>
  <c r="I662" i="15"/>
  <c r="H662" i="15"/>
  <c r="G662" i="15"/>
  <c r="F662" i="15"/>
  <c r="G677" i="15"/>
  <c r="F677" i="15"/>
  <c r="E677" i="15"/>
  <c r="D677" i="15"/>
  <c r="K677" i="15"/>
  <c r="J677" i="15"/>
  <c r="I677" i="15"/>
  <c r="H677" i="15"/>
  <c r="G669" i="15"/>
  <c r="F669" i="15"/>
  <c r="E669" i="15"/>
  <c r="D669" i="15"/>
  <c r="K669" i="15"/>
  <c r="J669" i="15"/>
  <c r="I669" i="15"/>
  <c r="H669" i="15"/>
  <c r="G661" i="15"/>
  <c r="F661" i="15"/>
  <c r="E661" i="15"/>
  <c r="D661" i="15"/>
  <c r="K661" i="15"/>
  <c r="J661" i="15"/>
  <c r="I661" i="15"/>
  <c r="H661" i="15"/>
  <c r="E660" i="15"/>
  <c r="D660" i="15"/>
  <c r="K660" i="15"/>
  <c r="J660" i="15"/>
  <c r="I660" i="15"/>
  <c r="H660" i="15"/>
  <c r="G660" i="15"/>
  <c r="F660" i="15"/>
  <c r="J624" i="15"/>
  <c r="I624" i="15"/>
  <c r="H624" i="15"/>
  <c r="G624" i="15"/>
  <c r="F624" i="15"/>
  <c r="E624" i="15"/>
  <c r="D624" i="15"/>
  <c r="K624" i="15"/>
  <c r="D631" i="15"/>
  <c r="K631" i="15"/>
  <c r="J631" i="15"/>
  <c r="I631" i="15"/>
  <c r="H631" i="15"/>
  <c r="G631" i="15"/>
  <c r="F631" i="15"/>
  <c r="E631" i="15"/>
  <c r="D623" i="15"/>
  <c r="K623" i="15"/>
  <c r="J623" i="15"/>
  <c r="I623" i="15"/>
  <c r="H623" i="15"/>
  <c r="G623" i="15"/>
  <c r="F623" i="15"/>
  <c r="E623" i="15"/>
  <c r="J632" i="15"/>
  <c r="I632" i="15"/>
  <c r="H632" i="15"/>
  <c r="G632" i="15"/>
  <c r="F632" i="15"/>
  <c r="E632" i="15"/>
  <c r="D632" i="15"/>
  <c r="K632" i="15"/>
  <c r="F630" i="15"/>
  <c r="E630" i="15"/>
  <c r="D630" i="15"/>
  <c r="K630" i="15"/>
  <c r="J630" i="15"/>
  <c r="I630" i="15"/>
  <c r="H630" i="15"/>
  <c r="G630" i="15"/>
  <c r="F622" i="15"/>
  <c r="E622" i="15"/>
  <c r="D622" i="15"/>
  <c r="K622" i="15"/>
  <c r="J622" i="15"/>
  <c r="I622" i="15"/>
  <c r="H622" i="15"/>
  <c r="G622" i="15"/>
  <c r="H629" i="15"/>
  <c r="G629" i="15"/>
  <c r="F629" i="15"/>
  <c r="E629" i="15"/>
  <c r="D629" i="15"/>
  <c r="K629" i="15"/>
  <c r="J629" i="15"/>
  <c r="I629" i="15"/>
  <c r="H621" i="15"/>
  <c r="G621" i="15"/>
  <c r="F621" i="15"/>
  <c r="E621" i="15"/>
  <c r="D621" i="15"/>
  <c r="K621" i="15"/>
  <c r="J621" i="15"/>
  <c r="I621" i="15"/>
  <c r="J628" i="15"/>
  <c r="I628" i="15"/>
  <c r="H628" i="15"/>
  <c r="G628" i="15"/>
  <c r="F628" i="15"/>
  <c r="E628" i="15"/>
  <c r="D628" i="15"/>
  <c r="K628" i="15"/>
  <c r="J620" i="15"/>
  <c r="I620" i="15"/>
  <c r="H620" i="15"/>
  <c r="G620" i="15"/>
  <c r="F620" i="15"/>
  <c r="E620" i="15"/>
  <c r="D620" i="15"/>
  <c r="K620" i="15"/>
  <c r="J635" i="15"/>
  <c r="K635" i="15"/>
  <c r="I635" i="15"/>
  <c r="E635" i="15"/>
  <c r="F635" i="15"/>
  <c r="H635" i="15"/>
  <c r="D635" i="15"/>
  <c r="G635" i="15"/>
  <c r="D627" i="15"/>
  <c r="K627" i="15"/>
  <c r="J627" i="15"/>
  <c r="I627" i="15"/>
  <c r="H627" i="15"/>
  <c r="G627" i="15"/>
  <c r="F627" i="15"/>
  <c r="E627" i="15"/>
  <c r="D619" i="15"/>
  <c r="K619" i="15"/>
  <c r="J619" i="15"/>
  <c r="I619" i="15"/>
  <c r="H619" i="15"/>
  <c r="G619" i="15"/>
  <c r="F619" i="15"/>
  <c r="E619" i="15"/>
  <c r="F634" i="15"/>
  <c r="K634" i="15"/>
  <c r="J634" i="15"/>
  <c r="I634" i="15"/>
  <c r="E634" i="15"/>
  <c r="H634" i="15"/>
  <c r="D634" i="15"/>
  <c r="G634" i="15"/>
  <c r="F626" i="15"/>
  <c r="E626" i="15"/>
  <c r="D626" i="15"/>
  <c r="K626" i="15"/>
  <c r="J626" i="15"/>
  <c r="I626" i="15"/>
  <c r="H626" i="15"/>
  <c r="G626" i="15"/>
  <c r="F618" i="15"/>
  <c r="E618" i="15"/>
  <c r="D618" i="15"/>
  <c r="K618" i="15"/>
  <c r="J618" i="15"/>
  <c r="I618" i="15"/>
  <c r="H618" i="15"/>
  <c r="G618" i="15"/>
  <c r="H633" i="15"/>
  <c r="G633" i="15"/>
  <c r="F633" i="15"/>
  <c r="E633" i="15"/>
  <c r="D633" i="15"/>
  <c r="K633" i="15"/>
  <c r="J633" i="15"/>
  <c r="I633" i="15"/>
  <c r="H625" i="15"/>
  <c r="G625" i="15"/>
  <c r="F625" i="15"/>
  <c r="E625" i="15"/>
  <c r="D625" i="15"/>
  <c r="K625" i="15"/>
  <c r="J625" i="15"/>
  <c r="I625" i="15"/>
  <c r="H617" i="15"/>
  <c r="G617" i="15"/>
  <c r="F617" i="15"/>
  <c r="E617" i="15"/>
  <c r="D617" i="15"/>
  <c r="K617" i="15"/>
  <c r="J617" i="15"/>
  <c r="I617" i="15"/>
  <c r="E616" i="15"/>
  <c r="D616" i="15"/>
  <c r="I616" i="15"/>
  <c r="K616" i="15"/>
  <c r="J616" i="15"/>
  <c r="H616" i="15"/>
  <c r="F616" i="15"/>
  <c r="G616" i="15"/>
  <c r="N545" i="15"/>
  <c r="F545" i="15"/>
  <c r="P545" i="15"/>
  <c r="M545" i="15"/>
  <c r="E545" i="15"/>
  <c r="L545" i="15"/>
  <c r="D545" i="15"/>
  <c r="K545" i="15"/>
  <c r="I545" i="15"/>
  <c r="O545" i="15"/>
  <c r="G545" i="15"/>
  <c r="H545" i="15"/>
  <c r="N537" i="15"/>
  <c r="F537" i="15"/>
  <c r="H537" i="15"/>
  <c r="M537" i="15"/>
  <c r="E537" i="15"/>
  <c r="L537" i="15"/>
  <c r="D537" i="15"/>
  <c r="K537" i="15"/>
  <c r="P537" i="15"/>
  <c r="I537" i="15"/>
  <c r="O537" i="15"/>
  <c r="G537" i="15"/>
  <c r="M544" i="15"/>
  <c r="E544" i="15"/>
  <c r="O544" i="15"/>
  <c r="G544" i="15"/>
  <c r="L544" i="15"/>
  <c r="D544" i="15"/>
  <c r="K544" i="15"/>
  <c r="I544" i="15"/>
  <c r="P544" i="15"/>
  <c r="H544" i="15"/>
  <c r="N544" i="15"/>
  <c r="F544" i="15"/>
  <c r="M536" i="15"/>
  <c r="E536" i="15"/>
  <c r="G536" i="15"/>
  <c r="L536" i="15"/>
  <c r="D536" i="15"/>
  <c r="K536" i="15"/>
  <c r="I536" i="15"/>
  <c r="O536" i="15"/>
  <c r="P536" i="15"/>
  <c r="H536" i="15"/>
  <c r="N536" i="15"/>
  <c r="F536" i="15"/>
  <c r="L543" i="15"/>
  <c r="D543" i="15"/>
  <c r="N543" i="15"/>
  <c r="F543" i="15"/>
  <c r="K543" i="15"/>
  <c r="I543" i="15"/>
  <c r="P543" i="15"/>
  <c r="H543" i="15"/>
  <c r="O543" i="15"/>
  <c r="G543" i="15"/>
  <c r="M543" i="15"/>
  <c r="E543" i="15"/>
  <c r="L535" i="15"/>
  <c r="D535" i="15"/>
  <c r="K535" i="15"/>
  <c r="N535" i="15"/>
  <c r="I535" i="15"/>
  <c r="P535" i="15"/>
  <c r="H535" i="15"/>
  <c r="F535" i="15"/>
  <c r="O535" i="15"/>
  <c r="G535" i="15"/>
  <c r="M535" i="15"/>
  <c r="E535" i="15"/>
  <c r="K542" i="15"/>
  <c r="M542" i="15"/>
  <c r="E542" i="15"/>
  <c r="I542" i="15"/>
  <c r="P542" i="15"/>
  <c r="H542" i="15"/>
  <c r="O542" i="15"/>
  <c r="G542" i="15"/>
  <c r="N542" i="15"/>
  <c r="F542" i="15"/>
  <c r="L542" i="15"/>
  <c r="D542" i="15"/>
  <c r="K534" i="15"/>
  <c r="M534" i="15"/>
  <c r="I534" i="15"/>
  <c r="P534" i="15"/>
  <c r="H534" i="15"/>
  <c r="O534" i="15"/>
  <c r="G534" i="15"/>
  <c r="E534" i="15"/>
  <c r="N534" i="15"/>
  <c r="F534" i="15"/>
  <c r="L534" i="15"/>
  <c r="D534" i="15"/>
  <c r="L541" i="15"/>
  <c r="I541" i="15"/>
  <c r="P541" i="15"/>
  <c r="H541" i="15"/>
  <c r="O541" i="15"/>
  <c r="G541" i="15"/>
  <c r="N541" i="15"/>
  <c r="F541" i="15"/>
  <c r="D541" i="15"/>
  <c r="M541" i="15"/>
  <c r="E541" i="15"/>
  <c r="K541" i="15"/>
  <c r="L533" i="15"/>
  <c r="I533" i="15"/>
  <c r="D533" i="15"/>
  <c r="P533" i="15"/>
  <c r="H533" i="15"/>
  <c r="O533" i="15"/>
  <c r="G533" i="15"/>
  <c r="N533" i="15"/>
  <c r="F533" i="15"/>
  <c r="M533" i="15"/>
  <c r="E533" i="15"/>
  <c r="K533" i="15"/>
  <c r="I548" i="15"/>
  <c r="P548" i="15"/>
  <c r="H548" i="15"/>
  <c r="O548" i="15"/>
  <c r="G548" i="15"/>
  <c r="N548" i="15"/>
  <c r="F548" i="15"/>
  <c r="M548" i="15"/>
  <c r="E548" i="15"/>
  <c r="K548" i="15"/>
  <c r="L548" i="15"/>
  <c r="D548" i="15"/>
  <c r="I540" i="15"/>
  <c r="K540" i="15"/>
  <c r="P540" i="15"/>
  <c r="H540" i="15"/>
  <c r="O540" i="15"/>
  <c r="G540" i="15"/>
  <c r="N540" i="15"/>
  <c r="F540" i="15"/>
  <c r="M540" i="15"/>
  <c r="E540" i="15"/>
  <c r="L540" i="15"/>
  <c r="D540" i="15"/>
  <c r="I532" i="15"/>
  <c r="P532" i="15"/>
  <c r="H532" i="15"/>
  <c r="O532" i="15"/>
  <c r="G532" i="15"/>
  <c r="N532" i="15"/>
  <c r="F532" i="15"/>
  <c r="M532" i="15"/>
  <c r="E532" i="15"/>
  <c r="K532" i="15"/>
  <c r="L532" i="15"/>
  <c r="D532" i="15"/>
  <c r="P547" i="15"/>
  <c r="H547" i="15"/>
  <c r="O547" i="15"/>
  <c r="G547" i="15"/>
  <c r="N547" i="15"/>
  <c r="F547" i="15"/>
  <c r="M547" i="15"/>
  <c r="E547" i="15"/>
  <c r="L547" i="15"/>
  <c r="D547" i="15"/>
  <c r="K547" i="15"/>
  <c r="I547" i="15"/>
  <c r="P539" i="15"/>
  <c r="H539" i="15"/>
  <c r="O539" i="15"/>
  <c r="G539" i="15"/>
  <c r="N539" i="15"/>
  <c r="F539" i="15"/>
  <c r="M539" i="15"/>
  <c r="E539" i="15"/>
  <c r="L539" i="15"/>
  <c r="D539" i="15"/>
  <c r="K539" i="15"/>
  <c r="I539" i="15"/>
  <c r="P531" i="15"/>
  <c r="H531" i="15"/>
  <c r="O531" i="15"/>
  <c r="G531" i="15"/>
  <c r="N531" i="15"/>
  <c r="F531" i="15"/>
  <c r="M531" i="15"/>
  <c r="E531" i="15"/>
  <c r="L531" i="15"/>
  <c r="D531" i="15"/>
  <c r="K531" i="15"/>
  <c r="I531" i="15"/>
  <c r="O546" i="15"/>
  <c r="G546" i="15"/>
  <c r="I546" i="15"/>
  <c r="N546" i="15"/>
  <c r="F546" i="15"/>
  <c r="M546" i="15"/>
  <c r="E546" i="15"/>
  <c r="L546" i="15"/>
  <c r="D546" i="15"/>
  <c r="K546" i="15"/>
  <c r="P546" i="15"/>
  <c r="H546" i="15"/>
  <c r="O538" i="15"/>
  <c r="G538" i="15"/>
  <c r="I538" i="15"/>
  <c r="N538" i="15"/>
  <c r="F538" i="15"/>
  <c r="M538" i="15"/>
  <c r="E538" i="15"/>
  <c r="L538" i="15"/>
  <c r="D538" i="15"/>
  <c r="K538" i="15"/>
  <c r="P538" i="15"/>
  <c r="H538" i="15"/>
  <c r="L530" i="15"/>
  <c r="D530" i="15"/>
  <c r="K530" i="15"/>
  <c r="I530" i="15"/>
  <c r="O530" i="15"/>
  <c r="N530" i="15"/>
  <c r="F530" i="15"/>
  <c r="P530" i="15"/>
  <c r="H530" i="15"/>
  <c r="G530" i="15"/>
  <c r="M530" i="15"/>
  <c r="E530" i="15"/>
  <c r="K529" i="15"/>
  <c r="I529" i="15"/>
  <c r="P529" i="15"/>
  <c r="H529" i="15"/>
  <c r="N529" i="15"/>
  <c r="F529" i="15"/>
  <c r="M529" i="15"/>
  <c r="O529" i="15"/>
  <c r="G529" i="15"/>
  <c r="E529" i="15"/>
  <c r="L529" i="15"/>
  <c r="D529" i="15"/>
  <c r="O490" i="15"/>
  <c r="N490" i="15"/>
  <c r="G490" i="15"/>
  <c r="F490" i="15"/>
  <c r="M490" i="15"/>
  <c r="E497" i="15"/>
  <c r="M497" i="15"/>
  <c r="M489" i="15"/>
  <c r="E489" i="15"/>
  <c r="D496" i="15"/>
  <c r="L496" i="15"/>
  <c r="D488" i="15"/>
  <c r="M488" i="15"/>
  <c r="L488" i="15"/>
  <c r="L487" i="15"/>
  <c r="K487" i="15"/>
  <c r="D487" i="15"/>
  <c r="O498" i="15"/>
  <c r="N498" i="15"/>
  <c r="M498" i="15"/>
  <c r="G498" i="15"/>
  <c r="F498" i="15"/>
  <c r="K494" i="15"/>
  <c r="K486" i="15"/>
  <c r="I493" i="15"/>
  <c r="I485" i="15"/>
  <c r="H500" i="15"/>
  <c r="P500" i="15"/>
  <c r="H492" i="15"/>
  <c r="P492" i="15"/>
  <c r="P484" i="15"/>
  <c r="I484" i="15"/>
  <c r="H484" i="15"/>
  <c r="G483" i="15"/>
  <c r="O483" i="15"/>
  <c r="P483" i="15"/>
  <c r="H483" i="15"/>
  <c r="G491" i="15"/>
  <c r="I495" i="15"/>
  <c r="P495" i="15"/>
  <c r="H495" i="15"/>
  <c r="O495" i="15"/>
  <c r="G495" i="15"/>
  <c r="N495" i="15"/>
  <c r="F495" i="15"/>
  <c r="M495" i="15"/>
  <c r="E495" i="15"/>
  <c r="D495" i="15"/>
  <c r="L495" i="15"/>
  <c r="L489" i="15"/>
  <c r="D489" i="15"/>
  <c r="K489" i="15"/>
  <c r="Q489" i="15"/>
  <c r="I489" i="15"/>
  <c r="P489" i="15"/>
  <c r="H489" i="15"/>
  <c r="O489" i="15"/>
  <c r="G489" i="15"/>
  <c r="N489" i="15"/>
  <c r="F489" i="15"/>
  <c r="P501" i="15"/>
  <c r="H501" i="15"/>
  <c r="O501" i="15"/>
  <c r="G501" i="15"/>
  <c r="N501" i="15"/>
  <c r="F501" i="15"/>
  <c r="M501" i="15"/>
  <c r="E501" i="15"/>
  <c r="L501" i="15"/>
  <c r="D501" i="15"/>
  <c r="K501" i="15"/>
  <c r="K488" i="15"/>
  <c r="I488" i="15"/>
  <c r="P488" i="15"/>
  <c r="H488" i="15"/>
  <c r="O488" i="15"/>
  <c r="G488" i="15"/>
  <c r="N488" i="15"/>
  <c r="F488" i="15"/>
  <c r="O499" i="15"/>
  <c r="O500" i="15"/>
  <c r="G500" i="15"/>
  <c r="N500" i="15"/>
  <c r="F500" i="15"/>
  <c r="M500" i="15"/>
  <c r="E500" i="15"/>
  <c r="L500" i="15"/>
  <c r="D500" i="15"/>
  <c r="K500" i="15"/>
  <c r="I500" i="15"/>
  <c r="I487" i="15"/>
  <c r="P487" i="15"/>
  <c r="H487" i="15"/>
  <c r="O487" i="15"/>
  <c r="G487" i="15"/>
  <c r="N487" i="15"/>
  <c r="F487" i="15"/>
  <c r="M487" i="15"/>
  <c r="E487" i="15"/>
  <c r="N499" i="15"/>
  <c r="F499" i="15"/>
  <c r="M499" i="15"/>
  <c r="E499" i="15"/>
  <c r="L499" i="15"/>
  <c r="D499" i="15"/>
  <c r="K499" i="15"/>
  <c r="I499" i="15"/>
  <c r="P499" i="15"/>
  <c r="H499" i="15"/>
  <c r="P493" i="15"/>
  <c r="H493" i="15"/>
  <c r="O493" i="15"/>
  <c r="G493" i="15"/>
  <c r="N493" i="15"/>
  <c r="F493" i="15"/>
  <c r="M493" i="15"/>
  <c r="E493" i="15"/>
  <c r="L493" i="15"/>
  <c r="D493" i="15"/>
  <c r="K493" i="15"/>
  <c r="O492" i="15"/>
  <c r="G492" i="15"/>
  <c r="N492" i="15"/>
  <c r="F492" i="15"/>
  <c r="M492" i="15"/>
  <c r="E492" i="15"/>
  <c r="L492" i="15"/>
  <c r="D492" i="15"/>
  <c r="K492" i="15"/>
  <c r="I492" i="15"/>
  <c r="N491" i="15"/>
  <c r="F491" i="15"/>
  <c r="M491" i="15"/>
  <c r="E491" i="15"/>
  <c r="L491" i="15"/>
  <c r="D491" i="15"/>
  <c r="K491" i="15"/>
  <c r="I491" i="15"/>
  <c r="P491" i="15"/>
  <c r="H491" i="15"/>
  <c r="P485" i="15"/>
  <c r="H485" i="15"/>
  <c r="O485" i="15"/>
  <c r="G485" i="15"/>
  <c r="N485" i="15"/>
  <c r="F485" i="15"/>
  <c r="M485" i="15"/>
  <c r="E485" i="15"/>
  <c r="L485" i="15"/>
  <c r="D485" i="15"/>
  <c r="K485" i="15"/>
  <c r="L497" i="15"/>
  <c r="D497" i="15"/>
  <c r="K497" i="15"/>
  <c r="I497" i="15"/>
  <c r="P497" i="15"/>
  <c r="H497" i="15"/>
  <c r="O497" i="15"/>
  <c r="G497" i="15"/>
  <c r="N497" i="15"/>
  <c r="F497" i="15"/>
  <c r="O484" i="15"/>
  <c r="G484" i="15"/>
  <c r="N484" i="15"/>
  <c r="F484" i="15"/>
  <c r="M484" i="15"/>
  <c r="E484" i="15"/>
  <c r="L484" i="15"/>
  <c r="D484" i="15"/>
  <c r="K484" i="15"/>
  <c r="E488" i="15"/>
  <c r="K496" i="15"/>
  <c r="I496" i="15"/>
  <c r="P496" i="15"/>
  <c r="H496" i="15"/>
  <c r="O496" i="15"/>
  <c r="G496" i="15"/>
  <c r="N496" i="15"/>
  <c r="F496" i="15"/>
  <c r="E496" i="15"/>
  <c r="M496" i="15"/>
  <c r="N483" i="15"/>
  <c r="F483" i="15"/>
  <c r="M483" i="15"/>
  <c r="E483" i="15"/>
  <c r="L483" i="15"/>
  <c r="D483" i="15"/>
  <c r="K483" i="15"/>
  <c r="I483" i="15"/>
  <c r="D486" i="15"/>
  <c r="L486" i="15"/>
  <c r="H490" i="15"/>
  <c r="P490" i="15"/>
  <c r="D494" i="15"/>
  <c r="L494" i="15"/>
  <c r="H498" i="15"/>
  <c r="P498" i="15"/>
  <c r="E486" i="15"/>
  <c r="M486" i="15"/>
  <c r="I490" i="15"/>
  <c r="E494" i="15"/>
  <c r="M494" i="15"/>
  <c r="I498" i="15"/>
  <c r="F486" i="15"/>
  <c r="N486" i="15"/>
  <c r="F494" i="15"/>
  <c r="N494" i="15"/>
  <c r="G486" i="15"/>
  <c r="O486" i="15"/>
  <c r="K490" i="15"/>
  <c r="G494" i="15"/>
  <c r="O494" i="15"/>
  <c r="K498" i="15"/>
  <c r="H486" i="15"/>
  <c r="P486" i="15"/>
  <c r="D490" i="15"/>
  <c r="L490" i="15"/>
  <c r="H494" i="15"/>
  <c r="P494" i="15"/>
  <c r="D498" i="15"/>
  <c r="L498" i="15"/>
  <c r="I486" i="15"/>
  <c r="E490" i="15"/>
  <c r="I494" i="15"/>
  <c r="E498" i="15"/>
  <c r="I482" i="15"/>
  <c r="P482" i="15"/>
  <c r="H482" i="15"/>
  <c r="O482" i="15"/>
  <c r="G482" i="15"/>
  <c r="N482" i="15"/>
  <c r="F482" i="15"/>
  <c r="M482" i="15"/>
  <c r="E482" i="15"/>
  <c r="L482" i="15"/>
  <c r="D482" i="15"/>
  <c r="K482" i="15"/>
  <c r="M457" i="15"/>
  <c r="I457" i="15"/>
  <c r="D449" i="15"/>
  <c r="M449" i="15"/>
  <c r="P449" i="15"/>
  <c r="G457" i="15"/>
  <c r="O457" i="15"/>
  <c r="P458" i="15"/>
  <c r="D458" i="15"/>
  <c r="O458" i="15"/>
  <c r="L458" i="15"/>
  <c r="K458" i="15"/>
  <c r="I458" i="15"/>
  <c r="H458" i="15"/>
  <c r="G458" i="15"/>
  <c r="L452" i="15"/>
  <c r="D452" i="15"/>
  <c r="L460" i="15"/>
  <c r="D460" i="15"/>
  <c r="K450" i="15"/>
  <c r="I450" i="15"/>
  <c r="H450" i="15"/>
  <c r="G450" i="15"/>
  <c r="P450" i="15"/>
  <c r="D450" i="15"/>
  <c r="O450" i="15"/>
  <c r="L450" i="15"/>
  <c r="L444" i="15"/>
  <c r="D444" i="15"/>
  <c r="I448" i="15"/>
  <c r="H448" i="15"/>
  <c r="P448" i="15"/>
  <c r="F448" i="15"/>
  <c r="N448" i="15"/>
  <c r="E448" i="15"/>
  <c r="M448" i="15"/>
  <c r="D448" i="15"/>
  <c r="L448" i="15"/>
  <c r="K448" i="15"/>
  <c r="M456" i="15"/>
  <c r="D456" i="15"/>
  <c r="L456" i="15"/>
  <c r="K456" i="15"/>
  <c r="I456" i="15"/>
  <c r="H456" i="15"/>
  <c r="P456" i="15"/>
  <c r="F456" i="15"/>
  <c r="N456" i="15"/>
  <c r="E456" i="15"/>
  <c r="P442" i="15"/>
  <c r="O442" i="15"/>
  <c r="K442" i="15"/>
  <c r="H442" i="15"/>
  <c r="G442" i="15"/>
  <c r="E449" i="15"/>
  <c r="D443" i="15"/>
  <c r="L443" i="15"/>
  <c r="K452" i="15"/>
  <c r="G456" i="15"/>
  <c r="O456" i="15"/>
  <c r="H449" i="15"/>
  <c r="K457" i="15"/>
  <c r="D442" i="15"/>
  <c r="L442" i="15"/>
  <c r="E443" i="15"/>
  <c r="M443" i="15"/>
  <c r="D451" i="15"/>
  <c r="K460" i="15"/>
  <c r="I449" i="15"/>
  <c r="L457" i="15"/>
  <c r="E442" i="15"/>
  <c r="M442" i="15"/>
  <c r="F443" i="15"/>
  <c r="N443" i="15"/>
  <c r="H455" i="15"/>
  <c r="P455" i="15"/>
  <c r="D459" i="15"/>
  <c r="L459" i="15"/>
  <c r="F442" i="15"/>
  <c r="N442" i="15"/>
  <c r="E450" i="15"/>
  <c r="M450" i="15"/>
  <c r="I455" i="15"/>
  <c r="E459" i="15"/>
  <c r="M459" i="15"/>
  <c r="K449" i="15"/>
  <c r="D457" i="15"/>
  <c r="P457" i="15"/>
  <c r="F450" i="15"/>
  <c r="N450" i="15"/>
  <c r="I454" i="15"/>
  <c r="E458" i="15"/>
  <c r="M458" i="15"/>
  <c r="L449" i="15"/>
  <c r="E457" i="15"/>
  <c r="F449" i="15"/>
  <c r="N449" i="15"/>
  <c r="F458" i="15"/>
  <c r="N458" i="15"/>
  <c r="H457" i="15"/>
  <c r="K445" i="15"/>
  <c r="G449" i="15"/>
  <c r="O449" i="15"/>
  <c r="F457" i="15"/>
  <c r="N457" i="15"/>
  <c r="K444" i="15"/>
  <c r="G448" i="15"/>
  <c r="O448" i="15"/>
  <c r="G441" i="15"/>
  <c r="O441" i="15"/>
  <c r="F441" i="15"/>
  <c r="N441" i="15"/>
  <c r="L445" i="15"/>
  <c r="D445" i="15"/>
  <c r="M445" i="15"/>
  <c r="F445" i="15"/>
  <c r="I445" i="15"/>
  <c r="N445" i="15"/>
  <c r="E445" i="15"/>
  <c r="P445" i="15"/>
  <c r="H445" i="15"/>
  <c r="O445" i="15"/>
  <c r="G445" i="15"/>
  <c r="M446" i="15"/>
  <c r="E446" i="15"/>
  <c r="N446" i="15"/>
  <c r="L446" i="15"/>
  <c r="D446" i="15"/>
  <c r="G446" i="15"/>
  <c r="K446" i="15"/>
  <c r="O446" i="15"/>
  <c r="F446" i="15"/>
  <c r="P446" i="15"/>
  <c r="H446" i="15"/>
  <c r="I451" i="15"/>
  <c r="P451" i="15"/>
  <c r="H451" i="15"/>
  <c r="O451" i="15"/>
  <c r="G451" i="15"/>
  <c r="K451" i="15"/>
  <c r="N451" i="15"/>
  <c r="F451" i="15"/>
  <c r="L451" i="15"/>
  <c r="L453" i="15"/>
  <c r="D453" i="15"/>
  <c r="M453" i="15"/>
  <c r="N453" i="15"/>
  <c r="I453" i="15"/>
  <c r="F453" i="15"/>
  <c r="E453" i="15"/>
  <c r="P453" i="15"/>
  <c r="H453" i="15"/>
  <c r="O453" i="15"/>
  <c r="G453" i="15"/>
  <c r="K453" i="15"/>
  <c r="M454" i="15"/>
  <c r="E454" i="15"/>
  <c r="N454" i="15"/>
  <c r="L454" i="15"/>
  <c r="D454" i="15"/>
  <c r="G454" i="15"/>
  <c r="K454" i="15"/>
  <c r="O454" i="15"/>
  <c r="F454" i="15"/>
  <c r="P454" i="15"/>
  <c r="H454" i="15"/>
  <c r="N455" i="15"/>
  <c r="F455" i="15"/>
  <c r="O455" i="15"/>
  <c r="M455" i="15"/>
  <c r="E455" i="15"/>
  <c r="L455" i="15"/>
  <c r="D455" i="15"/>
  <c r="K455" i="15"/>
  <c r="G455" i="15"/>
  <c r="H447" i="15"/>
  <c r="P447" i="15"/>
  <c r="E451" i="15"/>
  <c r="M451" i="15"/>
  <c r="P441" i="15"/>
  <c r="H441" i="15"/>
  <c r="I441" i="15"/>
  <c r="M441" i="15"/>
  <c r="E441" i="15"/>
  <c r="K441" i="15"/>
  <c r="I446" i="15"/>
  <c r="I447" i="15"/>
  <c r="N447" i="15"/>
  <c r="F447" i="15"/>
  <c r="O447" i="15"/>
  <c r="M447" i="15"/>
  <c r="E447" i="15"/>
  <c r="L447" i="15"/>
  <c r="D447" i="15"/>
  <c r="K447" i="15"/>
  <c r="G447" i="15"/>
  <c r="D441" i="15"/>
  <c r="L441" i="15"/>
  <c r="I443" i="15"/>
  <c r="P443" i="15"/>
  <c r="H443" i="15"/>
  <c r="O443" i="15"/>
  <c r="G443" i="15"/>
  <c r="K443" i="15"/>
  <c r="I459" i="15"/>
  <c r="P459" i="15"/>
  <c r="H459" i="15"/>
  <c r="O459" i="15"/>
  <c r="G459" i="15"/>
  <c r="K459" i="15"/>
  <c r="N459" i="15"/>
  <c r="F459" i="15"/>
  <c r="F444" i="15"/>
  <c r="N444" i="15"/>
  <c r="F452" i="15"/>
  <c r="N452" i="15"/>
  <c r="F460" i="15"/>
  <c r="N460" i="15"/>
  <c r="G444" i="15"/>
  <c r="O444" i="15"/>
  <c r="G452" i="15"/>
  <c r="O452" i="15"/>
  <c r="G460" i="15"/>
  <c r="O460" i="15"/>
  <c r="E460" i="15"/>
  <c r="M460" i="15"/>
  <c r="H444" i="15"/>
  <c r="P444" i="15"/>
  <c r="H452" i="15"/>
  <c r="P452" i="15"/>
  <c r="H460" i="15"/>
  <c r="P460" i="15"/>
  <c r="M444" i="15"/>
  <c r="E452" i="15"/>
  <c r="I444" i="15"/>
  <c r="I452" i="15"/>
  <c r="I460" i="15"/>
  <c r="M452" i="15"/>
  <c r="E444" i="15"/>
  <c r="I442" i="15"/>
  <c r="N418" i="15"/>
  <c r="F418" i="15"/>
  <c r="P418" i="15"/>
  <c r="H418" i="15"/>
  <c r="M418" i="15"/>
  <c r="E418" i="15"/>
  <c r="L418" i="15"/>
  <c r="D418" i="15"/>
  <c r="K418" i="15"/>
  <c r="I418" i="15"/>
  <c r="O418" i="15"/>
  <c r="G418" i="15"/>
  <c r="N410" i="15"/>
  <c r="F410" i="15"/>
  <c r="P410" i="15"/>
  <c r="H410" i="15"/>
  <c r="M410" i="15"/>
  <c r="E410" i="15"/>
  <c r="D410" i="15"/>
  <c r="L410" i="15"/>
  <c r="K410" i="15"/>
  <c r="I410" i="15"/>
  <c r="O410" i="15"/>
  <c r="G410" i="15"/>
  <c r="L408" i="15"/>
  <c r="D408" i="15"/>
  <c r="N408" i="15"/>
  <c r="F408" i="15"/>
  <c r="K408" i="15"/>
  <c r="I408" i="15"/>
  <c r="P408" i="15"/>
  <c r="H408" i="15"/>
  <c r="O408" i="15"/>
  <c r="G408" i="15"/>
  <c r="M408" i="15"/>
  <c r="E408" i="15"/>
  <c r="K415" i="15"/>
  <c r="M415" i="15"/>
  <c r="E415" i="15"/>
  <c r="I415" i="15"/>
  <c r="P415" i="15"/>
  <c r="H415" i="15"/>
  <c r="O415" i="15"/>
  <c r="G415" i="15"/>
  <c r="N415" i="15"/>
  <c r="F415" i="15"/>
  <c r="L415" i="15"/>
  <c r="D415" i="15"/>
  <c r="K407" i="15"/>
  <c r="M407" i="15"/>
  <c r="E407" i="15"/>
  <c r="I407" i="15"/>
  <c r="P407" i="15"/>
  <c r="H407" i="15"/>
  <c r="O407" i="15"/>
  <c r="G407" i="15"/>
  <c r="N407" i="15"/>
  <c r="F407" i="15"/>
  <c r="L407" i="15"/>
  <c r="D407" i="15"/>
  <c r="M417" i="15"/>
  <c r="E417" i="15"/>
  <c r="O417" i="15"/>
  <c r="G417" i="15"/>
  <c r="L417" i="15"/>
  <c r="D417" i="15"/>
  <c r="K417" i="15"/>
  <c r="I417" i="15"/>
  <c r="P417" i="15"/>
  <c r="H417" i="15"/>
  <c r="N417" i="15"/>
  <c r="F417" i="15"/>
  <c r="L414" i="15"/>
  <c r="D414" i="15"/>
  <c r="I414" i="15"/>
  <c r="P414" i="15"/>
  <c r="H414" i="15"/>
  <c r="O414" i="15"/>
  <c r="G414" i="15"/>
  <c r="N414" i="15"/>
  <c r="F414" i="15"/>
  <c r="M414" i="15"/>
  <c r="E414" i="15"/>
  <c r="K414" i="15"/>
  <c r="D406" i="15"/>
  <c r="I406" i="15"/>
  <c r="P406" i="15"/>
  <c r="L406" i="15"/>
  <c r="H406" i="15"/>
  <c r="O406" i="15"/>
  <c r="G406" i="15"/>
  <c r="N406" i="15"/>
  <c r="F406" i="15"/>
  <c r="M406" i="15"/>
  <c r="E406" i="15"/>
  <c r="K406" i="15"/>
  <c r="L416" i="15"/>
  <c r="D416" i="15"/>
  <c r="N416" i="15"/>
  <c r="F416" i="15"/>
  <c r="K416" i="15"/>
  <c r="I416" i="15"/>
  <c r="P416" i="15"/>
  <c r="H416" i="15"/>
  <c r="O416" i="15"/>
  <c r="G416" i="15"/>
  <c r="M416" i="15"/>
  <c r="E416" i="15"/>
  <c r="I421" i="15"/>
  <c r="K421" i="15"/>
  <c r="P421" i="15"/>
  <c r="H421" i="15"/>
  <c r="O421" i="15"/>
  <c r="G421" i="15"/>
  <c r="N421" i="15"/>
  <c r="F421" i="15"/>
  <c r="M421" i="15"/>
  <c r="E421" i="15"/>
  <c r="L421" i="15"/>
  <c r="D421" i="15"/>
  <c r="I413" i="15"/>
  <c r="K413" i="15"/>
  <c r="P413" i="15"/>
  <c r="H413" i="15"/>
  <c r="O413" i="15"/>
  <c r="G413" i="15"/>
  <c r="N413" i="15"/>
  <c r="F413" i="15"/>
  <c r="M413" i="15"/>
  <c r="E413" i="15"/>
  <c r="L413" i="15"/>
  <c r="D413" i="15"/>
  <c r="I405" i="15"/>
  <c r="K405" i="15"/>
  <c r="P405" i="15"/>
  <c r="H405" i="15"/>
  <c r="O405" i="15"/>
  <c r="G405" i="15"/>
  <c r="N405" i="15"/>
  <c r="F405" i="15"/>
  <c r="M405" i="15"/>
  <c r="E405" i="15"/>
  <c r="L405" i="15"/>
  <c r="D405" i="15"/>
  <c r="M409" i="15"/>
  <c r="E409" i="15"/>
  <c r="O409" i="15"/>
  <c r="G409" i="15"/>
  <c r="L409" i="15"/>
  <c r="D409" i="15"/>
  <c r="K409" i="15"/>
  <c r="I409" i="15"/>
  <c r="P409" i="15"/>
  <c r="H409" i="15"/>
  <c r="N409" i="15"/>
  <c r="F409" i="15"/>
  <c r="P420" i="15"/>
  <c r="H420" i="15"/>
  <c r="O420" i="15"/>
  <c r="G420" i="15"/>
  <c r="N420" i="15"/>
  <c r="F420" i="15"/>
  <c r="M420" i="15"/>
  <c r="E420" i="15"/>
  <c r="L420" i="15"/>
  <c r="D420" i="15"/>
  <c r="K420" i="15"/>
  <c r="I420" i="15"/>
  <c r="P412" i="15"/>
  <c r="H412" i="15"/>
  <c r="O412" i="15"/>
  <c r="G412" i="15"/>
  <c r="N412" i="15"/>
  <c r="F412" i="15"/>
  <c r="M412" i="15"/>
  <c r="E412" i="15"/>
  <c r="L412" i="15"/>
  <c r="D412" i="15"/>
  <c r="K412" i="15"/>
  <c r="I412" i="15"/>
  <c r="P404" i="15"/>
  <c r="H404" i="15"/>
  <c r="O404" i="15"/>
  <c r="G404" i="15"/>
  <c r="N404" i="15"/>
  <c r="F404" i="15"/>
  <c r="M404" i="15"/>
  <c r="E404" i="15"/>
  <c r="L404" i="15"/>
  <c r="D404" i="15"/>
  <c r="K404" i="15"/>
  <c r="I404" i="15"/>
  <c r="O419" i="15"/>
  <c r="G419" i="15"/>
  <c r="I419" i="15"/>
  <c r="N419" i="15"/>
  <c r="F419" i="15"/>
  <c r="M419" i="15"/>
  <c r="E419" i="15"/>
  <c r="L419" i="15"/>
  <c r="D419" i="15"/>
  <c r="K419" i="15"/>
  <c r="P419" i="15"/>
  <c r="H419" i="15"/>
  <c r="O411" i="15"/>
  <c r="G411" i="15"/>
  <c r="I411" i="15"/>
  <c r="N411" i="15"/>
  <c r="F411" i="15"/>
  <c r="E411" i="15"/>
  <c r="M411" i="15"/>
  <c r="L411" i="15"/>
  <c r="D411" i="15"/>
  <c r="K411" i="15"/>
  <c r="P411" i="15"/>
  <c r="H411" i="15"/>
  <c r="O403" i="15"/>
  <c r="G403" i="15"/>
  <c r="N403" i="15"/>
  <c r="F403" i="15"/>
  <c r="M403" i="15"/>
  <c r="I403" i="15"/>
  <c r="E403" i="15"/>
  <c r="L403" i="15"/>
  <c r="D403" i="15"/>
  <c r="K403" i="15"/>
  <c r="P403" i="15"/>
  <c r="H403" i="15"/>
  <c r="P402" i="15"/>
  <c r="H402" i="15"/>
  <c r="O402" i="15"/>
  <c r="G402" i="15"/>
  <c r="N402" i="15"/>
  <c r="F402" i="15"/>
  <c r="M402" i="15"/>
  <c r="E402" i="15"/>
  <c r="L402" i="15"/>
  <c r="D402" i="15"/>
  <c r="I402" i="15"/>
  <c r="K402" i="15"/>
  <c r="O381" i="15"/>
  <c r="G381" i="15"/>
  <c r="G373" i="15"/>
  <c r="O373" i="15"/>
  <c r="O380" i="15"/>
  <c r="D380" i="15"/>
  <c r="I380" i="15"/>
  <c r="G380" i="15"/>
  <c r="K380" i="15"/>
  <c r="N380" i="15"/>
  <c r="L380" i="15"/>
  <c r="K372" i="15"/>
  <c r="N372" i="15"/>
  <c r="L372" i="15"/>
  <c r="O372" i="15"/>
  <c r="D372" i="15"/>
  <c r="G372" i="15"/>
  <c r="I372" i="15"/>
  <c r="I379" i="15"/>
  <c r="I371" i="15"/>
  <c r="K377" i="15"/>
  <c r="N377" i="15"/>
  <c r="N384" i="15"/>
  <c r="O384" i="15"/>
  <c r="P384" i="15"/>
  <c r="M384" i="15"/>
  <c r="K384" i="15"/>
  <c r="G384" i="15"/>
  <c r="E384" i="15"/>
  <c r="H384" i="15"/>
  <c r="F384" i="15"/>
  <c r="M376" i="15"/>
  <c r="K376" i="15"/>
  <c r="G376" i="15"/>
  <c r="P376" i="15"/>
  <c r="F376" i="15"/>
  <c r="E376" i="15"/>
  <c r="N376" i="15"/>
  <c r="H376" i="15"/>
  <c r="O376" i="15"/>
  <c r="K368" i="15"/>
  <c r="G368" i="15"/>
  <c r="P368" i="15"/>
  <c r="E368" i="15"/>
  <c r="N368" i="15"/>
  <c r="H368" i="15"/>
  <c r="O368" i="15"/>
  <c r="F368" i="15"/>
  <c r="M368" i="15"/>
  <c r="E383" i="15"/>
  <c r="M383" i="15"/>
  <c r="M375" i="15"/>
  <c r="E375" i="15"/>
  <c r="M367" i="15"/>
  <c r="E367" i="15"/>
  <c r="K378" i="15"/>
  <c r="P378" i="15"/>
  <c r="H378" i="15"/>
  <c r="M378" i="15"/>
  <c r="E378" i="15"/>
  <c r="D378" i="15"/>
  <c r="O378" i="15"/>
  <c r="G378" i="15"/>
  <c r="L378" i="15"/>
  <c r="I378" i="15"/>
  <c r="L381" i="15"/>
  <c r="D381" i="15"/>
  <c r="I381" i="15"/>
  <c r="N381" i="15"/>
  <c r="F381" i="15"/>
  <c r="K381" i="15"/>
  <c r="E381" i="15"/>
  <c r="P381" i="15"/>
  <c r="H381" i="15"/>
  <c r="M381" i="15"/>
  <c r="N371" i="15"/>
  <c r="F371" i="15"/>
  <c r="K371" i="15"/>
  <c r="P371" i="15"/>
  <c r="H371" i="15"/>
  <c r="M371" i="15"/>
  <c r="E371" i="15"/>
  <c r="O371" i="15"/>
  <c r="G371" i="15"/>
  <c r="L371" i="15"/>
  <c r="D371" i="15"/>
  <c r="K370" i="15"/>
  <c r="P370" i="15"/>
  <c r="H370" i="15"/>
  <c r="M370" i="15"/>
  <c r="E370" i="15"/>
  <c r="O370" i="15"/>
  <c r="G370" i="15"/>
  <c r="L370" i="15"/>
  <c r="D370" i="15"/>
  <c r="I370" i="15"/>
  <c r="O375" i="15"/>
  <c r="G375" i="15"/>
  <c r="L375" i="15"/>
  <c r="D375" i="15"/>
  <c r="I375" i="15"/>
  <c r="N375" i="15"/>
  <c r="F375" i="15"/>
  <c r="K375" i="15"/>
  <c r="P375" i="15"/>
  <c r="H375" i="15"/>
  <c r="P369" i="15"/>
  <c r="H369" i="15"/>
  <c r="M369" i="15"/>
  <c r="E369" i="15"/>
  <c r="O369" i="15"/>
  <c r="G369" i="15"/>
  <c r="L369" i="15"/>
  <c r="D369" i="15"/>
  <c r="I369" i="15"/>
  <c r="N369" i="15"/>
  <c r="F369" i="15"/>
  <c r="O374" i="15"/>
  <c r="G374" i="15"/>
  <c r="L374" i="15"/>
  <c r="D374" i="15"/>
  <c r="I374" i="15"/>
  <c r="N374" i="15"/>
  <c r="F374" i="15"/>
  <c r="K374" i="15"/>
  <c r="P374" i="15"/>
  <c r="H374" i="15"/>
  <c r="M374" i="15"/>
  <c r="E374" i="15"/>
  <c r="N378" i="15"/>
  <c r="N379" i="15"/>
  <c r="F379" i="15"/>
  <c r="K379" i="15"/>
  <c r="P379" i="15"/>
  <c r="H379" i="15"/>
  <c r="M379" i="15"/>
  <c r="E379" i="15"/>
  <c r="G379" i="15"/>
  <c r="O379" i="15"/>
  <c r="L379" i="15"/>
  <c r="D379" i="15"/>
  <c r="L373" i="15"/>
  <c r="D373" i="15"/>
  <c r="I373" i="15"/>
  <c r="N373" i="15"/>
  <c r="F373" i="15"/>
  <c r="K373" i="15"/>
  <c r="P373" i="15"/>
  <c r="H373" i="15"/>
  <c r="M373" i="15"/>
  <c r="E373" i="15"/>
  <c r="F378" i="15"/>
  <c r="O383" i="15"/>
  <c r="G383" i="15"/>
  <c r="L383" i="15"/>
  <c r="D383" i="15"/>
  <c r="I383" i="15"/>
  <c r="N383" i="15"/>
  <c r="F383" i="15"/>
  <c r="K383" i="15"/>
  <c r="P383" i="15"/>
  <c r="H383" i="15"/>
  <c r="P377" i="15"/>
  <c r="H377" i="15"/>
  <c r="M377" i="15"/>
  <c r="E377" i="15"/>
  <c r="O377" i="15"/>
  <c r="G377" i="15"/>
  <c r="I377" i="15"/>
  <c r="L377" i="15"/>
  <c r="D377" i="15"/>
  <c r="F377" i="15"/>
  <c r="O367" i="15"/>
  <c r="G367" i="15"/>
  <c r="L367" i="15"/>
  <c r="D367" i="15"/>
  <c r="I367" i="15"/>
  <c r="N367" i="15"/>
  <c r="F367" i="15"/>
  <c r="K367" i="15"/>
  <c r="P367" i="15"/>
  <c r="H367" i="15"/>
  <c r="N370" i="15"/>
  <c r="O382" i="15"/>
  <c r="G382" i="15"/>
  <c r="L382" i="15"/>
  <c r="D382" i="15"/>
  <c r="I382" i="15"/>
  <c r="N382" i="15"/>
  <c r="F382" i="15"/>
  <c r="K382" i="15"/>
  <c r="P382" i="15"/>
  <c r="H382" i="15"/>
  <c r="M382" i="15"/>
  <c r="E382" i="15"/>
  <c r="O366" i="15"/>
  <c r="G366" i="15"/>
  <c r="L366" i="15"/>
  <c r="D366" i="15"/>
  <c r="I366" i="15"/>
  <c r="N366" i="15"/>
  <c r="F366" i="15"/>
  <c r="K366" i="15"/>
  <c r="P366" i="15"/>
  <c r="H366" i="15"/>
  <c r="M366" i="15"/>
  <c r="E366" i="15"/>
  <c r="E380" i="15"/>
  <c r="E372" i="15"/>
  <c r="I384" i="15"/>
  <c r="I376" i="15"/>
  <c r="I368" i="15"/>
  <c r="M380" i="15"/>
  <c r="M372" i="15"/>
  <c r="D384" i="15"/>
  <c r="D376" i="15"/>
  <c r="D368" i="15"/>
  <c r="H380" i="15"/>
  <c r="H372" i="15"/>
  <c r="L384" i="15"/>
  <c r="L376" i="15"/>
  <c r="L368" i="15"/>
  <c r="P380" i="15"/>
  <c r="P372" i="15"/>
  <c r="F380" i="15"/>
  <c r="F372" i="15"/>
  <c r="I365" i="15"/>
  <c r="K365" i="15"/>
  <c r="L365" i="15"/>
  <c r="E365" i="15"/>
  <c r="M365" i="15"/>
  <c r="F365" i="15"/>
  <c r="N365" i="15"/>
  <c r="D365" i="15"/>
  <c r="G365" i="15"/>
  <c r="O365" i="15"/>
  <c r="H365" i="15"/>
  <c r="P365" i="15"/>
  <c r="O135" i="15"/>
  <c r="G135" i="15"/>
  <c r="N135" i="15"/>
  <c r="F135" i="15"/>
  <c r="K139" i="15"/>
  <c r="E139" i="15"/>
  <c r="K131" i="15"/>
  <c r="M131" i="15"/>
  <c r="H51" i="15"/>
  <c r="I52" i="15"/>
  <c r="L55" i="15"/>
  <c r="M56" i="15"/>
  <c r="P59" i="15"/>
  <c r="D63" i="15"/>
  <c r="E64" i="15"/>
  <c r="P67" i="15"/>
  <c r="O143" i="15"/>
  <c r="K56" i="15"/>
  <c r="P51" i="15"/>
  <c r="D55" i="15"/>
  <c r="E56" i="15"/>
  <c r="H59" i="15"/>
  <c r="I60" i="15"/>
  <c r="L63" i="15"/>
  <c r="M64" i="15"/>
  <c r="H67" i="15"/>
  <c r="G128" i="15"/>
  <c r="G56" i="15"/>
  <c r="O56" i="15"/>
  <c r="G64" i="15"/>
  <c r="O64" i="15"/>
  <c r="L51" i="15"/>
  <c r="M52" i="15"/>
  <c r="N53" i="15"/>
  <c r="P55" i="15"/>
  <c r="L59" i="15"/>
  <c r="M60" i="15"/>
  <c r="H63" i="15"/>
  <c r="P63" i="15"/>
  <c r="I64" i="15"/>
  <c r="D67" i="15"/>
  <c r="L67" i="15"/>
  <c r="D51" i="15"/>
  <c r="E52" i="15"/>
  <c r="F53" i="15"/>
  <c r="H55" i="15"/>
  <c r="I56" i="15"/>
  <c r="D59" i="15"/>
  <c r="E60" i="15"/>
  <c r="F61" i="15"/>
  <c r="N61" i="15"/>
  <c r="H344" i="15"/>
  <c r="K64" i="15"/>
  <c r="F67" i="15"/>
  <c r="N67" i="15"/>
  <c r="K333" i="15"/>
  <c r="E341" i="15"/>
  <c r="K341" i="15"/>
  <c r="J337" i="15"/>
  <c r="I337" i="15"/>
  <c r="H337" i="15"/>
  <c r="E333" i="15"/>
  <c r="H336" i="15"/>
  <c r="F336" i="15"/>
  <c r="I336" i="15"/>
  <c r="G334" i="15"/>
  <c r="F334" i="15"/>
  <c r="D334" i="15"/>
  <c r="J340" i="15"/>
  <c r="J346" i="15"/>
  <c r="D339" i="15"/>
  <c r="I339" i="15"/>
  <c r="J345" i="15"/>
  <c r="I345" i="15"/>
  <c r="G345" i="15"/>
  <c r="H345" i="15"/>
  <c r="K338" i="15"/>
  <c r="J338" i="15"/>
  <c r="H338" i="15"/>
  <c r="J332" i="15"/>
  <c r="E332" i="15"/>
  <c r="D332" i="15"/>
  <c r="K331" i="15"/>
  <c r="D331" i="15"/>
  <c r="G343" i="15"/>
  <c r="K330" i="15"/>
  <c r="J330" i="15"/>
  <c r="H330" i="15"/>
  <c r="F333" i="15"/>
  <c r="G337" i="15"/>
  <c r="F341" i="15"/>
  <c r="E342" i="15"/>
  <c r="D342" i="15"/>
  <c r="K342" i="15"/>
  <c r="H342" i="15"/>
  <c r="J342" i="15"/>
  <c r="I342" i="15"/>
  <c r="G342" i="15"/>
  <c r="G336" i="15"/>
  <c r="E336" i="15"/>
  <c r="J336" i="15"/>
  <c r="D336" i="15"/>
  <c r="K336" i="15"/>
  <c r="F335" i="15"/>
  <c r="D335" i="15"/>
  <c r="I335" i="15"/>
  <c r="K335" i="15"/>
  <c r="J335" i="15"/>
  <c r="J347" i="15"/>
  <c r="I347" i="15"/>
  <c r="H347" i="15"/>
  <c r="E347" i="15"/>
  <c r="D347" i="15"/>
  <c r="G347" i="15"/>
  <c r="F347" i="15"/>
  <c r="E334" i="15"/>
  <c r="K334" i="15"/>
  <c r="H334" i="15"/>
  <c r="J334" i="15"/>
  <c r="I334" i="15"/>
  <c r="I346" i="15"/>
  <c r="H346" i="15"/>
  <c r="G346" i="15"/>
  <c r="D346" i="15"/>
  <c r="K346" i="15"/>
  <c r="F346" i="15"/>
  <c r="E346" i="15"/>
  <c r="K340" i="15"/>
  <c r="I340" i="15"/>
  <c r="F340" i="15"/>
  <c r="H340" i="15"/>
  <c r="G340" i="15"/>
  <c r="E340" i="15"/>
  <c r="K348" i="15"/>
  <c r="J348" i="15"/>
  <c r="I348" i="15"/>
  <c r="F348" i="15"/>
  <c r="E348" i="15"/>
  <c r="H348" i="15"/>
  <c r="G348" i="15"/>
  <c r="E335" i="15"/>
  <c r="J339" i="15"/>
  <c r="H339" i="15"/>
  <c r="E339" i="15"/>
  <c r="G339" i="15"/>
  <c r="F339" i="15"/>
  <c r="G335" i="15"/>
  <c r="K339" i="15"/>
  <c r="K347" i="15"/>
  <c r="I338" i="15"/>
  <c r="G338" i="15"/>
  <c r="D338" i="15"/>
  <c r="F338" i="15"/>
  <c r="E338" i="15"/>
  <c r="K332" i="15"/>
  <c r="I332" i="15"/>
  <c r="F332" i="15"/>
  <c r="H332" i="15"/>
  <c r="G332" i="15"/>
  <c r="H335" i="15"/>
  <c r="D348" i="15"/>
  <c r="G344" i="15"/>
  <c r="F344" i="15"/>
  <c r="E344" i="15"/>
  <c r="J344" i="15"/>
  <c r="I344" i="15"/>
  <c r="D344" i="15"/>
  <c r="K344" i="15"/>
  <c r="J331" i="15"/>
  <c r="H331" i="15"/>
  <c r="E331" i="15"/>
  <c r="G331" i="15"/>
  <c r="F331" i="15"/>
  <c r="I331" i="15"/>
  <c r="D340" i="15"/>
  <c r="F342" i="15"/>
  <c r="F343" i="15"/>
  <c r="E343" i="15"/>
  <c r="D343" i="15"/>
  <c r="I343" i="15"/>
  <c r="K343" i="15"/>
  <c r="J343" i="15"/>
  <c r="H343" i="15"/>
  <c r="I330" i="15"/>
  <c r="G330" i="15"/>
  <c r="D330" i="15"/>
  <c r="F330" i="15"/>
  <c r="E330" i="15"/>
  <c r="H333" i="15"/>
  <c r="D337" i="15"/>
  <c r="H341" i="15"/>
  <c r="D345" i="15"/>
  <c r="I333" i="15"/>
  <c r="E337" i="15"/>
  <c r="I341" i="15"/>
  <c r="E345" i="15"/>
  <c r="G333" i="15"/>
  <c r="K337" i="15"/>
  <c r="G341" i="15"/>
  <c r="K345" i="15"/>
  <c r="J333" i="15"/>
  <c r="F337" i="15"/>
  <c r="J341" i="15"/>
  <c r="F345" i="15"/>
  <c r="D333" i="15"/>
  <c r="D341" i="15"/>
  <c r="K329" i="15"/>
  <c r="J329" i="15"/>
  <c r="I329" i="15"/>
  <c r="H329" i="15"/>
  <c r="F329" i="15"/>
  <c r="G329" i="15"/>
  <c r="E329" i="15"/>
  <c r="P211" i="15"/>
  <c r="O211" i="15"/>
  <c r="M211" i="15"/>
  <c r="H211" i="15"/>
  <c r="G211" i="15"/>
  <c r="L211" i="15"/>
  <c r="E211" i="15"/>
  <c r="P223" i="15"/>
  <c r="L223" i="15"/>
  <c r="D223" i="15"/>
  <c r="K223" i="15"/>
  <c r="I223" i="15"/>
  <c r="D215" i="15"/>
  <c r="P215" i="15"/>
  <c r="I215" i="15"/>
  <c r="L215" i="15"/>
  <c r="K215" i="15"/>
  <c r="L207" i="15"/>
  <c r="K207" i="15"/>
  <c r="I207" i="15"/>
  <c r="D207" i="15"/>
  <c r="P207" i="15"/>
  <c r="L219" i="15"/>
  <c r="O219" i="15"/>
  <c r="M219" i="15"/>
  <c r="G219" i="15"/>
  <c r="E219" i="15"/>
  <c r="P206" i="15"/>
  <c r="O206" i="15"/>
  <c r="G206" i="15"/>
  <c r="F206" i="15"/>
  <c r="N206" i="15"/>
  <c r="M206" i="15"/>
  <c r="E206" i="15"/>
  <c r="L206" i="15"/>
  <c r="D206" i="15"/>
  <c r="K206" i="15"/>
  <c r="I206" i="15"/>
  <c r="H206" i="15"/>
  <c r="E217" i="15"/>
  <c r="F217" i="15"/>
  <c r="I217" i="15"/>
  <c r="N217" i="15"/>
  <c r="P217" i="15"/>
  <c r="H217" i="15"/>
  <c r="O217" i="15"/>
  <c r="G217" i="15"/>
  <c r="L217" i="15"/>
  <c r="D217" i="15"/>
  <c r="K217" i="15"/>
  <c r="M217" i="15"/>
  <c r="D216" i="15"/>
  <c r="I216" i="15"/>
  <c r="P216" i="15"/>
  <c r="H216" i="15"/>
  <c r="O216" i="15"/>
  <c r="G216" i="15"/>
  <c r="N216" i="15"/>
  <c r="F216" i="15"/>
  <c r="E216" i="15"/>
  <c r="M216" i="15"/>
  <c r="K216" i="15"/>
  <c r="L216" i="15"/>
  <c r="D210" i="15"/>
  <c r="F210" i="15"/>
  <c r="K210" i="15"/>
  <c r="G210" i="15"/>
  <c r="I210" i="15"/>
  <c r="P210" i="15"/>
  <c r="H210" i="15"/>
  <c r="O210" i="15"/>
  <c r="M210" i="15"/>
  <c r="E210" i="15"/>
  <c r="L210" i="15"/>
  <c r="N210" i="15"/>
  <c r="O222" i="15"/>
  <c r="G222" i="15"/>
  <c r="N222" i="15"/>
  <c r="F222" i="15"/>
  <c r="K222" i="15"/>
  <c r="M222" i="15"/>
  <c r="E222" i="15"/>
  <c r="L222" i="15"/>
  <c r="D222" i="15"/>
  <c r="I222" i="15"/>
  <c r="P222" i="15"/>
  <c r="H222" i="15"/>
  <c r="E209" i="15"/>
  <c r="I209" i="15"/>
  <c r="N209" i="15"/>
  <c r="P209" i="15"/>
  <c r="H209" i="15"/>
  <c r="O209" i="15"/>
  <c r="G209" i="15"/>
  <c r="F209" i="15"/>
  <c r="L209" i="15"/>
  <c r="D209" i="15"/>
  <c r="K209" i="15"/>
  <c r="M209" i="15"/>
  <c r="N221" i="15"/>
  <c r="F221" i="15"/>
  <c r="M221" i="15"/>
  <c r="E221" i="15"/>
  <c r="L221" i="15"/>
  <c r="D221" i="15"/>
  <c r="K221" i="15"/>
  <c r="P221" i="15"/>
  <c r="H221" i="15"/>
  <c r="O221" i="15"/>
  <c r="G221" i="15"/>
  <c r="I221" i="15"/>
  <c r="L208" i="15"/>
  <c r="I208" i="15"/>
  <c r="H208" i="15"/>
  <c r="E208" i="15"/>
  <c r="P208" i="15"/>
  <c r="O208" i="15"/>
  <c r="G208" i="15"/>
  <c r="N208" i="15"/>
  <c r="M208" i="15"/>
  <c r="F208" i="15"/>
  <c r="K208" i="15"/>
  <c r="D208" i="15"/>
  <c r="P220" i="15"/>
  <c r="M220" i="15"/>
  <c r="E220" i="15"/>
  <c r="L220" i="15"/>
  <c r="D220" i="15"/>
  <c r="I220" i="15"/>
  <c r="K220" i="15"/>
  <c r="O220" i="15"/>
  <c r="G220" i="15"/>
  <c r="N220" i="15"/>
  <c r="F220" i="15"/>
  <c r="H220" i="15"/>
  <c r="O214" i="15"/>
  <c r="G214" i="15"/>
  <c r="N214" i="15"/>
  <c r="F214" i="15"/>
  <c r="M214" i="15"/>
  <c r="E214" i="15"/>
  <c r="L214" i="15"/>
  <c r="D214" i="15"/>
  <c r="K214" i="15"/>
  <c r="I214" i="15"/>
  <c r="P214" i="15"/>
  <c r="H214" i="15"/>
  <c r="I213" i="15"/>
  <c r="N213" i="15"/>
  <c r="F213" i="15"/>
  <c r="M213" i="15"/>
  <c r="E213" i="15"/>
  <c r="L213" i="15"/>
  <c r="D213" i="15"/>
  <c r="K213" i="15"/>
  <c r="P213" i="15"/>
  <c r="H213" i="15"/>
  <c r="O213" i="15"/>
  <c r="G213" i="15"/>
  <c r="F212" i="15"/>
  <c r="H212" i="15"/>
  <c r="M212" i="15"/>
  <c r="E212" i="15"/>
  <c r="L212" i="15"/>
  <c r="D212" i="15"/>
  <c r="K212" i="15"/>
  <c r="I212" i="15"/>
  <c r="O212" i="15"/>
  <c r="G212" i="15"/>
  <c r="N212" i="15"/>
  <c r="P212" i="15"/>
  <c r="N218" i="15"/>
  <c r="F218" i="15"/>
  <c r="K218" i="15"/>
  <c r="G218" i="15"/>
  <c r="O218" i="15"/>
  <c r="I218" i="15"/>
  <c r="P218" i="15"/>
  <c r="H218" i="15"/>
  <c r="M218" i="15"/>
  <c r="E218" i="15"/>
  <c r="L218" i="15"/>
  <c r="D218" i="15"/>
  <c r="F211" i="15"/>
  <c r="N211" i="15"/>
  <c r="F219" i="15"/>
  <c r="N219" i="15"/>
  <c r="H219" i="15"/>
  <c r="E207" i="15"/>
  <c r="M207" i="15"/>
  <c r="I211" i="15"/>
  <c r="E215" i="15"/>
  <c r="M215" i="15"/>
  <c r="I219" i="15"/>
  <c r="E223" i="15"/>
  <c r="M223" i="15"/>
  <c r="F207" i="15"/>
  <c r="N207" i="15"/>
  <c r="F215" i="15"/>
  <c r="N215" i="15"/>
  <c r="F223" i="15"/>
  <c r="N223" i="15"/>
  <c r="O207" i="15"/>
  <c r="G215" i="15"/>
  <c r="P219" i="15"/>
  <c r="G207" i="15"/>
  <c r="K211" i="15"/>
  <c r="O215" i="15"/>
  <c r="K219" i="15"/>
  <c r="G223" i="15"/>
  <c r="O223" i="15"/>
  <c r="H207" i="15"/>
  <c r="D211" i="15"/>
  <c r="H215" i="15"/>
  <c r="D219" i="15"/>
  <c r="H223" i="15"/>
  <c r="K205" i="15"/>
  <c r="I205" i="15"/>
  <c r="P205" i="15"/>
  <c r="H205" i="15"/>
  <c r="O205" i="15"/>
  <c r="G205" i="15"/>
  <c r="N205" i="15"/>
  <c r="F205" i="15"/>
  <c r="M205" i="15"/>
  <c r="E205" i="15"/>
  <c r="L205" i="15"/>
  <c r="D205" i="15"/>
  <c r="I204" i="15"/>
  <c r="P204" i="15"/>
  <c r="H204" i="15"/>
  <c r="O204" i="15"/>
  <c r="G204" i="15"/>
  <c r="N204" i="15"/>
  <c r="F204" i="15"/>
  <c r="M204" i="15"/>
  <c r="E204" i="15"/>
  <c r="L204" i="15"/>
  <c r="D204" i="15"/>
  <c r="K204" i="15"/>
  <c r="M173" i="15"/>
  <c r="G173" i="15"/>
  <c r="F173" i="15"/>
  <c r="O173" i="15"/>
  <c r="N173" i="15"/>
  <c r="K177" i="15"/>
  <c r="K169" i="15"/>
  <c r="K178" i="15"/>
  <c r="I178" i="15"/>
  <c r="D178" i="15"/>
  <c r="P178" i="15"/>
  <c r="H178" i="15"/>
  <c r="O178" i="15"/>
  <c r="G178" i="15"/>
  <c r="E178" i="15"/>
  <c r="L178" i="15"/>
  <c r="N178" i="15"/>
  <c r="F178" i="15"/>
  <c r="M178" i="15"/>
  <c r="M172" i="15"/>
  <c r="L172" i="15"/>
  <c r="D172" i="15"/>
  <c r="K172" i="15"/>
  <c r="N172" i="15"/>
  <c r="E172" i="15"/>
  <c r="I172" i="15"/>
  <c r="O172" i="15"/>
  <c r="G172" i="15"/>
  <c r="F172" i="15"/>
  <c r="P172" i="15"/>
  <c r="H172" i="15"/>
  <c r="D171" i="15"/>
  <c r="K171" i="15"/>
  <c r="E171" i="15"/>
  <c r="I171" i="15"/>
  <c r="P171" i="15"/>
  <c r="H171" i="15"/>
  <c r="N171" i="15"/>
  <c r="F171" i="15"/>
  <c r="M171" i="15"/>
  <c r="L171" i="15"/>
  <c r="O171" i="15"/>
  <c r="G171" i="15"/>
  <c r="I184" i="15"/>
  <c r="P184" i="15"/>
  <c r="H184" i="15"/>
  <c r="O184" i="15"/>
  <c r="G184" i="15"/>
  <c r="N184" i="15"/>
  <c r="F184" i="15"/>
  <c r="M184" i="15"/>
  <c r="E184" i="15"/>
  <c r="L184" i="15"/>
  <c r="D184" i="15"/>
  <c r="K184" i="15"/>
  <c r="I170" i="15"/>
  <c r="P170" i="15"/>
  <c r="H170" i="15"/>
  <c r="K170" i="15"/>
  <c r="O170" i="15"/>
  <c r="G170" i="15"/>
  <c r="M170" i="15"/>
  <c r="E170" i="15"/>
  <c r="L170" i="15"/>
  <c r="D170" i="15"/>
  <c r="N170" i="15"/>
  <c r="F170" i="15"/>
  <c r="H183" i="15"/>
  <c r="O183" i="15"/>
  <c r="G183" i="15"/>
  <c r="N183" i="15"/>
  <c r="F183" i="15"/>
  <c r="I183" i="15"/>
  <c r="M183" i="15"/>
  <c r="E183" i="15"/>
  <c r="P183" i="15"/>
  <c r="L183" i="15"/>
  <c r="D183" i="15"/>
  <c r="K183" i="15"/>
  <c r="P176" i="15"/>
  <c r="H176" i="15"/>
  <c r="O176" i="15"/>
  <c r="G176" i="15"/>
  <c r="N176" i="15"/>
  <c r="F176" i="15"/>
  <c r="M176" i="15"/>
  <c r="E176" i="15"/>
  <c r="K176" i="15"/>
  <c r="I176" i="15"/>
  <c r="L176" i="15"/>
  <c r="D176" i="15"/>
  <c r="O182" i="15"/>
  <c r="G182" i="15"/>
  <c r="N182" i="15"/>
  <c r="F182" i="15"/>
  <c r="M182" i="15"/>
  <c r="E182" i="15"/>
  <c r="H182" i="15"/>
  <c r="L182" i="15"/>
  <c r="D182" i="15"/>
  <c r="K182" i="15"/>
  <c r="P182" i="15"/>
  <c r="I182" i="15"/>
  <c r="P175" i="15"/>
  <c r="O175" i="15"/>
  <c r="G175" i="15"/>
  <c r="N175" i="15"/>
  <c r="F175" i="15"/>
  <c r="M175" i="15"/>
  <c r="E175" i="15"/>
  <c r="L175" i="15"/>
  <c r="D175" i="15"/>
  <c r="I175" i="15"/>
  <c r="H175" i="15"/>
  <c r="K175" i="15"/>
  <c r="N181" i="15"/>
  <c r="F181" i="15"/>
  <c r="M181" i="15"/>
  <c r="E181" i="15"/>
  <c r="L181" i="15"/>
  <c r="D181" i="15"/>
  <c r="G181" i="15"/>
  <c r="K181" i="15"/>
  <c r="O181" i="15"/>
  <c r="I181" i="15"/>
  <c r="P181" i="15"/>
  <c r="H181" i="15"/>
  <c r="G174" i="15"/>
  <c r="N174" i="15"/>
  <c r="F174" i="15"/>
  <c r="M174" i="15"/>
  <c r="E174" i="15"/>
  <c r="P174" i="15"/>
  <c r="L174" i="15"/>
  <c r="D174" i="15"/>
  <c r="O174" i="15"/>
  <c r="K174" i="15"/>
  <c r="I174" i="15"/>
  <c r="H174" i="15"/>
  <c r="P168" i="15"/>
  <c r="H168" i="15"/>
  <c r="O168" i="15"/>
  <c r="G168" i="15"/>
  <c r="N168" i="15"/>
  <c r="F168" i="15"/>
  <c r="I168" i="15"/>
  <c r="M168" i="15"/>
  <c r="E168" i="15"/>
  <c r="K168" i="15"/>
  <c r="L168" i="15"/>
  <c r="D168" i="15"/>
  <c r="M180" i="15"/>
  <c r="E180" i="15"/>
  <c r="L180" i="15"/>
  <c r="D180" i="15"/>
  <c r="K180" i="15"/>
  <c r="F180" i="15"/>
  <c r="I180" i="15"/>
  <c r="N180" i="15"/>
  <c r="P180" i="15"/>
  <c r="H180" i="15"/>
  <c r="O180" i="15"/>
  <c r="G180" i="15"/>
  <c r="O167" i="15"/>
  <c r="G167" i="15"/>
  <c r="N167" i="15"/>
  <c r="F167" i="15"/>
  <c r="M167" i="15"/>
  <c r="E167" i="15"/>
  <c r="H167" i="15"/>
  <c r="L167" i="15"/>
  <c r="D167" i="15"/>
  <c r="I167" i="15"/>
  <c r="P167" i="15"/>
  <c r="K167" i="15"/>
  <c r="D179" i="15"/>
  <c r="K179" i="15"/>
  <c r="E179" i="15"/>
  <c r="I179" i="15"/>
  <c r="P179" i="15"/>
  <c r="H179" i="15"/>
  <c r="M179" i="15"/>
  <c r="L179" i="15"/>
  <c r="O179" i="15"/>
  <c r="G179" i="15"/>
  <c r="N179" i="15"/>
  <c r="F179" i="15"/>
  <c r="O166" i="15"/>
  <c r="N166" i="15"/>
  <c r="F166" i="15"/>
  <c r="M166" i="15"/>
  <c r="E166" i="15"/>
  <c r="P166" i="15"/>
  <c r="L166" i="15"/>
  <c r="D166" i="15"/>
  <c r="K166" i="15"/>
  <c r="I166" i="15"/>
  <c r="H166" i="15"/>
  <c r="G166" i="15"/>
  <c r="E169" i="15"/>
  <c r="M169" i="15"/>
  <c r="I173" i="15"/>
  <c r="E177" i="15"/>
  <c r="M177" i="15"/>
  <c r="D169" i="15"/>
  <c r="L169" i="15"/>
  <c r="H173" i="15"/>
  <c r="P173" i="15"/>
  <c r="D177" i="15"/>
  <c r="L177" i="15"/>
  <c r="F169" i="15"/>
  <c r="N169" i="15"/>
  <c r="F177" i="15"/>
  <c r="N177" i="15"/>
  <c r="G169" i="15"/>
  <c r="O169" i="15"/>
  <c r="K173" i="15"/>
  <c r="G177" i="15"/>
  <c r="O177" i="15"/>
  <c r="H169" i="15"/>
  <c r="P169" i="15"/>
  <c r="D173" i="15"/>
  <c r="L173" i="15"/>
  <c r="H177" i="15"/>
  <c r="P177" i="15"/>
  <c r="I169" i="15"/>
  <c r="E173" i="15"/>
  <c r="I177" i="15"/>
  <c r="P165" i="15"/>
  <c r="H165" i="15"/>
  <c r="O165" i="15"/>
  <c r="G165" i="15"/>
  <c r="N165" i="15"/>
  <c r="F165" i="15"/>
  <c r="M165" i="15"/>
  <c r="E165" i="15"/>
  <c r="K165" i="15"/>
  <c r="L165" i="15"/>
  <c r="D165" i="15"/>
  <c r="R165" i="15"/>
  <c r="I165" i="15"/>
  <c r="L127" i="15"/>
  <c r="D127" i="15"/>
  <c r="E127" i="15"/>
  <c r="M127" i="15"/>
  <c r="F127" i="15"/>
  <c r="N127" i="15"/>
  <c r="K127" i="15"/>
  <c r="G127" i="15"/>
  <c r="O127" i="15"/>
  <c r="H127" i="15"/>
  <c r="P127" i="15"/>
  <c r="I127" i="15"/>
  <c r="L140" i="15"/>
  <c r="D140" i="15"/>
  <c r="K140" i="15"/>
  <c r="E140" i="15"/>
  <c r="I140" i="15"/>
  <c r="P140" i="15"/>
  <c r="H140" i="15"/>
  <c r="O140" i="15"/>
  <c r="N140" i="15"/>
  <c r="F140" i="15"/>
  <c r="M140" i="15"/>
  <c r="N134" i="15"/>
  <c r="F134" i="15"/>
  <c r="M134" i="15"/>
  <c r="E134" i="15"/>
  <c r="L134" i="15"/>
  <c r="D134" i="15"/>
  <c r="K134" i="15"/>
  <c r="H134" i="15"/>
  <c r="I134" i="15"/>
  <c r="P134" i="15"/>
  <c r="O134" i="15"/>
  <c r="M133" i="15"/>
  <c r="E133" i="15"/>
  <c r="L133" i="15"/>
  <c r="D133" i="15"/>
  <c r="F133" i="15"/>
  <c r="K133" i="15"/>
  <c r="O133" i="15"/>
  <c r="I133" i="15"/>
  <c r="P133" i="15"/>
  <c r="H133" i="15"/>
  <c r="N133" i="15"/>
  <c r="I145" i="15"/>
  <c r="P145" i="15"/>
  <c r="H145" i="15"/>
  <c r="O145" i="15"/>
  <c r="N145" i="15"/>
  <c r="F145" i="15"/>
  <c r="M145" i="15"/>
  <c r="E145" i="15"/>
  <c r="L145" i="15"/>
  <c r="D145" i="15"/>
  <c r="K145" i="15"/>
  <c r="M132" i="15"/>
  <c r="L132" i="15"/>
  <c r="D132" i="15"/>
  <c r="K132" i="15"/>
  <c r="I132" i="15"/>
  <c r="P132" i="15"/>
  <c r="H132" i="15"/>
  <c r="N132" i="15"/>
  <c r="O132" i="15"/>
  <c r="F132" i="15"/>
  <c r="E132" i="15"/>
  <c r="P144" i="15"/>
  <c r="H144" i="15"/>
  <c r="O144" i="15"/>
  <c r="N144" i="15"/>
  <c r="F144" i="15"/>
  <c r="M144" i="15"/>
  <c r="E144" i="15"/>
  <c r="L144" i="15"/>
  <c r="D144" i="15"/>
  <c r="K144" i="15"/>
  <c r="I144" i="15"/>
  <c r="I138" i="15"/>
  <c r="P138" i="15"/>
  <c r="H138" i="15"/>
  <c r="O138" i="15"/>
  <c r="N138" i="15"/>
  <c r="F138" i="15"/>
  <c r="L138" i="15"/>
  <c r="M138" i="15"/>
  <c r="E138" i="15"/>
  <c r="D138" i="15"/>
  <c r="K138" i="15"/>
  <c r="I137" i="15"/>
  <c r="P137" i="15"/>
  <c r="H137" i="15"/>
  <c r="O137" i="15"/>
  <c r="N137" i="15"/>
  <c r="F137" i="15"/>
  <c r="M137" i="15"/>
  <c r="E137" i="15"/>
  <c r="K137" i="15"/>
  <c r="L137" i="15"/>
  <c r="D137" i="15"/>
  <c r="P136" i="15"/>
  <c r="H136" i="15"/>
  <c r="O136" i="15"/>
  <c r="N136" i="15"/>
  <c r="F136" i="15"/>
  <c r="M136" i="15"/>
  <c r="E136" i="15"/>
  <c r="L136" i="15"/>
  <c r="D136" i="15"/>
  <c r="K136" i="15"/>
  <c r="I136" i="15"/>
  <c r="K130" i="15"/>
  <c r="I130" i="15"/>
  <c r="P130" i="15"/>
  <c r="H130" i="15"/>
  <c r="O130" i="15"/>
  <c r="N130" i="15"/>
  <c r="F130" i="15"/>
  <c r="L130" i="15"/>
  <c r="M130" i="15"/>
  <c r="E130" i="15"/>
  <c r="D130" i="15"/>
  <c r="I146" i="15"/>
  <c r="P146" i="15"/>
  <c r="H146" i="15"/>
  <c r="O146" i="15"/>
  <c r="N146" i="15"/>
  <c r="F146" i="15"/>
  <c r="M146" i="15"/>
  <c r="E146" i="15"/>
  <c r="L146" i="15"/>
  <c r="D146" i="15"/>
  <c r="K146" i="15"/>
  <c r="O142" i="15"/>
  <c r="N142" i="15"/>
  <c r="F142" i="15"/>
  <c r="M142" i="15"/>
  <c r="E142" i="15"/>
  <c r="L142" i="15"/>
  <c r="D142" i="15"/>
  <c r="K142" i="15"/>
  <c r="I142" i="15"/>
  <c r="P142" i="15"/>
  <c r="H142" i="15"/>
  <c r="I129" i="15"/>
  <c r="P129" i="15"/>
  <c r="H129" i="15"/>
  <c r="O129" i="15"/>
  <c r="N129" i="15"/>
  <c r="F129" i="15"/>
  <c r="M129" i="15"/>
  <c r="E129" i="15"/>
  <c r="K129" i="15"/>
  <c r="L129" i="15"/>
  <c r="D129" i="15"/>
  <c r="M141" i="15"/>
  <c r="E141" i="15"/>
  <c r="L141" i="15"/>
  <c r="D141" i="15"/>
  <c r="K141" i="15"/>
  <c r="I141" i="15"/>
  <c r="P141" i="15"/>
  <c r="H141" i="15"/>
  <c r="O141" i="15"/>
  <c r="N141" i="15"/>
  <c r="F141" i="15"/>
  <c r="P128" i="15"/>
  <c r="H128" i="15"/>
  <c r="O128" i="15"/>
  <c r="I128" i="15"/>
  <c r="N128" i="15"/>
  <c r="F128" i="15"/>
  <c r="M128" i="15"/>
  <c r="E128" i="15"/>
  <c r="L128" i="15"/>
  <c r="D128" i="15"/>
  <c r="K128" i="15"/>
  <c r="F131" i="15"/>
  <c r="N131" i="15"/>
  <c r="F139" i="15"/>
  <c r="N139" i="15"/>
  <c r="O131" i="15"/>
  <c r="K135" i="15"/>
  <c r="O139" i="15"/>
  <c r="K143" i="15"/>
  <c r="D135" i="15"/>
  <c r="L135" i="15"/>
  <c r="H139" i="15"/>
  <c r="P139" i="15"/>
  <c r="D143" i="15"/>
  <c r="L143" i="15"/>
  <c r="I131" i="15"/>
  <c r="E135" i="15"/>
  <c r="M135" i="15"/>
  <c r="I139" i="15"/>
  <c r="E143" i="15"/>
  <c r="M143" i="15"/>
  <c r="P52" i="15"/>
  <c r="H52" i="15"/>
  <c r="N52" i="15"/>
  <c r="F52" i="15"/>
  <c r="L52" i="15"/>
  <c r="D52" i="15"/>
  <c r="R60" i="15"/>
  <c r="P60" i="15"/>
  <c r="H60" i="15"/>
  <c r="N60" i="15"/>
  <c r="F60" i="15"/>
  <c r="L60" i="15"/>
  <c r="D60" i="15"/>
  <c r="K53" i="15"/>
  <c r="I53" i="15"/>
  <c r="O53" i="15"/>
  <c r="G53" i="15"/>
  <c r="M53" i="15"/>
  <c r="E53" i="15"/>
  <c r="K61" i="15"/>
  <c r="I61" i="15"/>
  <c r="O61" i="15"/>
  <c r="G61" i="15"/>
  <c r="M61" i="15"/>
  <c r="E61" i="15"/>
  <c r="L54" i="15"/>
  <c r="D54" i="15"/>
  <c r="P54" i="15"/>
  <c r="H54" i="15"/>
  <c r="N54" i="15"/>
  <c r="F54" i="15"/>
  <c r="L62" i="15"/>
  <c r="D62" i="15"/>
  <c r="P62" i="15"/>
  <c r="H62" i="15"/>
  <c r="N62" i="15"/>
  <c r="F62" i="15"/>
  <c r="M63" i="15"/>
  <c r="E63" i="15"/>
  <c r="K63" i="15"/>
  <c r="I63" i="15"/>
  <c r="O63" i="15"/>
  <c r="G63" i="15"/>
  <c r="M55" i="15"/>
  <c r="E55" i="15"/>
  <c r="K55" i="15"/>
  <c r="I55" i="15"/>
  <c r="O55" i="15"/>
  <c r="G55" i="15"/>
  <c r="N56" i="15"/>
  <c r="F56" i="15"/>
  <c r="L56" i="15"/>
  <c r="D56" i="15"/>
  <c r="P56" i="15"/>
  <c r="H56" i="15"/>
  <c r="N64" i="15"/>
  <c r="F64" i="15"/>
  <c r="L64" i="15"/>
  <c r="D64" i="15"/>
  <c r="P64" i="15"/>
  <c r="H64" i="15"/>
  <c r="O49" i="15"/>
  <c r="G49" i="15"/>
  <c r="M49" i="15"/>
  <c r="E49" i="15"/>
  <c r="K49" i="15"/>
  <c r="I49" i="15"/>
  <c r="O57" i="15"/>
  <c r="G57" i="15"/>
  <c r="M57" i="15"/>
  <c r="E57" i="15"/>
  <c r="K57" i="15"/>
  <c r="I57" i="15"/>
  <c r="O65" i="15"/>
  <c r="G65" i="15"/>
  <c r="M65" i="15"/>
  <c r="E65" i="15"/>
  <c r="K65" i="15"/>
  <c r="I65" i="15"/>
  <c r="P50" i="15"/>
  <c r="H50" i="15"/>
  <c r="N50" i="15"/>
  <c r="F50" i="15"/>
  <c r="L50" i="15"/>
  <c r="D50" i="15"/>
  <c r="P58" i="15"/>
  <c r="H58" i="15"/>
  <c r="N58" i="15"/>
  <c r="F58" i="15"/>
  <c r="L58" i="15"/>
  <c r="D58" i="15"/>
  <c r="P66" i="15"/>
  <c r="H66" i="15"/>
  <c r="N66" i="15"/>
  <c r="F66" i="15"/>
  <c r="L66" i="15"/>
  <c r="D66" i="15"/>
  <c r="I51" i="15"/>
  <c r="O51" i="15"/>
  <c r="G51" i="15"/>
  <c r="M51" i="15"/>
  <c r="E51" i="15"/>
  <c r="K51" i="15"/>
  <c r="I59" i="15"/>
  <c r="O59" i="15"/>
  <c r="G59" i="15"/>
  <c r="M59" i="15"/>
  <c r="E59" i="15"/>
  <c r="K59" i="15"/>
  <c r="I67" i="15"/>
  <c r="O67" i="15"/>
  <c r="G67" i="15"/>
  <c r="M67" i="15"/>
  <c r="E67" i="15"/>
  <c r="K67" i="15"/>
  <c r="P48" i="15"/>
  <c r="O48" i="15"/>
  <c r="G48" i="15"/>
  <c r="N48" i="15"/>
  <c r="F48" i="15"/>
  <c r="D48" i="15"/>
  <c r="K48" i="15"/>
  <c r="M48" i="15"/>
  <c r="E48" i="15"/>
  <c r="L48" i="15"/>
  <c r="I48" i="15"/>
  <c r="H48" i="15"/>
  <c r="M21" i="1" l="1"/>
  <c r="L21" i="1"/>
  <c r="M8" i="1"/>
  <c r="M7" i="1"/>
  <c r="M13" i="1" a="1"/>
  <c r="M13" i="1" s="1"/>
  <c r="M11" i="1" a="1"/>
  <c r="M11" i="1" s="1"/>
  <c r="M10" i="1"/>
  <c r="M6" i="1"/>
  <c r="M15" i="1" a="1"/>
  <c r="M15" i="1" s="1"/>
  <c r="M9" i="1"/>
  <c r="M12" i="1"/>
  <c r="M14" i="1"/>
  <c r="AA5" i="1" l="1"/>
  <c r="E16" i="1"/>
  <c r="D21" i="1" s="1"/>
  <c r="I21" i="27" s="1" a="1"/>
  <c r="I21" i="27" s="1"/>
  <c r="AA7" i="1"/>
  <c r="E18" i="1"/>
  <c r="AA6" i="1"/>
  <c r="AA4" i="1"/>
  <c r="D18" i="1"/>
  <c r="D19" i="1"/>
  <c r="D16" i="1"/>
  <c r="D17" i="1"/>
  <c r="I21" i="26" l="1" a="1"/>
  <c r="I21" i="26" s="1"/>
  <c r="I21" i="18" a="1"/>
  <c r="I21" i="18" s="1"/>
  <c r="E37" i="1"/>
  <c r="E22" i="1"/>
  <c r="E41" i="1"/>
  <c r="E33" i="1"/>
  <c r="E33" i="10" s="1"/>
  <c r="D37" i="1"/>
  <c r="D33" i="1"/>
  <c r="D22" i="1"/>
  <c r="D41" i="1"/>
  <c r="D36" i="1"/>
  <c r="E34" i="10" s="1"/>
  <c r="D40" i="1"/>
  <c r="E38" i="10" s="1"/>
  <c r="Q38" i="10" s="1"/>
  <c r="D32" i="1"/>
  <c r="E30" i="10" s="1"/>
  <c r="E19" i="1"/>
  <c r="E17" i="1"/>
  <c r="D1" i="18"/>
  <c r="F34" i="10" a="1"/>
  <c r="O34" i="10" a="1"/>
  <c r="G38" i="10" a="1"/>
  <c r="K38" i="10" a="1"/>
  <c r="M38" i="10" a="1"/>
  <c r="J38" i="10" a="1"/>
  <c r="H34" i="10" a="1"/>
  <c r="K34" i="10" a="1"/>
  <c r="N34" i="10" a="1"/>
  <c r="O38" i="10" a="1"/>
  <c r="H38" i="10" a="1"/>
  <c r="L34" i="10" a="1"/>
  <c r="N38" i="10" a="1"/>
  <c r="J34" i="10" a="1"/>
  <c r="L38" i="10" a="1"/>
  <c r="G34" i="10" a="1"/>
  <c r="I38" i="10" a="1"/>
  <c r="I34" i="10" a="1"/>
  <c r="F38" i="10" a="1"/>
  <c r="M34" i="10" a="1"/>
  <c r="E11" i="10" l="1" a="1"/>
  <c r="E11" i="10" s="1"/>
  <c r="AQ11" i="10" s="1" a="1"/>
  <c r="AQ11" i="10" s="1"/>
  <c r="Q30" i="10"/>
  <c r="Y30" i="10"/>
  <c r="Z30" i="10"/>
  <c r="S30" i="10"/>
  <c r="T30" i="10"/>
  <c r="U30" i="10"/>
  <c r="X30" i="10"/>
  <c r="V30" i="10"/>
  <c r="W30" i="10"/>
  <c r="E15" i="10" a="1"/>
  <c r="E15" i="10" s="1"/>
  <c r="AQ15" i="10" s="1" a="1"/>
  <c r="AQ15" i="10" s="1"/>
  <c r="Q34" i="10"/>
  <c r="Q15" i="10" s="1" a="1"/>
  <c r="Q15" i="10" s="1"/>
  <c r="Y34" i="10"/>
  <c r="Z34" i="10"/>
  <c r="Z15" i="10" s="1" a="1"/>
  <c r="Z15" i="10" s="1"/>
  <c r="S34" i="10"/>
  <c r="S15" i="10" s="1" a="1"/>
  <c r="S15" i="10" s="1"/>
  <c r="X34" i="10"/>
  <c r="X15" i="10" s="1" a="1"/>
  <c r="X15" i="10" s="1"/>
  <c r="T34" i="10"/>
  <c r="T15" i="10" s="1" a="1"/>
  <c r="T15" i="10" s="1"/>
  <c r="U34" i="10"/>
  <c r="U15" i="10" s="1" a="1"/>
  <c r="U15" i="10" s="1"/>
  <c r="V34" i="10"/>
  <c r="V15" i="10" s="1" a="1"/>
  <c r="V15" i="10" s="1"/>
  <c r="W34" i="10"/>
  <c r="W15" i="10" s="1" a="1"/>
  <c r="W15" i="10" s="1"/>
  <c r="E19" i="10" a="1"/>
  <c r="E19" i="10" s="1"/>
  <c r="AQ19" i="10" s="1" a="1"/>
  <c r="AQ19" i="10" s="1"/>
  <c r="Y38" i="10"/>
  <c r="Y19" i="10" s="1" a="1"/>
  <c r="Y19" i="10" s="1"/>
  <c r="Z38" i="10"/>
  <c r="Z19" i="10" s="1" a="1"/>
  <c r="Z19" i="10" s="1"/>
  <c r="S38" i="10"/>
  <c r="S19" i="10" s="1" a="1"/>
  <c r="S19" i="10" s="1"/>
  <c r="T38" i="10"/>
  <c r="T19" i="10" s="1" a="1"/>
  <c r="T19" i="10" s="1"/>
  <c r="X38" i="10"/>
  <c r="X19" i="10" s="1" a="1"/>
  <c r="X19" i="10" s="1"/>
  <c r="U38" i="10"/>
  <c r="U19" i="10" s="1" a="1"/>
  <c r="U19" i="10" s="1"/>
  <c r="V38" i="10"/>
  <c r="V19" i="10" s="1" a="1"/>
  <c r="V19" i="10" s="1"/>
  <c r="W38" i="10"/>
  <c r="W19" i="10" s="1" a="1"/>
  <c r="W19" i="10" s="1"/>
  <c r="E40" i="10"/>
  <c r="E32" i="10"/>
  <c r="E36" i="10"/>
  <c r="E41" i="10"/>
  <c r="E37" i="10"/>
  <c r="Y15" i="10" a="1"/>
  <c r="Y15" i="10" s="1"/>
  <c r="F38" i="10"/>
  <c r="F19" i="10" s="1" a="1"/>
  <c r="F19" i="10" s="1"/>
  <c r="F34" i="10"/>
  <c r="F15" i="10" s="1" a="1"/>
  <c r="F15" i="10" s="1"/>
  <c r="O34" i="10"/>
  <c r="O15" i="10" s="1" a="1"/>
  <c r="O15" i="10" s="1"/>
  <c r="N34" i="10"/>
  <c r="N15" i="10" s="1" a="1"/>
  <c r="N15" i="10" s="1"/>
  <c r="M34" i="10"/>
  <c r="M15" i="10" s="1" a="1"/>
  <c r="M15" i="10" s="1"/>
  <c r="L34" i="10"/>
  <c r="L15" i="10" s="1" a="1"/>
  <c r="L15" i="10" s="1"/>
  <c r="K34" i="10"/>
  <c r="K15" i="10" s="1" a="1"/>
  <c r="K15" i="10" s="1"/>
  <c r="J34" i="10"/>
  <c r="J15" i="10" s="1" a="1"/>
  <c r="J15" i="10" s="1"/>
  <c r="I34" i="10"/>
  <c r="I15" i="10" s="1" a="1"/>
  <c r="I15" i="10" s="1"/>
  <c r="H34" i="10"/>
  <c r="H15" i="10" s="1" a="1"/>
  <c r="H15" i="10" s="1"/>
  <c r="G34" i="10"/>
  <c r="G15" i="10" s="1" a="1"/>
  <c r="G15" i="10" s="1"/>
  <c r="O38" i="10"/>
  <c r="O19" i="10" s="1" a="1"/>
  <c r="O19" i="10" s="1"/>
  <c r="N38" i="10"/>
  <c r="N19" i="10" s="1" a="1"/>
  <c r="N19" i="10" s="1"/>
  <c r="M38" i="10"/>
  <c r="M19" i="10" s="1" a="1"/>
  <c r="M19" i="10" s="1"/>
  <c r="L38" i="10"/>
  <c r="L19" i="10" s="1" a="1"/>
  <c r="L19" i="10" s="1"/>
  <c r="K38" i="10"/>
  <c r="K19" i="10" s="1" a="1"/>
  <c r="K19" i="10" s="1"/>
  <c r="J38" i="10"/>
  <c r="J19" i="10" s="1" a="1"/>
  <c r="J19" i="10" s="1"/>
  <c r="I38" i="10"/>
  <c r="I19" i="10" s="1" a="1"/>
  <c r="I19" i="10" s="1"/>
  <c r="H38" i="10"/>
  <c r="H19" i="10" s="1" a="1"/>
  <c r="H19" i="10" s="1"/>
  <c r="G38" i="10"/>
  <c r="G19" i="10" s="1" a="1"/>
  <c r="G19" i="10" s="1"/>
  <c r="AP38" i="10"/>
  <c r="AP19" i="10" s="1" a="1"/>
  <c r="AP19" i="10" s="1"/>
  <c r="AG38" i="10"/>
  <c r="AG19" i="10" s="1" a="1"/>
  <c r="AG19" i="10" s="1"/>
  <c r="AJ38" i="10"/>
  <c r="AJ19" i="10" s="1" a="1"/>
  <c r="AJ19" i="10" s="1"/>
  <c r="AO38" i="10"/>
  <c r="AO19" i="10" s="1" a="1"/>
  <c r="AO19" i="10" s="1"/>
  <c r="AF38" i="10"/>
  <c r="AF19" i="10" s="1" a="1"/>
  <c r="AF19" i="10" s="1"/>
  <c r="AN38" i="10"/>
  <c r="AN19" i="10" s="1" a="1"/>
  <c r="AN19" i="10" s="1"/>
  <c r="AD38" i="10"/>
  <c r="AD19" i="10" s="1" a="1"/>
  <c r="AD19" i="10" s="1"/>
  <c r="AM38" i="10"/>
  <c r="AM19" i="10" s="1" a="1"/>
  <c r="AM19" i="10" s="1"/>
  <c r="AC38" i="10"/>
  <c r="AC19" i="10" s="1" a="1"/>
  <c r="AC19" i="10" s="1"/>
  <c r="AL38" i="10"/>
  <c r="AL19" i="10" s="1" a="1"/>
  <c r="AL19" i="10" s="1"/>
  <c r="AB38" i="10"/>
  <c r="AB19" i="10" s="1" a="1"/>
  <c r="AB19" i="10" s="1"/>
  <c r="AK38" i="10"/>
  <c r="AK19" i="10" s="1" a="1"/>
  <c r="AK19" i="10" s="1"/>
  <c r="AA38" i="10"/>
  <c r="AA19" i="10" s="1" a="1"/>
  <c r="AA19" i="10" s="1"/>
  <c r="AI38" i="10"/>
  <c r="AI19" i="10" s="1" a="1"/>
  <c r="AI19" i="10" s="1"/>
  <c r="AP34" i="10"/>
  <c r="AP15" i="10" s="1" a="1"/>
  <c r="AP15" i="10" s="1"/>
  <c r="AG34" i="10"/>
  <c r="AG15" i="10" s="1" a="1"/>
  <c r="AG15" i="10" s="1"/>
  <c r="AJ34" i="10"/>
  <c r="AJ15" i="10" s="1" a="1"/>
  <c r="AJ15" i="10" s="1"/>
  <c r="AO34" i="10"/>
  <c r="AO15" i="10" s="1" a="1"/>
  <c r="AO15" i="10" s="1"/>
  <c r="AF34" i="10"/>
  <c r="AF15" i="10" s="1" a="1"/>
  <c r="AF15" i="10" s="1"/>
  <c r="AN34" i="10"/>
  <c r="AN15" i="10" s="1" a="1"/>
  <c r="AN15" i="10" s="1"/>
  <c r="AD34" i="10"/>
  <c r="AD15" i="10" s="1" a="1"/>
  <c r="AD15" i="10" s="1"/>
  <c r="AM34" i="10"/>
  <c r="AM15" i="10" s="1" a="1"/>
  <c r="AM15" i="10" s="1"/>
  <c r="AC34" i="10"/>
  <c r="AC15" i="10" s="1" a="1"/>
  <c r="AC15" i="10" s="1"/>
  <c r="AL34" i="10"/>
  <c r="AL15" i="10" s="1" a="1"/>
  <c r="AL15" i="10" s="1"/>
  <c r="AB34" i="10"/>
  <c r="AB15" i="10" s="1" a="1"/>
  <c r="AB15" i="10" s="1"/>
  <c r="AK34" i="10"/>
  <c r="AK15" i="10" s="1" a="1"/>
  <c r="AK15" i="10" s="1"/>
  <c r="AA34" i="10"/>
  <c r="AA15" i="10" s="1" a="1"/>
  <c r="AA15" i="10" s="1"/>
  <c r="AI34" i="10"/>
  <c r="AI15" i="10" s="1" a="1"/>
  <c r="AI15" i="10" s="1"/>
  <c r="E36" i="1"/>
  <c r="E35" i="10" s="1"/>
  <c r="E40" i="1"/>
  <c r="E39" i="10" s="1"/>
  <c r="Q39" i="10" s="1"/>
  <c r="E32" i="1"/>
  <c r="E31" i="10" s="1"/>
  <c r="E21" i="1"/>
  <c r="I22" i="27" s="1" a="1"/>
  <c r="I22" i="27" s="1"/>
  <c r="Q3" i="16"/>
  <c r="P3" i="16"/>
  <c r="O3" i="16"/>
  <c r="N3" i="16"/>
  <c r="M3" i="16"/>
  <c r="L3" i="16"/>
  <c r="K3" i="16"/>
  <c r="J3" i="16"/>
  <c r="I3" i="16"/>
  <c r="H3" i="16"/>
  <c r="G3" i="16"/>
  <c r="F3" i="16"/>
  <c r="E3" i="16"/>
  <c r="F35" i="10" a="1"/>
  <c r="H35" i="10" a="1"/>
  <c r="I35" i="10" a="1"/>
  <c r="F33" i="10" a="1"/>
  <c r="M35" i="10" a="1"/>
  <c r="O33" i="10" a="1"/>
  <c r="N33" i="10" a="1"/>
  <c r="L36" i="10" a="1"/>
  <c r="G41" i="10" a="1"/>
  <c r="H36" i="10" a="1"/>
  <c r="H40" i="10" a="1"/>
  <c r="J41" i="10" a="1"/>
  <c r="N41" i="10" a="1"/>
  <c r="N30" i="10" a="1"/>
  <c r="I30" i="10" a="1"/>
  <c r="L41" i="10" a="1"/>
  <c r="K39" i="10" a="1"/>
  <c r="N31" i="10" a="1"/>
  <c r="O41" i="10" a="1"/>
  <c r="F36" i="10" a="1"/>
  <c r="N37" i="10" a="1"/>
  <c r="K31" i="10" a="1"/>
  <c r="G31" i="10" a="1"/>
  <c r="L31" i="10" a="1"/>
  <c r="M31" i="10" a="1"/>
  <c r="I31" i="10" a="1"/>
  <c r="I33" i="10" a="1"/>
  <c r="F32" i="10" a="1"/>
  <c r="F30" i="10" a="1"/>
  <c r="M40" i="10" a="1"/>
  <c r="L33" i="10" a="1"/>
  <c r="J32" i="10" a="1"/>
  <c r="M36" i="10" a="1"/>
  <c r="I41" i="10" a="1"/>
  <c r="J35" i="10" a="1"/>
  <c r="J39" i="10" a="1"/>
  <c r="M37" i="10" a="1"/>
  <c r="G37" i="10" a="1"/>
  <c r="J40" i="10" a="1"/>
  <c r="O30" i="10" a="1"/>
  <c r="L32" i="10" a="1"/>
  <c r="I32" i="10" a="1"/>
  <c r="K37" i="10" a="1"/>
  <c r="G40" i="10" a="1"/>
  <c r="H31" i="10" a="1"/>
  <c r="M30" i="10" a="1"/>
  <c r="G39" i="10" a="1"/>
  <c r="F37" i="10" a="1"/>
  <c r="I39" i="10" a="1"/>
  <c r="J31" i="10" a="1"/>
  <c r="K41" i="10" a="1"/>
  <c r="G32" i="10" a="1"/>
  <c r="J36" i="10" a="1"/>
  <c r="K33" i="10" a="1"/>
  <c r="G33" i="10" a="1"/>
  <c r="N39" i="10" a="1"/>
  <c r="F40" i="10" a="1"/>
  <c r="G36" i="10" a="1"/>
  <c r="G35" i="10" a="1"/>
  <c r="L35" i="10" a="1"/>
  <c r="J30" i="10" a="1"/>
  <c r="O37" i="10" a="1"/>
  <c r="I37" i="10" a="1"/>
  <c r="O32" i="10" a="1"/>
  <c r="I40" i="10" a="1"/>
  <c r="O36" i="10" a="1"/>
  <c r="L30" i="10" a="1"/>
  <c r="N40" i="10" a="1"/>
  <c r="O31" i="10" a="1"/>
  <c r="H37" i="10" a="1"/>
  <c r="H30" i="10" a="1"/>
  <c r="M32" i="10" a="1"/>
  <c r="I36" i="10" a="1"/>
  <c r="K32" i="10" a="1"/>
  <c r="K40" i="10" a="1"/>
  <c r="N36" i="10" a="1"/>
  <c r="F31" i="10" a="1"/>
  <c r="L39" i="10" a="1"/>
  <c r="J33" i="10" a="1"/>
  <c r="L37" i="10" a="1"/>
  <c r="G30" i="10" a="1"/>
  <c r="O39" i="10" a="1"/>
  <c r="J37" i="10" a="1"/>
  <c r="L40" i="10" a="1"/>
  <c r="K36" i="10" a="1"/>
  <c r="H41" i="10" a="1"/>
  <c r="K35" i="10" a="1"/>
  <c r="H39" i="10" a="1"/>
  <c r="H32" i="10" a="1"/>
  <c r="O35" i="10" a="1"/>
  <c r="H33" i="10" a="1"/>
  <c r="N35" i="10" a="1"/>
  <c r="N32" i="10" a="1"/>
  <c r="O40" i="10" a="1"/>
  <c r="M41" i="10" a="1"/>
  <c r="F39" i="10" a="1"/>
  <c r="M39" i="10" a="1"/>
  <c r="F41" i="10" a="1"/>
  <c r="M33" i="10" a="1"/>
  <c r="K30" i="10" a="1"/>
  <c r="O86" i="10" l="1"/>
  <c r="I22" i="18" a="1"/>
  <c r="I22" i="18" s="1"/>
  <c r="I22" i="26" a="1"/>
  <c r="I22" i="26" s="1"/>
  <c r="E12" i="10" a="1"/>
  <c r="E12" i="10" s="1"/>
  <c r="AQ12" i="10" s="1" a="1"/>
  <c r="AQ12" i="10" s="1"/>
  <c r="W31" i="10"/>
  <c r="X31" i="10"/>
  <c r="Q31" i="10"/>
  <c r="Q12" i="10" s="1" a="1"/>
  <c r="Q12" i="10" s="1"/>
  <c r="Y31" i="10"/>
  <c r="Y12" i="10" s="1" a="1"/>
  <c r="Y12" i="10" s="1"/>
  <c r="Z31" i="10"/>
  <c r="S31" i="10"/>
  <c r="S12" i="10" s="1" a="1"/>
  <c r="S12" i="10" s="1"/>
  <c r="T31" i="10"/>
  <c r="V31" i="10"/>
  <c r="U31" i="10"/>
  <c r="E20" i="10" a="1"/>
  <c r="E20" i="10" s="1"/>
  <c r="AQ20" i="10" s="1" a="1"/>
  <c r="AQ20" i="10" s="1"/>
  <c r="W39" i="10"/>
  <c r="W20" i="10" s="1" a="1"/>
  <c r="W20" i="10" s="1"/>
  <c r="X39" i="10"/>
  <c r="X20" i="10" s="1" a="1"/>
  <c r="X20" i="10" s="1"/>
  <c r="Y39" i="10"/>
  <c r="Y20" i="10" s="1" a="1"/>
  <c r="Y20" i="10" s="1"/>
  <c r="Z39" i="10"/>
  <c r="Z20" i="10" s="1" a="1"/>
  <c r="Z20" i="10" s="1"/>
  <c r="S39" i="10"/>
  <c r="T39" i="10"/>
  <c r="U39" i="10"/>
  <c r="U20" i="10" s="1" a="1"/>
  <c r="U20" i="10" s="1"/>
  <c r="V39" i="10"/>
  <c r="V20" i="10" s="1" a="1"/>
  <c r="V20" i="10" s="1"/>
  <c r="E16" i="10" a="1"/>
  <c r="E16" i="10" s="1"/>
  <c r="AQ16" i="10" s="1" a="1"/>
  <c r="AQ16" i="10" s="1"/>
  <c r="W35" i="10"/>
  <c r="W16" i="10" s="1" a="1"/>
  <c r="W16" i="10" s="1"/>
  <c r="X35" i="10"/>
  <c r="X16" i="10" s="1" a="1"/>
  <c r="X16" i="10" s="1"/>
  <c r="Q35" i="10"/>
  <c r="Y35" i="10"/>
  <c r="Y16" i="10" s="1" a="1"/>
  <c r="Y16" i="10" s="1"/>
  <c r="Z35" i="10"/>
  <c r="Z16" i="10" s="1" a="1"/>
  <c r="Z16" i="10" s="1"/>
  <c r="V35" i="10"/>
  <c r="V16" i="10" s="1" a="1"/>
  <c r="V16" i="10" s="1"/>
  <c r="S35" i="10"/>
  <c r="S16" i="10" s="1" a="1"/>
  <c r="S16" i="10" s="1"/>
  <c r="T35" i="10"/>
  <c r="T16" i="10" s="1" a="1"/>
  <c r="T16" i="10" s="1"/>
  <c r="U35" i="10"/>
  <c r="U16" i="10" s="1" a="1"/>
  <c r="U16" i="10" s="1"/>
  <c r="E13" i="10" a="1"/>
  <c r="E13" i="10" s="1"/>
  <c r="AQ13" i="10" s="1" a="1"/>
  <c r="AQ13" i="10" s="1"/>
  <c r="E21" i="10" a="1"/>
  <c r="E21" i="10" s="1"/>
  <c r="AQ21" i="10" s="1" a="1"/>
  <c r="AQ21" i="10" s="1"/>
  <c r="X86" i="10"/>
  <c r="V86" i="10"/>
  <c r="M86" i="10"/>
  <c r="E18" i="10" a="1"/>
  <c r="E18" i="10" s="1"/>
  <c r="AQ18" i="10" s="1" a="1"/>
  <c r="AQ18" i="10" s="1"/>
  <c r="E22" i="10" a="1"/>
  <c r="E22" i="10" s="1"/>
  <c r="AQ22" i="10" s="1" a="1"/>
  <c r="AQ22" i="10" s="1"/>
  <c r="I33" i="10"/>
  <c r="I14" i="10" s="1" a="1"/>
  <c r="I14" i="10" s="1"/>
  <c r="N33" i="10"/>
  <c r="N14" i="10" s="1" a="1"/>
  <c r="N14" i="10" s="1"/>
  <c r="F33" i="10"/>
  <c r="F14" i="10" s="1" a="1"/>
  <c r="F14" i="10" s="1"/>
  <c r="H33" i="10"/>
  <c r="H14" i="10" s="1" a="1"/>
  <c r="H14" i="10" s="1"/>
  <c r="J33" i="10"/>
  <c r="J14" i="10" s="1" a="1"/>
  <c r="J14" i="10" s="1"/>
  <c r="G33" i="10"/>
  <c r="G14" i="10" s="1" a="1"/>
  <c r="G14" i="10" s="1"/>
  <c r="O33" i="10"/>
  <c r="O14" i="10" s="1" a="1"/>
  <c r="O14" i="10" s="1"/>
  <c r="L33" i="10"/>
  <c r="L14" i="10" s="1" a="1"/>
  <c r="L14" i="10" s="1"/>
  <c r="M33" i="10"/>
  <c r="M14" i="10" s="1" a="1"/>
  <c r="M14" i="10" s="1"/>
  <c r="K33" i="10"/>
  <c r="K14" i="10" s="1" a="1"/>
  <c r="K14" i="10" s="1"/>
  <c r="J36" i="10"/>
  <c r="J17" i="10" s="1" a="1"/>
  <c r="J17" i="10" s="1"/>
  <c r="H36" i="10"/>
  <c r="H17" i="10" s="1" a="1"/>
  <c r="H17" i="10" s="1"/>
  <c r="N36" i="10"/>
  <c r="N17" i="10" s="1" a="1"/>
  <c r="N17" i="10" s="1"/>
  <c r="F36" i="10"/>
  <c r="F17" i="10" s="1" a="1"/>
  <c r="F17" i="10" s="1"/>
  <c r="G36" i="10"/>
  <c r="G17" i="10" s="1" a="1"/>
  <c r="G17" i="10" s="1"/>
  <c r="I36" i="10"/>
  <c r="I17" i="10" s="1" a="1"/>
  <c r="I17" i="10" s="1"/>
  <c r="M36" i="10"/>
  <c r="M17" i="10" s="1" a="1"/>
  <c r="M17" i="10" s="1"/>
  <c r="O36" i="10"/>
  <c r="O17" i="10" s="1" a="1"/>
  <c r="O17" i="10" s="1"/>
  <c r="L36" i="10"/>
  <c r="L17" i="10" s="1" a="1"/>
  <c r="L17" i="10" s="1"/>
  <c r="K36" i="10"/>
  <c r="K17" i="10" s="1" a="1"/>
  <c r="K17" i="10" s="1"/>
  <c r="J37" i="10"/>
  <c r="J18" i="10" s="1" a="1"/>
  <c r="J18" i="10" s="1"/>
  <c r="M37" i="10"/>
  <c r="M18" i="10" s="1" a="1"/>
  <c r="M18" i="10" s="1"/>
  <c r="F37" i="10"/>
  <c r="F18" i="10" s="1" a="1"/>
  <c r="F18" i="10" s="1"/>
  <c r="O37" i="10"/>
  <c r="O18" i="10" s="1" a="1"/>
  <c r="O18" i="10" s="1"/>
  <c r="I37" i="10"/>
  <c r="I18" i="10" s="1" a="1"/>
  <c r="I18" i="10" s="1"/>
  <c r="K37" i="10"/>
  <c r="K18" i="10" s="1" a="1"/>
  <c r="K18" i="10" s="1"/>
  <c r="H37" i="10"/>
  <c r="H18" i="10" s="1" a="1"/>
  <c r="H18" i="10" s="1"/>
  <c r="N37" i="10"/>
  <c r="N18" i="10" s="1" a="1"/>
  <c r="N18" i="10" s="1"/>
  <c r="G37" i="10"/>
  <c r="G18" i="10" s="1" a="1"/>
  <c r="G18" i="10" s="1"/>
  <c r="L37" i="10"/>
  <c r="L18" i="10" s="1" a="1"/>
  <c r="L18" i="10" s="1"/>
  <c r="M32" i="10"/>
  <c r="M13" i="10" s="1" a="1"/>
  <c r="M13" i="10" s="1"/>
  <c r="H32" i="10"/>
  <c r="H13" i="10" s="1" a="1"/>
  <c r="H13" i="10" s="1"/>
  <c r="O32" i="10"/>
  <c r="O13" i="10" s="1" a="1"/>
  <c r="O13" i="10" s="1"/>
  <c r="N32" i="10"/>
  <c r="N13" i="10" s="1" a="1"/>
  <c r="N13" i="10" s="1"/>
  <c r="F32" i="10"/>
  <c r="F13" i="10" s="1" a="1"/>
  <c r="F13" i="10" s="1"/>
  <c r="G32" i="10"/>
  <c r="G13" i="10" s="1" a="1"/>
  <c r="G13" i="10" s="1"/>
  <c r="J32" i="10"/>
  <c r="J13" i="10" s="1" a="1"/>
  <c r="J13" i="10" s="1"/>
  <c r="I32" i="10"/>
  <c r="I13" i="10" s="1" a="1"/>
  <c r="I13" i="10" s="1"/>
  <c r="L32" i="10"/>
  <c r="L13" i="10" s="1" a="1"/>
  <c r="L13" i="10" s="1"/>
  <c r="K32" i="10"/>
  <c r="K13" i="10" s="1" a="1"/>
  <c r="K13" i="10" s="1"/>
  <c r="L41" i="10"/>
  <c r="L22" i="10" s="1" a="1"/>
  <c r="L22" i="10" s="1"/>
  <c r="J41" i="10"/>
  <c r="J22" i="10" s="1" a="1"/>
  <c r="J22" i="10" s="1"/>
  <c r="K41" i="10"/>
  <c r="K22" i="10" s="1" a="1"/>
  <c r="K22" i="10" s="1"/>
  <c r="F41" i="10"/>
  <c r="F22" i="10" s="1" a="1"/>
  <c r="F22" i="10" s="1"/>
  <c r="H41" i="10"/>
  <c r="H22" i="10" s="1" a="1"/>
  <c r="H22" i="10" s="1"/>
  <c r="I41" i="10"/>
  <c r="I22" i="10" s="1" a="1"/>
  <c r="I22" i="10" s="1"/>
  <c r="O41" i="10"/>
  <c r="O22" i="10" s="1" a="1"/>
  <c r="O22" i="10" s="1"/>
  <c r="M41" i="10"/>
  <c r="M22" i="10" s="1" a="1"/>
  <c r="M22" i="10" s="1"/>
  <c r="G41" i="10"/>
  <c r="G22" i="10" s="1" a="1"/>
  <c r="G22" i="10" s="1"/>
  <c r="N41" i="10"/>
  <c r="N22" i="10" s="1" a="1"/>
  <c r="N22" i="10" s="1"/>
  <c r="M40" i="10"/>
  <c r="M21" i="10" s="1" a="1"/>
  <c r="M21" i="10" s="1"/>
  <c r="O40" i="10"/>
  <c r="O21" i="10" s="1" a="1"/>
  <c r="O21" i="10" s="1"/>
  <c r="H40" i="10"/>
  <c r="H21" i="10" s="1" a="1"/>
  <c r="H21" i="10" s="1"/>
  <c r="K40" i="10"/>
  <c r="K21" i="10" s="1" a="1"/>
  <c r="K21" i="10" s="1"/>
  <c r="F40" i="10"/>
  <c r="F21" i="10" s="1" a="1"/>
  <c r="F21" i="10" s="1"/>
  <c r="J40" i="10"/>
  <c r="J21" i="10" s="1" a="1"/>
  <c r="J21" i="10" s="1"/>
  <c r="L40" i="10"/>
  <c r="L21" i="10" s="1" a="1"/>
  <c r="L21" i="10" s="1"/>
  <c r="I40" i="10"/>
  <c r="I21" i="10" s="1" a="1"/>
  <c r="I21" i="10" s="1"/>
  <c r="N40" i="10"/>
  <c r="N21" i="10" s="1" a="1"/>
  <c r="N21" i="10" s="1"/>
  <c r="G40" i="10"/>
  <c r="G21" i="10" s="1" a="1"/>
  <c r="G21" i="10" s="1"/>
  <c r="E14" i="10" a="1"/>
  <c r="E14" i="10" s="1"/>
  <c r="AQ14" i="10" s="1" a="1"/>
  <c r="AQ14" i="10" s="1"/>
  <c r="E17" i="10" a="1"/>
  <c r="E17" i="10" s="1"/>
  <c r="AQ17" i="10" s="1" a="1"/>
  <c r="AQ17" i="10" s="1"/>
  <c r="F39" i="10"/>
  <c r="F20" i="10" s="1" a="1"/>
  <c r="F20" i="10" s="1"/>
  <c r="F35" i="10"/>
  <c r="F16" i="10" s="1" a="1"/>
  <c r="F16" i="10" s="1"/>
  <c r="O31" i="10"/>
  <c r="O12" i="10" s="1" a="1"/>
  <c r="O12" i="10" s="1"/>
  <c r="N31" i="10"/>
  <c r="N12" i="10" s="1" a="1"/>
  <c r="N12" i="10" s="1"/>
  <c r="M31" i="10"/>
  <c r="M12" i="10" s="1" a="1"/>
  <c r="M12" i="10" s="1"/>
  <c r="L31" i="10"/>
  <c r="L12" i="10" s="1" a="1"/>
  <c r="L12" i="10" s="1"/>
  <c r="K31" i="10"/>
  <c r="K12" i="10" s="1" a="1"/>
  <c r="K12" i="10" s="1"/>
  <c r="J31" i="10"/>
  <c r="J12" i="10" s="1" a="1"/>
  <c r="J12" i="10" s="1"/>
  <c r="I31" i="10"/>
  <c r="I12" i="10" s="1" a="1"/>
  <c r="I12" i="10" s="1"/>
  <c r="H31" i="10"/>
  <c r="H12" i="10" s="1" a="1"/>
  <c r="H12" i="10" s="1"/>
  <c r="G31" i="10"/>
  <c r="G12" i="10" s="1" a="1"/>
  <c r="G12" i="10" s="1"/>
  <c r="O39" i="10"/>
  <c r="O20" i="10" s="1" a="1"/>
  <c r="O20" i="10" s="1"/>
  <c r="N39" i="10"/>
  <c r="N20" i="10" s="1" a="1"/>
  <c r="N20" i="10" s="1"/>
  <c r="M39" i="10"/>
  <c r="M20" i="10" s="1" a="1"/>
  <c r="M20" i="10" s="1"/>
  <c r="L39" i="10"/>
  <c r="L20" i="10" s="1" a="1"/>
  <c r="L20" i="10" s="1"/>
  <c r="K39" i="10"/>
  <c r="K20" i="10" s="1" a="1"/>
  <c r="K20" i="10" s="1"/>
  <c r="J39" i="10"/>
  <c r="J20" i="10" s="1" a="1"/>
  <c r="J20" i="10" s="1"/>
  <c r="I39" i="10"/>
  <c r="I20" i="10" s="1" a="1"/>
  <c r="I20" i="10" s="1"/>
  <c r="H39" i="10"/>
  <c r="H20" i="10" s="1" a="1"/>
  <c r="H20" i="10" s="1"/>
  <c r="G39" i="10"/>
  <c r="G20" i="10" s="1" a="1"/>
  <c r="G20" i="10" s="1"/>
  <c r="O35" i="10"/>
  <c r="O16" i="10" s="1" a="1"/>
  <c r="O16" i="10" s="1"/>
  <c r="N35" i="10"/>
  <c r="N16" i="10" s="1" a="1"/>
  <c r="N16" i="10" s="1"/>
  <c r="M35" i="10"/>
  <c r="M16" i="10" s="1" a="1"/>
  <c r="M16" i="10" s="1"/>
  <c r="L35" i="10"/>
  <c r="L16" i="10" s="1" a="1"/>
  <c r="L16" i="10" s="1"/>
  <c r="K35" i="10"/>
  <c r="K16" i="10" s="1" a="1"/>
  <c r="K16" i="10" s="1"/>
  <c r="J35" i="10"/>
  <c r="J16" i="10" s="1" a="1"/>
  <c r="J16" i="10" s="1"/>
  <c r="I35" i="10"/>
  <c r="I16" i="10" s="1" a="1"/>
  <c r="I16" i="10" s="1"/>
  <c r="H35" i="10"/>
  <c r="H16" i="10" s="1" a="1"/>
  <c r="H16" i="10" s="1"/>
  <c r="G35" i="10"/>
  <c r="G16" i="10" s="1" a="1"/>
  <c r="G16" i="10" s="1"/>
  <c r="G30" i="10"/>
  <c r="G11" i="10" s="1" a="1"/>
  <c r="G11" i="10" s="1"/>
  <c r="O30" i="10"/>
  <c r="O11" i="10" s="1" a="1"/>
  <c r="O11" i="10" s="1"/>
  <c r="N30" i="10"/>
  <c r="N11" i="10" s="1" a="1"/>
  <c r="N11" i="10" s="1"/>
  <c r="M30" i="10"/>
  <c r="M11" i="10" s="1" a="1"/>
  <c r="M11" i="10" s="1"/>
  <c r="L30" i="10"/>
  <c r="L11" i="10" s="1" a="1"/>
  <c r="L11" i="10" s="1"/>
  <c r="K30" i="10"/>
  <c r="K11" i="10" s="1" a="1"/>
  <c r="K11" i="10" s="1"/>
  <c r="J30" i="10"/>
  <c r="J11" i="10" s="1" a="1"/>
  <c r="J11" i="10" s="1"/>
  <c r="I30" i="10"/>
  <c r="I11" i="10" s="1" a="1"/>
  <c r="I11" i="10" s="1"/>
  <c r="H30" i="10"/>
  <c r="H11" i="10" s="1" a="1"/>
  <c r="H11" i="10" s="1"/>
  <c r="F30" i="10"/>
  <c r="F11" i="10" s="1" a="1"/>
  <c r="F11" i="10" s="1"/>
  <c r="F31" i="10"/>
  <c r="F12" i="10" s="1" a="1"/>
  <c r="F12" i="10" s="1"/>
  <c r="W11" i="10" a="1"/>
  <c r="W11" i="10" s="1"/>
  <c r="Y11" i="10" a="1"/>
  <c r="Y11" i="10" s="1"/>
  <c r="Z11" i="10" a="1"/>
  <c r="Z11" i="10" s="1"/>
  <c r="AJ35" i="10"/>
  <c r="AJ16" i="10" s="1" a="1"/>
  <c r="AJ16" i="10" s="1"/>
  <c r="AO35" i="10"/>
  <c r="AO16" i="10" s="1" a="1"/>
  <c r="AO16" i="10" s="1"/>
  <c r="AF35" i="10"/>
  <c r="AF16" i="10" s="1" a="1"/>
  <c r="AF16" i="10" s="1"/>
  <c r="AL35" i="10"/>
  <c r="AL16" i="10" s="1" a="1"/>
  <c r="AL16" i="10" s="1"/>
  <c r="AB35" i="10"/>
  <c r="AB16" i="10" s="1" a="1"/>
  <c r="AB16" i="10" s="1"/>
  <c r="AI35" i="10"/>
  <c r="AI16" i="10" s="1" a="1"/>
  <c r="AI16" i="10" s="1"/>
  <c r="AN35" i="10"/>
  <c r="AN16" i="10" s="1" a="1"/>
  <c r="AN16" i="10" s="1"/>
  <c r="AD35" i="10"/>
  <c r="AD16" i="10" s="1" a="1"/>
  <c r="AD16" i="10" s="1"/>
  <c r="AK35" i="10"/>
  <c r="AK16" i="10" s="1" a="1"/>
  <c r="AK16" i="10" s="1"/>
  <c r="AA35" i="10"/>
  <c r="AA16" i="10" s="1" a="1"/>
  <c r="AA16" i="10" s="1"/>
  <c r="AP35" i="10"/>
  <c r="AP16" i="10" s="1" a="1"/>
  <c r="AP16" i="10" s="1"/>
  <c r="AM35" i="10"/>
  <c r="AM16" i="10" s="1" a="1"/>
  <c r="AM16" i="10" s="1"/>
  <c r="AC35" i="10"/>
  <c r="AC16" i="10" s="1" a="1"/>
  <c r="AC16" i="10" s="1"/>
  <c r="AG35" i="10"/>
  <c r="AG16" i="10" s="1" a="1"/>
  <c r="AG16" i="10" s="1"/>
  <c r="Q11" i="10" a="1"/>
  <c r="Q11" i="10" s="1"/>
  <c r="AA30" i="10"/>
  <c r="AA11" i="10" s="1" a="1"/>
  <c r="AA11" i="10" s="1"/>
  <c r="AM30" i="10"/>
  <c r="AM11" i="10" s="1" a="1"/>
  <c r="AM11" i="10" s="1"/>
  <c r="AC30" i="10"/>
  <c r="AC11" i="10" s="1" a="1"/>
  <c r="AC11" i="10" s="1"/>
  <c r="AL30" i="10"/>
  <c r="AL11" i="10" s="1" a="1"/>
  <c r="AL11" i="10" s="1"/>
  <c r="AB30" i="10"/>
  <c r="AB11" i="10" s="1" a="1"/>
  <c r="AB11" i="10" s="1"/>
  <c r="AO30" i="10"/>
  <c r="AO11" i="10" s="1" a="1"/>
  <c r="AO11" i="10" s="1"/>
  <c r="AK30" i="10"/>
  <c r="AK11" i="10" s="1" a="1"/>
  <c r="AK11" i="10" s="1"/>
  <c r="AJ30" i="10"/>
  <c r="AJ11" i="10" s="1" a="1"/>
  <c r="AJ11" i="10" s="1"/>
  <c r="AI30" i="10"/>
  <c r="AI11" i="10" s="1" a="1"/>
  <c r="AI11" i="10" s="1"/>
  <c r="AP30" i="10"/>
  <c r="AP11" i="10" s="1" a="1"/>
  <c r="AP11" i="10" s="1"/>
  <c r="AN30" i="10"/>
  <c r="AN11" i="10" s="1" a="1"/>
  <c r="AN11" i="10" s="1"/>
  <c r="AD30" i="10"/>
  <c r="AD11" i="10" s="1" a="1"/>
  <c r="AD11" i="10" s="1"/>
  <c r="AG30" i="10"/>
  <c r="AG11" i="10" s="1" a="1"/>
  <c r="AG11" i="10" s="1"/>
  <c r="AF30" i="10"/>
  <c r="AF11" i="10" s="1" a="1"/>
  <c r="AF11" i="10" s="1"/>
  <c r="AJ31" i="10"/>
  <c r="AJ12" i="10" s="1" a="1"/>
  <c r="AJ12" i="10" s="1"/>
  <c r="AG31" i="10"/>
  <c r="AG12" i="10" s="1" a="1"/>
  <c r="AG12" i="10" s="1"/>
  <c r="AO31" i="10"/>
  <c r="AO12" i="10" s="1" a="1"/>
  <c r="AO12" i="10" s="1"/>
  <c r="AF31" i="10"/>
  <c r="AF12" i="10" s="1" a="1"/>
  <c r="AF12" i="10" s="1"/>
  <c r="AL31" i="10"/>
  <c r="AL12" i="10" s="1" a="1"/>
  <c r="AL12" i="10" s="1"/>
  <c r="AB31" i="10"/>
  <c r="AB12" i="10" s="1" a="1"/>
  <c r="AB12" i="10" s="1"/>
  <c r="AP31" i="10"/>
  <c r="AP12" i="10" s="1" a="1"/>
  <c r="AP12" i="10" s="1"/>
  <c r="AI31" i="10"/>
  <c r="AI12" i="10" s="1" a="1"/>
  <c r="AI12" i="10" s="1"/>
  <c r="AN31" i="10"/>
  <c r="AN12" i="10" s="1" a="1"/>
  <c r="AN12" i="10" s="1"/>
  <c r="AD31" i="10"/>
  <c r="AD12" i="10" s="1" a="1"/>
  <c r="AD12" i="10" s="1"/>
  <c r="AK31" i="10"/>
  <c r="AK12" i="10" s="1" a="1"/>
  <c r="AK12" i="10" s="1"/>
  <c r="AM31" i="10"/>
  <c r="AM12" i="10" s="1" a="1"/>
  <c r="AM12" i="10" s="1"/>
  <c r="AC31" i="10"/>
  <c r="AC12" i="10" s="1" a="1"/>
  <c r="AC12" i="10" s="1"/>
  <c r="AJ39" i="10"/>
  <c r="AJ20" i="10" s="1" a="1"/>
  <c r="AJ20" i="10" s="1"/>
  <c r="AP39" i="10"/>
  <c r="AP20" i="10" s="1" a="1"/>
  <c r="AP20" i="10" s="1"/>
  <c r="AO39" i="10"/>
  <c r="AO20" i="10" s="1" a="1"/>
  <c r="AO20" i="10" s="1"/>
  <c r="AF39" i="10"/>
  <c r="AF20" i="10" s="1" a="1"/>
  <c r="AF20" i="10" s="1"/>
  <c r="AG39" i="10"/>
  <c r="AG20" i="10" s="1" a="1"/>
  <c r="AG20" i="10" s="1"/>
  <c r="AL39" i="10"/>
  <c r="AL20" i="10" s="1" a="1"/>
  <c r="AL20" i="10" s="1"/>
  <c r="AB39" i="10"/>
  <c r="AB20" i="10" s="1" a="1"/>
  <c r="AB20" i="10" s="1"/>
  <c r="AI39" i="10"/>
  <c r="AI20" i="10" s="1" a="1"/>
  <c r="AI20" i="10" s="1"/>
  <c r="AN39" i="10"/>
  <c r="AN20" i="10" s="1" a="1"/>
  <c r="AN20" i="10" s="1"/>
  <c r="AD39" i="10"/>
  <c r="AD20" i="10" s="1" a="1"/>
  <c r="AD20" i="10" s="1"/>
  <c r="AK39" i="10"/>
  <c r="AK20" i="10" s="1" a="1"/>
  <c r="AK20" i="10" s="1"/>
  <c r="AA39" i="10"/>
  <c r="AA20" i="10" s="1" a="1"/>
  <c r="AA20" i="10" s="1"/>
  <c r="AM39" i="10"/>
  <c r="AM20" i="10" s="1" a="1"/>
  <c r="AM20" i="10" s="1"/>
  <c r="AC39" i="10"/>
  <c r="AC20" i="10" s="1" a="1"/>
  <c r="AC20" i="10" s="1"/>
  <c r="AA31" i="10"/>
  <c r="AA12" i="10" s="1" a="1"/>
  <c r="AA12" i="10" s="1"/>
  <c r="X11" i="10" a="1"/>
  <c r="X11" i="10" s="1"/>
  <c r="U11" i="10" a="1"/>
  <c r="U11" i="10" s="1"/>
  <c r="T11" i="10" a="1"/>
  <c r="T11" i="10" s="1"/>
  <c r="V11" i="10" a="1"/>
  <c r="V11" i="10" s="1"/>
  <c r="S11" i="10" a="1"/>
  <c r="S11" i="10" s="1"/>
  <c r="T20" i="10" a="1"/>
  <c r="T20" i="10" s="1"/>
  <c r="S20" i="10" a="1"/>
  <c r="S20" i="10" s="1"/>
  <c r="T12" i="10" a="1"/>
  <c r="T12" i="10" s="1"/>
  <c r="U12" i="10" a="1"/>
  <c r="U12" i="10" s="1"/>
  <c r="X12" i="10" a="1"/>
  <c r="X12" i="10" s="1"/>
  <c r="Z12" i="10" a="1"/>
  <c r="Z12" i="10" s="1"/>
  <c r="V12" i="10" a="1"/>
  <c r="V12" i="10" s="1"/>
  <c r="W12" i="10" a="1"/>
  <c r="W12" i="10" s="1"/>
  <c r="Q16" i="10" a="1"/>
  <c r="Q16" i="10" s="1"/>
  <c r="P86" i="10" l="1"/>
  <c r="T86" i="10"/>
  <c r="U86" i="10"/>
  <c r="L86" i="10"/>
  <c r="K86" i="10"/>
  <c r="Y86" i="10"/>
  <c r="W86" i="10"/>
  <c r="N86" i="10"/>
  <c r="E87" i="10"/>
  <c r="D87" i="10"/>
  <c r="D86" i="10"/>
  <c r="C87" i="10"/>
  <c r="B87" i="10"/>
  <c r="B86" i="10"/>
  <c r="Q104" i="15"/>
  <c r="X104" i="15"/>
  <c r="Y104" i="15"/>
  <c r="Z104" i="15"/>
  <c r="AA104" i="15"/>
  <c r="AB104" i="15"/>
  <c r="AC104" i="15"/>
  <c r="AE104" i="15"/>
  <c r="AF104" i="15"/>
  <c r="AG104" i="15"/>
  <c r="AH104" i="15"/>
  <c r="AI104" i="15"/>
  <c r="AJ104" i="15"/>
  <c r="Q99" i="15"/>
  <c r="X99" i="15"/>
  <c r="Y99" i="15"/>
  <c r="Z99" i="15"/>
  <c r="AA99" i="15"/>
  <c r="AB99" i="15"/>
  <c r="AC99" i="15"/>
  <c r="AE99" i="15"/>
  <c r="AF99" i="15"/>
  <c r="AG99" i="15"/>
  <c r="AH99" i="15"/>
  <c r="AI99" i="15"/>
  <c r="AJ99" i="15"/>
  <c r="Q100" i="15"/>
  <c r="X100" i="15"/>
  <c r="Y100" i="15"/>
  <c r="Z100" i="15"/>
  <c r="AA100" i="15"/>
  <c r="AB100" i="15"/>
  <c r="AC100" i="15"/>
  <c r="AE100" i="15"/>
  <c r="AF100" i="15"/>
  <c r="AG100" i="15"/>
  <c r="AH100" i="15"/>
  <c r="AI100" i="15"/>
  <c r="AJ100" i="15"/>
  <c r="Q101" i="15"/>
  <c r="X101" i="15"/>
  <c r="Y101" i="15"/>
  <c r="Z101" i="15"/>
  <c r="AA101" i="15"/>
  <c r="AB101" i="15"/>
  <c r="AC101" i="15"/>
  <c r="AE101" i="15"/>
  <c r="AF101" i="15"/>
  <c r="AG101" i="15"/>
  <c r="AH101" i="15"/>
  <c r="AI101" i="15"/>
  <c r="AJ101" i="15"/>
  <c r="Q102" i="15"/>
  <c r="X102" i="15"/>
  <c r="Y102" i="15"/>
  <c r="Z102" i="15"/>
  <c r="AA102" i="15"/>
  <c r="AB102" i="15"/>
  <c r="AC102" i="15"/>
  <c r="AE102" i="15"/>
  <c r="AF102" i="15"/>
  <c r="AG102" i="15"/>
  <c r="AH102" i="15"/>
  <c r="AI102" i="15"/>
  <c r="AJ102" i="15"/>
  <c r="Q103" i="15"/>
  <c r="X103" i="15"/>
  <c r="Y103" i="15"/>
  <c r="Z103" i="15"/>
  <c r="AA103" i="15"/>
  <c r="AB103" i="15"/>
  <c r="AC103" i="15"/>
  <c r="AE103" i="15"/>
  <c r="AF103" i="15"/>
  <c r="AG103" i="15"/>
  <c r="AH103" i="15"/>
  <c r="N103" i="15" s="1"/>
  <c r="AI103" i="15"/>
  <c r="AJ103" i="15"/>
  <c r="Q85" i="15"/>
  <c r="X85" i="15"/>
  <c r="Y85" i="15"/>
  <c r="Z85" i="15"/>
  <c r="AA85" i="15"/>
  <c r="AB85" i="15"/>
  <c r="AC85" i="15"/>
  <c r="AE85" i="15"/>
  <c r="AF85" i="15"/>
  <c r="AG85" i="15"/>
  <c r="AH85" i="15"/>
  <c r="AI85" i="15"/>
  <c r="AJ85" i="15"/>
  <c r="AH87" i="15"/>
  <c r="AI87" i="15"/>
  <c r="AJ87" i="15"/>
  <c r="AH88" i="15"/>
  <c r="AI88" i="15"/>
  <c r="AJ88" i="15"/>
  <c r="AH89" i="15"/>
  <c r="AI89" i="15"/>
  <c r="AJ89" i="15"/>
  <c r="AH90" i="15"/>
  <c r="AI90" i="15"/>
  <c r="AJ90" i="15"/>
  <c r="AH91" i="15"/>
  <c r="AI91" i="15"/>
  <c r="AJ91" i="15"/>
  <c r="AH92" i="15"/>
  <c r="AI92" i="15"/>
  <c r="AJ92" i="15"/>
  <c r="AH93" i="15"/>
  <c r="AI93" i="15"/>
  <c r="AJ93" i="15"/>
  <c r="AH94" i="15"/>
  <c r="AI94" i="15"/>
  <c r="AJ94" i="15"/>
  <c r="AH95" i="15"/>
  <c r="AI95" i="15"/>
  <c r="AJ95" i="15"/>
  <c r="AH96" i="15"/>
  <c r="AI96" i="15"/>
  <c r="AJ96" i="15"/>
  <c r="AH97" i="15"/>
  <c r="AI97" i="15"/>
  <c r="AJ97" i="15"/>
  <c r="AH98" i="15"/>
  <c r="AI98" i="15"/>
  <c r="AJ98" i="15"/>
  <c r="AI86" i="15"/>
  <c r="AJ86" i="15"/>
  <c r="AH86" i="15"/>
  <c r="AC87" i="15"/>
  <c r="AE87" i="15"/>
  <c r="AF87" i="15"/>
  <c r="AG87" i="15"/>
  <c r="AC88" i="15"/>
  <c r="AE88" i="15"/>
  <c r="AF88" i="15"/>
  <c r="AG88" i="15"/>
  <c r="AC89" i="15"/>
  <c r="AE89" i="15"/>
  <c r="AF89" i="15"/>
  <c r="AG89" i="15"/>
  <c r="AC90" i="15"/>
  <c r="AE90" i="15"/>
  <c r="AF90" i="15"/>
  <c r="AG90" i="15"/>
  <c r="AC91" i="15"/>
  <c r="AE91" i="15"/>
  <c r="AF91" i="15"/>
  <c r="AG91" i="15"/>
  <c r="AC92" i="15"/>
  <c r="AE92" i="15"/>
  <c r="AF92" i="15"/>
  <c r="AG92" i="15"/>
  <c r="AC93" i="15"/>
  <c r="AE93" i="15"/>
  <c r="AF93" i="15"/>
  <c r="AG93" i="15"/>
  <c r="AC94" i="15"/>
  <c r="AE94" i="15"/>
  <c r="AF94" i="15"/>
  <c r="AG94" i="15"/>
  <c r="AC95" i="15"/>
  <c r="AE95" i="15"/>
  <c r="AF95" i="15"/>
  <c r="AG95" i="15"/>
  <c r="AC96" i="15"/>
  <c r="AE96" i="15"/>
  <c r="AF96" i="15"/>
  <c r="AG96" i="15"/>
  <c r="AC97" i="15"/>
  <c r="AE97" i="15"/>
  <c r="AF97" i="15"/>
  <c r="AG97" i="15"/>
  <c r="AC98" i="15"/>
  <c r="AE98" i="15"/>
  <c r="AF98" i="15"/>
  <c r="AG98" i="15"/>
  <c r="AE86" i="15"/>
  <c r="AF86" i="15"/>
  <c r="AG86" i="15"/>
  <c r="Y87" i="15"/>
  <c r="Z87" i="15"/>
  <c r="AA87" i="15"/>
  <c r="AB87" i="15"/>
  <c r="Y88" i="15"/>
  <c r="Z88" i="15"/>
  <c r="AA88" i="15"/>
  <c r="AB88" i="15"/>
  <c r="Y89" i="15"/>
  <c r="Z89" i="15"/>
  <c r="AA89" i="15"/>
  <c r="AB89" i="15"/>
  <c r="Y90" i="15"/>
  <c r="Z90" i="15"/>
  <c r="AA90" i="15"/>
  <c r="AB90" i="15"/>
  <c r="Y91" i="15"/>
  <c r="Z91" i="15"/>
  <c r="AA91" i="15"/>
  <c r="AB91" i="15"/>
  <c r="Y92" i="15"/>
  <c r="Z92" i="15"/>
  <c r="AA92" i="15"/>
  <c r="AB92" i="15"/>
  <c r="Y93" i="15"/>
  <c r="Z93" i="15"/>
  <c r="AA93" i="15"/>
  <c r="AB93" i="15"/>
  <c r="Y94" i="15"/>
  <c r="Z94" i="15"/>
  <c r="AA94" i="15"/>
  <c r="AB94" i="15"/>
  <c r="Y95" i="15"/>
  <c r="Z95" i="15"/>
  <c r="AA95" i="15"/>
  <c r="AB95" i="15"/>
  <c r="Y96" i="15"/>
  <c r="Z96" i="15"/>
  <c r="AA96" i="15"/>
  <c r="AB96" i="15"/>
  <c r="X97" i="15"/>
  <c r="Y97" i="15"/>
  <c r="Z97" i="15"/>
  <c r="AA97" i="15"/>
  <c r="AB97" i="15"/>
  <c r="X98" i="15"/>
  <c r="Y98" i="15"/>
  <c r="Z98" i="15"/>
  <c r="AA98" i="15"/>
  <c r="AB98" i="15"/>
  <c r="Y86" i="15"/>
  <c r="Z86" i="15"/>
  <c r="AA86" i="15"/>
  <c r="AB86" i="15"/>
  <c r="AC86" i="15"/>
  <c r="O75" i="26" l="1"/>
  <c r="L48" i="27"/>
  <c r="L47" i="27"/>
  <c r="L49" i="27"/>
  <c r="H48" i="27"/>
  <c r="H49" i="27"/>
  <c r="H47" i="27"/>
  <c r="M75" i="26"/>
  <c r="O75" i="18"/>
  <c r="O61" i="26"/>
  <c r="O59" i="26"/>
  <c r="M60" i="26"/>
  <c r="M61" i="26"/>
  <c r="M59" i="26"/>
  <c r="O60" i="26"/>
  <c r="O58" i="26"/>
  <c r="K75" i="18"/>
  <c r="K75" i="26"/>
  <c r="K60" i="26"/>
  <c r="K58" i="26"/>
  <c r="I75" i="26"/>
  <c r="I60" i="26"/>
  <c r="I61" i="26"/>
  <c r="K61" i="26"/>
  <c r="K59" i="26"/>
  <c r="I59" i="26"/>
  <c r="M75" i="18"/>
  <c r="I75" i="18"/>
  <c r="K61" i="18"/>
  <c r="Z52" i="10" s="1"/>
  <c r="O61" i="18"/>
  <c r="O59" i="18"/>
  <c r="O60" i="18"/>
  <c r="M61" i="18"/>
  <c r="O58" i="18"/>
  <c r="M59" i="18"/>
  <c r="M60" i="18"/>
  <c r="K59" i="18"/>
  <c r="X52" i="10" s="1"/>
  <c r="K60" i="18"/>
  <c r="Y52" i="10" s="1"/>
  <c r="I61" i="18"/>
  <c r="U52" i="10" s="1"/>
  <c r="K58" i="18"/>
  <c r="I59" i="18"/>
  <c r="S52" i="10" s="1"/>
  <c r="I60" i="18"/>
  <c r="T52" i="10" s="1"/>
  <c r="F87" i="10"/>
  <c r="F86" i="10"/>
  <c r="G87" i="10"/>
  <c r="E86" i="10"/>
  <c r="C86" i="10"/>
  <c r="G100" i="15"/>
  <c r="D101" i="15"/>
  <c r="I104" i="15"/>
  <c r="M102" i="15"/>
  <c r="G104" i="15"/>
  <c r="E85" i="15"/>
  <c r="E100" i="15"/>
  <c r="G99" i="15"/>
  <c r="R100" i="15"/>
  <c r="R104" i="15"/>
  <c r="P101" i="15"/>
  <c r="L103" i="15"/>
  <c r="H99" i="15"/>
  <c r="I85" i="15"/>
  <c r="K103" i="15"/>
  <c r="O101" i="15"/>
  <c r="H85" i="15"/>
  <c r="L102" i="15"/>
  <c r="N101" i="15"/>
  <c r="P100" i="15"/>
  <c r="D100" i="15"/>
  <c r="F99" i="15"/>
  <c r="H104" i="15"/>
  <c r="E99" i="15"/>
  <c r="R103" i="15"/>
  <c r="M103" i="15"/>
  <c r="E101" i="15"/>
  <c r="I99" i="15"/>
  <c r="F100" i="15"/>
  <c r="G85" i="15"/>
  <c r="I103" i="15"/>
  <c r="K102" i="15"/>
  <c r="M101" i="15"/>
  <c r="O100" i="15"/>
  <c r="F85" i="15"/>
  <c r="H103" i="15"/>
  <c r="L101" i="15"/>
  <c r="N100" i="15"/>
  <c r="P99" i="15"/>
  <c r="D99" i="15"/>
  <c r="F104" i="15"/>
  <c r="R99" i="15"/>
  <c r="E104" i="15"/>
  <c r="K85" i="15"/>
  <c r="O102" i="15"/>
  <c r="K104" i="15"/>
  <c r="N102" i="15"/>
  <c r="G103" i="15"/>
  <c r="I102" i="15"/>
  <c r="K101" i="15"/>
  <c r="M100" i="15"/>
  <c r="O99" i="15"/>
  <c r="P85" i="15"/>
  <c r="F103" i="15"/>
  <c r="H102" i="15"/>
  <c r="L100" i="15"/>
  <c r="N99" i="15"/>
  <c r="P104" i="15"/>
  <c r="D104" i="15"/>
  <c r="R102" i="15"/>
  <c r="E103" i="15"/>
  <c r="G102" i="15"/>
  <c r="I101" i="15"/>
  <c r="K100" i="15"/>
  <c r="M99" i="15"/>
  <c r="O104" i="15"/>
  <c r="N85" i="15"/>
  <c r="P103" i="15"/>
  <c r="D103" i="15"/>
  <c r="F102" i="15"/>
  <c r="H101" i="15"/>
  <c r="L99" i="15"/>
  <c r="N104" i="15"/>
  <c r="R85" i="15"/>
  <c r="E102" i="15"/>
  <c r="G101" i="15"/>
  <c r="I100" i="15"/>
  <c r="K99" i="15"/>
  <c r="M104" i="15"/>
  <c r="R101" i="15"/>
  <c r="O85" i="15"/>
  <c r="M85" i="15"/>
  <c r="O103" i="15"/>
  <c r="L85" i="15"/>
  <c r="P102" i="15"/>
  <c r="D102" i="15"/>
  <c r="F101" i="15"/>
  <c r="H100" i="15"/>
  <c r="L104" i="15"/>
  <c r="D85" i="15"/>
  <c r="Q49" i="27" l="1"/>
  <c r="Q48" i="27"/>
  <c r="Q47" i="27"/>
  <c r="N75" i="26"/>
  <c r="N49" i="27"/>
  <c r="J49" i="27"/>
  <c r="AA56" i="10"/>
  <c r="AC56" i="10"/>
  <c r="AB56" i="10"/>
  <c r="AG56" i="10"/>
  <c r="AD56" i="10"/>
  <c r="AF56" i="10"/>
  <c r="AP36" i="10"/>
  <c r="AP17" i="10" s="1" a="1"/>
  <c r="AP17" i="10" s="1"/>
  <c r="AK56" i="10"/>
  <c r="AJ56" i="10"/>
  <c r="AI56" i="10"/>
  <c r="AO56" i="10"/>
  <c r="AM56" i="10"/>
  <c r="AP56" i="10"/>
  <c r="AN56" i="10"/>
  <c r="AL56" i="10"/>
  <c r="AF52" i="10"/>
  <c r="AB52" i="10"/>
  <c r="AA52" i="10"/>
  <c r="AG52" i="10"/>
  <c r="AD52" i="10"/>
  <c r="AC52" i="10"/>
  <c r="AP32" i="10"/>
  <c r="AP13" i="10" s="1" a="1"/>
  <c r="AP13" i="10" s="1"/>
  <c r="AJ52" i="10"/>
  <c r="AN52" i="10"/>
  <c r="AL52" i="10"/>
  <c r="AK52" i="10"/>
  <c r="AI52" i="10"/>
  <c r="AO52" i="10"/>
  <c r="AM52" i="10"/>
  <c r="AP52" i="10"/>
  <c r="AF36" i="10"/>
  <c r="AF17" i="10" s="1" a="1"/>
  <c r="AF17" i="10" s="1"/>
  <c r="AG36" i="10"/>
  <c r="AG17" i="10" s="1" a="1"/>
  <c r="AG17" i="10" s="1"/>
  <c r="AC36" i="10"/>
  <c r="AC17" i="10" s="1" a="1"/>
  <c r="AC17" i="10" s="1"/>
  <c r="AD36" i="10"/>
  <c r="AD17" i="10" s="1" a="1"/>
  <c r="AD17" i="10" s="1"/>
  <c r="AA36" i="10"/>
  <c r="AA17" i="10" s="1" a="1"/>
  <c r="AA17" i="10" s="1"/>
  <c r="AB36" i="10"/>
  <c r="AB17" i="10" s="1" a="1"/>
  <c r="AB17" i="10" s="1"/>
  <c r="AN36" i="10"/>
  <c r="AN17" i="10" s="1" a="1"/>
  <c r="AN17" i="10" s="1"/>
  <c r="AO36" i="10"/>
  <c r="AO17" i="10" s="1" a="1"/>
  <c r="AO17" i="10" s="1"/>
  <c r="AL36" i="10"/>
  <c r="AL17" i="10" s="1" a="1"/>
  <c r="AL17" i="10" s="1"/>
  <c r="AM36" i="10"/>
  <c r="AM17" i="10" s="1" a="1"/>
  <c r="AM17" i="10" s="1"/>
  <c r="AJ36" i="10"/>
  <c r="AJ17" i="10" s="1" a="1"/>
  <c r="AJ17" i="10" s="1"/>
  <c r="AK36" i="10"/>
  <c r="AK17" i="10" s="1" a="1"/>
  <c r="AK17" i="10" s="1"/>
  <c r="AN32" i="10"/>
  <c r="AN13" i="10" s="1" a="1"/>
  <c r="AN13" i="10" s="1"/>
  <c r="AO32" i="10"/>
  <c r="AO13" i="10" s="1" a="1"/>
  <c r="AO13" i="10" s="1"/>
  <c r="AL32" i="10"/>
  <c r="AL13" i="10" s="1" a="1"/>
  <c r="AL13" i="10" s="1"/>
  <c r="AM32" i="10"/>
  <c r="AM13" i="10" s="1" a="1"/>
  <c r="AM13" i="10" s="1"/>
  <c r="AJ32" i="10"/>
  <c r="AJ13" i="10" s="1" a="1"/>
  <c r="AJ13" i="10" s="1"/>
  <c r="AK32" i="10"/>
  <c r="AK13" i="10" s="1" a="1"/>
  <c r="AK13" i="10" s="1"/>
  <c r="AI36" i="10"/>
  <c r="AI17" i="10" s="1" a="1"/>
  <c r="AI17" i="10" s="1"/>
  <c r="AI32" i="10"/>
  <c r="AI13" i="10" s="1" a="1"/>
  <c r="AI13" i="10" s="1"/>
  <c r="AG32" i="10"/>
  <c r="AG13" i="10" s="1" a="1"/>
  <c r="AG13" i="10" s="1"/>
  <c r="AD32" i="10"/>
  <c r="AD13" i="10" s="1" a="1"/>
  <c r="AD13" i="10" s="1"/>
  <c r="AF32" i="10"/>
  <c r="AF13" i="10" s="1" a="1"/>
  <c r="AF13" i="10" s="1"/>
  <c r="AB32" i="10"/>
  <c r="AB13" i="10" s="1" a="1"/>
  <c r="AB13" i="10" s="1"/>
  <c r="AC32" i="10"/>
  <c r="AC13" i="10" s="1" a="1"/>
  <c r="AC13" i="10" s="1"/>
  <c r="AA32" i="10"/>
  <c r="AA13" i="10" s="1" a="1"/>
  <c r="AA13" i="10" s="1"/>
  <c r="U36" i="10"/>
  <c r="U17" i="10" s="1" a="1"/>
  <c r="U17" i="10" s="1"/>
  <c r="U56" i="10"/>
  <c r="Y36" i="10"/>
  <c r="Y56" i="10"/>
  <c r="X36" i="10"/>
  <c r="X17" i="10" s="1" a="1"/>
  <c r="X17" i="10" s="1"/>
  <c r="X56" i="10"/>
  <c r="Z36" i="10"/>
  <c r="Z56" i="10"/>
  <c r="T36" i="10"/>
  <c r="T56" i="10"/>
  <c r="W56" i="10"/>
  <c r="V56" i="10"/>
  <c r="S36" i="10"/>
  <c r="S56" i="10"/>
  <c r="W52" i="10"/>
  <c r="V52" i="10"/>
  <c r="V36" i="10"/>
  <c r="W36" i="10"/>
  <c r="Z32" i="10"/>
  <c r="Z13" i="10" s="1" a="1"/>
  <c r="Z13" i="10" s="1"/>
  <c r="Y32" i="10"/>
  <c r="Y13" i="10" s="1" a="1"/>
  <c r="Y13" i="10" s="1"/>
  <c r="X32" i="10"/>
  <c r="X13" i="10" s="1" a="1"/>
  <c r="X13" i="10" s="1"/>
  <c r="T32" i="10"/>
  <c r="T13" i="10" s="1" a="1"/>
  <c r="T13" i="10" s="1"/>
  <c r="S32" i="10"/>
  <c r="S13" i="10" s="1" a="1"/>
  <c r="S13" i="10" s="1"/>
  <c r="V32" i="10"/>
  <c r="W32" i="10"/>
  <c r="U32" i="10"/>
  <c r="Q75" i="26"/>
  <c r="J75" i="26"/>
  <c r="L75" i="26"/>
  <c r="L61" i="26"/>
  <c r="L59" i="26"/>
  <c r="L58" i="26"/>
  <c r="J61" i="26"/>
  <c r="L60" i="26"/>
  <c r="Q61" i="26"/>
  <c r="N61" i="26"/>
  <c r="Q59" i="26"/>
  <c r="Q60" i="26"/>
  <c r="Q58" i="26"/>
  <c r="T75" i="26"/>
  <c r="T60" i="26"/>
  <c r="T58" i="26"/>
  <c r="R59" i="26"/>
  <c r="R75" i="26"/>
  <c r="R60" i="26"/>
  <c r="R61" i="26"/>
  <c r="T61" i="26"/>
  <c r="T59" i="26"/>
  <c r="R75" i="18"/>
  <c r="T75" i="18"/>
  <c r="N75" i="18"/>
  <c r="Q75" i="18"/>
  <c r="J75" i="18"/>
  <c r="L75" i="18"/>
  <c r="T61" i="18"/>
  <c r="T59" i="18"/>
  <c r="T60" i="18"/>
  <c r="R61" i="18"/>
  <c r="T58" i="18"/>
  <c r="R59" i="18"/>
  <c r="R60" i="18"/>
  <c r="Q60" i="18"/>
  <c r="Q61" i="18"/>
  <c r="Q58" i="18"/>
  <c r="Q59" i="18"/>
  <c r="N61" i="18"/>
  <c r="L60" i="18"/>
  <c r="Y53" i="10" s="1"/>
  <c r="L61" i="18"/>
  <c r="Z53" i="10" s="1"/>
  <c r="L58" i="18"/>
  <c r="L59" i="18"/>
  <c r="X53" i="10" s="1"/>
  <c r="J61" i="18"/>
  <c r="G86" i="10"/>
  <c r="M65" i="18" l="1"/>
  <c r="S49" i="27"/>
  <c r="I63" i="18"/>
  <c r="I64" i="18"/>
  <c r="K63" i="18"/>
  <c r="K64" i="26"/>
  <c r="K65" i="26"/>
  <c r="M87" i="10"/>
  <c r="T87" i="10"/>
  <c r="K87" i="10"/>
  <c r="V87" i="10"/>
  <c r="AN60" i="10"/>
  <c r="AM60" i="10"/>
  <c r="AI60" i="10"/>
  <c r="AL60" i="10"/>
  <c r="AK60" i="10"/>
  <c r="AP60" i="10"/>
  <c r="AJ60" i="10"/>
  <c r="AO60" i="10"/>
  <c r="AD60" i="10"/>
  <c r="AC60" i="10"/>
  <c r="AB60" i="10"/>
  <c r="AA60" i="10"/>
  <c r="AF60" i="10"/>
  <c r="AG60" i="10"/>
  <c r="AP37" i="10"/>
  <c r="AP18" i="10" s="1" a="1"/>
  <c r="AP18" i="10" s="1"/>
  <c r="AM57" i="10"/>
  <c r="AL57" i="10"/>
  <c r="AO57" i="10"/>
  <c r="AN57" i="10"/>
  <c r="AK57" i="10"/>
  <c r="AJ57" i="10"/>
  <c r="AI57" i="10"/>
  <c r="AP57" i="10"/>
  <c r="AC57" i="10"/>
  <c r="AB57" i="10"/>
  <c r="AA57" i="10"/>
  <c r="AG57" i="10"/>
  <c r="AD57" i="10"/>
  <c r="AF57" i="10"/>
  <c r="AB53" i="10"/>
  <c r="AF53" i="10"/>
  <c r="AA53" i="10"/>
  <c r="AG53" i="10"/>
  <c r="AC53" i="10"/>
  <c r="AD53" i="10"/>
  <c r="AP33" i="10"/>
  <c r="AP14" i="10" s="1" a="1"/>
  <c r="AP14" i="10" s="1"/>
  <c r="AL53" i="10"/>
  <c r="AK53" i="10"/>
  <c r="AO53" i="10"/>
  <c r="AN53" i="10"/>
  <c r="AJ53" i="10"/>
  <c r="AI53" i="10"/>
  <c r="AP53" i="10"/>
  <c r="AM53" i="10"/>
  <c r="AF40" i="10"/>
  <c r="AF21" i="10" s="1" a="1"/>
  <c r="AF21" i="10" s="1"/>
  <c r="AG40" i="10"/>
  <c r="AG21" i="10" s="1" a="1"/>
  <c r="AG21" i="10" s="1"/>
  <c r="AC40" i="10"/>
  <c r="AC21" i="10" s="1" a="1"/>
  <c r="AC21" i="10" s="1"/>
  <c r="AD40" i="10"/>
  <c r="AD21" i="10" s="1" a="1"/>
  <c r="AD21" i="10" s="1"/>
  <c r="AA40" i="10"/>
  <c r="AA21" i="10" s="1" a="1"/>
  <c r="AA21" i="10" s="1"/>
  <c r="AB40" i="10"/>
  <c r="AB21" i="10" s="1" a="1"/>
  <c r="AB21" i="10" s="1"/>
  <c r="AF37" i="10"/>
  <c r="AF18" i="10" s="1" a="1"/>
  <c r="AF18" i="10" s="1"/>
  <c r="AG37" i="10"/>
  <c r="AG18" i="10" s="1" a="1"/>
  <c r="AG18" i="10" s="1"/>
  <c r="AC37" i="10"/>
  <c r="AC18" i="10" s="1" a="1"/>
  <c r="AC18" i="10" s="1"/>
  <c r="AD37" i="10"/>
  <c r="AD18" i="10" s="1" a="1"/>
  <c r="AD18" i="10" s="1"/>
  <c r="AA37" i="10"/>
  <c r="AA18" i="10" s="1" a="1"/>
  <c r="AA18" i="10" s="1"/>
  <c r="AB37" i="10"/>
  <c r="AB18" i="10" s="1" a="1"/>
  <c r="AB18" i="10" s="1"/>
  <c r="AP40" i="10"/>
  <c r="AP21" i="10" s="1" a="1"/>
  <c r="AP21" i="10" s="1"/>
  <c r="AO40" i="10"/>
  <c r="AO21" i="10" s="1" a="1"/>
  <c r="AO21" i="10" s="1"/>
  <c r="AM40" i="10"/>
  <c r="AM21" i="10" s="1" a="1"/>
  <c r="AM21" i="10" s="1"/>
  <c r="AN40" i="10"/>
  <c r="AN21" i="10" s="1" a="1"/>
  <c r="AN21" i="10" s="1"/>
  <c r="AK40" i="10"/>
  <c r="AK21" i="10" s="1" a="1"/>
  <c r="AK21" i="10" s="1"/>
  <c r="AL40" i="10"/>
  <c r="AL21" i="10" s="1" a="1"/>
  <c r="AL21" i="10" s="1"/>
  <c r="AI40" i="10"/>
  <c r="AI21" i="10" s="1" a="1"/>
  <c r="AI21" i="10" s="1"/>
  <c r="AJ40" i="10"/>
  <c r="AJ21" i="10" s="1" a="1"/>
  <c r="AJ21" i="10" s="1"/>
  <c r="AN37" i="10"/>
  <c r="AN18" i="10" s="1" a="1"/>
  <c r="AN18" i="10" s="1"/>
  <c r="AO37" i="10"/>
  <c r="AO18" i="10" s="1" a="1"/>
  <c r="AO18" i="10" s="1"/>
  <c r="AL37" i="10"/>
  <c r="AL18" i="10" s="1" a="1"/>
  <c r="AL18" i="10" s="1"/>
  <c r="AM37" i="10"/>
  <c r="AM18" i="10" s="1" a="1"/>
  <c r="AM18" i="10" s="1"/>
  <c r="AJ37" i="10"/>
  <c r="AJ18" i="10" s="1" a="1"/>
  <c r="AJ18" i="10" s="1"/>
  <c r="AK37" i="10"/>
  <c r="AK18" i="10" s="1" a="1"/>
  <c r="AK18" i="10" s="1"/>
  <c r="AN33" i="10"/>
  <c r="AN14" i="10" s="1" a="1"/>
  <c r="AN14" i="10" s="1"/>
  <c r="AO33" i="10"/>
  <c r="AO14" i="10" s="1" a="1"/>
  <c r="AO14" i="10" s="1"/>
  <c r="AL33" i="10"/>
  <c r="AL14" i="10" s="1" a="1"/>
  <c r="AL14" i="10" s="1"/>
  <c r="AM33" i="10"/>
  <c r="AM14" i="10" s="1" a="1"/>
  <c r="AM14" i="10" s="1"/>
  <c r="AJ33" i="10"/>
  <c r="AJ14" i="10" s="1" a="1"/>
  <c r="AJ14" i="10" s="1"/>
  <c r="AK33" i="10"/>
  <c r="AK14" i="10" s="1" a="1"/>
  <c r="AK14" i="10" s="1"/>
  <c r="AI37" i="10"/>
  <c r="AI18" i="10" s="1" a="1"/>
  <c r="AI18" i="10" s="1"/>
  <c r="AI33" i="10"/>
  <c r="AI14" i="10" s="1" a="1"/>
  <c r="AI14" i="10" s="1"/>
  <c r="AG33" i="10"/>
  <c r="AG14" i="10" s="1" a="1"/>
  <c r="AG14" i="10" s="1"/>
  <c r="AD33" i="10"/>
  <c r="AD14" i="10" s="1" a="1"/>
  <c r="AD14" i="10" s="1"/>
  <c r="AF33" i="10"/>
  <c r="AF14" i="10" s="1" a="1"/>
  <c r="AF14" i="10" s="1"/>
  <c r="AB33" i="10"/>
  <c r="AB14" i="10" s="1" a="1"/>
  <c r="AB14" i="10" s="1"/>
  <c r="AC33" i="10"/>
  <c r="AC14" i="10" s="1" a="1"/>
  <c r="AC14" i="10" s="1"/>
  <c r="AA33" i="10"/>
  <c r="AA14" i="10" s="1" a="1"/>
  <c r="AA14" i="10" s="1"/>
  <c r="Y17" i="10" a="1"/>
  <c r="Y17" i="10" s="1"/>
  <c r="S17" i="10" a="1"/>
  <c r="S17" i="10" s="1"/>
  <c r="T17" i="10" a="1"/>
  <c r="T17" i="10" s="1"/>
  <c r="Z17" i="10" a="1"/>
  <c r="Z17" i="10" s="1"/>
  <c r="U40" i="10"/>
  <c r="U60" i="10"/>
  <c r="S40" i="10"/>
  <c r="S60" i="10"/>
  <c r="W60" i="10"/>
  <c r="V60" i="10"/>
  <c r="Y40" i="10"/>
  <c r="Y60" i="10"/>
  <c r="X40" i="10"/>
  <c r="X60" i="10"/>
  <c r="Z40" i="10"/>
  <c r="Z60" i="10"/>
  <c r="T40" i="10"/>
  <c r="T60" i="10"/>
  <c r="W17" i="10" a="1"/>
  <c r="W17" i="10" s="1"/>
  <c r="U53" i="10"/>
  <c r="U57" i="10"/>
  <c r="X37" i="10"/>
  <c r="X57" i="10"/>
  <c r="W57" i="10"/>
  <c r="V57" i="10"/>
  <c r="Z37" i="10"/>
  <c r="Z57" i="10"/>
  <c r="Y37" i="10"/>
  <c r="Y57" i="10"/>
  <c r="V17" i="10" a="1"/>
  <c r="V17" i="10" s="1"/>
  <c r="W53" i="10"/>
  <c r="V53" i="10"/>
  <c r="W13" i="10" a="1"/>
  <c r="W13" i="10" s="1"/>
  <c r="V13" i="10" a="1"/>
  <c r="V13" i="10" s="1"/>
  <c r="V40" i="10"/>
  <c r="W40" i="10"/>
  <c r="W37" i="10"/>
  <c r="V37" i="10"/>
  <c r="Z33" i="10"/>
  <c r="Z14" i="10" s="1" a="1"/>
  <c r="Z14" i="10" s="1"/>
  <c r="Y33" i="10"/>
  <c r="Y14" i="10" s="1" a="1"/>
  <c r="Y14" i="10" s="1"/>
  <c r="U33" i="10"/>
  <c r="U37" i="10"/>
  <c r="X33" i="10"/>
  <c r="X14" i="10" s="1" a="1"/>
  <c r="X14" i="10" s="1"/>
  <c r="V33" i="10"/>
  <c r="W33" i="10"/>
  <c r="M65" i="26"/>
  <c r="K64" i="18"/>
  <c r="K65" i="18"/>
  <c r="K63" i="26"/>
  <c r="O63" i="26"/>
  <c r="O63" i="18"/>
  <c r="I64" i="26"/>
  <c r="I63" i="26"/>
  <c r="U75" i="18"/>
  <c r="U58" i="26"/>
  <c r="S75" i="26"/>
  <c r="U60" i="26"/>
  <c r="U61" i="26"/>
  <c r="U59" i="26"/>
  <c r="S61" i="26"/>
  <c r="U75" i="26"/>
  <c r="S75" i="18"/>
  <c r="U60" i="18"/>
  <c r="U61" i="18"/>
  <c r="U58" i="18"/>
  <c r="U59" i="18"/>
  <c r="S61" i="18"/>
  <c r="Q95" i="15"/>
  <c r="R95" i="15"/>
  <c r="H95" i="15"/>
  <c r="O95" i="15"/>
  <c r="E95" i="15"/>
  <c r="D95" i="15"/>
  <c r="F95" i="15"/>
  <c r="N95" i="15"/>
  <c r="P95" i="15"/>
  <c r="I95" i="15"/>
  <c r="M95" i="15"/>
  <c r="G95" i="15"/>
  <c r="K95" i="15"/>
  <c r="L95" i="15"/>
  <c r="Q94" i="15"/>
  <c r="R94" i="15"/>
  <c r="M94" i="15"/>
  <c r="P94" i="15"/>
  <c r="O94" i="15"/>
  <c r="K94" i="15"/>
  <c r="H94" i="15"/>
  <c r="I94" i="15"/>
  <c r="N94" i="15"/>
  <c r="F94" i="15"/>
  <c r="L94" i="15"/>
  <c r="G94" i="15"/>
  <c r="E94" i="15"/>
  <c r="D94" i="15"/>
  <c r="Q93" i="15"/>
  <c r="R93" i="15"/>
  <c r="D93" i="15"/>
  <c r="E93" i="15"/>
  <c r="I93" i="15"/>
  <c r="F93" i="15"/>
  <c r="L93" i="15"/>
  <c r="P93" i="15"/>
  <c r="K93" i="15"/>
  <c r="O93" i="15"/>
  <c r="H93" i="15"/>
  <c r="N93" i="15"/>
  <c r="G93" i="15"/>
  <c r="M93" i="15"/>
  <c r="R92" i="15"/>
  <c r="Q92" i="15"/>
  <c r="K92" i="15"/>
  <c r="L92" i="15"/>
  <c r="O92" i="15"/>
  <c r="N92" i="15"/>
  <c r="I92" i="15"/>
  <c r="F92" i="15"/>
  <c r="M92" i="15"/>
  <c r="G92" i="15"/>
  <c r="P92" i="15"/>
  <c r="E92" i="15"/>
  <c r="D92" i="15"/>
  <c r="H92" i="15"/>
  <c r="Q91" i="15"/>
  <c r="R91" i="15"/>
  <c r="D91" i="15"/>
  <c r="O91" i="15"/>
  <c r="E91" i="15"/>
  <c r="G91" i="15"/>
  <c r="M91" i="15"/>
  <c r="L91" i="15"/>
  <c r="N91" i="15"/>
  <c r="F91" i="15"/>
  <c r="P91" i="15"/>
  <c r="I91" i="15"/>
  <c r="H91" i="15"/>
  <c r="K91" i="15"/>
  <c r="Q90" i="15"/>
  <c r="R90" i="15"/>
  <c r="K90" i="15"/>
  <c r="O90" i="15"/>
  <c r="H90" i="15"/>
  <c r="I90" i="15"/>
  <c r="D90" i="15"/>
  <c r="M90" i="15"/>
  <c r="E90" i="15"/>
  <c r="N90" i="15"/>
  <c r="G90" i="15"/>
  <c r="P90" i="15"/>
  <c r="F90" i="15"/>
  <c r="L90" i="15"/>
  <c r="Q89" i="15"/>
  <c r="R89" i="15"/>
  <c r="D89" i="15"/>
  <c r="I89" i="15"/>
  <c r="N89" i="15"/>
  <c r="P89" i="15"/>
  <c r="O89" i="15"/>
  <c r="M89" i="15"/>
  <c r="H89" i="15"/>
  <c r="L89" i="15"/>
  <c r="G89" i="15"/>
  <c r="K89" i="15"/>
  <c r="E89" i="15"/>
  <c r="F89" i="15"/>
  <c r="Q96" i="15"/>
  <c r="R96" i="15"/>
  <c r="E96" i="15"/>
  <c r="M96" i="15"/>
  <c r="I96" i="15"/>
  <c r="K96" i="15"/>
  <c r="H96" i="15"/>
  <c r="L96" i="15"/>
  <c r="G96" i="15"/>
  <c r="O96" i="15"/>
  <c r="P96" i="15"/>
  <c r="D96" i="15"/>
  <c r="N96" i="15"/>
  <c r="F96" i="15"/>
  <c r="R88" i="15"/>
  <c r="Q88" i="15"/>
  <c r="H88" i="15"/>
  <c r="N88" i="15"/>
  <c r="F88" i="15"/>
  <c r="P88" i="15"/>
  <c r="M88" i="15"/>
  <c r="E88" i="15"/>
  <c r="D88" i="15"/>
  <c r="G88" i="15"/>
  <c r="O88" i="15"/>
  <c r="L88" i="15"/>
  <c r="K88" i="15"/>
  <c r="I88" i="15"/>
  <c r="Q86" i="15"/>
  <c r="R86" i="15"/>
  <c r="M86" i="15"/>
  <c r="K86" i="15"/>
  <c r="P86" i="15"/>
  <c r="G86" i="15"/>
  <c r="N86" i="15"/>
  <c r="L86" i="15"/>
  <c r="F86" i="15"/>
  <c r="D86" i="15"/>
  <c r="O86" i="15"/>
  <c r="I86" i="15"/>
  <c r="E86" i="15"/>
  <c r="H86" i="15"/>
  <c r="Q87" i="15"/>
  <c r="R87" i="15"/>
  <c r="K87" i="15"/>
  <c r="H87" i="15"/>
  <c r="L87" i="15"/>
  <c r="D87" i="15"/>
  <c r="O87" i="15"/>
  <c r="M87" i="15"/>
  <c r="E87" i="15"/>
  <c r="G87" i="15"/>
  <c r="N87" i="15"/>
  <c r="I87" i="15"/>
  <c r="F87" i="15"/>
  <c r="P87" i="15"/>
  <c r="Q98" i="15"/>
  <c r="R98" i="15"/>
  <c r="E98" i="15"/>
  <c r="K98" i="15"/>
  <c r="F98" i="15"/>
  <c r="L98" i="15"/>
  <c r="M98" i="15"/>
  <c r="H98" i="15"/>
  <c r="N98" i="15"/>
  <c r="I98" i="15"/>
  <c r="O98" i="15"/>
  <c r="P98" i="15"/>
  <c r="D98" i="15"/>
  <c r="G98" i="15"/>
  <c r="R97" i="15"/>
  <c r="D97" i="15"/>
  <c r="Q97" i="15"/>
  <c r="I97" i="15"/>
  <c r="K97" i="15"/>
  <c r="N97" i="15"/>
  <c r="F97" i="15"/>
  <c r="E97" i="15"/>
  <c r="P97" i="15"/>
  <c r="O97" i="15"/>
  <c r="G97" i="15"/>
  <c r="H97" i="15"/>
  <c r="L97" i="15"/>
  <c r="M97" i="15"/>
  <c r="O65" i="26" l="1"/>
  <c r="O62" i="18"/>
  <c r="M64" i="26"/>
  <c r="M63" i="18"/>
  <c r="K76" i="26"/>
  <c r="O64" i="26"/>
  <c r="M76" i="18"/>
  <c r="X87" i="10"/>
  <c r="O76" i="26"/>
  <c r="K76" i="18"/>
  <c r="K62" i="18"/>
  <c r="I76" i="26"/>
  <c r="L64" i="26"/>
  <c r="L65" i="26"/>
  <c r="M76" i="26"/>
  <c r="I76" i="18"/>
  <c r="N87" i="10"/>
  <c r="U87" i="10"/>
  <c r="L87" i="10"/>
  <c r="O76" i="18"/>
  <c r="W87" i="10"/>
  <c r="O65" i="18"/>
  <c r="O87" i="10"/>
  <c r="AG61" i="10"/>
  <c r="AA61" i="10"/>
  <c r="AF61" i="10"/>
  <c r="AD61" i="10"/>
  <c r="AC61" i="10"/>
  <c r="AB61" i="10"/>
  <c r="AP61" i="10"/>
  <c r="AI61" i="10"/>
  <c r="AO61" i="10"/>
  <c r="AN61" i="10"/>
  <c r="AJ61" i="10"/>
  <c r="AM61" i="10"/>
  <c r="AL61" i="10"/>
  <c r="AK61" i="10"/>
  <c r="AF41" i="10"/>
  <c r="AF22" i="10" s="1" a="1"/>
  <c r="AF22" i="10" s="1"/>
  <c r="AG41" i="10"/>
  <c r="AG22" i="10" s="1" a="1"/>
  <c r="AG22" i="10" s="1"/>
  <c r="AC41" i="10"/>
  <c r="AC22" i="10" s="1" a="1"/>
  <c r="AC22" i="10" s="1"/>
  <c r="AD41" i="10"/>
  <c r="AD22" i="10" s="1" a="1"/>
  <c r="AD22" i="10" s="1"/>
  <c r="AA41" i="10"/>
  <c r="AA22" i="10" s="1" a="1"/>
  <c r="AA22" i="10" s="1"/>
  <c r="AB41" i="10"/>
  <c r="AB22" i="10" s="1" a="1"/>
  <c r="AB22" i="10" s="1"/>
  <c r="AP41" i="10"/>
  <c r="AP22" i="10" s="1" a="1"/>
  <c r="AP22" i="10" s="1"/>
  <c r="AO41" i="10"/>
  <c r="AO22" i="10" s="1" a="1"/>
  <c r="AO22" i="10" s="1"/>
  <c r="AM41" i="10"/>
  <c r="AM22" i="10" s="1" a="1"/>
  <c r="AM22" i="10" s="1"/>
  <c r="AN41" i="10"/>
  <c r="AN22" i="10" s="1" a="1"/>
  <c r="AN22" i="10" s="1"/>
  <c r="AK41" i="10"/>
  <c r="AK22" i="10" s="1" a="1"/>
  <c r="AK22" i="10" s="1"/>
  <c r="AL41" i="10"/>
  <c r="AL22" i="10" s="1" a="1"/>
  <c r="AL22" i="10" s="1"/>
  <c r="AI41" i="10"/>
  <c r="AI22" i="10" s="1" a="1"/>
  <c r="AI22" i="10" s="1"/>
  <c r="AJ41" i="10"/>
  <c r="AJ22" i="10" s="1" a="1"/>
  <c r="AJ22" i="10" s="1"/>
  <c r="O64" i="18"/>
  <c r="X18" i="10" a="1"/>
  <c r="X18" i="10" s="1"/>
  <c r="M64" i="18"/>
  <c r="M63" i="26"/>
  <c r="Y18" i="10" a="1"/>
  <c r="Y18" i="10" s="1"/>
  <c r="Z18" i="10" a="1"/>
  <c r="Z18" i="10" s="1"/>
  <c r="V18" i="10" a="1"/>
  <c r="V18" i="10" s="1"/>
  <c r="W18" i="10" a="1"/>
  <c r="W18" i="10" s="1"/>
  <c r="O62" i="26"/>
  <c r="V14" i="10" a="1"/>
  <c r="V14" i="10" s="1"/>
  <c r="U18" i="10" a="1"/>
  <c r="U18" i="10" s="1"/>
  <c r="Z21" i="10" a="1"/>
  <c r="Z21" i="10" s="1"/>
  <c r="K62" i="26"/>
  <c r="X21" i="10" a="1"/>
  <c r="X21" i="10" s="1"/>
  <c r="U21" i="10" a="1"/>
  <c r="U21" i="10" s="1"/>
  <c r="Y21" i="10" a="1"/>
  <c r="Y21" i="10" s="1"/>
  <c r="X41" i="10"/>
  <c r="X61" i="10"/>
  <c r="Z41" i="10"/>
  <c r="Z61" i="10"/>
  <c r="Y41" i="10"/>
  <c r="Y61" i="10"/>
  <c r="T21" i="10" a="1"/>
  <c r="T21" i="10" s="1"/>
  <c r="U14" i="10" a="1"/>
  <c r="U14" i="10" s="1"/>
  <c r="S21" i="10" a="1"/>
  <c r="S21" i="10" s="1"/>
  <c r="V41" i="10"/>
  <c r="W61" i="10"/>
  <c r="V61" i="10"/>
  <c r="V21" i="10" a="1"/>
  <c r="V21" i="10" s="1"/>
  <c r="U41" i="10"/>
  <c r="U61" i="10"/>
  <c r="W14" i="10" a="1"/>
  <c r="W14" i="10" s="1"/>
  <c r="W41" i="10"/>
  <c r="L65" i="18"/>
  <c r="L64" i="18"/>
  <c r="L63" i="26"/>
  <c r="L63" i="18"/>
  <c r="C9" i="9"/>
  <c r="Q64" i="26" l="1"/>
  <c r="T76" i="26"/>
  <c r="Q65" i="18"/>
  <c r="T65" i="18"/>
  <c r="Q62" i="26"/>
  <c r="N65" i="18"/>
  <c r="Q63" i="26"/>
  <c r="R79" i="10"/>
  <c r="R78" i="10"/>
  <c r="R74" i="10"/>
  <c r="R75" i="10"/>
  <c r="R73" i="10"/>
  <c r="R77" i="10"/>
  <c r="R76" i="10"/>
  <c r="R72" i="10"/>
  <c r="R58" i="10"/>
  <c r="R59" i="10"/>
  <c r="R55" i="10"/>
  <c r="R54" i="10"/>
  <c r="R34" i="10"/>
  <c r="R38" i="10"/>
  <c r="R39" i="10"/>
  <c r="R35" i="10"/>
  <c r="T76" i="18"/>
  <c r="Y87" i="10"/>
  <c r="Q76" i="26"/>
  <c r="L76" i="18"/>
  <c r="J65" i="26"/>
  <c r="L62" i="18"/>
  <c r="J76" i="26"/>
  <c r="N76" i="26"/>
  <c r="R76" i="18"/>
  <c r="R70" i="10"/>
  <c r="R71" i="10"/>
  <c r="R69" i="10"/>
  <c r="R68" i="10"/>
  <c r="R50" i="10"/>
  <c r="R51" i="10"/>
  <c r="R30" i="10"/>
  <c r="R31" i="10"/>
  <c r="N76" i="18"/>
  <c r="J76" i="18"/>
  <c r="L76" i="26"/>
  <c r="Q76" i="18"/>
  <c r="R76" i="26"/>
  <c r="P87" i="10"/>
  <c r="Q63" i="18"/>
  <c r="Q62" i="18"/>
  <c r="Q64" i="18"/>
  <c r="Q65" i="26"/>
  <c r="N65" i="26"/>
  <c r="W22" i="10" a="1"/>
  <c r="W22" i="10" s="1"/>
  <c r="T65" i="26"/>
  <c r="V22" i="10" a="1"/>
  <c r="V22" i="10" s="1"/>
  <c r="Z22" i="10" a="1"/>
  <c r="Z22" i="10" s="1"/>
  <c r="J65" i="18"/>
  <c r="X22" i="10" a="1"/>
  <c r="X22" i="10" s="1"/>
  <c r="R65" i="18"/>
  <c r="R65" i="26"/>
  <c r="T63" i="18"/>
  <c r="T63" i="26"/>
  <c r="Y22" i="10" a="1"/>
  <c r="Y22" i="10" s="1"/>
  <c r="U22" i="10" a="1"/>
  <c r="U22" i="10" s="1"/>
  <c r="R64" i="26"/>
  <c r="R64" i="18"/>
  <c r="R63" i="26"/>
  <c r="R63" i="18"/>
  <c r="T64" i="26"/>
  <c r="T64" i="18"/>
  <c r="L62" i="26"/>
  <c r="AD542" i="15"/>
  <c r="J542" i="15" s="1"/>
  <c r="AD534" i="15"/>
  <c r="J534" i="15" s="1"/>
  <c r="AD497" i="15"/>
  <c r="J497" i="15" s="1"/>
  <c r="AD489" i="15"/>
  <c r="J489" i="15" s="1"/>
  <c r="AD457" i="15"/>
  <c r="J457" i="15" s="1"/>
  <c r="AD449" i="15"/>
  <c r="J449" i="15" s="1"/>
  <c r="AD441" i="15"/>
  <c r="J441" i="15" s="1"/>
  <c r="AD417" i="15"/>
  <c r="J417" i="15" s="1"/>
  <c r="AD409" i="15"/>
  <c r="J409" i="15" s="1"/>
  <c r="AD373" i="15"/>
  <c r="J373" i="15" s="1"/>
  <c r="AD381" i="15"/>
  <c r="J381" i="15" s="1"/>
  <c r="AD223" i="15"/>
  <c r="J223" i="15" s="1"/>
  <c r="AD215" i="15"/>
  <c r="J215" i="15" s="1"/>
  <c r="AD207" i="15"/>
  <c r="J207" i="15" s="1"/>
  <c r="AD543" i="15"/>
  <c r="J543" i="15" s="1"/>
  <c r="AD535" i="15"/>
  <c r="J535" i="15" s="1"/>
  <c r="AD498" i="15"/>
  <c r="J498" i="15" s="1"/>
  <c r="AD490" i="15"/>
  <c r="J490" i="15" s="1"/>
  <c r="AD482" i="15"/>
  <c r="J482" i="15" s="1"/>
  <c r="AD458" i="15"/>
  <c r="J458" i="15" s="1"/>
  <c r="AD450" i="15"/>
  <c r="J450" i="15" s="1"/>
  <c r="AD442" i="15"/>
  <c r="J442" i="15" s="1"/>
  <c r="AD418" i="15"/>
  <c r="J418" i="15" s="1"/>
  <c r="AD410" i="15"/>
  <c r="J410" i="15" s="1"/>
  <c r="AD402" i="15"/>
  <c r="J402" i="15" s="1"/>
  <c r="AD366" i="15"/>
  <c r="J366" i="15" s="1"/>
  <c r="AD374" i="15"/>
  <c r="J374" i="15" s="1"/>
  <c r="AD382" i="15"/>
  <c r="J382" i="15" s="1"/>
  <c r="AD216" i="15"/>
  <c r="J216" i="15" s="1"/>
  <c r="AD208" i="15"/>
  <c r="J208" i="15" s="1"/>
  <c r="AD182" i="15"/>
  <c r="J182" i="15" s="1"/>
  <c r="AD174" i="15"/>
  <c r="J174" i="15" s="1"/>
  <c r="AD544" i="15"/>
  <c r="J544" i="15" s="1"/>
  <c r="AD536" i="15"/>
  <c r="J536" i="15" s="1"/>
  <c r="AD499" i="15"/>
  <c r="J499" i="15" s="1"/>
  <c r="AD491" i="15"/>
  <c r="J491" i="15" s="1"/>
  <c r="AD483" i="15"/>
  <c r="J483" i="15" s="1"/>
  <c r="AD459" i="15"/>
  <c r="J459" i="15" s="1"/>
  <c r="AD451" i="15"/>
  <c r="J451" i="15" s="1"/>
  <c r="AD443" i="15"/>
  <c r="J443" i="15" s="1"/>
  <c r="AD419" i="15"/>
  <c r="J419" i="15" s="1"/>
  <c r="AD411" i="15"/>
  <c r="J411" i="15" s="1"/>
  <c r="AD403" i="15"/>
  <c r="J403" i="15" s="1"/>
  <c r="AD367" i="15"/>
  <c r="J367" i="15" s="1"/>
  <c r="AD375" i="15"/>
  <c r="J375" i="15" s="1"/>
  <c r="AD383" i="15"/>
  <c r="J383" i="15" s="1"/>
  <c r="AD217" i="15"/>
  <c r="J217" i="15" s="1"/>
  <c r="AD209" i="15"/>
  <c r="J209" i="15" s="1"/>
  <c r="AD183" i="15"/>
  <c r="J183" i="15" s="1"/>
  <c r="AD175" i="15"/>
  <c r="J175" i="15" s="1"/>
  <c r="AD545" i="15"/>
  <c r="J545" i="15" s="1"/>
  <c r="AD537" i="15"/>
  <c r="J537" i="15" s="1"/>
  <c r="AD529" i="15"/>
  <c r="J529" i="15" s="1"/>
  <c r="AD500" i="15"/>
  <c r="J500" i="15" s="1"/>
  <c r="AD492" i="15"/>
  <c r="J492" i="15" s="1"/>
  <c r="AD484" i="15"/>
  <c r="J484" i="15" s="1"/>
  <c r="AD460" i="15"/>
  <c r="J460" i="15" s="1"/>
  <c r="AD452" i="15"/>
  <c r="J452" i="15" s="1"/>
  <c r="AD444" i="15"/>
  <c r="J444" i="15" s="1"/>
  <c r="AD420" i="15"/>
  <c r="J420" i="15" s="1"/>
  <c r="AD412" i="15"/>
  <c r="J412" i="15" s="1"/>
  <c r="AD404" i="15"/>
  <c r="J404" i="15" s="1"/>
  <c r="AD368" i="15"/>
  <c r="J368" i="15" s="1"/>
  <c r="AD376" i="15"/>
  <c r="J376" i="15" s="1"/>
  <c r="AD384" i="15"/>
  <c r="J384" i="15" s="1"/>
  <c r="AD365" i="15"/>
  <c r="J365" i="15" s="1"/>
  <c r="AD218" i="15"/>
  <c r="J218" i="15" s="1"/>
  <c r="AD210" i="15"/>
  <c r="J210" i="15" s="1"/>
  <c r="AD184" i="15"/>
  <c r="J184" i="15" s="1"/>
  <c r="AD546" i="15"/>
  <c r="J546" i="15" s="1"/>
  <c r="AD538" i="15"/>
  <c r="J538" i="15" s="1"/>
  <c r="AD530" i="15"/>
  <c r="J530" i="15" s="1"/>
  <c r="AD501" i="15"/>
  <c r="J501" i="15" s="1"/>
  <c r="AD493" i="15"/>
  <c r="J493" i="15" s="1"/>
  <c r="AD485" i="15"/>
  <c r="J485" i="15" s="1"/>
  <c r="AD453" i="15"/>
  <c r="J453" i="15" s="1"/>
  <c r="AD445" i="15"/>
  <c r="J445" i="15" s="1"/>
  <c r="AD421" i="15"/>
  <c r="J421" i="15" s="1"/>
  <c r="AD413" i="15"/>
  <c r="J413" i="15" s="1"/>
  <c r="AD405" i="15"/>
  <c r="J405" i="15" s="1"/>
  <c r="AD369" i="15"/>
  <c r="J369" i="15" s="1"/>
  <c r="AD377" i="15"/>
  <c r="J377" i="15" s="1"/>
  <c r="AD219" i="15"/>
  <c r="J219" i="15" s="1"/>
  <c r="AD211" i="15"/>
  <c r="J211" i="15" s="1"/>
  <c r="AD177" i="15"/>
  <c r="J177" i="15" s="1"/>
  <c r="AD169" i="15"/>
  <c r="J169" i="15" s="1"/>
  <c r="AD547" i="15"/>
  <c r="J547" i="15" s="1"/>
  <c r="AD539" i="15"/>
  <c r="J539" i="15" s="1"/>
  <c r="AD531" i="15"/>
  <c r="J531" i="15" s="1"/>
  <c r="AD494" i="15"/>
  <c r="J494" i="15" s="1"/>
  <c r="AD486" i="15"/>
  <c r="J486" i="15" s="1"/>
  <c r="AD454" i="15"/>
  <c r="J454" i="15" s="1"/>
  <c r="AD446" i="15"/>
  <c r="J446" i="15" s="1"/>
  <c r="AD414" i="15"/>
  <c r="J414" i="15" s="1"/>
  <c r="AD406" i="15"/>
  <c r="J406" i="15" s="1"/>
  <c r="AD370" i="15"/>
  <c r="J370" i="15" s="1"/>
  <c r="AD378" i="15"/>
  <c r="J378" i="15" s="1"/>
  <c r="AD220" i="15"/>
  <c r="J220" i="15" s="1"/>
  <c r="AD212" i="15"/>
  <c r="J212" i="15" s="1"/>
  <c r="AD204" i="15"/>
  <c r="J204" i="15" s="1"/>
  <c r="AD178" i="15"/>
  <c r="J178" i="15" s="1"/>
  <c r="AD548" i="15"/>
  <c r="J548" i="15" s="1"/>
  <c r="AD540" i="15"/>
  <c r="J540" i="15" s="1"/>
  <c r="AD532" i="15"/>
  <c r="J532" i="15" s="1"/>
  <c r="AD495" i="15"/>
  <c r="J495" i="15" s="1"/>
  <c r="AD487" i="15"/>
  <c r="J487" i="15" s="1"/>
  <c r="AD455" i="15"/>
  <c r="J455" i="15" s="1"/>
  <c r="AD447" i="15"/>
  <c r="J447" i="15" s="1"/>
  <c r="AD415" i="15"/>
  <c r="J415" i="15" s="1"/>
  <c r="AD407" i="15"/>
  <c r="J407" i="15" s="1"/>
  <c r="AD371" i="15"/>
  <c r="J371" i="15" s="1"/>
  <c r="AD379" i="15"/>
  <c r="J379" i="15" s="1"/>
  <c r="AD221" i="15"/>
  <c r="J221" i="15" s="1"/>
  <c r="AD213" i="15"/>
  <c r="J213" i="15" s="1"/>
  <c r="AD205" i="15"/>
  <c r="J205" i="15" s="1"/>
  <c r="AD179" i="15"/>
  <c r="J179" i="15" s="1"/>
  <c r="AD171" i="15"/>
  <c r="J171" i="15" s="1"/>
  <c r="AD541" i="15"/>
  <c r="J541" i="15" s="1"/>
  <c r="AD533" i="15"/>
  <c r="J533" i="15" s="1"/>
  <c r="AD496" i="15"/>
  <c r="J496" i="15" s="1"/>
  <c r="AD488" i="15"/>
  <c r="J488" i="15" s="1"/>
  <c r="AD456" i="15"/>
  <c r="J456" i="15" s="1"/>
  <c r="AD448" i="15"/>
  <c r="J448" i="15" s="1"/>
  <c r="AD416" i="15"/>
  <c r="J416" i="15" s="1"/>
  <c r="AD408" i="15"/>
  <c r="J408" i="15" s="1"/>
  <c r="AD372" i="15"/>
  <c r="J372" i="15" s="1"/>
  <c r="AD380" i="15"/>
  <c r="J380" i="15" s="1"/>
  <c r="AD222" i="15"/>
  <c r="J222" i="15" s="1"/>
  <c r="AD214" i="15"/>
  <c r="J214" i="15" s="1"/>
  <c r="AD206" i="15"/>
  <c r="J206" i="15" s="1"/>
  <c r="AD180" i="15"/>
  <c r="J180" i="15" s="1"/>
  <c r="AD172" i="15"/>
  <c r="J172" i="15" s="1"/>
  <c r="AD170" i="15"/>
  <c r="J170" i="15" s="1"/>
  <c r="AD165" i="15"/>
  <c r="J165" i="15" s="1"/>
  <c r="AD140" i="15"/>
  <c r="J140" i="15" s="1"/>
  <c r="AD132" i="15"/>
  <c r="J132" i="15" s="1"/>
  <c r="AD61" i="15"/>
  <c r="J61" i="15" s="1"/>
  <c r="AD53" i="15"/>
  <c r="J53" i="15" s="1"/>
  <c r="AD146" i="15"/>
  <c r="J146" i="15" s="1"/>
  <c r="AD51" i="15"/>
  <c r="J51" i="15" s="1"/>
  <c r="AD173" i="15"/>
  <c r="J173" i="15" s="1"/>
  <c r="AD166" i="15"/>
  <c r="J166" i="15" s="1"/>
  <c r="AD141" i="15"/>
  <c r="J141" i="15" s="1"/>
  <c r="AD133" i="15"/>
  <c r="J133" i="15" s="1"/>
  <c r="AD62" i="15"/>
  <c r="J62" i="15" s="1"/>
  <c r="AD54" i="15"/>
  <c r="J54" i="15" s="1"/>
  <c r="AD176" i="15"/>
  <c r="J176" i="15" s="1"/>
  <c r="AD167" i="15"/>
  <c r="J167" i="15" s="1"/>
  <c r="AD142" i="15"/>
  <c r="J142" i="15" s="1"/>
  <c r="AD134" i="15"/>
  <c r="J134" i="15" s="1"/>
  <c r="AD63" i="15"/>
  <c r="J63" i="15" s="1"/>
  <c r="AD55" i="15"/>
  <c r="J55" i="15" s="1"/>
  <c r="AD138" i="15"/>
  <c r="J138" i="15" s="1"/>
  <c r="AD130" i="15"/>
  <c r="J130" i="15" s="1"/>
  <c r="AD67" i="15"/>
  <c r="J67" i="15" s="1"/>
  <c r="AD181" i="15"/>
  <c r="J181" i="15" s="1"/>
  <c r="AD168" i="15"/>
  <c r="J168" i="15" s="1"/>
  <c r="AD143" i="15"/>
  <c r="J143" i="15" s="1"/>
  <c r="AD135" i="15"/>
  <c r="J135" i="15" s="1"/>
  <c r="AD127" i="15"/>
  <c r="J127" i="15" s="1"/>
  <c r="AD64" i="15"/>
  <c r="J64" i="15" s="1"/>
  <c r="AD56" i="15"/>
  <c r="J56" i="15" s="1"/>
  <c r="AD48" i="15"/>
  <c r="J48" i="15" s="1"/>
  <c r="AD144" i="15"/>
  <c r="J144" i="15" s="1"/>
  <c r="AD136" i="15"/>
  <c r="J136" i="15" s="1"/>
  <c r="AD128" i="15"/>
  <c r="J128" i="15" s="1"/>
  <c r="AD65" i="15"/>
  <c r="J65" i="15" s="1"/>
  <c r="AD57" i="15"/>
  <c r="J57" i="15" s="1"/>
  <c r="AD49" i="15"/>
  <c r="J49" i="15" s="1"/>
  <c r="AD145" i="15"/>
  <c r="J145" i="15" s="1"/>
  <c r="AD137" i="15"/>
  <c r="J137" i="15" s="1"/>
  <c r="AD129" i="15"/>
  <c r="J129" i="15" s="1"/>
  <c r="AD66" i="15"/>
  <c r="J66" i="15" s="1"/>
  <c r="AD58" i="15"/>
  <c r="J58" i="15" s="1"/>
  <c r="AD50" i="15"/>
  <c r="J50" i="15" s="1"/>
  <c r="AD139" i="15"/>
  <c r="J139" i="15" s="1"/>
  <c r="AD131" i="15"/>
  <c r="J131" i="15" s="1"/>
  <c r="AD60" i="15"/>
  <c r="J60" i="15" s="1"/>
  <c r="AD52" i="15"/>
  <c r="J52" i="15" s="1"/>
  <c r="AD59" i="15"/>
  <c r="J59" i="15" s="1"/>
  <c r="AD101" i="15"/>
  <c r="J101" i="15" s="1"/>
  <c r="AD87" i="15"/>
  <c r="J87" i="15" s="1"/>
  <c r="AD95" i="15"/>
  <c r="J95" i="15" s="1"/>
  <c r="AD104" i="15"/>
  <c r="J104" i="15" s="1"/>
  <c r="AD102" i="15"/>
  <c r="J102" i="15" s="1"/>
  <c r="AD93" i="15"/>
  <c r="J93" i="15" s="1"/>
  <c r="AD92" i="15"/>
  <c r="J92" i="15" s="1"/>
  <c r="AD85" i="15"/>
  <c r="J85" i="15" s="1"/>
  <c r="AD100" i="15"/>
  <c r="J100" i="15" s="1"/>
  <c r="AD89" i="15"/>
  <c r="J89" i="15" s="1"/>
  <c r="AD97" i="15"/>
  <c r="J97" i="15" s="1"/>
  <c r="AD94" i="15"/>
  <c r="J94" i="15" s="1"/>
  <c r="AD86" i="15"/>
  <c r="J86" i="15" s="1"/>
  <c r="AD90" i="15"/>
  <c r="J90" i="15" s="1"/>
  <c r="AD99" i="15"/>
  <c r="J99" i="15" s="1"/>
  <c r="AD103" i="15"/>
  <c r="J103" i="15" s="1"/>
  <c r="AD91" i="15"/>
  <c r="J91" i="15" s="1"/>
  <c r="AD98" i="15"/>
  <c r="J98" i="15" s="1"/>
  <c r="AD88" i="15"/>
  <c r="J88" i="15" s="1"/>
  <c r="AD96" i="15"/>
  <c r="J96" i="15" s="1"/>
  <c r="U76" i="26" l="1"/>
  <c r="U62" i="26"/>
  <c r="U76" i="18"/>
  <c r="S76" i="26"/>
  <c r="S76" i="18"/>
  <c r="U62" i="18"/>
  <c r="U63" i="26"/>
  <c r="U63" i="18"/>
  <c r="U65" i="26"/>
  <c r="U65" i="18"/>
  <c r="U64" i="18"/>
  <c r="U64" i="26"/>
  <c r="S65" i="26"/>
  <c r="S65" i="18"/>
  <c r="R16" i="10" a="1"/>
  <c r="R16" i="10" s="1"/>
  <c r="R20" i="10" a="1"/>
  <c r="R20" i="10" s="1"/>
  <c r="R11" i="10" a="1"/>
  <c r="R11" i="10" s="1"/>
  <c r="H46" i="27" s="1"/>
  <c r="R12" i="10" a="1"/>
  <c r="R12" i="10" s="1"/>
  <c r="R19" i="10" a="1"/>
  <c r="R19" i="10" s="1"/>
  <c r="R15" i="10" a="1"/>
  <c r="R15" i="10" s="1"/>
  <c r="C47" i="9"/>
  <c r="C48" i="9" s="1"/>
  <c r="C49" i="9" s="1"/>
  <c r="C50" i="9" s="1"/>
  <c r="C51" i="9" s="1"/>
  <c r="C52" i="9" s="1"/>
  <c r="C53" i="9" s="1"/>
  <c r="C54" i="9" s="1"/>
  <c r="Q46" i="27" l="1"/>
  <c r="S48" i="27" s="1"/>
  <c r="L46" i="27"/>
  <c r="N46" i="27" s="1"/>
  <c r="J48" i="27"/>
  <c r="J46" i="27"/>
  <c r="J47" i="27"/>
  <c r="M58" i="18"/>
  <c r="M58" i="26"/>
  <c r="R58" i="18"/>
  <c r="R58" i="26"/>
  <c r="I58" i="18"/>
  <c r="I58" i="26"/>
  <c r="S47" i="27" l="1"/>
  <c r="N47" i="27"/>
  <c r="N48" i="27"/>
  <c r="S46" i="27"/>
  <c r="R60" i="10"/>
  <c r="Q60" i="10"/>
  <c r="Q56" i="10"/>
  <c r="R56" i="10"/>
  <c r="R52" i="10"/>
  <c r="Q52" i="10"/>
  <c r="Q40" i="10"/>
  <c r="R40" i="10"/>
  <c r="S58" i="18"/>
  <c r="R36" i="10"/>
  <c r="Q36" i="10"/>
  <c r="R32" i="10"/>
  <c r="Q32" i="10"/>
  <c r="Q13" i="10" s="1" a="1"/>
  <c r="Q13" i="10" s="1"/>
  <c r="N59" i="18"/>
  <c r="J60" i="18"/>
  <c r="N60" i="18"/>
  <c r="S60" i="18"/>
  <c r="N58" i="18"/>
  <c r="Q57" i="10" s="1"/>
  <c r="S59" i="18"/>
  <c r="J58" i="18"/>
  <c r="R57" i="10" s="1"/>
  <c r="J59" i="18"/>
  <c r="J60" i="26"/>
  <c r="J58" i="26"/>
  <c r="J59" i="26"/>
  <c r="N59" i="26"/>
  <c r="N60" i="26"/>
  <c r="N58" i="26"/>
  <c r="S60" i="26"/>
  <c r="S58" i="26"/>
  <c r="S59" i="26"/>
  <c r="Q17" i="10" l="1" a="1"/>
  <c r="Q17" i="10" s="1"/>
  <c r="R41" i="10"/>
  <c r="R61" i="10"/>
  <c r="Q61" i="10"/>
  <c r="R21" i="10" a="1"/>
  <c r="R21" i="10" s="1"/>
  <c r="T41" i="10"/>
  <c r="T61" i="10"/>
  <c r="S41" i="10"/>
  <c r="S61" i="10"/>
  <c r="R17" i="10" a="1"/>
  <c r="R17" i="10" s="1"/>
  <c r="S53" i="10"/>
  <c r="S57" i="10"/>
  <c r="T53" i="10"/>
  <c r="T57" i="10"/>
  <c r="R13" i="10" a="1"/>
  <c r="R13" i="10" s="1"/>
  <c r="R53" i="10"/>
  <c r="Q53" i="10"/>
  <c r="W21" i="10" a="1"/>
  <c r="W21" i="10" s="1"/>
  <c r="Q41" i="10"/>
  <c r="Q37" i="10"/>
  <c r="Q18" i="10" s="1" a="1"/>
  <c r="Q18" i="10" s="1"/>
  <c r="Q19" i="10" a="1"/>
  <c r="Q19" i="10" s="1"/>
  <c r="Q20" i="10" a="1"/>
  <c r="Q20" i="10" s="1"/>
  <c r="Q21" i="10" a="1"/>
  <c r="Q21" i="10" s="1"/>
  <c r="T33" i="10"/>
  <c r="T37" i="10"/>
  <c r="S33" i="10"/>
  <c r="S37" i="10"/>
  <c r="R37" i="10"/>
  <c r="R18" i="10" s="1" a="1"/>
  <c r="R18" i="10" s="1"/>
  <c r="Q33" i="10"/>
  <c r="R33" i="10"/>
  <c r="U13" i="10" a="1"/>
  <c r="U13" i="10" s="1"/>
  <c r="M62" i="26" l="1"/>
  <c r="N62" i="26" s="1"/>
  <c r="R62" i="26"/>
  <c r="T62" i="26"/>
  <c r="I62" i="26"/>
  <c r="R22" i="10" a="1"/>
  <c r="R22" i="10" s="1"/>
  <c r="R14" i="10" a="1"/>
  <c r="R14" i="10" s="1"/>
  <c r="S18" i="10" a="1"/>
  <c r="S18" i="10" s="1"/>
  <c r="Q22" i="10" a="1"/>
  <c r="Q22" i="10" s="1"/>
  <c r="S22" i="10" a="1"/>
  <c r="S22" i="10" s="1"/>
  <c r="S14" i="10" a="1"/>
  <c r="S14" i="10" s="1"/>
  <c r="I62" i="18"/>
  <c r="T22" i="10" a="1"/>
  <c r="T22" i="10" s="1"/>
  <c r="R62" i="18"/>
  <c r="M62" i="18"/>
  <c r="N62" i="18" s="1"/>
  <c r="T14" i="10" a="1"/>
  <c r="T14" i="10" s="1"/>
  <c r="T18" i="10" a="1"/>
  <c r="T18" i="10" s="1"/>
  <c r="Q14" i="10" a="1"/>
  <c r="Q14" i="10" s="1"/>
  <c r="T62" i="18"/>
  <c r="I65" i="26"/>
  <c r="I65" i="18"/>
  <c r="N63" i="26" l="1"/>
  <c r="N64" i="26"/>
  <c r="S64" i="26"/>
  <c r="S63" i="26"/>
  <c r="S62" i="26"/>
  <c r="J63" i="26"/>
  <c r="J64" i="26"/>
  <c r="J62" i="26"/>
  <c r="J62" i="18"/>
  <c r="N63" i="18"/>
  <c r="J63" i="18"/>
  <c r="S63" i="18"/>
  <c r="S62" i="18"/>
  <c r="S64" i="18"/>
  <c r="N64" i="18"/>
  <c r="J64"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Rose-Adélie Raymond</author>
  </authors>
  <commentList>
    <comment ref="M29" authorId="0" shapeId="0" xr:uid="{44583574-B927-46F4-A918-7E02C7FC04FE}">
      <text>
        <r>
          <rPr>
            <b/>
            <sz val="9"/>
            <color indexed="81"/>
            <rFont val="Tahoma"/>
            <family val="2"/>
          </rPr>
          <t>Rose-Adélie Raymond:</t>
        </r>
        <r>
          <rPr>
            <sz val="9"/>
            <color indexed="81"/>
            <rFont val="Tahoma"/>
            <family val="2"/>
          </rPr>
          <t xml:space="preserve">
On ne tient pas le 26 en inventaire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Rose-Adélie Raymond</author>
  </authors>
  <commentList>
    <comment ref="M29" authorId="0" shapeId="0" xr:uid="{4B8771B2-D54B-4BB2-9945-9C77E0601095}">
      <text>
        <r>
          <rPr>
            <b/>
            <sz val="9"/>
            <color indexed="81"/>
            <rFont val="Tahoma"/>
            <family val="2"/>
          </rPr>
          <t>Rose-Adélie Raymond:</t>
        </r>
        <r>
          <rPr>
            <sz val="9"/>
            <color indexed="81"/>
            <rFont val="Tahoma"/>
            <family val="2"/>
          </rPr>
          <t xml:space="preserve">
On ne tient pas le 26 en inventaire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<sst xmlns="http://schemas.openxmlformats.org/spreadsheetml/2006/main" count="6369" uniqueCount="1875">
  <si>
    <t>Documents de formation :</t>
  </si>
  <si>
    <t>Vidéo - Saisie des données</t>
  </si>
  <si>
    <t>PowerPoint</t>
  </si>
  <si>
    <t>Client :</t>
  </si>
  <si>
    <t>Norbec</t>
  </si>
  <si>
    <t>Nom du projet/Project Name :</t>
  </si>
  <si>
    <t>Formation sur l'outil de calcul d'espacement des entremises</t>
  </si>
  <si>
    <t>Étape 1 /Step 1 : Localisation / Location</t>
  </si>
  <si>
    <t>FM-4881 ? :</t>
  </si>
  <si>
    <t>Non/No (STD.)</t>
  </si>
  <si>
    <t>Pays de construction / Country of construction :</t>
  </si>
  <si>
    <t xml:space="preserve">Canada </t>
  </si>
  <si>
    <t>Système d'unités utilisé / Preferred unit system :</t>
  </si>
  <si>
    <t>Impérial / Imperial</t>
  </si>
  <si>
    <t>CANADA (IA)</t>
  </si>
  <si>
    <t>Localiser une ville canadienne</t>
  </si>
  <si>
    <t>Province  de construction / Construction province :</t>
  </si>
  <si>
    <t>Ontario</t>
  </si>
  <si>
    <t>Ville de construction / Construction city :</t>
  </si>
  <si>
    <t>États-Unis / United States (IA)</t>
  </si>
  <si>
    <t>Construction state :</t>
  </si>
  <si>
    <t>Construction city :</t>
  </si>
  <si>
    <t>(Optionnel / Optionnal) Étape 2A / Step 2A : Charges de vent précalculées</t>
  </si>
  <si>
    <t>Étape 2B /Step 2B : Dimensions</t>
  </si>
  <si>
    <t>Largeur / Width :</t>
  </si>
  <si>
    <t>Profondeur / Depth :</t>
  </si>
  <si>
    <t>Hauteur maximale /
 Maximal height:</t>
  </si>
  <si>
    <t>Étape 3 /Step 3 : Paramètres des charges de vent / Wind Load Parameters</t>
  </si>
  <si>
    <t>ATC Hazards by Location (atcouncil.org)</t>
  </si>
  <si>
    <t>Catégorie de risque du bâtiment / Building risk category :</t>
  </si>
  <si>
    <t>Normal (STD.)</t>
  </si>
  <si>
    <t>Basic wind speed (Risk included):</t>
  </si>
  <si>
    <t>Catégorie d'ouvertures du bâtiment / Building opening category :</t>
  </si>
  <si>
    <t>Catégorie/Category 2 (STD.)</t>
  </si>
  <si>
    <t>Building opening category :</t>
  </si>
  <si>
    <t>Type de terrain / Terrain type :</t>
  </si>
  <si>
    <t>Découvert/Open (STD.)</t>
  </si>
  <si>
    <t>Exposure category:</t>
  </si>
  <si>
    <t>Topographie du terrain / Terrain topography :</t>
  </si>
  <si>
    <t xml:space="preserve">Plat/Flat (STD.) </t>
  </si>
  <si>
    <t>Étape 4 / Step 4 : Produits proposés / Products offered :</t>
  </si>
  <si>
    <t>Type</t>
  </si>
  <si>
    <t>Épaisseur / Thickness (")</t>
  </si>
  <si>
    <t>Largeur / Width (")</t>
  </si>
  <si>
    <t>Épaisseur acier extérieur / Outer steel thickness (Ga)</t>
  </si>
  <si>
    <t>Épaisseur acier intérieur / Inner steel thickness (Ga)</t>
  </si>
  <si>
    <t>Couleur / Color</t>
  </si>
  <si>
    <t>Type de portée</t>
  </si>
  <si>
    <t>Produit 1</t>
  </si>
  <si>
    <t>Norex</t>
  </si>
  <si>
    <t>L</t>
  </si>
  <si>
    <t>Couleur inconnue (STD.)</t>
  </si>
  <si>
    <t>Portées multiples / Multi-span (STD.)</t>
  </si>
  <si>
    <t>= Option R&amp;D seulement</t>
  </si>
  <si>
    <t>Produit 2</t>
  </si>
  <si>
    <t>Produit 3</t>
  </si>
  <si>
    <t>Noroc</t>
  </si>
  <si>
    <t>Electric Yellow</t>
  </si>
  <si>
    <t>Mur no. / Wall No.</t>
  </si>
  <si>
    <t>Longueur du mur / Wall length</t>
  </si>
  <si>
    <t>Surface du mur / Wall surface area</t>
  </si>
  <si>
    <t>Surface des ouvertures / Openings surface area</t>
  </si>
  <si>
    <t>Building opening category (calculated) :</t>
  </si>
  <si>
    <t>Étape 5 / Step 5 : Autres informations / Other information</t>
  </si>
  <si>
    <t>Unit / Unité</t>
  </si>
  <si>
    <t>À reprogrammer pour toujours être NON</t>
  </si>
  <si>
    <t>Mur de massonnerie / Masonry Wall ?</t>
  </si>
  <si>
    <t>Charges de vent intérieures / Interior wind pressure? :</t>
  </si>
  <si>
    <t xml:space="preserve">TOIT / ROOF </t>
  </si>
  <si>
    <t>Non/No</t>
  </si>
  <si>
    <t>Oui/Yes (S)</t>
  </si>
  <si>
    <t>Avis technique sur l'espacement des entremises</t>
  </si>
  <si>
    <t>Données du projet</t>
  </si>
  <si>
    <t>Nom:</t>
  </si>
  <si>
    <t>Fait pour:</t>
  </si>
  <si>
    <t>Ville de Construction :</t>
  </si>
  <si>
    <t>Hypothèses des calculs</t>
  </si>
  <si>
    <t>Code de référence :</t>
  </si>
  <si>
    <t>FM 4881:</t>
  </si>
  <si>
    <t>Catégorie des ouvertures :</t>
  </si>
  <si>
    <t>Topographie :</t>
  </si>
  <si>
    <t>Aperçu des charges de vent</t>
  </si>
  <si>
    <t>Charges de vent retenue au coin (non-pondérée) :</t>
  </si>
  <si>
    <t>Charges de vent retenue mur (non-pondérée) :</t>
  </si>
  <si>
    <t>Informations techniques sur le produit</t>
  </si>
  <si>
    <t>Type de Panneau</t>
  </si>
  <si>
    <t>Résistance thermique du panneau</t>
  </si>
  <si>
    <t>pi2 F/BTU</t>
  </si>
  <si>
    <t>Résistance thermique effective (joint)</t>
  </si>
  <si>
    <t>Résistance au feu</t>
  </si>
  <si>
    <t>heures</t>
  </si>
  <si>
    <t xml:space="preserve">Longueur max. panneau </t>
  </si>
  <si>
    <t>pieds</t>
  </si>
  <si>
    <t>Poids du panneau</t>
  </si>
  <si>
    <t>lbs/pi2</t>
  </si>
  <si>
    <t>Largeur de la bande de polyéthylène</t>
  </si>
  <si>
    <t>pouces</t>
  </si>
  <si>
    <t>Avertissements</t>
  </si>
  <si>
    <t>Description</t>
  </si>
  <si>
    <t>Référence</t>
  </si>
  <si>
    <t>Note : Les espacement d'entremises à la page suivante sont calculées en supposant que les entremises sont espacées de façon égale sur toute la longueur du panneau.</t>
  </si>
  <si>
    <r>
      <t xml:space="preserve">ENTREMISES EN </t>
    </r>
    <r>
      <rPr>
        <b/>
        <u/>
        <sz val="14"/>
        <color theme="1"/>
        <rFont val="Segoe UI"/>
        <family val="2"/>
      </rPr>
      <t>ACIER</t>
    </r>
  </si>
  <si>
    <t>Attache</t>
  </si>
  <si>
    <t xml:space="preserve"> 5''- 2x Teks 1/4''</t>
  </si>
  <si>
    <t xml:space="preserve"> 12''- 2x Teks 1/4''</t>
  </si>
  <si>
    <t>Section</t>
  </si>
  <si>
    <t>Épaisseur Entremise</t>
  </si>
  <si>
    <r>
      <rPr>
        <sz val="11"/>
        <color theme="1"/>
        <rFont val="Calibri"/>
        <family val="2"/>
      </rPr>
      <t xml:space="preserve">≥ </t>
    </r>
    <r>
      <rPr>
        <sz val="11"/>
        <color theme="1"/>
        <rFont val="Calibri"/>
        <family val="2"/>
        <scheme val="minor"/>
      </rPr>
      <t>11ga (0.125'')</t>
    </r>
  </si>
  <si>
    <t xml:space="preserve"> 12ga (0.105'')</t>
  </si>
  <si>
    <t xml:space="preserve"> 14ga (0.075'')</t>
  </si>
  <si>
    <t xml:space="preserve"> 16ga (0.060'')</t>
  </si>
  <si>
    <t>Parapet</t>
  </si>
  <si>
    <r>
      <t xml:space="preserve">ENTREMISES EN </t>
    </r>
    <r>
      <rPr>
        <b/>
        <u/>
        <sz val="14"/>
        <color theme="1"/>
        <rFont val="Segoe UI"/>
        <family val="2"/>
      </rPr>
      <t>BOIS</t>
    </r>
  </si>
  <si>
    <t>2 x Stardrive GPR Flat head - Ø6mm</t>
  </si>
  <si>
    <t>2 x Stardrive GPR Flat head - Ø8mm</t>
  </si>
  <si>
    <t>Espacement des entremises limités par:</t>
  </si>
  <si>
    <t>Capacité Attache</t>
  </si>
  <si>
    <t xml:space="preserve">Déflection du Panneau </t>
  </si>
  <si>
    <t>Effet de Gauchissement / Limite parapet</t>
  </si>
  <si>
    <t>Sélection des vis par produit</t>
  </si>
  <si>
    <t>ENTREMISES EN ACIER</t>
  </si>
  <si>
    <t>Fabricant</t>
  </si>
  <si>
    <t>Épaisseur Entremise (")</t>
  </si>
  <si>
    <t>Diamètre - Filet</t>
  </si>
  <si>
    <t>ACIER</t>
  </si>
  <si>
    <t>Buildex</t>
  </si>
  <si>
    <t>.036-.210</t>
  </si>
  <si>
    <t>1/4-14</t>
  </si>
  <si>
    <t>.125-.500</t>
  </si>
  <si>
    <t>1/4-28</t>
  </si>
  <si>
    <t>UCAN</t>
  </si>
  <si>
    <t>.110-.220</t>
  </si>
  <si>
    <t>.220-.250</t>
  </si>
  <si>
    <t>Triangle Fasteners</t>
  </si>
  <si>
    <t>.036-.250</t>
  </si>
  <si>
    <t>.200-.250</t>
  </si>
  <si>
    <t>1/4-20</t>
  </si>
  <si>
    <t>Leland</t>
  </si>
  <si>
    <t>.50-.250</t>
  </si>
  <si>
    <t>.50-.251</t>
  </si>
  <si>
    <t>EJOT</t>
  </si>
  <si>
    <t>.059-.236</t>
  </si>
  <si>
    <t>ENTREMISES EN BOIS</t>
  </si>
  <si>
    <t>Diamètre Vis (mm)</t>
  </si>
  <si>
    <t>BOIS</t>
  </si>
  <si>
    <t>Schmid</t>
  </si>
  <si>
    <t>6 mm</t>
  </si>
  <si>
    <t>8 mm</t>
  </si>
  <si>
    <t>Annexe 1 : Guide d'interprétation du tableau sur l'espacement des entremises</t>
  </si>
  <si>
    <t>Annexe 2 : Guide d'interprétation sur les facteurs limitants</t>
  </si>
  <si>
    <t>FM 4880-4881</t>
  </si>
  <si>
    <t>Définition</t>
  </si>
  <si>
    <t>Fiches :</t>
  </si>
  <si>
    <t>Montages autorisés :</t>
  </si>
  <si>
    <t>FP1</t>
  </si>
  <si>
    <t>FP4</t>
  </si>
  <si>
    <r>
      <rPr>
        <b/>
        <sz val="14"/>
        <color theme="1"/>
        <rFont val="Calibri"/>
        <family val="2"/>
        <scheme val="minor"/>
      </rPr>
      <t xml:space="preserve">                         </t>
    </r>
    <r>
      <rPr>
        <b/>
        <u/>
        <sz val="14"/>
        <color theme="1"/>
        <rFont val="Calibri"/>
        <family val="2"/>
        <scheme val="minor"/>
      </rPr>
      <t>Exemples sur les facteurs limitants</t>
    </r>
  </si>
  <si>
    <t>Exemple 3 : L'entremise de 11Ga devient une entremise de 16Ga</t>
  </si>
  <si>
    <t>Épaisseur entremise</t>
  </si>
  <si>
    <r>
      <rPr>
        <b/>
        <sz val="12"/>
        <color theme="8"/>
        <rFont val="Calibri"/>
        <family val="2"/>
        <scheme val="minor"/>
      </rPr>
      <t>Noroc</t>
    </r>
    <r>
      <rPr>
        <sz val="11"/>
        <color theme="1"/>
        <rFont val="Calibri"/>
        <family val="2"/>
        <scheme val="minor"/>
      </rPr>
      <t xml:space="preserve"> 4" (42,5")</t>
    </r>
  </si>
  <si>
    <t>Espacement des entremises</t>
  </si>
  <si>
    <t>Capacité d'attache</t>
  </si>
  <si>
    <t>Déflexion</t>
  </si>
  <si>
    <t>Oil canning</t>
  </si>
  <si>
    <t>16Ga (0,060")</t>
  </si>
  <si>
    <t>Espacement d'entremise maximale :</t>
  </si>
  <si>
    <t>Déflexion du panneau</t>
  </si>
  <si>
    <t>Effet de gauchissement (oil canning)</t>
  </si>
  <si>
    <t>NAI-IC 10, 10</t>
  </si>
  <si>
    <t xml:space="preserve">Fiche(s) ASTM E72 : </t>
  </si>
  <si>
    <t>Description (EN)</t>
  </si>
  <si>
    <t>Annexe 3 : Guide sur la sélection des vis</t>
  </si>
  <si>
    <t>Entremises en acier</t>
  </si>
  <si>
    <t>Documents officiels</t>
  </si>
  <si>
    <t>Catalogue Buildex</t>
  </si>
  <si>
    <t>Manuel d'utilisation UCAN</t>
  </si>
  <si>
    <t>Entremises en bois</t>
  </si>
  <si>
    <t>Page d'information StarDrive GPR</t>
  </si>
  <si>
    <t>Annexe 4 : Normes</t>
  </si>
  <si>
    <t>Fiche technique</t>
  </si>
  <si>
    <t>Résultats de test</t>
  </si>
  <si>
    <t>Normes</t>
  </si>
  <si>
    <t>Commentaire</t>
  </si>
  <si>
    <t>CAN/ULC-S101 </t>
  </si>
  <si>
    <t>Essais de résistance au feu pour les constructions de bâtiment et matériaux.</t>
  </si>
  <si>
    <t>Répond aux exigences de 10 minutes sur-place.</t>
  </si>
  <si>
    <t>CAN/ULC-S102 </t>
  </si>
  <si>
    <t>Caractéristiques de combustion des matériaux de construction.</t>
  </si>
  <si>
    <t>Propagation des flammes &lt;25 ; Développement de la fumée &lt;100</t>
  </si>
  <si>
    <t>CAN/ULC-S134 </t>
  </si>
  <si>
    <t>Caractéristiques de propagation des flammes des murs extérieurs non porteurs.</t>
  </si>
  <si>
    <t>Revêtement extérieur dans une construction non-combustible selon l'article 3.1.5.5 du CBNC.</t>
  </si>
  <si>
    <t>CAN/ULC-S138 </t>
  </si>
  <si>
    <t>Propagation du feu dans les panneaux de construction isolés d’une configuration de pièce à l’échelle réelle.</t>
  </si>
  <si>
    <t>Réponds aux exigences.</t>
  </si>
  <si>
    <t>CAN/ULC-S126 </t>
  </si>
  <si>
    <t>Propagation des flammes sous les platelages de toits.</t>
  </si>
  <si>
    <t>ASTM E84 </t>
  </si>
  <si>
    <t>Caractéristiques de combustion superficielle des matériaux de construction.</t>
  </si>
  <si>
    <t>ASTM E72 </t>
  </si>
  <si>
    <t>Essais de fléchissement pour des panneaux de construction.</t>
  </si>
  <si>
    <t>Voir la fiche sur les essais de fléchissement.</t>
  </si>
  <si>
    <t>ASTM E283</t>
  </si>
  <si>
    <r>
      <t>Essais d’étanchéité à l’air effectués sous un différentiel de pression statique de 1,56 lb/pi</t>
    </r>
    <r>
      <rPr>
        <vertAlign val="superscript"/>
        <sz val="11"/>
        <color theme="1"/>
        <rFont val="Calibri"/>
        <family val="2"/>
        <scheme val="minor"/>
      </rPr>
      <t>2</t>
    </r>
    <r>
      <rPr>
        <sz val="11"/>
        <color theme="1"/>
        <rFont val="Calibri"/>
        <family val="2"/>
        <scheme val="minor"/>
      </rPr>
      <t xml:space="preserve"> (75 Pa).</t>
    </r>
  </si>
  <si>
    <t>ASTM E330</t>
  </si>
  <si>
    <t>Essai de performance structural à la pression de design.</t>
  </si>
  <si>
    <t>CAN/ULC-S770-09 </t>
  </si>
  <si>
    <t>Résistance thermique à long terme.</t>
  </si>
  <si>
    <t>Rencontre les exigences RTLT selon CAN/ULC-S704-11.</t>
  </si>
  <si>
    <t>ASTM D1929</t>
  </si>
  <si>
    <t>Détermination de la température de combustion d'un plastique.</t>
  </si>
  <si>
    <t>Température de combustion : 600°C</t>
  </si>
  <si>
    <t>ASTM E331</t>
  </si>
  <si>
    <t>Essai pour déterminer la résistance à la pénétration de l’eau dans des différentes pressions uniformes d’air statiques.</t>
  </si>
  <si>
    <t>AAMA 501.1</t>
  </si>
  <si>
    <t xml:space="preserve">Pénétration de l’eau dans les murs extérieurs par la pression de l’air dynamique. </t>
  </si>
  <si>
    <t>NFPA 285</t>
  </si>
  <si>
    <t>Détermination de la chaleur de combustion potentielle.</t>
  </si>
  <si>
    <t>NFPA 286</t>
  </si>
  <si>
    <t>Contribution du panneau à la croissance d'un feu.</t>
  </si>
  <si>
    <t>Voir la « résistance au feu » dans le rapport technique.</t>
  </si>
  <si>
    <t>CAN/ULC-S102</t>
  </si>
  <si>
    <t>Propagation des flammes &lt;25 ; Développement de la fumée &lt;150</t>
  </si>
  <si>
    <t>Propagation des flammes &lt;250 ; Développement de la fumée &lt;450</t>
  </si>
  <si>
    <t xml:space="preserve">Voir la fiche sur les essais de fléchissement. </t>
  </si>
  <si>
    <t>ASTM E283 </t>
  </si>
  <si>
    <t>ASTM E331 </t>
  </si>
  <si>
    <t>AAMA 501.1 </t>
  </si>
  <si>
    <t>Annexe 5 : Dessins de détail - Jonctions panneaux à panneaux</t>
  </si>
  <si>
    <t>Annexe 6 : Dessins de détail - Jonctions avec les ouvertures</t>
  </si>
  <si>
    <t>Annexe 7 : Dessins de détail - Revêtement structural</t>
  </si>
  <si>
    <t>Annexe 8 : Dessins de détail - Jonctions au bâtiment</t>
  </si>
  <si>
    <t>Attache :  5''- 2x Teks 1/4''</t>
  </si>
  <si>
    <t>.125-.250</t>
  </si>
  <si>
    <t>.075-.250</t>
  </si>
  <si>
    <t>Girt Spacing Technical Advice</t>
  </si>
  <si>
    <t>Project</t>
  </si>
  <si>
    <t>Name:</t>
  </si>
  <si>
    <t>Client:</t>
  </si>
  <si>
    <t>City of construction:</t>
  </si>
  <si>
    <t>Calculation Hypothesis</t>
  </si>
  <si>
    <t>Reference :</t>
  </si>
  <si>
    <t>Openings category:</t>
  </si>
  <si>
    <t>Topography:</t>
  </si>
  <si>
    <t>Wind Load Evaluation</t>
  </si>
  <si>
    <t>Wall corner wind load (no factor of security) :</t>
  </si>
  <si>
    <t>Wall wind load (no factor of security) :</t>
  </si>
  <si>
    <t>Product Technical Information</t>
  </si>
  <si>
    <t>Panel</t>
  </si>
  <si>
    <t>Thermal resistance</t>
  </si>
  <si>
    <t>sq.ft. F/BTU</t>
  </si>
  <si>
    <t>Effective thermal resistance (joint)</t>
  </si>
  <si>
    <t>Fire resistance</t>
  </si>
  <si>
    <t>hours</t>
  </si>
  <si>
    <t>Maximum panel length (estimated)</t>
  </si>
  <si>
    <t>feet</t>
  </si>
  <si>
    <t>Panel weight</t>
  </si>
  <si>
    <t>lbs/sq.ft.</t>
  </si>
  <si>
    <t>inches</t>
  </si>
  <si>
    <t>Warnings</t>
  </si>
  <si>
    <t>Reference</t>
  </si>
  <si>
    <t>Note : The girt spacings in the following document assume that every girt is equally spaced.</t>
  </si>
  <si>
    <t>STEEL GIRTS</t>
  </si>
  <si>
    <t>Fastening</t>
  </si>
  <si>
    <t>Girt thickness</t>
  </si>
  <si>
    <t>WOOD GIRTS</t>
  </si>
  <si>
    <t>Girt Spacing limited by :</t>
  </si>
  <si>
    <t>Clip Capacity</t>
  </si>
  <si>
    <t>Panel Deflection</t>
  </si>
  <si>
    <t>Oil Canning / Max. parapet length</t>
  </si>
  <si>
    <t>Screw selection by product</t>
  </si>
  <si>
    <t>Supplier</t>
  </si>
  <si>
    <t>Girt thickness (")</t>
  </si>
  <si>
    <t>Diameter / Threading</t>
  </si>
  <si>
    <t>STEEL</t>
  </si>
  <si>
    <t>.220-.500</t>
  </si>
  <si>
    <t>Screw Diameter (mm)</t>
  </si>
  <si>
    <t>WOOD</t>
  </si>
  <si>
    <t>Annex 4 : Product Specifications</t>
  </si>
  <si>
    <t>Data Sheet</t>
  </si>
  <si>
    <t>Test Results</t>
  </si>
  <si>
    <t>Norms</t>
  </si>
  <si>
    <t>Results</t>
  </si>
  <si>
    <t>Fire endurance test of building construction and materials.</t>
  </si>
  <si>
    <t>Meets 10 minute stay-in-place requirements.</t>
  </si>
  <si>
    <t>Surface burning caracteristics of building materials and assemblies.</t>
  </si>
  <si>
    <t>Meets the National Building Code of Canada requirements.</t>
  </si>
  <si>
    <t>Fire test of exterior wall assemblies.</t>
  </si>
  <si>
    <t>Meets the National Building Code of Canada requirements for non combustible construction (section 3.1.5.5).</t>
  </si>
  <si>
    <t>Fire growth of insulated building panels in a full-scale room configuration.</t>
  </si>
  <si>
    <t>Meets test requirements.</t>
  </si>
  <si>
    <t>Fire spread under roof deck assembly.</t>
  </si>
  <si>
    <t>Surface burning caracteristics of building materials.</t>
  </si>
  <si>
    <t>Flame Spread Index &lt;25 ; Smoke Development Index &lt;100</t>
  </si>
  <si>
    <t>Deflexion tests of panels for building construction.</t>
  </si>
  <si>
    <t>Please refer to the Norex deflection test data sheet.</t>
  </si>
  <si>
    <t>Rate of air leakage through curtain walls under specified pressure differences.</t>
  </si>
  <si>
    <t>Structural performance of exterior walls by uniform static air pressure differences.</t>
  </si>
  <si>
    <t>Long term thermal resistance.</t>
  </si>
  <si>
    <t>Meets test requirements oer CAN/ULC-S704-11.</t>
  </si>
  <si>
    <t>Self-ignition temperature and flash ignition temperature of plastics.</t>
  </si>
  <si>
    <t>Temperature of ignition : 600°C</t>
  </si>
  <si>
    <t>Water penetration of exterior walls by uniform static air pressure differences.</t>
  </si>
  <si>
    <t>Water penetration of exterior walls by dynamic air pressure.</t>
  </si>
  <si>
    <t>Evaluation of fire propagation characteristics of exterior wall assemblies containing combustible components.</t>
  </si>
  <si>
    <t>Evaluation of the contribution of wall and ceiling interior finish to room fire growth.</t>
  </si>
  <si>
    <t>Data Sheets</t>
  </si>
  <si>
    <t>Test results</t>
  </si>
  <si>
    <t>Please refer to the technical information earlier in the document.</t>
  </si>
  <si>
    <t>Flame Spread Index &lt; 25 ; Smoke Development Index &lt; 45</t>
  </si>
  <si>
    <t>Please refer to the Noroc deflection test data sheet.</t>
  </si>
  <si>
    <t>Synthèse des résultats</t>
  </si>
  <si>
    <t>Charges de vent RETENUES - Espacement d'entremises</t>
  </si>
  <si>
    <t>Zone</t>
  </si>
  <si>
    <t>PSF</t>
  </si>
  <si>
    <t>Déflection</t>
  </si>
  <si>
    <t>Oil canning / parapet</t>
  </si>
  <si>
    <t>Capacité Attache - Acier</t>
  </si>
  <si>
    <t>Capacité Attache - Bois</t>
  </si>
  <si>
    <t>FM-4880/4881</t>
  </si>
  <si>
    <t>mur massonnerie</t>
  </si>
  <si>
    <t>5''-2 screws</t>
  </si>
  <si>
    <t>12''-2 screws</t>
  </si>
  <si>
    <t>Norex2</t>
  </si>
  <si>
    <t>Norex3</t>
  </si>
  <si>
    <t>Norex4</t>
  </si>
  <si>
    <t>Norex5</t>
  </si>
  <si>
    <t>Norex6</t>
  </si>
  <si>
    <t>Norex8</t>
  </si>
  <si>
    <t>Noroc4</t>
  </si>
  <si>
    <t>Noroc5</t>
  </si>
  <si>
    <t>Noroc6</t>
  </si>
  <si>
    <t>Noroc8</t>
  </si>
  <si>
    <t>(Pieds)</t>
  </si>
  <si>
    <t>11ga</t>
  </si>
  <si>
    <t>12ga</t>
  </si>
  <si>
    <t>14ga</t>
  </si>
  <si>
    <t>16ga</t>
  </si>
  <si>
    <t>Mur</t>
  </si>
  <si>
    <t>Charges de vent CANADA - Espacement d'entremises</t>
  </si>
  <si>
    <t>Déflection (pieds)</t>
  </si>
  <si>
    <t>5''-2 screws - BOIS</t>
  </si>
  <si>
    <t>e-</t>
  </si>
  <si>
    <t>w-</t>
  </si>
  <si>
    <t>Charges de vent USA - Espacement d'entremises</t>
  </si>
  <si>
    <t>Norex 8</t>
  </si>
  <si>
    <t>5-</t>
  </si>
  <si>
    <t>4-</t>
  </si>
  <si>
    <t>Charges de vent FM - Espacement d'entremises</t>
  </si>
  <si>
    <t>Valeurs de déflexion (rapport)</t>
  </si>
  <si>
    <t>Capacité d'attache des vis de bois - 6mm</t>
  </si>
  <si>
    <t>Capacité d'attache des vis de bois - 8mm</t>
  </si>
  <si>
    <t>mur</t>
  </si>
  <si>
    <t>parapet</t>
  </si>
  <si>
    <t xml:space="preserve">Capacité d'attache des vis </t>
  </si>
  <si>
    <t>Espacements FM</t>
  </si>
  <si>
    <t>norex</t>
  </si>
  <si>
    <t>noroc</t>
  </si>
  <si>
    <t>Attache 5" - Bois</t>
  </si>
  <si>
    <t>Attache 5''</t>
  </si>
  <si>
    <t>Attache 12''</t>
  </si>
  <si>
    <t>Vis 6mm</t>
  </si>
  <si>
    <t>Vis 8mm</t>
  </si>
  <si>
    <t>Critères High-Rise CAN/USA</t>
  </si>
  <si>
    <t>2 vis tek</t>
  </si>
  <si>
    <t>1 vis tek</t>
  </si>
  <si>
    <t>H/Ds =</t>
  </si>
  <si>
    <r>
      <t>H/W</t>
    </r>
    <r>
      <rPr>
        <vertAlign val="subscript"/>
        <sz val="11"/>
        <rFont val="Calibri"/>
        <family val="2"/>
        <scheme val="minor"/>
      </rPr>
      <t>eff.</t>
    </r>
    <r>
      <rPr>
        <sz val="11"/>
        <rFont val="Calibri"/>
        <family val="2"/>
        <scheme val="minor"/>
      </rPr>
      <t xml:space="preserve"> =</t>
    </r>
  </si>
  <si>
    <t xml:space="preserve"> -</t>
  </si>
  <si>
    <t>Hauteur en pieds :</t>
  </si>
  <si>
    <t>11ga (0.125'')</t>
  </si>
  <si>
    <t>-</t>
  </si>
  <si>
    <t>12ga (0.105'')</t>
  </si>
  <si>
    <t>14ga (0.075'')</t>
  </si>
  <si>
    <t xml:space="preserve"> - </t>
  </si>
  <si>
    <t>16ga (0.060'')</t>
  </si>
  <si>
    <t>Tableau des peintures et du oil-canning</t>
  </si>
  <si>
    <t>Résistances thermiques (panneau et joint)</t>
  </si>
  <si>
    <t>Nom des couleurs Norbec</t>
  </si>
  <si>
    <t>TSR</t>
  </si>
  <si>
    <t>Numéro des couleurs Norbec</t>
  </si>
  <si>
    <t>E</t>
  </si>
  <si>
    <t>Aperçu couleur</t>
  </si>
  <si>
    <t>T. surface (°C) max. (approx.)</t>
  </si>
  <si>
    <t>Élongation (Ɛ)</t>
  </si>
  <si>
    <t>σ Compression (MPa)</t>
  </si>
  <si>
    <t>σ Compression (PSI)</t>
  </si>
  <si>
    <t>SRI</t>
  </si>
  <si>
    <t>Espacement oil_can (pi)</t>
  </si>
  <si>
    <t>Mystère</t>
  </si>
  <si>
    <t>???</t>
  </si>
  <si>
    <t>Épaisseur (")</t>
  </si>
  <si>
    <t>SMP CLASSIC</t>
  </si>
  <si>
    <t>Blanc Pur/White white</t>
  </si>
  <si>
    <t>Panneau</t>
  </si>
  <si>
    <t>eff</t>
  </si>
  <si>
    <t>Norex 2</t>
  </si>
  <si>
    <t>Imp.</t>
  </si>
  <si>
    <t>Blanc Brillant/Bright White</t>
  </si>
  <si>
    <t>N/D</t>
  </si>
  <si>
    <t>Blanc os/Bone White</t>
  </si>
  <si>
    <t>Gris Pierre/Stone Grey</t>
  </si>
  <si>
    <t>Tan</t>
  </si>
  <si>
    <t>x</t>
  </si>
  <si>
    <t>PVDF CLASSIC</t>
  </si>
  <si>
    <t>Fusain/Charcoal</t>
  </si>
  <si>
    <t>17-1625</t>
  </si>
  <si>
    <t>Gris Régent/Regent Gray</t>
  </si>
  <si>
    <t>Blanc Régal/Regal White</t>
  </si>
  <si>
    <t>17-1651</t>
  </si>
  <si>
    <t>Coefficient d'exposition selon les classes d'exposition - USA + FM</t>
  </si>
  <si>
    <t>Sable/Sandstone</t>
  </si>
  <si>
    <t>17-1629</t>
  </si>
  <si>
    <t>Exposure</t>
  </si>
  <si>
    <t>Poids de panneau</t>
  </si>
  <si>
    <t xml:space="preserve">Beige Surrey </t>
  </si>
  <si>
    <t>17-9805</t>
  </si>
  <si>
    <t>ft</t>
  </si>
  <si>
    <t>B</t>
  </si>
  <si>
    <t>C (S)</t>
  </si>
  <si>
    <t>D</t>
  </si>
  <si>
    <t>Masse surfacique feuille d'acier</t>
  </si>
  <si>
    <t>Gris Élément/Element Grey</t>
  </si>
  <si>
    <t>SMP PREMIUM</t>
  </si>
  <si>
    <t>Bleu Ardoise/Slate Blue</t>
  </si>
  <si>
    <t>Bleu Héron/Heron Blue</t>
  </si>
  <si>
    <t>Brun Foncé /Dark Brown</t>
  </si>
  <si>
    <t>Pacific Turquoise</t>
  </si>
  <si>
    <t>Multiplier par la longueur pour un poids en lbs</t>
  </si>
  <si>
    <t>Vibrant Red</t>
  </si>
  <si>
    <t>17-1660</t>
  </si>
  <si>
    <t>PVDF PREMIUM</t>
  </si>
  <si>
    <t>Rouge Colonial/Colonial Red</t>
  </si>
  <si>
    <t>Masse surfacique laine</t>
  </si>
  <si>
    <t>Gris Tempête/Storm Grey</t>
  </si>
  <si>
    <t>Acier Satiné/Satin Steel</t>
  </si>
  <si>
    <t>17-1661</t>
  </si>
  <si>
    <t>Royal Blue</t>
  </si>
  <si>
    <t>COLLECTION MÉTALLISÉES</t>
  </si>
  <si>
    <t>Étain/Pewter perspectra</t>
  </si>
  <si>
    <t>17-1626</t>
  </si>
  <si>
    <t>Gris Rigel /Grey Rigel</t>
  </si>
  <si>
    <t>Argent Brillant/Bright Silver perspectra</t>
  </si>
  <si>
    <t>17-1627</t>
  </si>
  <si>
    <t>Copper</t>
  </si>
  <si>
    <t>Ga Acier</t>
  </si>
  <si>
    <t>Riesling/Riesling</t>
  </si>
  <si>
    <t xml:space="preserve"> Noir/Black </t>
  </si>
  <si>
    <t>Blanc Horizon/Horizon White (Coastal)</t>
  </si>
  <si>
    <r>
      <t>h</t>
    </r>
    <r>
      <rPr>
        <vertAlign val="subscript"/>
        <sz val="11"/>
        <color theme="1"/>
        <rFont val="Calibri"/>
        <family val="2"/>
        <scheme val="minor"/>
      </rPr>
      <t>c</t>
    </r>
    <r>
      <rPr>
        <sz val="11"/>
        <color theme="1"/>
        <rFont val="Calibri"/>
        <family val="2"/>
        <scheme val="minor"/>
      </rPr>
      <t xml:space="preserve"> =</t>
    </r>
  </si>
  <si>
    <t>Cdt =</t>
  </si>
  <si>
    <t>AISI</t>
  </si>
  <si>
    <t>Innox.</t>
  </si>
  <si>
    <t>Vis Norex-H</t>
  </si>
  <si>
    <r>
      <t>T</t>
    </r>
    <r>
      <rPr>
        <vertAlign val="subscript"/>
        <sz val="11"/>
        <color theme="1"/>
        <rFont val="Calibri"/>
        <family val="2"/>
        <scheme val="minor"/>
      </rPr>
      <t>A</t>
    </r>
    <r>
      <rPr>
        <sz val="11"/>
        <color theme="1"/>
        <rFont val="Calibri"/>
        <family val="2"/>
        <scheme val="minor"/>
      </rPr>
      <t xml:space="preserve"> =</t>
    </r>
  </si>
  <si>
    <t>°C</t>
  </si>
  <si>
    <r>
      <t xml:space="preserve">Ɛ = </t>
    </r>
    <r>
      <rPr>
        <sz val="11"/>
        <color theme="1"/>
        <rFont val="Calibri"/>
        <family val="2"/>
      </rPr>
      <t>ΔL/L</t>
    </r>
  </si>
  <si>
    <t>Norex-H</t>
  </si>
  <si>
    <t>Pression max. selon critère de déformation</t>
  </si>
  <si>
    <t>E acier</t>
  </si>
  <si>
    <t>PSI</t>
  </si>
  <si>
    <t>Épaisseur du panneau (po)</t>
  </si>
  <si>
    <t>Mpa</t>
  </si>
  <si>
    <t>épaisseur entremise</t>
  </si>
  <si>
    <t>Polyéthylène</t>
  </si>
  <si>
    <t>Critère de déformation</t>
  </si>
  <si>
    <t xml:space="preserve">Buildex </t>
  </si>
  <si>
    <t>.036-.125</t>
  </si>
  <si>
    <t>3'' (1950W)</t>
  </si>
  <si>
    <t>4'' (1429000)</t>
  </si>
  <si>
    <t>3'' (1003000)</t>
  </si>
  <si>
    <t>4'' (1004000)</t>
  </si>
  <si>
    <t>5'' (1647000)</t>
  </si>
  <si>
    <t>3'' (THW 143BN)</t>
  </si>
  <si>
    <t>4'' (THW 144BN)</t>
  </si>
  <si>
    <t>5'' (THW 145BN)</t>
  </si>
  <si>
    <t>3'' (TRH 143B5)</t>
  </si>
  <si>
    <t>4'' (TRH 144B5)</t>
  </si>
  <si>
    <t>5'' (TRH 145B5)</t>
  </si>
  <si>
    <t>3"</t>
  </si>
  <si>
    <t>4"</t>
  </si>
  <si>
    <t>5"</t>
  </si>
  <si>
    <t>3-1/8''</t>
  </si>
  <si>
    <t>Ejot</t>
  </si>
  <si>
    <t>2-1/2"</t>
  </si>
  <si>
    <t>3-1/4"</t>
  </si>
  <si>
    <t>Vis Norex-L / Noroc</t>
  </si>
  <si>
    <t>Norex-L/Noroc</t>
  </si>
  <si>
    <t>2'' (1920W)</t>
  </si>
  <si>
    <t>6'' (1432000)</t>
  </si>
  <si>
    <t>8'' (1619000)</t>
  </si>
  <si>
    <t>.036-.220</t>
  </si>
  <si>
    <t>2'' (THW 142BN)</t>
  </si>
  <si>
    <t>6'' (THW 146B)</t>
  </si>
  <si>
    <t>3'' (TRH 143B5N)</t>
  </si>
  <si>
    <t>4'' (TRH 144B5N)</t>
  </si>
  <si>
    <t>5'' (TRH 145B5N)</t>
  </si>
  <si>
    <t>6'' (TRH 146B5N)</t>
  </si>
  <si>
    <t>8" (TRH 148B5)</t>
  </si>
  <si>
    <t>6"</t>
  </si>
  <si>
    <t>8"</t>
  </si>
  <si>
    <t>10"</t>
  </si>
  <si>
    <t>7"</t>
  </si>
  <si>
    <t>Approche conservatrice</t>
  </si>
  <si>
    <t>7-1/2"</t>
  </si>
  <si>
    <t>8-1/3"</t>
  </si>
  <si>
    <t>Vis de bois</t>
  </si>
  <si>
    <t>Fabricant : Schmid</t>
  </si>
  <si>
    <t>N/A</t>
  </si>
  <si>
    <r>
      <t xml:space="preserve">2 x Stardrive GPR Flat head - </t>
    </r>
    <r>
      <rPr>
        <sz val="11"/>
        <color theme="1"/>
        <rFont val="Calibri"/>
        <family val="2"/>
      </rPr>
      <t>Ø6mm</t>
    </r>
  </si>
  <si>
    <t>5 1/2"</t>
  </si>
  <si>
    <t>6 1/4"</t>
  </si>
  <si>
    <t>7 1/6"</t>
  </si>
  <si>
    <t>7 7/8"</t>
  </si>
  <si>
    <r>
      <t xml:space="preserve">2 x Stardrive GPR Flat head - </t>
    </r>
    <r>
      <rPr>
        <sz val="11"/>
        <color theme="1"/>
        <rFont val="Calibri"/>
        <family val="2"/>
      </rPr>
      <t>Ø8mm</t>
    </r>
  </si>
  <si>
    <t>9 1/2"</t>
  </si>
  <si>
    <t>10 1/4"</t>
  </si>
  <si>
    <t>2a</t>
  </si>
  <si>
    <t>2b</t>
  </si>
  <si>
    <t>Tableau de référencement pour la déflexion</t>
  </si>
  <si>
    <t>SINGLE-SPAN</t>
  </si>
  <si>
    <t>Norex 3"</t>
  </si>
  <si>
    <t>Norex 4"</t>
  </si>
  <si>
    <t>Norex 5"</t>
  </si>
  <si>
    <t>Norex 6"</t>
  </si>
  <si>
    <t>Norex 8"</t>
  </si>
  <si>
    <t>Noroc 4"</t>
  </si>
  <si>
    <t>Noroc 5"</t>
  </si>
  <si>
    <t>Noroc 6"</t>
  </si>
  <si>
    <t>Noroc 8"</t>
  </si>
  <si>
    <t>MULTI-SPAN</t>
  </si>
  <si>
    <t>Norex 2"</t>
  </si>
  <si>
    <t>Single-Span</t>
  </si>
  <si>
    <t>26_26</t>
  </si>
  <si>
    <t>26_24</t>
  </si>
  <si>
    <t>26_22</t>
  </si>
  <si>
    <t>24_26</t>
  </si>
  <si>
    <t>24_24</t>
  </si>
  <si>
    <t>24_22</t>
  </si>
  <si>
    <t>22_26</t>
  </si>
  <si>
    <t>22_24</t>
  </si>
  <si>
    <t>22_22</t>
  </si>
  <si>
    <t>Charte Oficielle</t>
  </si>
  <si>
    <t>26-26</t>
  </si>
  <si>
    <t>26-24</t>
  </si>
  <si>
    <t>26-22</t>
  </si>
  <si>
    <t>24-26</t>
  </si>
  <si>
    <t>24-24</t>
  </si>
  <si>
    <t>24-22</t>
  </si>
  <si>
    <t>22-26</t>
  </si>
  <si>
    <t>22-24</t>
  </si>
  <si>
    <t>22-22</t>
  </si>
  <si>
    <t>Norex4_26-26</t>
  </si>
  <si>
    <t>Norex4_26-24</t>
  </si>
  <si>
    <t>Norex4_26-22</t>
  </si>
  <si>
    <t>Norex4_24-26</t>
  </si>
  <si>
    <t>Norex4_24-24</t>
  </si>
  <si>
    <t>Norex4_24-22</t>
  </si>
  <si>
    <t>Norex4_22-26</t>
  </si>
  <si>
    <t>Norex4_22-24</t>
  </si>
  <si>
    <t>Norex4_22-22</t>
  </si>
  <si>
    <t>Norex5_26-26</t>
  </si>
  <si>
    <t>Norex5_26-24</t>
  </si>
  <si>
    <t>Norex5_26-22</t>
  </si>
  <si>
    <t>Norex5_24-26</t>
  </si>
  <si>
    <t>Norex5_24-24</t>
  </si>
  <si>
    <t>Norex5_24-22</t>
  </si>
  <si>
    <t>Norex5_22-26</t>
  </si>
  <si>
    <t>Norex5_22-24</t>
  </si>
  <si>
    <t>Norex5_22-22</t>
  </si>
  <si>
    <t>Norex6_26-26</t>
  </si>
  <si>
    <t>Norex6_26-24</t>
  </si>
  <si>
    <t>Norex6_26-22</t>
  </si>
  <si>
    <t>Norex6_24-26</t>
  </si>
  <si>
    <t>Norex6_24-24</t>
  </si>
  <si>
    <t>Norex6_24-22</t>
  </si>
  <si>
    <t>Norex6_22-26</t>
  </si>
  <si>
    <t>Norex6_22-24</t>
  </si>
  <si>
    <t>Norex6_22-22</t>
  </si>
  <si>
    <t>Norex8_26-26</t>
  </si>
  <si>
    <t>Norex8_26-24</t>
  </si>
  <si>
    <t>Norex8_26-22</t>
  </si>
  <si>
    <t>Norex8_24-26</t>
  </si>
  <si>
    <t>Norex8_24-24</t>
  </si>
  <si>
    <t>Norex8_24-22</t>
  </si>
  <si>
    <t>Norex8_22-26</t>
  </si>
  <si>
    <t>Norex8_22-24</t>
  </si>
  <si>
    <t>Norex8_22-22</t>
  </si>
  <si>
    <t>Noroc5_26-26</t>
  </si>
  <si>
    <t>Noroc5_26-24</t>
  </si>
  <si>
    <t>Noroc5_26-22</t>
  </si>
  <si>
    <t>Noroc5_24-26</t>
  </si>
  <si>
    <t>Noroc5_24-24</t>
  </si>
  <si>
    <t>Noroc5_24-22</t>
  </si>
  <si>
    <t>Noroc5_22-26</t>
  </si>
  <si>
    <t>Noroc5_22-24</t>
  </si>
  <si>
    <t>Noroc5_22-22</t>
  </si>
  <si>
    <t>Noroc6_26-26</t>
  </si>
  <si>
    <t>Noroc6_26-24</t>
  </si>
  <si>
    <t>Noroc6_26-22</t>
  </si>
  <si>
    <t>Noroc6_24-26</t>
  </si>
  <si>
    <t>Noroc6_24-24</t>
  </si>
  <si>
    <t>Noroc6_24-22</t>
  </si>
  <si>
    <t>Noroc6_22-26</t>
  </si>
  <si>
    <t>Noroc6_22-24</t>
  </si>
  <si>
    <t>Noroc6_22-22</t>
  </si>
  <si>
    <t>Noroc8_26-26</t>
  </si>
  <si>
    <t>Noroc8_26-24</t>
  </si>
  <si>
    <t>Noroc8_26-22</t>
  </si>
  <si>
    <t>Noroc8_24-26</t>
  </si>
  <si>
    <t>Noroc8_24-24</t>
  </si>
  <si>
    <t>Noroc8_24-22</t>
  </si>
  <si>
    <t>Noroc8_22-26</t>
  </si>
  <si>
    <t>Noroc8_22-24</t>
  </si>
  <si>
    <t>Noroc8_22-22</t>
  </si>
  <si>
    <t>Norex2_26-26</t>
  </si>
  <si>
    <t>Norex2_26-24</t>
  </si>
  <si>
    <t>Norex2_26-22</t>
  </si>
  <si>
    <t>Norex2_24-26</t>
  </si>
  <si>
    <t>Norex2_24-24</t>
  </si>
  <si>
    <t>Norex2_24-22</t>
  </si>
  <si>
    <t>Norex2_22-26</t>
  </si>
  <si>
    <t>Norex2_22-24</t>
  </si>
  <si>
    <t>Norex2_22-22</t>
  </si>
  <si>
    <t>Norex3_26-26</t>
  </si>
  <si>
    <t>Norex3_26-24</t>
  </si>
  <si>
    <t>Norex3_26-22</t>
  </si>
  <si>
    <t>Norex3_24-26</t>
  </si>
  <si>
    <t>Norex3_24-24</t>
  </si>
  <si>
    <t>Norex3_24-22</t>
  </si>
  <si>
    <t>Norex3_22-26</t>
  </si>
  <si>
    <t>Norex3_22-24</t>
  </si>
  <si>
    <t>Norex3_22-22</t>
  </si>
  <si>
    <t>Noroc4_26-26</t>
  </si>
  <si>
    <t>Noroc4_26-24</t>
  </si>
  <si>
    <t>Noroc4_26-22</t>
  </si>
  <si>
    <t>Noroc4_24-26</t>
  </si>
  <si>
    <t>Noroc4_24-24</t>
  </si>
  <si>
    <t>Noroc4_24-22</t>
  </si>
  <si>
    <t>Noroc4_22-26</t>
  </si>
  <si>
    <t>Noroc4_22-24</t>
  </si>
  <si>
    <t>Noroc4_22-22</t>
  </si>
  <si>
    <t>Multi-Span</t>
  </si>
  <si>
    <t xml:space="preserve">NOTE IMPORTANTE &amp; AVERTISSEMENTS  </t>
  </si>
  <si>
    <t>INTRANTS</t>
  </si>
  <si>
    <t>Pression de vent Exterieure (ELU)</t>
  </si>
  <si>
    <t>ANNEXES</t>
  </si>
  <si>
    <r>
      <t>q</t>
    </r>
    <r>
      <rPr>
        <vertAlign val="subscript"/>
        <sz val="11"/>
        <color theme="1"/>
        <rFont val="Calibri"/>
        <family val="2"/>
        <scheme val="minor"/>
      </rPr>
      <t>50</t>
    </r>
    <r>
      <rPr>
        <sz val="11"/>
        <color theme="1"/>
        <rFont val="Calibri"/>
        <family val="2"/>
        <scheme val="minor"/>
      </rPr>
      <t xml:space="preserve"> =</t>
    </r>
  </si>
  <si>
    <t>Facteurs Exterieurs</t>
  </si>
  <si>
    <t xml:space="preserve">Le present outil de calcul de charge de vent se fonde sur les règles de calcul de la Partie 4 Division B du code National du Bâtiment du Canada 2015. Noter toutefois que l'outil ne traite pas les cas de bâtiments hauts de plus de 60 mètres [196'-10'']. La charge de vent calculée est celle pour l'État Limite Ultime (ELU) seulement. Se referer à l'expertise d'un ingenieur professionnel pour toute autre type de structure d'ancrage.                                                     </t>
  </si>
  <si>
    <r>
      <t>Surface tributaire (m</t>
    </r>
    <r>
      <rPr>
        <vertAlign val="superscript"/>
        <sz val="11"/>
        <color theme="1"/>
        <rFont val="Calibri"/>
        <family val="2"/>
        <scheme val="minor"/>
      </rPr>
      <t>2</t>
    </r>
    <r>
      <rPr>
        <sz val="11"/>
        <color theme="1"/>
        <rFont val="Calibri"/>
        <family val="2"/>
        <scheme val="minor"/>
      </rPr>
      <t>)</t>
    </r>
  </si>
  <si>
    <t>w (leeward)</t>
  </si>
  <si>
    <t>Iw =</t>
  </si>
  <si>
    <t>CpCg</t>
  </si>
  <si>
    <t>Pe (kPa)</t>
  </si>
  <si>
    <t>Toit</t>
  </si>
  <si>
    <t>w (windward)</t>
  </si>
  <si>
    <t>ce =</t>
  </si>
  <si>
    <t>e (leeward)</t>
  </si>
  <si>
    <t>hauteur (m) =</t>
  </si>
  <si>
    <t>e+</t>
  </si>
  <si>
    <t>e (windward)</t>
  </si>
  <si>
    <t>w+</t>
  </si>
  <si>
    <t>c-</t>
  </si>
  <si>
    <t>4.1.7.6 C p.432</t>
  </si>
  <si>
    <t>RÉSULTAT</t>
  </si>
  <si>
    <t>c+</t>
  </si>
  <si>
    <t>20m et -</t>
  </si>
  <si>
    <t>Plus de 20m</t>
  </si>
  <si>
    <t>Juste Cp (20m+)</t>
  </si>
  <si>
    <t>s-</t>
  </si>
  <si>
    <t>Pressions de vent combinées P (ELU)</t>
  </si>
  <si>
    <t>s+</t>
  </si>
  <si>
    <t>r-</t>
  </si>
  <si>
    <t>p (kPa)</t>
  </si>
  <si>
    <t>r+</t>
  </si>
  <si>
    <t>Pression de vent interieure Pi (kPa)</t>
  </si>
  <si>
    <t>Cgi =</t>
  </si>
  <si>
    <t>Cei =</t>
  </si>
  <si>
    <t xml:space="preserve">         Pi = Iw*q*Ce*Cgi*Cpi</t>
  </si>
  <si>
    <t xml:space="preserve">Pi = </t>
  </si>
  <si>
    <t>Cg = 2,5</t>
  </si>
  <si>
    <t>4.1.7.6 C</t>
  </si>
  <si>
    <t>4.1.7.3-8)</t>
  </si>
  <si>
    <t>4.1.7.5-4)</t>
  </si>
  <si>
    <t>CHARGES DE VENT PAR PRODUIT</t>
  </si>
  <si>
    <t>PRODUIT 1</t>
  </si>
  <si>
    <t>PRODUIT 2</t>
  </si>
  <si>
    <t>PRODUIT 3</t>
  </si>
  <si>
    <t xml:space="preserve"> </t>
  </si>
  <si>
    <t>Nouvel Avertissement</t>
  </si>
  <si>
    <t>PowerPoint comparaison CAN / US</t>
  </si>
  <si>
    <t>V (mph) =</t>
  </si>
  <si>
    <t>Exposure Cat. :</t>
  </si>
  <si>
    <t>GCp</t>
  </si>
  <si>
    <t>Pe (PSF)</t>
  </si>
  <si>
    <t>Kd =</t>
  </si>
  <si>
    <t>hauteur =</t>
  </si>
  <si>
    <t>pi</t>
  </si>
  <si>
    <t>5+</t>
  </si>
  <si>
    <t>Kh =</t>
  </si>
  <si>
    <t>qh =</t>
  </si>
  <si>
    <t>4+</t>
  </si>
  <si>
    <t>3-</t>
  </si>
  <si>
    <t>3+</t>
  </si>
  <si>
    <t>2-</t>
  </si>
  <si>
    <t xml:space="preserve">2+ </t>
  </si>
  <si>
    <t>1-</t>
  </si>
  <si>
    <t>Zone +</t>
  </si>
  <si>
    <t>Zone -</t>
  </si>
  <si>
    <t>1+</t>
  </si>
  <si>
    <t>p (PSF)</t>
  </si>
  <si>
    <t>Enclosure :</t>
  </si>
  <si>
    <t>Pression de vent interieure :</t>
  </si>
  <si>
    <t>4 (leeward)</t>
  </si>
  <si>
    <t>4 (windward)</t>
  </si>
  <si>
    <t>5 (leeward)</t>
  </si>
  <si>
    <t>5 (windward)</t>
  </si>
  <si>
    <t>DOCUMENTS DE RÉFÉRENCE</t>
  </si>
  <si>
    <t>Ouvertures ASCE 7-16</t>
  </si>
  <si>
    <t>Roof zones ASCE 7-16</t>
  </si>
  <si>
    <t>ASCE 7-10 Components and cladding</t>
  </si>
  <si>
    <t>(GCps)</t>
  </si>
  <si>
    <t>L'autre document (Un peu de tout, Kd, Kh, Ouvertures)</t>
  </si>
  <si>
    <t>-0,55 Gcpi</t>
  </si>
  <si>
    <t>+0,55 Gcpi</t>
  </si>
  <si>
    <t>5- (e-)</t>
  </si>
  <si>
    <t>5+ (e+)</t>
  </si>
  <si>
    <t>4- (w-)</t>
  </si>
  <si>
    <t>4+ (w+)</t>
  </si>
  <si>
    <t>3- (leeward)</t>
  </si>
  <si>
    <t>3+ (windward)</t>
  </si>
  <si>
    <t>2 (leeward)</t>
  </si>
  <si>
    <t>2 (windward)</t>
  </si>
  <si>
    <t>OUTIL DE CALCUL DE LA LONGUEUR MAX. DE PANNEAU  SOUS L'EFFET DU RAYONNEMENT SOLAIRE (REV-01/ Juin 2015)</t>
  </si>
  <si>
    <t>TYPE DE PANNEAU</t>
  </si>
  <si>
    <t>Norex-L  (brun foncé - noir)</t>
  </si>
  <si>
    <t xml:space="preserve">silkline </t>
  </si>
  <si>
    <t>Cannelé</t>
  </si>
  <si>
    <t>micronervuré</t>
  </si>
  <si>
    <t>sans profile</t>
  </si>
  <si>
    <t>ÉPAISSEUR DE LA TÔLE EXTERIEURE</t>
  </si>
  <si>
    <t>gage 26</t>
  </si>
  <si>
    <t>I</t>
  </si>
  <si>
    <t>gage 22</t>
  </si>
  <si>
    <t>Couleur :</t>
  </si>
  <si>
    <r>
      <t xml:space="preserve">VALEUR DU </t>
    </r>
    <r>
      <rPr>
        <b/>
        <sz val="11"/>
        <rFont val="Calibri"/>
        <family val="2"/>
      </rPr>
      <t>''TSR''</t>
    </r>
    <r>
      <rPr>
        <sz val="11"/>
        <rFont val="Calibri"/>
        <family val="2"/>
        <scheme val="minor"/>
      </rPr>
      <t xml:space="preserve"> :</t>
    </r>
  </si>
  <si>
    <t>I^2</t>
  </si>
  <si>
    <t>Norex-L  (Couleur foncé - Couleur Métalisé)</t>
  </si>
  <si>
    <t>LONGUEUR MAX. ADMISSIBLE DES PANNEAUX AUX COINS RENTRANTS [Pouces]</t>
  </si>
  <si>
    <t>LONGUEUR MAX. ADMISSIBLE DES PANNEAUX PARTOUT AILLEURS [pouces]</t>
  </si>
  <si>
    <t>24 (panneau lg max 36'')</t>
  </si>
  <si>
    <t>Norex-L  (Autres couleurs)</t>
  </si>
  <si>
    <t>Norex-L  (blanc brillants)</t>
  </si>
  <si>
    <t>52'-3''</t>
  </si>
  <si>
    <t>?</t>
  </si>
  <si>
    <t>28 (panneau lg max 36'')</t>
  </si>
  <si>
    <t>gris pierre 46/48'</t>
  </si>
  <si>
    <t>voir peinture pour toiture cool…</t>
  </si>
  <si>
    <t>galvalum vs galnavisé</t>
  </si>
  <si>
    <t>Noroc impossible sans profile</t>
  </si>
  <si>
    <t>Noroc impossible avec cannelé</t>
  </si>
  <si>
    <t>Noroc 6'' max 44 pieds (voir fiche technique) - 40-44' panneau trop pessant.</t>
  </si>
  <si>
    <t>Noroc 5'' max 36'</t>
  </si>
  <si>
    <t>Noroc 8'' 32'</t>
  </si>
  <si>
    <t>Noroc 4' lg max ?</t>
  </si>
  <si>
    <t>Couleur en inventaire ?</t>
  </si>
  <si>
    <t>acier intérieur, sans profile, gage 24 min</t>
  </si>
  <si>
    <t>Micro nervuré impossible intérieur</t>
  </si>
  <si>
    <t>fini embossé augmente de 1 pied la long. max</t>
  </si>
  <si>
    <t>RESULTATS</t>
  </si>
  <si>
    <t>MIN</t>
  </si>
  <si>
    <t>MAX</t>
  </si>
  <si>
    <t>NOREX</t>
  </si>
  <si>
    <t>LISSE</t>
  </si>
  <si>
    <t>EMBOSSAGE 0.005''</t>
  </si>
  <si>
    <t>NOROC</t>
  </si>
  <si>
    <t>OUI</t>
  </si>
  <si>
    <t>NON</t>
  </si>
  <si>
    <t>Non / No</t>
  </si>
  <si>
    <t>Oui / Yes</t>
  </si>
  <si>
    <t>Arrondi</t>
  </si>
  <si>
    <t>Normal</t>
  </si>
  <si>
    <t>*arrondir aux 5 psf</t>
  </si>
  <si>
    <t>Low-Rise ? :</t>
  </si>
  <si>
    <t>Document FM</t>
  </si>
  <si>
    <t>Villes</t>
  </si>
  <si>
    <t>Liste dynamique</t>
  </si>
  <si>
    <t>Province Actuelle</t>
  </si>
  <si>
    <t>Chercher la lettre</t>
  </si>
  <si>
    <t>Fréquence</t>
  </si>
  <si>
    <t>Afficher la valeur</t>
  </si>
  <si>
    <t>Résultat Menu déroulant</t>
  </si>
  <si>
    <t>Test gestion nom</t>
  </si>
  <si>
    <t>Options saisie de données</t>
  </si>
  <si>
    <t>Canada</t>
  </si>
  <si>
    <t>États-Unis</t>
  </si>
  <si>
    <t>Français</t>
  </si>
  <si>
    <t>Anglais</t>
  </si>
  <si>
    <t>Valeur</t>
  </si>
  <si>
    <t>Pays</t>
  </si>
  <si>
    <t>MISES EN GARDE</t>
  </si>
  <si>
    <t>https://hazards.atcouncil.org/</t>
  </si>
  <si>
    <t>Alberta</t>
  </si>
  <si>
    <t>Athabasca</t>
  </si>
  <si>
    <t>100 Mile House</t>
  </si>
  <si>
    <t>Charlottetown</t>
  </si>
  <si>
    <t>Beauséjour</t>
  </si>
  <si>
    <t>Alma</t>
  </si>
  <si>
    <t>Amherst</t>
  </si>
  <si>
    <t>Alert</t>
  </si>
  <si>
    <t>Ailsa Craig</t>
  </si>
  <si>
    <t>Acton Vale</t>
  </si>
  <si>
    <t>Assiniboia</t>
  </si>
  <si>
    <t>Aklavik</t>
  </si>
  <si>
    <t>Argentia</t>
  </si>
  <si>
    <t>Aishihik</t>
  </si>
  <si>
    <t>FM 4880-4881:</t>
  </si>
  <si>
    <t>Menu dérou.</t>
  </si>
  <si>
    <t>FR</t>
  </si>
  <si>
    <t>EN</t>
  </si>
  <si>
    <t>Colombie_Britannique</t>
  </si>
  <si>
    <t>Banff</t>
  </si>
  <si>
    <t>Abbotsford</t>
  </si>
  <si>
    <t>Souris</t>
  </si>
  <si>
    <t>Boissevain</t>
  </si>
  <si>
    <t>Bathurst</t>
  </si>
  <si>
    <t>Antigonish</t>
  </si>
  <si>
    <t>Arctic Bay</t>
  </si>
  <si>
    <t>Ajax</t>
  </si>
  <si>
    <t>Battrum</t>
  </si>
  <si>
    <t>Behchoko</t>
  </si>
  <si>
    <t>Bonavista</t>
  </si>
  <si>
    <t>Dawson</t>
  </si>
  <si>
    <t>Non</t>
  </si>
  <si>
    <t>No</t>
  </si>
  <si>
    <t>Faible/Low</t>
  </si>
  <si>
    <t>***Mise en garde (Option non-standard) : la catégorie de risque de bâtiment est faible. Cette désignation est normalement accordée aux bâtiments qui, en cas de défaillance, représentent un risque direct ou indirect faible pour la vie humaine.</t>
  </si>
  <si>
    <t>***Warning (Non-Standard Option): the importance category is set to “low”. It includes buildings that represent a low direct or indirect hazard to human life in the event of failure, including low human-occupancy buildings and minor storage buildings.</t>
  </si>
  <si>
    <t xml:space="preserve">Open </t>
  </si>
  <si>
    <t>***Mise en garde (Option non-standard) : La catégorie d’ouverture «ouverte» signifie que chaque mur est composé à 80% d’ouvertures.</t>
  </si>
  <si>
    <t>***Warning (Non-standard Option): The opening category is set to “open”. This occurs when each wall of a building is at least 80% open.</t>
  </si>
  <si>
    <t>Île_du_Prince_Édouard</t>
  </si>
  <si>
    <t>Barrhead</t>
  </si>
  <si>
    <t>Agassiz</t>
  </si>
  <si>
    <t>Summerside</t>
  </si>
  <si>
    <t>Brandon</t>
  </si>
  <si>
    <t>Campbellton</t>
  </si>
  <si>
    <t>Bridgewater</t>
  </si>
  <si>
    <t>Arviat</t>
  </si>
  <si>
    <t>Alexandria</t>
  </si>
  <si>
    <t>Amos</t>
  </si>
  <si>
    <t>Biggar</t>
  </si>
  <si>
    <t>Fort Good Hope</t>
  </si>
  <si>
    <t>Buchans</t>
  </si>
  <si>
    <t>Destruction Bay</t>
  </si>
  <si>
    <t>Matériau Entremises:</t>
  </si>
  <si>
    <t>Acier/Steel (STD.)</t>
  </si>
  <si>
    <t>Acier</t>
  </si>
  <si>
    <t>Steel</t>
  </si>
  <si>
    <t>Partially Open / Enclosed</t>
  </si>
  <si>
    <t>Manitoba</t>
  </si>
  <si>
    <t>Beaverlodge</t>
  </si>
  <si>
    <t>Alberni</t>
  </si>
  <si>
    <t>Tignish</t>
  </si>
  <si>
    <t>Churchill</t>
  </si>
  <si>
    <t>Edmundston</t>
  </si>
  <si>
    <t>Canso</t>
  </si>
  <si>
    <t>Baker Lake</t>
  </si>
  <si>
    <t>Alliston</t>
  </si>
  <si>
    <t>Ancienne-Lorette</t>
  </si>
  <si>
    <t>Broadview</t>
  </si>
  <si>
    <t>Fort McPherson</t>
  </si>
  <si>
    <t>Cape Harrison</t>
  </si>
  <si>
    <t>Faro</t>
  </si>
  <si>
    <t>Bois/Wood</t>
  </si>
  <si>
    <t>Bois</t>
  </si>
  <si>
    <t>Wood</t>
  </si>
  <si>
    <t>Élevé/High</t>
  </si>
  <si>
    <t>***Mise en garde (Option non-standard) : la catégorie de risque de bâtiment est élevée. Celle-ci inclut les écoles, les centres communautaires ainsi que les installations de stockage et de fabrication qui contiennent des produits toxiques, explosifs ou dangereux en quantité élevées.</t>
  </si>
  <si>
    <t>***Warning (Non-Standard Option): the importance category is set to “high”. It mainly includes elementary, middle and secondary schools, community centres, but also facilities containing significant amounts of toxic, explosive, or other hazardous substances.</t>
  </si>
  <si>
    <t>Partially Enclosed (STD.)</t>
  </si>
  <si>
    <t>***Mise en garde (Option non-standard) : La catégorie d’ouverture «partiellement fermé» s’applique lorsqu’un des murs a une surface d’ouvertures qui excède 110% de la surface des ouvertures sur les autres murs et le toit. Il faut aussi que la surface d’ouverture de chaque mur soit comprise entre 1% et 20%.</t>
  </si>
  <si>
    <t xml:space="preserve">***Warning (Non-standard Option): The opening category is set to “Partially Enclosed”. This occurs when the sum of the openings in a wall exceeds 110% percent of the other openings in the walls and roof, and when each wall is between 1% and 20% open. </t>
  </si>
  <si>
    <t>Nouveau_Brunswick</t>
  </si>
  <si>
    <t>Brooks</t>
  </si>
  <si>
    <t>Ashcroft</t>
  </si>
  <si>
    <t>Dauphin</t>
  </si>
  <si>
    <t>Fredericton</t>
  </si>
  <si>
    <t>Dartmouth</t>
  </si>
  <si>
    <t>Cambridge</t>
  </si>
  <si>
    <t>Almonte</t>
  </si>
  <si>
    <t>Aylmer</t>
  </si>
  <si>
    <t>Dafoe</t>
  </si>
  <si>
    <t>Fort Providence</t>
  </si>
  <si>
    <t>Cape Race</t>
  </si>
  <si>
    <t>Haines Junction</t>
  </si>
  <si>
    <t>Catégorie de risque de bâtiment :</t>
  </si>
  <si>
    <t>Faible</t>
  </si>
  <si>
    <t>Low</t>
  </si>
  <si>
    <t>Protection civile/Post-disaster</t>
  </si>
  <si>
    <t>***Mise en garde (Option non-standard) : Les bâtiments de protection civile sont des bâtiments où sont fournis des services essentiels en cas de catastrophe, les centrales électriques, les centres de contrôle pour le transport, les installations de traitement des eaux, les installations pour les services d’urgences et bien plus.</t>
  </si>
  <si>
    <t>***Warning (Non-Standard Option): the importance category is set to “post-disaster”. Post-disaster buildings are essential to the provision of services in the event of a disaster, and include hospitals, power generating stations, transport control centres, public water treatment and storage facilities, and emergency response services facilities. Refer to table 4.1.2.1 of the NBCC for more details.</t>
  </si>
  <si>
    <t>***Mise en garde (Option non-standard) : La classe d’exposition B implique que le bâtiment est complètement entouré d’un terrain urbain ou boisé sur une distance de 1500pi pour les bâtiments de 30pi et moins de haut. Pour les bâtiments de plus de 30pi de haut, cette distance est de 2600pi (792m).</t>
  </si>
  <si>
    <t>***Warning (Non-Standard Option): The exposure class is set to “B”. This means that the building is surrounded by urban or completely wooded areas that prevail for a distance greater than 1500ft (457m) for buildings 30 ft and under, or 2600ft (792m) for buildings over 30 ft.</t>
  </si>
  <si>
    <t>Nouvelle_Écosse</t>
  </si>
  <si>
    <t>Calgary</t>
  </si>
  <si>
    <t>Bamfield</t>
  </si>
  <si>
    <t>Flin Flon</t>
  </si>
  <si>
    <t>Gagetown</t>
  </si>
  <si>
    <t>Debert</t>
  </si>
  <si>
    <t>Chesterfield Inlet</t>
  </si>
  <si>
    <t>Armstrong</t>
  </si>
  <si>
    <t>Baie-Comeau</t>
  </si>
  <si>
    <t>Dundurn</t>
  </si>
  <si>
    <t>Fort Resolution</t>
  </si>
  <si>
    <t>Channel-Port aux Basques</t>
  </si>
  <si>
    <t>Snag</t>
  </si>
  <si>
    <t>C (STD.)</t>
  </si>
  <si>
    <t>Nunavut</t>
  </si>
  <si>
    <t>Campsie</t>
  </si>
  <si>
    <t>Beatton River</t>
  </si>
  <si>
    <t>Gimli</t>
  </si>
  <si>
    <t>Grand-Sault</t>
  </si>
  <si>
    <t>Digby</t>
  </si>
  <si>
    <t>Clyde</t>
  </si>
  <si>
    <t>Arnprior</t>
  </si>
  <si>
    <t>Baie-Saint-Paul</t>
  </si>
  <si>
    <t>Estevan</t>
  </si>
  <si>
    <t>Fort Simpson</t>
  </si>
  <si>
    <t>Corner Brook</t>
  </si>
  <si>
    <t>Teslin</t>
  </si>
  <si>
    <t>Élevé</t>
  </si>
  <si>
    <t>High</t>
  </si>
  <si>
    <t>Rugueux/Rough</t>
  </si>
  <si>
    <t>***Mise en garde (Option non-standard) : un terrain rugueux est un terrain comportant une zone urbaine, banlieue ou encore terrain boisé qui part du bâtiment et qui est ininterrompue sur une distance d'au moins 1 kilomètre.</t>
  </si>
  <si>
    <t>***Warning (Non-Standard Option): the terrain type is set to “rough”. Rough terrain is suburban, urban or wooded terrain extending upwind from the building uninterrupted for at least 1 km or 20 times the height of the building, whichever is greater.</t>
  </si>
  <si>
    <t>***Mise en garde (Option non-standard) : La classe d’exposition D est réservée aux bâtiments dont le terrain à 600pi (183m) ou à 20 fois la hauteur (valeur la plus grande) est dépourvue d’obstacle. Elle s’applique aussi aux bâtiments dont le terrain est dépourvu d’obstacles sur une distance de 5000pi (1524m) ou de 20 fois la hauteur (valeur la plus grande).</t>
  </si>
  <si>
    <t>*** Warning (Non-Standard Option): The exposure class is set to “D”. This means that there is a complete absence of obstacles within 600ft (183m) or 20 times the height of the building, whichever is greater. This also applies when there are no obstacles around the building for 5000ft (1524m) or 20 times the height of the building, whichever is greater.</t>
  </si>
  <si>
    <t>Camrose</t>
  </si>
  <si>
    <t>Bella Bella</t>
  </si>
  <si>
    <t>Island Lake</t>
  </si>
  <si>
    <t>Miramichi</t>
  </si>
  <si>
    <t>Greenwood</t>
  </si>
  <si>
    <t>Coppermine</t>
  </si>
  <si>
    <t>Atikokan</t>
  </si>
  <si>
    <t>Beaconsfield</t>
  </si>
  <si>
    <t>Hudson Bay</t>
  </si>
  <si>
    <t>Fort Smith</t>
  </si>
  <si>
    <t>Gander</t>
  </si>
  <si>
    <t>Watson Lake</t>
  </si>
  <si>
    <t>Protection civile</t>
  </si>
  <si>
    <t>Post-disaster</t>
  </si>
  <si>
    <t>Catégorie/Category 1</t>
  </si>
  <si>
    <t>***Mise en garde (Option non-standard) : Les ouvertures de catégorie 1 sont de petites ouvertures réparties uniformément et représentant moins de 0,1 % de la surface totale du bâtiment.</t>
  </si>
  <si>
    <t>***Warning (Non-Standard Option): the building openings category is set to “Category 1”. It includes uniformly distributed small openings amounting to less than 0.1% of the total surface area of the building.</t>
  </si>
  <si>
    <t>Québec</t>
  </si>
  <si>
    <t>Canmore</t>
  </si>
  <si>
    <t>Bella Coola</t>
  </si>
  <si>
    <t>Lac du Bonnet</t>
  </si>
  <si>
    <t>Moncton</t>
  </si>
  <si>
    <t>Halifax</t>
  </si>
  <si>
    <t>Coral Harbour (Salliq)</t>
  </si>
  <si>
    <t>Attawapiskat</t>
  </si>
  <si>
    <t>Beauport</t>
  </si>
  <si>
    <t>Humboldt</t>
  </si>
  <si>
    <t>Hay River</t>
  </si>
  <si>
    <t>Grand Bank</t>
  </si>
  <si>
    <t>Whitehorse</t>
  </si>
  <si>
    <t>Catégorie de terrain :</t>
  </si>
  <si>
    <t>À découvert</t>
  </si>
  <si>
    <t>Open</t>
  </si>
  <si>
    <t>Portées multiples / Multi-span (S)</t>
  </si>
  <si>
    <t>Portées multiples</t>
  </si>
  <si>
    <t>Multi-span</t>
  </si>
  <si>
    <t>Colline/Hill</t>
  </si>
  <si>
    <t>***Mise en garde (Option non-standard) : Ce fichier ne supporte pas les terrains qui ont une pente plus grande que 10° d'inclinaison.</t>
  </si>
  <si>
    <t>***Warning (Non-Standard Option): This tool does not support terrain with an incline greater than 10°.</t>
  </si>
  <si>
    <t>Saskatchewan</t>
  </si>
  <si>
    <t>Cardston</t>
  </si>
  <si>
    <t>Burnaby</t>
  </si>
  <si>
    <t>Lynn Lake</t>
  </si>
  <si>
    <t>Oromocto</t>
  </si>
  <si>
    <t>Kentville</t>
  </si>
  <si>
    <t>Eureka</t>
  </si>
  <si>
    <t>Aurora</t>
  </si>
  <si>
    <t>Bedford</t>
  </si>
  <si>
    <t>Island Falls</t>
  </si>
  <si>
    <t>lnuvik</t>
  </si>
  <si>
    <t>Grand Falls</t>
  </si>
  <si>
    <t>Rugueux</t>
  </si>
  <si>
    <t>Rough</t>
  </si>
  <si>
    <t>Portée simple / Single-span</t>
  </si>
  <si>
    <t>Portée simple</t>
  </si>
  <si>
    <t>Single-span</t>
  </si>
  <si>
    <t>Catégorie/Category 3</t>
  </si>
  <si>
    <t>***Mise en garde (Option non-standard) : Les ouvertures de catégorie 3 sont des ouvertures importantes qui risquent fort de demeurer ouvertes pendant une tempête.</t>
  </si>
  <si>
    <t xml:space="preserve"> ***Warning (Option Non-Standard): the building openings category is set to “Category 3”. It includes large openings likely to remain open during storms.</t>
  </si>
  <si>
    <t>Territoires_NO</t>
  </si>
  <si>
    <t>Claresholm</t>
  </si>
  <si>
    <t>Burns Lake</t>
  </si>
  <si>
    <t>Morden</t>
  </si>
  <si>
    <t>Sackville</t>
  </si>
  <si>
    <t>Liverpool</t>
  </si>
  <si>
    <t>lqaluit</t>
  </si>
  <si>
    <t>Bancroft</t>
  </si>
  <si>
    <t>Beloeil</t>
  </si>
  <si>
    <t>Kamsack</t>
  </si>
  <si>
    <t>Mould Bay</t>
  </si>
  <si>
    <t>Happy Valley-Goose Bay</t>
  </si>
  <si>
    <t>Terre_Neuve</t>
  </si>
  <si>
    <t>Cold Lake</t>
  </si>
  <si>
    <t>Cache Creek</t>
  </si>
  <si>
    <t>Neepawa</t>
  </si>
  <si>
    <t>Saint Andrews</t>
  </si>
  <si>
    <t>Lockeport</t>
  </si>
  <si>
    <t>lsachsen</t>
  </si>
  <si>
    <t>Barrie</t>
  </si>
  <si>
    <t>Brome</t>
  </si>
  <si>
    <t>Kindersley</t>
  </si>
  <si>
    <t>Norman Wells</t>
  </si>
  <si>
    <t>Labrador City</t>
  </si>
  <si>
    <t>Catégorie des ouvertures:</t>
  </si>
  <si>
    <t>Catégorie 1</t>
  </si>
  <si>
    <t>Category 1</t>
  </si>
  <si>
    <t>Yukon</t>
  </si>
  <si>
    <t>Coleman</t>
  </si>
  <si>
    <t>Campbell River</t>
  </si>
  <si>
    <t>Pine Falls</t>
  </si>
  <si>
    <t>Saint George</t>
  </si>
  <si>
    <t>Louisburg</t>
  </si>
  <si>
    <t>Nottingham Island</t>
  </si>
  <si>
    <t>Barriefield</t>
  </si>
  <si>
    <t>Brossard</t>
  </si>
  <si>
    <t>Lloydminster</t>
  </si>
  <si>
    <t>Tungsten</t>
  </si>
  <si>
    <t>St. Anthony</t>
  </si>
  <si>
    <t>Catégorie 2</t>
  </si>
  <si>
    <t>Category 2</t>
  </si>
  <si>
    <t>Vis Norbec</t>
  </si>
  <si>
    <t>Coronation</t>
  </si>
  <si>
    <t>Carmi</t>
  </si>
  <si>
    <t>Portage la Prairie</t>
  </si>
  <si>
    <t>Saint-Jean</t>
  </si>
  <si>
    <t>Lunenburg</t>
  </si>
  <si>
    <t>Rankin</t>
  </si>
  <si>
    <t>Beaverton</t>
  </si>
  <si>
    <t>Buckingham</t>
  </si>
  <si>
    <t>Maple Creek</t>
  </si>
  <si>
    <t>Ulukhaktok</t>
  </si>
  <si>
    <t>St. John's</t>
  </si>
  <si>
    <t>Catégorie 3</t>
  </si>
  <si>
    <t>Category 3</t>
  </si>
  <si>
    <t>Oui/Yes</t>
  </si>
  <si>
    <t>Cowley</t>
  </si>
  <si>
    <t>Castlegar</t>
  </si>
  <si>
    <t>Rivers</t>
  </si>
  <si>
    <t>Shippagan</t>
  </si>
  <si>
    <t>New Glasgow</t>
  </si>
  <si>
    <t>Resolute</t>
  </si>
  <si>
    <t>Belleville</t>
  </si>
  <si>
    <t>Campbell's Bay</t>
  </si>
  <si>
    <t>Meadow Lake</t>
  </si>
  <si>
    <t>Wrigley</t>
  </si>
  <si>
    <t>Stephenville</t>
  </si>
  <si>
    <t>mètres / meter</t>
  </si>
  <si>
    <t>mètres</t>
  </si>
  <si>
    <t>meter</t>
  </si>
  <si>
    <t>Non/No (S)</t>
  </si>
  <si>
    <t>RÉFÉRENCES</t>
  </si>
  <si>
    <t>Drumheller</t>
  </si>
  <si>
    <t>Chetwynd</t>
  </si>
  <si>
    <t>Sandilands</t>
  </si>
  <si>
    <t>St. Stephen</t>
  </si>
  <si>
    <t>North Sydney</t>
  </si>
  <si>
    <t>Resolution Island</t>
  </si>
  <si>
    <t>Belmont</t>
  </si>
  <si>
    <t>Chambly</t>
  </si>
  <si>
    <t>Melfort</t>
  </si>
  <si>
    <t>Yellowknife</t>
  </si>
  <si>
    <t>Twin Falls</t>
  </si>
  <si>
    <t>pieds / foot</t>
  </si>
  <si>
    <t>É.-U. / USA</t>
  </si>
  <si>
    <t>Edmonton</t>
  </si>
  <si>
    <t>Chilliwack</t>
  </si>
  <si>
    <t>Selkirk</t>
  </si>
  <si>
    <t>Woodstock</t>
  </si>
  <si>
    <t>Pictou</t>
  </si>
  <si>
    <t>BFC Borden</t>
  </si>
  <si>
    <t>Coaticook</t>
  </si>
  <si>
    <t>Melville</t>
  </si>
  <si>
    <t>Wabana</t>
  </si>
  <si>
    <t>Se référer à la section 4.1.7.7 du CNBC 2015 pour plus de détails.</t>
  </si>
  <si>
    <t>Refer to section 4.1.7.7 of the NBCC 2015 for more details.</t>
  </si>
  <si>
    <t>Voir le tableau 26.13-1 de l'ASCE 7-16 pour plus de détails.</t>
  </si>
  <si>
    <t>See table 26.13-1 of ASCE 7-16 for more details.</t>
  </si>
  <si>
    <t>Edson</t>
  </si>
  <si>
    <t>Cloverdale</t>
  </si>
  <si>
    <t>Split Lake</t>
  </si>
  <si>
    <t>Port Hawkesbury</t>
  </si>
  <si>
    <t>Big Trout Lake</t>
  </si>
  <si>
    <t>Contrecoeur</t>
  </si>
  <si>
    <t>Moose Jaw</t>
  </si>
  <si>
    <t>Wabush</t>
  </si>
  <si>
    <t>Facteur de conversion</t>
  </si>
  <si>
    <t>Embarras Portage</t>
  </si>
  <si>
    <t>Comox</t>
  </si>
  <si>
    <t>Steinbach</t>
  </si>
  <si>
    <t>Springhill</t>
  </si>
  <si>
    <t>Bracebridge</t>
  </si>
  <si>
    <t>Cowansville</t>
  </si>
  <si>
    <t>Nipawin</t>
  </si>
  <si>
    <t>Unité de hauteur</t>
  </si>
  <si>
    <t>Unité</t>
  </si>
  <si>
    <t>pi à m</t>
  </si>
  <si>
    <t>m à pi</t>
  </si>
  <si>
    <t>Fairview</t>
  </si>
  <si>
    <t>Courtenay</t>
  </si>
  <si>
    <t>Swan River</t>
  </si>
  <si>
    <t>Stewiacke</t>
  </si>
  <si>
    <t>Bradford</t>
  </si>
  <si>
    <t>Deux-Montagnes</t>
  </si>
  <si>
    <t>North Battleford</t>
  </si>
  <si>
    <t>'</t>
  </si>
  <si>
    <t>Se référer aux sections 26.7.2 et 26.7.3 de l'ASCE 7-16 pour plus de détails.</t>
  </si>
  <si>
    <t>Refer to sections 26.7.2 et 26.7.3 of ASCE 7-16 for more details.</t>
  </si>
  <si>
    <t>Fort Macleod</t>
  </si>
  <si>
    <t>Cranbrook</t>
  </si>
  <si>
    <t>The Pas</t>
  </si>
  <si>
    <t>Sydney</t>
  </si>
  <si>
    <t>Brampton</t>
  </si>
  <si>
    <t>Dolbeau</t>
  </si>
  <si>
    <t>Prince Albert</t>
  </si>
  <si>
    <t>m</t>
  </si>
  <si>
    <t>Fort McMurray</t>
  </si>
  <si>
    <t>Crescent Valley</t>
  </si>
  <si>
    <t>Thompson</t>
  </si>
  <si>
    <t>Tatamagouche</t>
  </si>
  <si>
    <t>Brantford</t>
  </si>
  <si>
    <t>Dorval</t>
  </si>
  <si>
    <t>Qu'Appelle</t>
  </si>
  <si>
    <t>hauteur/Ds &gt; 1</t>
  </si>
  <si>
    <t>Oui</t>
  </si>
  <si>
    <t>Yes</t>
  </si>
  <si>
    <t>Se référer à la section 4.1.7.3-5) du CNBC 2015 pour plus de détails.</t>
  </si>
  <si>
    <t>Refer to section 4.1.7.3-5) of the NBCC 2015 for more details.</t>
  </si>
  <si>
    <t>Fort Saskatchewan</t>
  </si>
  <si>
    <t>Crofton</t>
  </si>
  <si>
    <t>Virden</t>
  </si>
  <si>
    <t>Truro</t>
  </si>
  <si>
    <t>Brighton</t>
  </si>
  <si>
    <t>Drummondville</t>
  </si>
  <si>
    <t>Regina</t>
  </si>
  <si>
    <t>Voir le tableau de la section 4.1.2.1 du CNBC 2015 pour plus de détails.</t>
  </si>
  <si>
    <t>See table of section 4.1.2.1 of the NBCC 2015 for more details.</t>
  </si>
  <si>
    <t>Fort Vermillion</t>
  </si>
  <si>
    <t>Dawson Creek</t>
  </si>
  <si>
    <t>Winnipeg</t>
  </si>
  <si>
    <t>Wolfville</t>
  </si>
  <si>
    <t>Brockville</t>
  </si>
  <si>
    <t>Farnham</t>
  </si>
  <si>
    <t>Rosetown</t>
  </si>
  <si>
    <t>pi?</t>
  </si>
  <si>
    <t>Se référer à la section 26.8 de l'ASCE 7-16 pour plus de détails.</t>
  </si>
  <si>
    <t>Refer to section 26.8 of ASCE 7-16 for more details.</t>
  </si>
  <si>
    <t>Grande Prairie</t>
  </si>
  <si>
    <t>Dease Lake</t>
  </si>
  <si>
    <t>Yarmouth</t>
  </si>
  <si>
    <t>Brooklin</t>
  </si>
  <si>
    <t>Fort-Coulonge</t>
  </si>
  <si>
    <t>Saskatoon</t>
  </si>
  <si>
    <t>Habay</t>
  </si>
  <si>
    <t>Dog Creek</t>
  </si>
  <si>
    <t>Burk's Falls</t>
  </si>
  <si>
    <t>Gaspé</t>
  </si>
  <si>
    <t>Scott</t>
  </si>
  <si>
    <t>Épaisseur Acier</t>
  </si>
  <si>
    <t>Hardisty</t>
  </si>
  <si>
    <t>Duncan</t>
  </si>
  <si>
    <t>Burlington</t>
  </si>
  <si>
    <t>Gatineau</t>
  </si>
  <si>
    <t>Strasbourg</t>
  </si>
  <si>
    <t>Se référer à la section 4.1.7.4 du CNBC 2015 pour plus de détails.</t>
  </si>
  <si>
    <t>Refer to section 4.1.7.4 of the NBCC 2015 for more details.</t>
  </si>
  <si>
    <t>High River</t>
  </si>
  <si>
    <t>Fernie</t>
  </si>
  <si>
    <t>Gracefield</t>
  </si>
  <si>
    <t>Swift Current</t>
  </si>
  <si>
    <t>Type de panneau</t>
  </si>
  <si>
    <t>H</t>
  </si>
  <si>
    <t>Norex_H</t>
  </si>
  <si>
    <t>Hinton</t>
  </si>
  <si>
    <t>Fort Nelson</t>
  </si>
  <si>
    <t>Campbellford</t>
  </si>
  <si>
    <t>Granby</t>
  </si>
  <si>
    <t>Uranium City</t>
  </si>
  <si>
    <t>Épaisseur :</t>
  </si>
  <si>
    <t>Jasper</t>
  </si>
  <si>
    <t>Fort St. John</t>
  </si>
  <si>
    <t>Cannington</t>
  </si>
  <si>
    <t>Harrington Harbour</t>
  </si>
  <si>
    <t>Weyburn</t>
  </si>
  <si>
    <t>S/M. Span</t>
  </si>
  <si>
    <t>Keg River</t>
  </si>
  <si>
    <t>Glacier</t>
  </si>
  <si>
    <t>Carleton Place</t>
  </si>
  <si>
    <t>Havre-Saint-Pierre</t>
  </si>
  <si>
    <t>Yorkton</t>
  </si>
  <si>
    <t>Lac la Biche</t>
  </si>
  <si>
    <t>Gold River</t>
  </si>
  <si>
    <t>Cavan</t>
  </si>
  <si>
    <t>Hemmingford</t>
  </si>
  <si>
    <t>Lacombe</t>
  </si>
  <si>
    <t>Golden</t>
  </si>
  <si>
    <t>Centralia</t>
  </si>
  <si>
    <t>Hull</t>
  </si>
  <si>
    <t xml:space="preserve">Largeur : </t>
  </si>
  <si>
    <t>Lethbridge</t>
  </si>
  <si>
    <t>Grand Forks</t>
  </si>
  <si>
    <t>Chapleau</t>
  </si>
  <si>
    <t>Joliette</t>
  </si>
  <si>
    <t>Largeur :</t>
  </si>
  <si>
    <t>Manning</t>
  </si>
  <si>
    <t>Chatham</t>
  </si>
  <si>
    <t>Kuujjuaq</t>
  </si>
  <si>
    <t>Medicine Hat</t>
  </si>
  <si>
    <t>Haney</t>
  </si>
  <si>
    <t>Chesley</t>
  </si>
  <si>
    <t>Kuujjuarapik</t>
  </si>
  <si>
    <t>Peace River</t>
  </si>
  <si>
    <t>Hope</t>
  </si>
  <si>
    <t>Clinton</t>
  </si>
  <si>
    <t>La Malbaie</t>
  </si>
  <si>
    <t>Pincher Creek</t>
  </si>
  <si>
    <t>Jordan River</t>
  </si>
  <si>
    <t>Coboconk</t>
  </si>
  <si>
    <t>La Pocatière</t>
  </si>
  <si>
    <t>CVPerso.</t>
  </si>
  <si>
    <t>Ranfurly</t>
  </si>
  <si>
    <t>Kamloops</t>
  </si>
  <si>
    <t>Cobourg</t>
  </si>
  <si>
    <t>La Tuque</t>
  </si>
  <si>
    <t>Red Deer</t>
  </si>
  <si>
    <t>Kaslo</t>
  </si>
  <si>
    <t>Cochrane</t>
  </si>
  <si>
    <t>Lachute</t>
  </si>
  <si>
    <t>Rocky Mountain House</t>
  </si>
  <si>
    <t>Kelowna</t>
  </si>
  <si>
    <t>Colborne</t>
  </si>
  <si>
    <t>Lac-Mégantic</t>
  </si>
  <si>
    <t>Catégorie des ouvertures (US):</t>
  </si>
  <si>
    <t>Ouvert</t>
  </si>
  <si>
    <t>Slave Lake</t>
  </si>
  <si>
    <t>Kimberley</t>
  </si>
  <si>
    <t>Collingwood</t>
  </si>
  <si>
    <t>Laval</t>
  </si>
  <si>
    <t>Partiellement ouvert / fermé</t>
  </si>
  <si>
    <t>Stettler</t>
  </si>
  <si>
    <t>Kitimat</t>
  </si>
  <si>
    <t>Cornwall</t>
  </si>
  <si>
    <t>lberville</t>
  </si>
  <si>
    <t>Partiellement fermé</t>
  </si>
  <si>
    <t>Stony Plain</t>
  </si>
  <si>
    <t>Kitimat Townsite</t>
  </si>
  <si>
    <t>Corunna</t>
  </si>
  <si>
    <t>Lennoxville</t>
  </si>
  <si>
    <t>Suffield</t>
  </si>
  <si>
    <t>Ladner</t>
  </si>
  <si>
    <t>Deep River</t>
  </si>
  <si>
    <t>Léry</t>
  </si>
  <si>
    <t>Taber</t>
  </si>
  <si>
    <t>Ladysmith</t>
  </si>
  <si>
    <t>Deseronto</t>
  </si>
  <si>
    <t>Lévis</t>
  </si>
  <si>
    <t>Exposure Cat</t>
  </si>
  <si>
    <t>No. Mur</t>
  </si>
  <si>
    <t>Massonerie</t>
  </si>
  <si>
    <t>Turner Valley</t>
  </si>
  <si>
    <t>Langford</t>
  </si>
  <si>
    <t>Dorchester</t>
  </si>
  <si>
    <t>lnukjuak</t>
  </si>
  <si>
    <t>Extérieur / Exterior</t>
  </si>
  <si>
    <t>Valleyview</t>
  </si>
  <si>
    <t>Langley</t>
  </si>
  <si>
    <t>Dorion</t>
  </si>
  <si>
    <t>Loretteville</t>
  </si>
  <si>
    <t>Inside / Interior</t>
  </si>
  <si>
    <t>Vegreville</t>
  </si>
  <si>
    <t>Lillooet</t>
  </si>
  <si>
    <t>Dresden</t>
  </si>
  <si>
    <t>Louiseville</t>
  </si>
  <si>
    <t>Vermilion</t>
  </si>
  <si>
    <t>Lytton</t>
  </si>
  <si>
    <t>Dryden</t>
  </si>
  <si>
    <t>Magog</t>
  </si>
  <si>
    <t>Unités d'aire</t>
  </si>
  <si>
    <t>sq.ft.</t>
  </si>
  <si>
    <t>Wagner</t>
  </si>
  <si>
    <t>Mackenzie</t>
  </si>
  <si>
    <t>Dundalk</t>
  </si>
  <si>
    <t>Malartic</t>
  </si>
  <si>
    <t>m2</t>
  </si>
  <si>
    <t>Wainwright</t>
  </si>
  <si>
    <t>Masset</t>
  </si>
  <si>
    <t>Dunnville</t>
  </si>
  <si>
    <t>Maniwaki</t>
  </si>
  <si>
    <t>Système d'unités :</t>
  </si>
  <si>
    <t>Métrique / Metric</t>
  </si>
  <si>
    <t>Wetaskiwin</t>
  </si>
  <si>
    <t>McBride</t>
  </si>
  <si>
    <t>Durham</t>
  </si>
  <si>
    <t>Masson</t>
  </si>
  <si>
    <t>Topo terrain</t>
  </si>
  <si>
    <t>Terrain plat</t>
  </si>
  <si>
    <t>Flat Terrain</t>
  </si>
  <si>
    <t>Whitecourt</t>
  </si>
  <si>
    <t>McLeod Lake</t>
  </si>
  <si>
    <t>Dutton</t>
  </si>
  <si>
    <t>Matane</t>
  </si>
  <si>
    <t>Colline</t>
  </si>
  <si>
    <t>Hill</t>
  </si>
  <si>
    <t>Wimborne</t>
  </si>
  <si>
    <t>Merritt</t>
  </si>
  <si>
    <t>Earlton</t>
  </si>
  <si>
    <t>Mont-Joli</t>
  </si>
  <si>
    <t>Mission City</t>
  </si>
  <si>
    <t>Edison</t>
  </si>
  <si>
    <t>Mont-Laurier</t>
  </si>
  <si>
    <t>Montrose</t>
  </si>
  <si>
    <t>Elliot Lake</t>
  </si>
  <si>
    <t>Montmagny</t>
  </si>
  <si>
    <t>Nakusp</t>
  </si>
  <si>
    <t>Elmvale</t>
  </si>
  <si>
    <t>Montréal</t>
  </si>
  <si>
    <t>Nanaimo</t>
  </si>
  <si>
    <t>Embro</t>
  </si>
  <si>
    <t>Montréal-Est</t>
  </si>
  <si>
    <t>Nelson</t>
  </si>
  <si>
    <t>Englehart</t>
  </si>
  <si>
    <t>Montréal-Nord</t>
  </si>
  <si>
    <t>New Westminster</t>
  </si>
  <si>
    <t>Espanola</t>
  </si>
  <si>
    <t>Nicolet</t>
  </si>
  <si>
    <t>North Vancouver</t>
  </si>
  <si>
    <t>Etobicoke</t>
  </si>
  <si>
    <t>Nitchequon</t>
  </si>
  <si>
    <t>Ocean Falls</t>
  </si>
  <si>
    <t>Exeter</t>
  </si>
  <si>
    <t>Noranda</t>
  </si>
  <si>
    <t>Osoyoos</t>
  </si>
  <si>
    <t>Fenelon Falls</t>
  </si>
  <si>
    <t>Outremont</t>
  </si>
  <si>
    <t>Parksville</t>
  </si>
  <si>
    <t>Fergus</t>
  </si>
  <si>
    <t>Percé</t>
  </si>
  <si>
    <t>Penticton</t>
  </si>
  <si>
    <t>Forest</t>
  </si>
  <si>
    <t>Pierrefonds</t>
  </si>
  <si>
    <t>Port Alberni</t>
  </si>
  <si>
    <t>Fort Erie</t>
  </si>
  <si>
    <t>Pincourt</t>
  </si>
  <si>
    <t>Port Alice</t>
  </si>
  <si>
    <t>Fort Frances</t>
  </si>
  <si>
    <t>Plessisville</t>
  </si>
  <si>
    <t>Port Hardy</t>
  </si>
  <si>
    <t>Gananoque</t>
  </si>
  <si>
    <t>Port-Cartier</t>
  </si>
  <si>
    <t>Port McNeill</t>
  </si>
  <si>
    <t>Geraldton</t>
  </si>
  <si>
    <t>Puvirnituq</t>
  </si>
  <si>
    <t>Port Renfrew</t>
  </si>
  <si>
    <t>Glencoe</t>
  </si>
  <si>
    <t>Powell River</t>
  </si>
  <si>
    <t>Goderich</t>
  </si>
  <si>
    <t>Richmond</t>
  </si>
  <si>
    <t>Prince George</t>
  </si>
  <si>
    <t>Gore Bay</t>
  </si>
  <si>
    <t>Rimouski</t>
  </si>
  <si>
    <t>Prince Rupert</t>
  </si>
  <si>
    <t>Graham</t>
  </si>
  <si>
    <t>Rivière-du-Loup</t>
  </si>
  <si>
    <t>Princeton</t>
  </si>
  <si>
    <t>Gravenhurst</t>
  </si>
  <si>
    <t>Roberval</t>
  </si>
  <si>
    <t>Qualicum Beach</t>
  </si>
  <si>
    <t>Grimsby</t>
  </si>
  <si>
    <t>Rosemère</t>
  </si>
  <si>
    <t>Queen Charlotte City</t>
  </si>
  <si>
    <t>Guelph</t>
  </si>
  <si>
    <t>Rouyn</t>
  </si>
  <si>
    <t>Quesnel</t>
  </si>
  <si>
    <t>Guthrie</t>
  </si>
  <si>
    <t>Saguenay</t>
  </si>
  <si>
    <t>Revelstoke</t>
  </si>
  <si>
    <t>Haileybury</t>
  </si>
  <si>
    <t>Haldimand</t>
  </si>
  <si>
    <t>Salmon Arm</t>
  </si>
  <si>
    <t>Sandspit</t>
  </si>
  <si>
    <t>Haliburton</t>
  </si>
  <si>
    <t>Saint-Eustache</t>
  </si>
  <si>
    <t>Sechelt</t>
  </si>
  <si>
    <t>Halton Hills</t>
  </si>
  <si>
    <t>Saint-Jean-sur-Richelieu</t>
  </si>
  <si>
    <t>Sidney</t>
  </si>
  <si>
    <t>Hamilton</t>
  </si>
  <si>
    <t>Salaberry-de-Valleyfield</t>
  </si>
  <si>
    <t>Smith River</t>
  </si>
  <si>
    <t>Hanover</t>
  </si>
  <si>
    <t>Schefferville</t>
  </si>
  <si>
    <t>Smithers</t>
  </si>
  <si>
    <t>Hastings</t>
  </si>
  <si>
    <t>Senneterre</t>
  </si>
  <si>
    <t>Sooke</t>
  </si>
  <si>
    <t>Hawkesbury</t>
  </si>
  <si>
    <t>Sept-Îles</t>
  </si>
  <si>
    <t>Squamish</t>
  </si>
  <si>
    <t>Hearst</t>
  </si>
  <si>
    <t>Shawinigan</t>
  </si>
  <si>
    <t>Stewart</t>
  </si>
  <si>
    <t>Honey Harbour</t>
  </si>
  <si>
    <t>Shawville</t>
  </si>
  <si>
    <t>Surrey</t>
  </si>
  <si>
    <t>Hornepayne</t>
  </si>
  <si>
    <t>Sherbrooke</t>
  </si>
  <si>
    <t>Tahsis</t>
  </si>
  <si>
    <t>Huntsville</t>
  </si>
  <si>
    <t>Sillery</t>
  </si>
  <si>
    <t>Taylor</t>
  </si>
  <si>
    <t>Iroquois Falls</t>
  </si>
  <si>
    <t>Sorel</t>
  </si>
  <si>
    <t>Terrace</t>
  </si>
  <si>
    <t>Jarvis</t>
  </si>
  <si>
    <t>Stanstead</t>
  </si>
  <si>
    <t>Tofino</t>
  </si>
  <si>
    <t>Jellicoe</t>
  </si>
  <si>
    <t>Ste-Agathe-des-Monts</t>
  </si>
  <si>
    <t>Trail</t>
  </si>
  <si>
    <t>Kapuskasing</t>
  </si>
  <si>
    <t>Ste-Anne-de-Bellevue</t>
  </si>
  <si>
    <t>Ucluelet</t>
  </si>
  <si>
    <t>Kemptville</t>
  </si>
  <si>
    <t>Ste-Foy</t>
  </si>
  <si>
    <t>Vancouver</t>
  </si>
  <si>
    <t>Kenora</t>
  </si>
  <si>
    <t>St-Félicien</t>
  </si>
  <si>
    <t>Killaloe</t>
  </si>
  <si>
    <t>St-Georges-de-Cacouna</t>
  </si>
  <si>
    <t>Vernon</t>
  </si>
  <si>
    <t>Kincardine</t>
  </si>
  <si>
    <t>St-Hubert</t>
  </si>
  <si>
    <t>Victoria</t>
  </si>
  <si>
    <t>Kingston</t>
  </si>
  <si>
    <t>St-Hubert-de-Rivière du-Loup</t>
  </si>
  <si>
    <t>West Vancouver</t>
  </si>
  <si>
    <t>Kinmount</t>
  </si>
  <si>
    <t>St-Hyacinthe</t>
  </si>
  <si>
    <t>Whistler</t>
  </si>
  <si>
    <t>Kirkland Lake</t>
  </si>
  <si>
    <t>St-Jérôme</t>
  </si>
  <si>
    <t>White Rock</t>
  </si>
  <si>
    <t>Kitchener</t>
  </si>
  <si>
    <t>St-Jovite</t>
  </si>
  <si>
    <t>Williams Lake</t>
  </si>
  <si>
    <t>Lakefield</t>
  </si>
  <si>
    <t>St-Lambert</t>
  </si>
  <si>
    <t>Youbou</t>
  </si>
  <si>
    <t>Lansdowne House</t>
  </si>
  <si>
    <t>St-Laurent</t>
  </si>
  <si>
    <t>Leamington</t>
  </si>
  <si>
    <t>St-Lazare / Hudson</t>
  </si>
  <si>
    <t>Lindsay</t>
  </si>
  <si>
    <t>St-Nicolas</t>
  </si>
  <si>
    <t>Lion's Head</t>
  </si>
  <si>
    <t>Sutton</t>
  </si>
  <si>
    <t>Listowel</t>
  </si>
  <si>
    <t>Tadoussac</t>
  </si>
  <si>
    <t>lngersoll</t>
  </si>
  <si>
    <t>Témiscaming</t>
  </si>
  <si>
    <t>London</t>
  </si>
  <si>
    <t>Terrebonne</t>
  </si>
  <si>
    <t>Lucan</t>
  </si>
  <si>
    <t>Thetford Mines</t>
  </si>
  <si>
    <t>Maitland</t>
  </si>
  <si>
    <t>Thurso</t>
  </si>
  <si>
    <t>Markdale</t>
  </si>
  <si>
    <t>Trois-Rivières</t>
  </si>
  <si>
    <t>Markham</t>
  </si>
  <si>
    <t>Val-des Sources (Asbestos)</t>
  </si>
  <si>
    <t>Martin</t>
  </si>
  <si>
    <t>Val-d'Or</t>
  </si>
  <si>
    <t>Matheson</t>
  </si>
  <si>
    <t>Varennes</t>
  </si>
  <si>
    <t>Mattawa</t>
  </si>
  <si>
    <t>Verchères</t>
  </si>
  <si>
    <t>Midland</t>
  </si>
  <si>
    <t>Verdun</t>
  </si>
  <si>
    <t>Milton</t>
  </si>
  <si>
    <t>Victoriaville</t>
  </si>
  <si>
    <t>Milverton</t>
  </si>
  <si>
    <t>Ville-Marie</t>
  </si>
  <si>
    <t>Minden</t>
  </si>
  <si>
    <t>Wakefield</t>
  </si>
  <si>
    <t>Mississauga</t>
  </si>
  <si>
    <t>Waterloo</t>
  </si>
  <si>
    <t>Mitchell</t>
  </si>
  <si>
    <t>Windsor</t>
  </si>
  <si>
    <t>Moosonee</t>
  </si>
  <si>
    <t>Morrisburg</t>
  </si>
  <si>
    <t>Mount Forest</t>
  </si>
  <si>
    <t>Nakina</t>
  </si>
  <si>
    <t>Nanticoke</t>
  </si>
  <si>
    <t>Napanee</t>
  </si>
  <si>
    <t>New Liskeard</t>
  </si>
  <si>
    <t>Newcastle</t>
  </si>
  <si>
    <t>Newmarket</t>
  </si>
  <si>
    <t>Niagara Falls</t>
  </si>
  <si>
    <t>North Bay</t>
  </si>
  <si>
    <t>North York</t>
  </si>
  <si>
    <t>Norwood</t>
  </si>
  <si>
    <t>Oakville</t>
  </si>
  <si>
    <t>Orangeville</t>
  </si>
  <si>
    <t>Orillia</t>
  </si>
  <si>
    <t>Oshawa</t>
  </si>
  <si>
    <t>Ottawa</t>
  </si>
  <si>
    <t>Owen Sound</t>
  </si>
  <si>
    <t>Pagwa River</t>
  </si>
  <si>
    <t>Paris</t>
  </si>
  <si>
    <t>Parkhill</t>
  </si>
  <si>
    <t>Parry Sound</t>
  </si>
  <si>
    <t>Pelham (Fonthill)</t>
  </si>
  <si>
    <t>Pembroke</t>
  </si>
  <si>
    <t>Penetanguishene</t>
  </si>
  <si>
    <t>Perth</t>
  </si>
  <si>
    <t>Petawawa</t>
  </si>
  <si>
    <t>Peterborough</t>
  </si>
  <si>
    <t>Petrolia</t>
  </si>
  <si>
    <t>Pickering</t>
  </si>
  <si>
    <t>Picton</t>
  </si>
  <si>
    <t>Plattsville</t>
  </si>
  <si>
    <t>Point Alexander</t>
  </si>
  <si>
    <t>Porcupine</t>
  </si>
  <si>
    <t>Port Burwell</t>
  </si>
  <si>
    <t>Port Colborne</t>
  </si>
  <si>
    <t>Port Elgin</t>
  </si>
  <si>
    <t>Port Hope</t>
  </si>
  <si>
    <t>Port Perry</t>
  </si>
  <si>
    <t>Port Stanley</t>
  </si>
  <si>
    <t>Prescott</t>
  </si>
  <si>
    <t>Raith</t>
  </si>
  <si>
    <t>Rayside-Balfour</t>
  </si>
  <si>
    <t>Red Lake</t>
  </si>
  <si>
    <t>Renfrew</t>
  </si>
  <si>
    <t>Richmond Hill</t>
  </si>
  <si>
    <t>Ridgeway</t>
  </si>
  <si>
    <t>Rockland</t>
  </si>
  <si>
    <t>Sarnia</t>
  </si>
  <si>
    <t>Sault-Sainte-Marie</t>
  </si>
  <si>
    <t>Scarborough</t>
  </si>
  <si>
    <t>Schreiber</t>
  </si>
  <si>
    <t>Seaforth</t>
  </si>
  <si>
    <t>Shelburne</t>
  </si>
  <si>
    <t>Simcoe</t>
  </si>
  <si>
    <t>Sioux Lookout</t>
  </si>
  <si>
    <t>Smiths Falls</t>
  </si>
  <si>
    <t>Smithville</t>
  </si>
  <si>
    <t>Smooth Rock Falls</t>
  </si>
  <si>
    <t>South River</t>
  </si>
  <si>
    <t>Southampton</t>
  </si>
  <si>
    <t>St. Catharines</t>
  </si>
  <si>
    <t>St. Mary's</t>
  </si>
  <si>
    <t>St. Thomas</t>
  </si>
  <si>
    <t>Stirling</t>
  </si>
  <si>
    <t>Stratford</t>
  </si>
  <si>
    <t>Strathroy</t>
  </si>
  <si>
    <t>Sturgeon Falls</t>
  </si>
  <si>
    <t>Sudbury</t>
  </si>
  <si>
    <t>Sundridge</t>
  </si>
  <si>
    <t>Tavistock</t>
  </si>
  <si>
    <t>Temagami</t>
  </si>
  <si>
    <t>Thamesford</t>
  </si>
  <si>
    <t>Thedford</t>
  </si>
  <si>
    <t>Thunder Bay</t>
  </si>
  <si>
    <t>Tillsonburg</t>
  </si>
  <si>
    <t>Timmins</t>
  </si>
  <si>
    <t>Toronto</t>
  </si>
  <si>
    <t>Trenton</t>
  </si>
  <si>
    <t>Trout Creek</t>
  </si>
  <si>
    <t>Uxbridge</t>
  </si>
  <si>
    <t>Vaughan</t>
  </si>
  <si>
    <t>Vittoria</t>
  </si>
  <si>
    <t>Walkerton</t>
  </si>
  <si>
    <t>Wallaceburg</t>
  </si>
  <si>
    <t>Watford</t>
  </si>
  <si>
    <t>Wawa</t>
  </si>
  <si>
    <t>Welland</t>
  </si>
  <si>
    <t>West Lorne</t>
  </si>
  <si>
    <t>Whitby</t>
  </si>
  <si>
    <t>White River</t>
  </si>
  <si>
    <t>Wiarton</t>
  </si>
  <si>
    <t>Wingham</t>
  </si>
  <si>
    <t>Wyoming</t>
  </si>
  <si>
    <t>Élév.</t>
  </si>
  <si>
    <t>Janvier</t>
  </si>
  <si>
    <t>Juillet 2,5 %</t>
  </si>
  <si>
    <t>Degrés-jours sous 18°C</t>
  </si>
  <si>
    <t>Précipitation de 15 min. (mm)</t>
  </si>
  <si>
    <t>Précipitation de 1 jr (mm)</t>
  </si>
  <si>
    <t>Précipitation annuel (mm)</t>
  </si>
  <si>
    <t>Indice d'humidité</t>
  </si>
  <si>
    <t>Précipitation annuel totales (mm)</t>
  </si>
  <si>
    <t>Pression de la pluie poussée par le vent (Pa) 1/5</t>
  </si>
  <si>
    <t>Charge de neige (kPa) 1/50</t>
  </si>
  <si>
    <t xml:space="preserve">Charge de vent horaires, (kPa) </t>
  </si>
  <si>
    <t>Vitesse de vent FM (mph)</t>
  </si>
  <si>
    <t>2,5%,</t>
  </si>
  <si>
    <t>1 %,</t>
  </si>
  <si>
    <t>Sec</t>
  </si>
  <si>
    <t>Mouillé</t>
  </si>
  <si>
    <t>en 'C</t>
  </si>
  <si>
    <t>en'C</t>
  </si>
  <si>
    <t>Ss</t>
  </si>
  <si>
    <t>Sr</t>
  </si>
  <si>
    <t>1/10</t>
  </si>
  <si>
    <t>1/50</t>
  </si>
  <si>
    <t>Colombie-Britannique</t>
  </si>
  <si>
    <t>Eike</t>
  </si>
  <si>
    <t>·18</t>
  </si>
  <si>
    <t>1200 .</t>
  </si>
  <si>
    <t>·20</t>
  </si>
  <si>
    <t>.37</t>
  </si>
  <si>
    <t>0,6B</t>
  </si>
  <si>
    <t>0.51</t>
  </si>
  <si>
    <t>0.33</t>
  </si>
  <si>
    <t>0.4</t>
  </si>
  <si>
    <t>no</t>
  </si>
  <si>
    <t>0.44</t>
  </si>
  <si>
    <t>D.4</t>
  </si>
  <si>
    <t>n5</t>
  </si>
  <si>
    <t>·26</t>
  </si>
  <si>
    <t>0;36</t>
  </si>
  <si>
    <t>0.88</t>
  </si>
  <si>
    <t>Nouveau-Brunswick</t>
  </si>
  <si>
    <t>Nouvelle-Écosse</t>
  </si>
  <si>
    <t>Île-du-Prince-Édouard</t>
  </si>
  <si>
    <t>Terre-Neuve</t>
  </si>
  <si>
    <t>Territoires du NO</t>
  </si>
  <si>
    <t>Girt Spacing limited by:</t>
  </si>
  <si>
    <t>Fastening Capacity</t>
  </si>
  <si>
    <t>Panel deflection based on ASTM E72 (L/180)</t>
  </si>
  <si>
    <t>Oil Canning effect (Dark Color should be limited at 12')</t>
  </si>
  <si>
    <t>VALEURS INCORRECTES</t>
  </si>
  <si>
    <t>Colonne 1 : Panneaux avec 26 Ga acier INT/EXT</t>
  </si>
  <si>
    <t>Index des numéros de tableau</t>
  </si>
  <si>
    <t>Largeur</t>
  </si>
  <si>
    <t>ajouter templates pour le 8"</t>
  </si>
  <si>
    <t>42,5"</t>
  </si>
  <si>
    <t>***Données déflexion manquantes</t>
  </si>
  <si>
    <t>36"</t>
  </si>
  <si>
    <t>Légende</t>
  </si>
  <si>
    <t>Largeur Panneau:</t>
  </si>
  <si>
    <t>Tableau 1 : Norex 2'' - Multi-Span - 42,5'' Panel Width Gge 26 ext / 26 int</t>
  </si>
  <si>
    <t>max span:</t>
  </si>
  <si>
    <t>Span Table (feet)</t>
  </si>
  <si>
    <t>5''-1 screw</t>
  </si>
  <si>
    <t>Girt Thickness</t>
  </si>
  <si>
    <r>
      <rPr>
        <sz val="11"/>
        <color theme="1"/>
        <rFont val="Calibri"/>
        <family val="2"/>
      </rPr>
      <t xml:space="preserve">≥ </t>
    </r>
    <r>
      <rPr>
        <sz val="11"/>
        <color theme="1"/>
        <rFont val="Calibri"/>
        <family val="2"/>
        <scheme val="minor"/>
      </rPr>
      <t>0,1875</t>
    </r>
    <r>
      <rPr>
        <sz val="11"/>
        <color theme="1"/>
        <rFont val="Calibri"/>
        <family val="2"/>
        <scheme val="minor"/>
      </rPr>
      <t>''</t>
    </r>
  </si>
  <si>
    <t>11 ga</t>
  </si>
  <si>
    <t>12 ga</t>
  </si>
  <si>
    <t>14 ga</t>
  </si>
  <si>
    <t>16 ga</t>
  </si>
  <si>
    <r>
      <rPr>
        <sz val="11"/>
        <color theme="1"/>
        <rFont val="Calibri"/>
        <family val="2"/>
      </rPr>
      <t xml:space="preserve">≥ </t>
    </r>
    <r>
      <rPr>
        <sz val="11"/>
        <color theme="1"/>
        <rFont val="Calibri"/>
        <family val="2"/>
        <scheme val="minor"/>
      </rPr>
      <t>0,1875''</t>
    </r>
  </si>
  <si>
    <t>Allowable Wind Load (PSF)</t>
  </si>
  <si>
    <t>Tableau 2 : Norex 3'' - Multi-Span - 42,5'' Panel Width Gge 26 ext / 26 int</t>
  </si>
  <si>
    <t>Tableau 3 : Norex 4'' - Multi-Span - 42,5'' Panel Width Gge 26 ext / 26 int</t>
  </si>
  <si>
    <t>XX</t>
  </si>
  <si>
    <t>Tableau 4 : Norex 5'' - Multi-Span - 42,5'' Panel Width Gge 26 ext / 26 int</t>
  </si>
  <si>
    <t>Tableau 5 : Norex 6'' - Multi-Span - 42,5'' Panel Width Gge 26 ext / 26 int</t>
  </si>
  <si>
    <t>Tableau 6 : Noroc 4'' - Multi-Span - 42,5'' Panel Width Gge 26 ext / 26 int</t>
  </si>
  <si>
    <t>Données déflexion indisp</t>
  </si>
  <si>
    <t>Tableau 7 : Noroc 5'' - Multi-Span - 42,5'' Panel Width Gge 26 ext / 26 int</t>
  </si>
  <si>
    <t>Tableau 8 : Noroc 6'' - Multi-Span - 42,5'' Panel Width Gge 26 ext / 26 int</t>
  </si>
  <si>
    <t>Tableau 9 : Norex 2'' - Multi-Span - 36'' Panel Width Gge 26 ext / 26 int</t>
  </si>
  <si>
    <t>Tableau 10 : Norex 3'' - Multi-Span - 36'' Panel Width Gge 26 ext / 26 int</t>
  </si>
  <si>
    <t>Tableau 11 : Norex 4'' - Multi-Span - 36'' Panel Width Gge 26 ext / 26 int</t>
  </si>
  <si>
    <t>Tableau 12 : Norex 5'' - Multi-Span - 36'' Panel Width Gge 26 ext / 26 int</t>
  </si>
  <si>
    <t>Tableau 13 : Norex 6'' - Multi-Span - 36'' Panel Width Gge 26 ext / 26 int</t>
  </si>
  <si>
    <t>Tableau 14 : Noroc 4'' - Multi-Span - 36'' Panel Width Gge 26 ext / 26 int</t>
  </si>
  <si>
    <t>&lt; 2,0</t>
  </si>
  <si>
    <t>Tableau 15 : Noroc 5'' - Multi-Span - 36'' Panel Width Gge 26 ext / 26 int</t>
  </si>
  <si>
    <t>Tableau 16 : Noroc 5'' - Multi-Span - 36'' Panel Width Gge 26 ext / 26 int</t>
  </si>
  <si>
    <t>MAXIMUM SURFACE TEMPERATURE</t>
  </si>
  <si>
    <t>Maximum Surafce Temperature Table</t>
  </si>
  <si>
    <t>Maximum Surafce Temperature Theory</t>
  </si>
  <si>
    <t>Name of Colors offered at Norbec</t>
  </si>
  <si>
    <t>Finishes</t>
  </si>
  <si>
    <t>Number corresponding to Norbec Colors</t>
  </si>
  <si>
    <t>Appearance</t>
  </si>
  <si>
    <t>SR</t>
  </si>
  <si>
    <t>α (=1-SR)
Solar Absorptance</t>
  </si>
  <si>
    <t>Є
Emissivity</t>
  </si>
  <si>
    <r>
      <t>T</t>
    </r>
    <r>
      <rPr>
        <b/>
        <sz val="9"/>
        <rFont val="Calibri"/>
        <family val="2"/>
        <scheme val="minor"/>
      </rPr>
      <t>surface  max.</t>
    </r>
    <r>
      <rPr>
        <b/>
        <sz val="11"/>
        <rFont val="Calibri"/>
        <family val="2"/>
        <scheme val="minor"/>
      </rPr>
      <t xml:space="preserve"> (°C)</t>
    </r>
  </si>
  <si>
    <t>χ</t>
  </si>
  <si>
    <t>Gage</t>
  </si>
  <si>
    <t>No Job Name (neotechcoatings.com)</t>
  </si>
  <si>
    <t>Standard Practice for Calculating Solar Reflectance Index of Horizontal and Low-Sloped Opaque Surfaces</t>
  </si>
  <si>
    <t>22
26</t>
  </si>
  <si>
    <t>22
24
26</t>
  </si>
  <si>
    <t>Blanc Impérial/Imperial White</t>
  </si>
  <si>
    <t>METALLIC</t>
  </si>
  <si>
    <t>PVDF SIGNATURE</t>
  </si>
  <si>
    <t>Fauve/Tan</t>
  </si>
  <si>
    <t>Cuivre/Copper</t>
  </si>
  <si>
    <t>Bleu royal/Royal Blue</t>
  </si>
  <si>
    <t>hc=</t>
  </si>
  <si>
    <t>Convective coefficient W/m2K</t>
  </si>
  <si>
    <t>Є</t>
  </si>
  <si>
    <t>Thermal emissivity</t>
  </si>
  <si>
    <t>α</t>
  </si>
  <si>
    <t>Solar absorptance = 1-solar reflectance</t>
  </si>
  <si>
    <t>ST-HYACINTHE MAXIMUM PANEL LENGTH TABLE</t>
  </si>
  <si>
    <t>Maximum Length of Panels - Exterior (ft)</t>
  </si>
  <si>
    <t>Profiles</t>
  </si>
  <si>
    <t>Tsurface  max. (°C)</t>
  </si>
  <si>
    <t>Grooved</t>
  </si>
  <si>
    <t>Silkline</t>
  </si>
  <si>
    <t>Microribbed</t>
  </si>
  <si>
    <t>Without Profile</t>
  </si>
  <si>
    <t>Embossed</t>
  </si>
  <si>
    <t>Smooth</t>
  </si>
  <si>
    <t>24'</t>
  </si>
  <si>
    <t>Not Available</t>
  </si>
  <si>
    <t>Max. Length St-Hyacinthe</t>
  </si>
  <si>
    <t>Max. Length Strathroy</t>
  </si>
  <si>
    <t>21'</t>
  </si>
  <si>
    <t>20'</t>
  </si>
  <si>
    <t>PVDF CLASSIQUE</t>
  </si>
  <si>
    <t>18'</t>
  </si>
  <si>
    <t>COMBINED CURVES</t>
  </si>
  <si>
    <t>CURVES 22 GA</t>
  </si>
  <si>
    <t>SILKLINE AND FLUTED SMOOTH</t>
  </si>
  <si>
    <t xml:space="preserve">SILKLINE AND FLUTED EMBOSSED </t>
  </si>
  <si>
    <t>MICRORIBBED SMOOTH</t>
  </si>
  <si>
    <t>MICRORIBBED EMBOSSED</t>
  </si>
  <si>
    <t>Colors Offered at Norbec</t>
  </si>
  <si>
    <r>
      <t>T</t>
    </r>
    <r>
      <rPr>
        <b/>
        <sz val="8"/>
        <color theme="1"/>
        <rFont val="Calibri"/>
        <family val="2"/>
        <scheme val="minor"/>
      </rPr>
      <t>surf.max.</t>
    </r>
    <r>
      <rPr>
        <b/>
        <sz val="11"/>
        <color theme="1"/>
        <rFont val="Calibri"/>
        <family val="2"/>
        <scheme val="minor"/>
      </rPr>
      <t xml:space="preserve"> (</t>
    </r>
    <r>
      <rPr>
        <b/>
        <sz val="11"/>
        <color theme="1"/>
        <rFont val="Calibri"/>
        <family val="2"/>
      </rPr>
      <t>°</t>
    </r>
    <r>
      <rPr>
        <b/>
        <sz val="9.35"/>
        <color theme="1"/>
        <rFont val="Calibri"/>
        <family val="2"/>
      </rPr>
      <t>C)</t>
    </r>
  </si>
  <si>
    <t>Empirical Length (Feet)</t>
  </si>
  <si>
    <t>Calculated Length (Feet)</t>
  </si>
  <si>
    <t>Maximum allowable Length (Feet)</t>
  </si>
  <si>
    <t>*</t>
  </si>
  <si>
    <t>**</t>
  </si>
  <si>
    <t>y=</t>
  </si>
  <si>
    <r>
      <t>x</t>
    </r>
    <r>
      <rPr>
        <vertAlign val="superscript"/>
        <sz val="11"/>
        <color theme="1"/>
        <rFont val="Calibri"/>
        <family val="2"/>
        <scheme val="minor"/>
      </rPr>
      <t>2</t>
    </r>
  </si>
  <si>
    <t>+</t>
  </si>
  <si>
    <t>CURVES 26 GA</t>
  </si>
  <si>
    <t>***</t>
  </si>
  <si>
    <t>EXTRAPOLATED CURVES 24 GA</t>
  </si>
  <si>
    <t>Stand-by for more information</t>
  </si>
  <si>
    <t>Lost contract to a competitior</t>
  </si>
  <si>
    <t>Received the contract</t>
  </si>
  <si>
    <t>Status</t>
  </si>
  <si>
    <t>Number</t>
  </si>
  <si>
    <t>Tec Number</t>
  </si>
  <si>
    <t>Technical Rep.</t>
  </si>
  <si>
    <t>Province</t>
  </si>
  <si>
    <t>Location</t>
  </si>
  <si>
    <t>Length (ft)</t>
  </si>
  <si>
    <t>Profile</t>
  </si>
  <si>
    <t>Finish</t>
  </si>
  <si>
    <t>Steel Thickness (ga)</t>
  </si>
  <si>
    <t>Width (in)</t>
  </si>
  <si>
    <t>Thickness (in)</t>
  </si>
  <si>
    <t>Colour</t>
  </si>
  <si>
    <t>Comment</t>
  </si>
  <si>
    <t>Date Entered</t>
  </si>
  <si>
    <t>Project Due Date</t>
  </si>
  <si>
    <t>Follow Up Date</t>
  </si>
  <si>
    <t xml:space="preserve">Contract Conclusion </t>
  </si>
  <si>
    <t xml:space="preserve">Long-terme Quality </t>
  </si>
  <si>
    <t>David Wandler</t>
  </si>
  <si>
    <t>Sault Ste.Marie</t>
  </si>
  <si>
    <t>Prouse Chevrolet</t>
  </si>
  <si>
    <t>Norex-L</t>
  </si>
  <si>
    <t>None</t>
  </si>
  <si>
    <t>42.5</t>
  </si>
  <si>
    <t>Bright Silver</t>
  </si>
  <si>
    <t>Don't have a lot of data on no profile</t>
  </si>
  <si>
    <t>31 octobre 2023</t>
  </si>
  <si>
    <t>décembre 2023</t>
  </si>
  <si>
    <t>Sylvain Tremblay</t>
  </si>
  <si>
    <t>Quebec</t>
  </si>
  <si>
    <t>Agrandissement Zitta</t>
  </si>
  <si>
    <t>Gris Charbon (SMP)</t>
  </si>
  <si>
    <t>Currently limited b/w 38-42' for 22ga. Other options were suggested. Trait de scie was determined to be a way to accept 46'' with no stack joint.</t>
  </si>
  <si>
    <t>février 2024</t>
  </si>
  <si>
    <t>John Bilotta</t>
  </si>
  <si>
    <t>CanFirst</t>
  </si>
  <si>
    <t>Element Grey</t>
  </si>
  <si>
    <t>Smooth finish currently limted to 45'.</t>
  </si>
  <si>
    <t>Kingspan</t>
  </si>
  <si>
    <t xml:space="preserve">Harley Davidson </t>
  </si>
  <si>
    <t>Black</t>
  </si>
  <si>
    <t>Tec-878</t>
  </si>
  <si>
    <t>Lebovic Campus Arena</t>
  </si>
  <si>
    <t>43.25</t>
  </si>
  <si>
    <t>Only some panels are 43' on the north façade. The remaining are 26'.</t>
  </si>
  <si>
    <t>Tec-897</t>
  </si>
  <si>
    <t>48.25</t>
  </si>
  <si>
    <t>Tec-911</t>
  </si>
  <si>
    <t>Apple Storage</t>
  </si>
  <si>
    <t>Regent Grey</t>
  </si>
  <si>
    <t>Orlando</t>
  </si>
  <si>
    <t>41.5</t>
  </si>
  <si>
    <t>Tec-3230</t>
  </si>
  <si>
    <t>Microribbed smooth finish limited to 32'</t>
  </si>
  <si>
    <t>S-30105
C-19428</t>
  </si>
  <si>
    <t>Tec-1447</t>
  </si>
  <si>
    <t>Johan Dubois</t>
  </si>
  <si>
    <t>Montreal (Baie d'Urfé)</t>
  </si>
  <si>
    <t>Lanthier Av Lee</t>
  </si>
  <si>
    <t>31.25</t>
  </si>
  <si>
    <t>Da-ma</t>
  </si>
  <si>
    <t>S-33249</t>
  </si>
  <si>
    <t>Tec-1667</t>
  </si>
  <si>
    <t>LAPOINTE SPORTS CONSTRUCTION D'UNE NOUVELLE CONCESSION</t>
  </si>
  <si>
    <t>Grilles Malo</t>
  </si>
  <si>
    <t>C-19997</t>
  </si>
  <si>
    <t>Tec-1815</t>
  </si>
  <si>
    <t>XYZ Bering Av.</t>
  </si>
  <si>
    <t>Charcoal</t>
  </si>
  <si>
    <t>Arcnova</t>
  </si>
  <si>
    <t>S-34265
S-34317</t>
  </si>
  <si>
    <t>Tec-2349</t>
  </si>
  <si>
    <t>315 Allendale (Bldg. C) FENGATE-ALLENDALE</t>
  </si>
  <si>
    <t>46.25</t>
  </si>
  <si>
    <t>Dark Brown</t>
  </si>
  <si>
    <t>Shear Metal</t>
  </si>
  <si>
    <t>S-31968</t>
  </si>
  <si>
    <t>Tec-2712</t>
  </si>
  <si>
    <t>Projet Blue Bird Self Storage Laval</t>
  </si>
  <si>
    <t>Revêtements Métalliques Metaltek Inc.</t>
  </si>
  <si>
    <t>S-34863</t>
  </si>
  <si>
    <t>Tec-2735</t>
  </si>
  <si>
    <t xml:space="preserve"> Saint-Arnault AGRANDISSEMENT ENTREPÔT CONGELÉ</t>
  </si>
  <si>
    <t>EFC</t>
  </si>
  <si>
    <t>S-33011
C-20831</t>
  </si>
  <si>
    <t>Tec-2832</t>
  </si>
  <si>
    <t>Cardiff</t>
  </si>
  <si>
    <t>J.D. Coldrooms</t>
  </si>
  <si>
    <t>Tec-2834</t>
  </si>
  <si>
    <t>Rigel Grey</t>
  </si>
  <si>
    <t>S-34831</t>
  </si>
  <si>
    <t>Tec-3070</t>
  </si>
  <si>
    <t>Self Storage Aurora</t>
  </si>
  <si>
    <t>Noroc
Norex-L</t>
  </si>
  <si>
    <t>No Profile</t>
  </si>
  <si>
    <t>Embossed
Smooth</t>
  </si>
  <si>
    <t>6
4</t>
  </si>
  <si>
    <t>Regal White
Rigel Grey
Heron Blue</t>
  </si>
  <si>
    <t>Frost Inc.</t>
  </si>
  <si>
    <t>S35483</t>
  </si>
  <si>
    <t>Tec-3074</t>
  </si>
  <si>
    <t>5200 Countryside Dr</t>
  </si>
  <si>
    <t>Norex-M</t>
  </si>
  <si>
    <t>45.6</t>
  </si>
  <si>
    <t>26
22</t>
  </si>
  <si>
    <t>Stone Grey
Element Grey</t>
  </si>
  <si>
    <t>Tec-3509</t>
  </si>
  <si>
    <t>Nathalie Tremblay</t>
  </si>
  <si>
    <t>URGENCE SANTÉ</t>
  </si>
  <si>
    <t>22.5</t>
  </si>
  <si>
    <t>S-35010
C-20882</t>
  </si>
  <si>
    <t>Brimich</t>
  </si>
  <si>
    <t>Bright White</t>
  </si>
  <si>
    <t>Igloo</t>
  </si>
  <si>
    <t>STRATHROY MAXIMUM PANEL LENGTH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</si>
</sst>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164" formatCode="&quot;$&quot;#\-&quot;$&quot;#"/>
    <numFmt numFmtId="165" formatCode="0.00\k\P\a"/>
    <numFmt numFmtId="166" formatCode="0.00\ \k\P\a\ \t\o"/>
    <numFmt numFmtId="167" formatCode="0.00\ \(\C\p\i\+\)"/>
    <numFmt numFmtId="168" formatCode="0.00\ \(\C\p\i\-\)"/>
    <numFmt numFmtId="169" formatCode="0;[Red]0"/>
    <numFmt numFmtId="170" formatCode="0.000"/>
    <numFmt numFmtId="171" formatCode="0.0"/>
    <numFmt numFmtId="172" formatCode="0.000000"/>
    <numFmt numFmtId="173" formatCode="[$-F800]dddd\,\ mmmm\ dd\,\ yyyy"/>
    <numFmt numFmtId="174" formatCode="[$-1009]mmmm\ d\,\ yyyy;@"/>
    <numFmt numFmtId="175" formatCode="0.0000"/>
    <numFmt numFmtId="176" formatCode="0.000E+00"/>
    <numFmt numFmtId="177" formatCode="#,##0.00\ &quot;psi&quot;"/>
    <numFmt numFmtId="178" formatCode="#,##0.0\ &quot;PSF&quot;"/>
    <numFmt numFmtId="179" formatCode="#,##0.00\ &quot;psf&quot;"/>
    <numFmt numFmtId="180" formatCode="#,##0.0\ &quot;mph&quot;"/>
    <numFmt numFmtId="181" formatCode="0.00\ \k\P\a\ &quot;et&quot;"/>
    <numFmt numFmtId="182" formatCode="[$-F400]h:mm:ss\ AM/PM"/>
  </numFmts>
  <fonts count="104">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i/>
      <sz val="11"/>
      <color theme="1"/>
      <name val="Calibri"/>
      <family val="2"/>
      <scheme val="minor"/>
    </font>
    <font>
      <vertAlign val="subscript"/>
      <sz val="11"/>
      <color theme="1"/>
      <name val="Calibri"/>
      <family val="2"/>
      <scheme val="minor"/>
    </font>
    <font>
      <b/>
      <sz val="14"/>
      <color theme="0"/>
      <name val="Calibri"/>
      <family val="2"/>
      <scheme val="minor"/>
    </font>
    <font>
      <b/>
      <sz val="11"/>
      <name val="Calibri"/>
      <family val="2"/>
      <scheme val="minor"/>
    </font>
    <font>
      <sz val="11"/>
      <color theme="4" tint="-0.249977111117893"/>
      <name val="Calibri"/>
      <family val="2"/>
      <scheme val="minor"/>
    </font>
    <font>
      <b/>
      <sz val="11"/>
      <color theme="5"/>
      <name val="Calibri"/>
      <family val="2"/>
      <scheme val="minor"/>
    </font>
    <font>
      <b/>
      <sz val="11"/>
      <color theme="4" tint="-0.249977111117893"/>
      <name val="Calibri"/>
      <family val="2"/>
      <scheme val="minor"/>
    </font>
    <font>
      <b/>
      <sz val="11"/>
      <color theme="8"/>
      <name val="Calibri"/>
      <family val="2"/>
      <scheme val="minor"/>
    </font>
    <font>
      <sz val="11"/>
      <color theme="0" tint="-0.499984740745262"/>
      <name val="Calibri"/>
      <family val="2"/>
      <scheme val="minor"/>
    </font>
    <font>
      <b/>
      <sz val="12"/>
      <color rgb="FFFF0000"/>
      <name val="Calibri"/>
      <family val="2"/>
      <scheme val="minor"/>
    </font>
    <font>
      <b/>
      <sz val="9"/>
      <color theme="4" tint="-0.249977111117893"/>
      <name val="Calibri"/>
      <family val="2"/>
      <scheme val="minor"/>
    </font>
    <font>
      <b/>
      <sz val="11"/>
      <color theme="3"/>
      <name val="Calibri"/>
      <family val="2"/>
      <scheme val="minor"/>
    </font>
    <font>
      <sz val="10"/>
      <color theme="1"/>
      <name val="Calibri"/>
      <family val="2"/>
      <scheme val="minor"/>
    </font>
    <font>
      <b/>
      <sz val="9"/>
      <color theme="1" tint="0.34998626667073579"/>
      <name val="Calibri"/>
      <family val="2"/>
      <scheme val="minor"/>
    </font>
    <font>
      <i/>
      <sz val="8"/>
      <color theme="2" tint="-0.24994659260841701"/>
      <name val="Calibri"/>
      <family val="2"/>
      <scheme val="minor"/>
    </font>
    <font>
      <i/>
      <sz val="8"/>
      <color theme="2" tint="-0.249977111117893"/>
      <name val="Calibri"/>
      <family val="2"/>
      <scheme val="minor"/>
    </font>
    <font>
      <b/>
      <sz val="10"/>
      <color theme="0"/>
      <name val="Calibri"/>
      <family val="2"/>
      <scheme val="minor"/>
    </font>
    <font>
      <sz val="11"/>
      <color theme="0"/>
      <name val="FrankRuehl"/>
      <family val="2"/>
      <charset val="177"/>
    </font>
    <font>
      <b/>
      <i/>
      <sz val="11"/>
      <color theme="1"/>
      <name val="Calibri"/>
      <family val="2"/>
      <scheme val="minor"/>
    </font>
    <font>
      <b/>
      <sz val="16"/>
      <color theme="1"/>
      <name val="Calibri"/>
      <family val="2"/>
      <scheme val="minor"/>
    </font>
    <font>
      <b/>
      <u/>
      <sz val="14"/>
      <color theme="1"/>
      <name val="Calibri"/>
      <family val="2"/>
      <scheme val="minor"/>
    </font>
    <font>
      <sz val="11"/>
      <color theme="1"/>
      <name val="Calibri"/>
      <family val="2"/>
    </font>
    <font>
      <sz val="10.5"/>
      <color theme="1"/>
      <name val="Calibri"/>
      <family val="2"/>
    </font>
    <font>
      <sz val="10.5"/>
      <color theme="1"/>
      <name val="Segoe UI"/>
      <family val="2"/>
    </font>
    <font>
      <b/>
      <sz val="18"/>
      <color theme="1"/>
      <name val="Segoe UI"/>
      <family val="2"/>
    </font>
    <font>
      <b/>
      <sz val="18"/>
      <color theme="1"/>
      <name val="Calibri"/>
      <family val="2"/>
    </font>
    <font>
      <sz val="14"/>
      <color theme="1"/>
      <name val="Calibri"/>
      <family val="2"/>
      <scheme val="minor"/>
    </font>
    <font>
      <sz val="12"/>
      <color theme="1"/>
      <name val="Calibri"/>
      <family val="2"/>
      <scheme val="minor"/>
    </font>
    <font>
      <sz val="8"/>
      <name val="Calibri"/>
      <family val="2"/>
      <scheme val="minor"/>
    </font>
    <font>
      <b/>
      <sz val="12"/>
      <color theme="1"/>
      <name val="Calibri"/>
      <family val="2"/>
      <scheme val="minor"/>
    </font>
    <font>
      <sz val="20"/>
      <color theme="1"/>
      <name val="Calibri"/>
      <family val="2"/>
      <scheme val="minor"/>
    </font>
    <font>
      <u/>
      <sz val="20"/>
      <color theme="1"/>
      <name val="Calibri"/>
      <family val="2"/>
      <scheme val="minor"/>
    </font>
    <font>
      <sz val="16"/>
      <color theme="1"/>
      <name val="Calibri"/>
      <family val="2"/>
      <scheme val="minor"/>
    </font>
    <font>
      <b/>
      <sz val="13"/>
      <color theme="1"/>
      <name val="Calibri"/>
      <family val="2"/>
      <scheme val="minor"/>
    </font>
    <font>
      <sz val="11"/>
      <color theme="1"/>
      <name val="Segoe UI"/>
      <family val="2"/>
    </font>
    <font>
      <u/>
      <sz val="11"/>
      <color theme="10"/>
      <name val="Calibri"/>
      <family val="2"/>
      <scheme val="minor"/>
    </font>
    <font>
      <sz val="11"/>
      <color rgb="FF0070C0"/>
      <name val="Calibri"/>
      <family val="2"/>
      <scheme val="minor"/>
    </font>
    <font>
      <vertAlign val="superscript"/>
      <sz val="11"/>
      <color theme="1"/>
      <name val="Calibri"/>
      <family val="2"/>
      <scheme val="minor"/>
    </font>
    <font>
      <b/>
      <u/>
      <sz val="24"/>
      <color theme="1"/>
      <name val="Calibri"/>
      <family val="2"/>
      <scheme val="minor"/>
    </font>
    <font>
      <b/>
      <u/>
      <sz val="16"/>
      <color theme="1"/>
      <name val="Calibri"/>
      <family val="2"/>
      <scheme val="minor"/>
    </font>
    <font>
      <sz val="11"/>
      <color rgb="FFFF0000"/>
      <name val="Calibri"/>
      <family val="2"/>
      <scheme val="minor"/>
    </font>
    <font>
      <sz val="11"/>
      <name val="Calibri"/>
      <family val="2"/>
      <scheme val="minor"/>
    </font>
    <font>
      <sz val="12"/>
      <name val="Calibri"/>
      <family val="2"/>
      <scheme val="minor"/>
    </font>
    <font>
      <b/>
      <sz val="10"/>
      <color theme="4" tint="-0.249977111117893"/>
      <name val="Arial Narrow"/>
      <family val="2"/>
    </font>
    <font>
      <b/>
      <sz val="11"/>
      <color theme="3" tint="-0.249977111117893"/>
      <name val="Calibri"/>
      <family val="2"/>
      <scheme val="minor"/>
    </font>
    <font>
      <b/>
      <sz val="10"/>
      <color theme="1"/>
      <name val="Arial Narrow"/>
      <family val="2"/>
    </font>
    <font>
      <b/>
      <sz val="12"/>
      <color theme="0"/>
      <name val="Calibri"/>
      <family val="2"/>
      <scheme val="minor"/>
    </font>
    <font>
      <b/>
      <sz val="11"/>
      <name val="Calibri"/>
      <family val="2"/>
    </font>
    <font>
      <sz val="10"/>
      <color rgb="FF000000"/>
      <name val="Calibri"/>
      <family val="2"/>
      <scheme val="minor"/>
    </font>
    <font>
      <sz val="10"/>
      <name val="Calibri"/>
      <family val="2"/>
      <scheme val="minor"/>
    </font>
    <font>
      <b/>
      <sz val="12"/>
      <name val="Calibri"/>
      <family val="2"/>
      <scheme val="minor"/>
    </font>
    <font>
      <vertAlign val="subscript"/>
      <sz val="11"/>
      <name val="Calibri"/>
      <family val="2"/>
      <scheme val="minor"/>
    </font>
    <font>
      <b/>
      <sz val="11"/>
      <color theme="1"/>
      <name val="Calibri"/>
      <family val="2"/>
    </font>
    <font>
      <u/>
      <sz val="9"/>
      <color theme="10"/>
      <name val="Calibri"/>
      <family val="2"/>
      <scheme val="minor"/>
    </font>
    <font>
      <sz val="9"/>
      <color theme="0"/>
      <name val="Calibri"/>
      <family val="2"/>
      <scheme val="minor"/>
    </font>
    <font>
      <sz val="11"/>
      <name val="Calibri"/>
      <family val="2"/>
    </font>
    <font>
      <sz val="11"/>
      <name val="Segoe UI"/>
      <family val="2"/>
    </font>
    <font>
      <sz val="14"/>
      <name val="Calibri"/>
      <family val="2"/>
      <scheme val="minor"/>
    </font>
    <font>
      <sz val="10"/>
      <color theme="1"/>
      <name val="Calibri"/>
      <family val="2"/>
    </font>
    <font>
      <b/>
      <sz val="12"/>
      <color theme="1"/>
      <name val="Segoe UI"/>
      <family val="2"/>
    </font>
    <font>
      <b/>
      <u/>
      <sz val="22"/>
      <color theme="1"/>
      <name val="Calibri"/>
      <family val="2"/>
      <scheme val="minor"/>
    </font>
    <font>
      <sz val="11"/>
      <color theme="1"/>
      <name val="Calibri"/>
      <family val="2"/>
      <scheme val="minor"/>
    </font>
    <font>
      <b/>
      <u/>
      <sz val="18"/>
      <color theme="1"/>
      <name val="Calibri"/>
      <family val="2"/>
      <scheme val="minor"/>
    </font>
    <font>
      <b/>
      <u/>
      <sz val="11"/>
      <color rgb="FF00B0F0"/>
      <name val="Calibri"/>
      <family val="2"/>
      <scheme val="minor"/>
    </font>
    <font>
      <b/>
      <u/>
      <sz val="16"/>
      <name val="Calibri"/>
      <family val="2"/>
    </font>
    <font>
      <b/>
      <u/>
      <sz val="16"/>
      <name val="Calibri"/>
      <family val="2"/>
      <scheme val="minor"/>
    </font>
    <font>
      <b/>
      <u/>
      <sz val="14"/>
      <color rgb="FF00B0F0"/>
      <name val="Calibri"/>
      <family val="2"/>
      <scheme val="minor"/>
    </font>
    <font>
      <b/>
      <u/>
      <sz val="12"/>
      <color rgb="FF00B0F0"/>
      <name val="Calibri"/>
      <family val="2"/>
      <scheme val="minor"/>
    </font>
    <font>
      <sz val="14"/>
      <color theme="1"/>
      <name val="Segoe UI"/>
      <family val="2"/>
    </font>
    <font>
      <b/>
      <sz val="14"/>
      <color theme="1"/>
      <name val="Calibri"/>
      <family val="2"/>
      <scheme val="minor"/>
    </font>
    <font>
      <b/>
      <u/>
      <sz val="12"/>
      <name val="Calibri"/>
      <family val="2"/>
      <scheme val="minor"/>
    </font>
    <font>
      <b/>
      <u/>
      <sz val="11"/>
      <name val="Calibri"/>
      <family val="2"/>
      <scheme val="minor"/>
    </font>
    <font>
      <b/>
      <u/>
      <sz val="14"/>
      <color theme="8"/>
      <name val="Calibri"/>
      <family val="2"/>
      <scheme val="minor"/>
    </font>
    <font>
      <b/>
      <sz val="12"/>
      <color theme="8"/>
      <name val="Calibri"/>
      <family val="2"/>
      <scheme val="minor"/>
    </font>
    <font>
      <sz val="10"/>
      <color theme="1"/>
      <name val="Segoe UI"/>
      <family val="2"/>
    </font>
    <font>
      <b/>
      <u/>
      <sz val="22"/>
      <name val="Calibri"/>
      <family val="2"/>
      <scheme val="minor"/>
    </font>
    <font>
      <b/>
      <u/>
      <sz val="14"/>
      <color theme="10"/>
      <name val="Calibri"/>
      <family val="2"/>
      <scheme val="minor"/>
    </font>
    <font>
      <sz val="11"/>
      <color theme="4"/>
      <name val="Calibri"/>
      <family val="2"/>
      <scheme val="minor"/>
    </font>
    <font>
      <sz val="72"/>
      <color rgb="FFFF0000"/>
      <name val="Calibri"/>
      <family val="2"/>
      <scheme val="minor"/>
    </font>
    <font>
      <b/>
      <sz val="14"/>
      <color theme="1"/>
      <name val="Segoe UI"/>
      <family val="2"/>
    </font>
    <font>
      <b/>
      <u/>
      <sz val="14"/>
      <color theme="1"/>
      <name val="Segoe UI"/>
      <family val="2"/>
    </font>
    <font>
      <b/>
      <sz val="18"/>
      <color rgb="FFFF0000"/>
      <name val="Calibri"/>
      <family val="2"/>
      <scheme val="minor"/>
    </font>
    <font>
      <b/>
      <sz val="14"/>
      <name val="Calibri"/>
      <family val="2"/>
      <scheme val="minor"/>
    </font>
    <font>
      <u/>
      <sz val="11"/>
      <color theme="1"/>
      <name val="Calibri"/>
      <family val="2"/>
      <scheme val="minor"/>
    </font>
    <font>
      <b/>
      <sz val="10"/>
      <color theme="1"/>
      <name val="Calibri"/>
      <family val="2"/>
    </font>
    <font>
      <b/>
      <u/>
      <sz val="20"/>
      <color theme="1"/>
      <name val="Calibri"/>
      <family val="2"/>
      <scheme val="minor"/>
    </font>
    <font>
      <sz val="11"/>
      <color rgb="FF000000"/>
      <name val="Calibri"/>
      <family val="2"/>
      <scheme val="minor"/>
    </font>
    <font>
      <b/>
      <sz val="9"/>
      <color theme="1"/>
      <name val="Calibri"/>
      <family val="2"/>
      <scheme val="minor"/>
    </font>
    <font>
      <b/>
      <sz val="8"/>
      <color theme="1"/>
      <name val="Calibri"/>
      <family val="2"/>
      <scheme val="minor"/>
    </font>
    <font>
      <b/>
      <sz val="9"/>
      <name val="Calibri"/>
      <family val="2"/>
      <scheme val="minor"/>
    </font>
    <font>
      <b/>
      <sz val="10"/>
      <color theme="1"/>
      <name val="Calibri"/>
      <family val="2"/>
      <scheme val="minor"/>
    </font>
    <font>
      <sz val="11"/>
      <color theme="0" tint="-0.34998626667073579"/>
      <name val="Calibri"/>
      <family val="2"/>
      <scheme val="minor"/>
    </font>
    <font>
      <sz val="11"/>
      <color theme="2" tint="-0.249977111117893"/>
      <name val="Calibri"/>
      <family val="2"/>
      <scheme val="minor"/>
    </font>
    <font>
      <sz val="11"/>
      <color rgb="FFCDACE6"/>
      <name val="Calibri"/>
      <family val="2"/>
      <scheme val="minor"/>
    </font>
    <font>
      <sz val="11"/>
      <color rgb="FF7030A0"/>
      <name val="Calibri"/>
      <family val="2"/>
      <scheme val="minor"/>
    </font>
    <font>
      <sz val="12"/>
      <color rgb="FF000000"/>
      <name val="Calibri"/>
      <family val="2"/>
      <scheme val="minor"/>
    </font>
    <font>
      <b/>
      <sz val="9.35"/>
      <color theme="1"/>
      <name val="Calibri"/>
      <family val="2"/>
    </font>
    <font>
      <b/>
      <sz val="9"/>
      <color indexed="81"/>
      <name val="Tahoma"/>
      <family val="2"/>
    </font>
    <font>
      <sz val="9"/>
      <color indexed="81"/>
      <name val="Tahoma"/>
      <family val="2"/>
    </font>
  </fonts>
  <fills count="57">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0000"/>
        <bgColor indexed="64"/>
      </patternFill>
    </fill>
    <fill>
      <patternFill patternType="solid">
        <fgColor theme="9" tint="0.79998168889431442"/>
        <bgColor theme="9" tint="0.79998168889431442"/>
      </patternFill>
    </fill>
    <fill>
      <patternFill patternType="solid">
        <fgColor rgb="FFFFFF00"/>
        <bgColor indexed="64"/>
      </patternFill>
    </fill>
    <fill>
      <patternFill patternType="solid">
        <fgColor theme="5" tint="0.39997558519241921"/>
        <bgColor indexed="64"/>
      </patternFill>
    </fill>
    <fill>
      <patternFill patternType="solid">
        <fgColor theme="1"/>
        <bgColor indexed="64"/>
      </patternFill>
    </fill>
    <fill>
      <patternFill patternType="solid">
        <fgColor theme="6" tint="0.79998168889431442"/>
        <bgColor indexed="64"/>
      </patternFill>
    </fill>
    <fill>
      <patternFill patternType="solid">
        <fgColor theme="0"/>
        <bgColor rgb="FF000000"/>
      </patternFill>
    </fill>
    <fill>
      <patternFill patternType="solid">
        <fgColor rgb="FF78747C"/>
        <bgColor indexed="64"/>
      </patternFill>
    </fill>
    <fill>
      <patternFill patternType="solid">
        <fgColor rgb="FFA5652D"/>
        <bgColor indexed="64"/>
      </patternFill>
    </fill>
    <fill>
      <patternFill patternType="solid">
        <fgColor rgb="FFB8B4B4"/>
        <bgColor indexed="64"/>
      </patternFill>
    </fill>
    <fill>
      <patternFill patternType="solid">
        <fgColor rgb="FF282C30"/>
        <bgColor indexed="64"/>
      </patternFill>
    </fill>
    <fill>
      <patternFill patternType="solid">
        <fgColor rgb="FF888C8C"/>
        <bgColor indexed="64"/>
      </patternFill>
    </fill>
    <fill>
      <patternFill patternType="solid">
        <fgColor rgb="FF707372"/>
        <bgColor indexed="64"/>
      </patternFill>
    </fill>
    <fill>
      <patternFill patternType="solid">
        <fgColor rgb="FF7E8585"/>
        <bgColor indexed="64"/>
      </patternFill>
    </fill>
    <fill>
      <patternFill patternType="solid">
        <fgColor rgb="FF481C1C"/>
        <bgColor indexed="64"/>
      </patternFill>
    </fill>
    <fill>
      <patternFill patternType="solid">
        <fgColor rgb="FF302C2C"/>
        <bgColor indexed="64"/>
      </patternFill>
    </fill>
    <fill>
      <patternFill patternType="solid">
        <fgColor rgb="FF747474"/>
        <bgColor indexed="64"/>
      </patternFill>
    </fill>
    <fill>
      <patternFill patternType="solid">
        <fgColor rgb="FFCCD0C8"/>
        <bgColor indexed="64"/>
      </patternFill>
    </fill>
    <fill>
      <patternFill patternType="solid">
        <fgColor rgb="FFA09C94"/>
        <bgColor indexed="64"/>
      </patternFill>
    </fill>
    <fill>
      <patternFill patternType="solid">
        <fgColor rgb="FFC0AC94"/>
        <bgColor indexed="64"/>
      </patternFill>
    </fill>
    <fill>
      <patternFill patternType="solid">
        <fgColor rgb="FFA8A49C"/>
        <bgColor indexed="64"/>
      </patternFill>
    </fill>
    <fill>
      <patternFill patternType="solid">
        <fgColor rgb="FFFAF7F2"/>
        <bgColor indexed="64"/>
      </patternFill>
    </fill>
    <fill>
      <patternFill patternType="solid">
        <fgColor rgb="FFFFE414"/>
        <bgColor indexed="64"/>
      </patternFill>
    </fill>
    <fill>
      <patternFill patternType="solid">
        <fgColor rgb="FF3C6C94"/>
        <bgColor indexed="64"/>
      </patternFill>
    </fill>
    <fill>
      <patternFill patternType="solid">
        <fgColor rgb="FFC0C4D4"/>
        <bgColor indexed="64"/>
      </patternFill>
    </fill>
    <fill>
      <patternFill patternType="solid">
        <fgColor rgb="FFC8C4C4"/>
        <bgColor indexed="64"/>
      </patternFill>
    </fill>
    <fill>
      <patternFill patternType="solid">
        <fgColor rgb="FFC0BCBC"/>
        <bgColor indexed="64"/>
      </patternFill>
    </fill>
    <fill>
      <patternFill patternType="solid">
        <fgColor rgb="FF908C84"/>
        <bgColor indexed="64"/>
      </patternFill>
    </fill>
    <fill>
      <patternFill patternType="solid">
        <fgColor rgb="FFCCB48C"/>
        <bgColor indexed="64"/>
      </patternFill>
    </fill>
    <fill>
      <patternFill patternType="solid">
        <fgColor rgb="FF384C54"/>
        <bgColor indexed="64"/>
      </patternFill>
    </fill>
    <fill>
      <patternFill patternType="solid">
        <fgColor rgb="FF081C3C"/>
        <bgColor indexed="64"/>
      </patternFill>
    </fill>
    <fill>
      <patternFill patternType="solid">
        <fgColor rgb="FF2C2C28"/>
        <bgColor indexed="64"/>
      </patternFill>
    </fill>
    <fill>
      <patternFill patternType="solid">
        <fgColor rgb="FF689484"/>
        <bgColor indexed="64"/>
      </patternFill>
    </fill>
    <fill>
      <patternFill patternType="solid">
        <fgColor rgb="FFBC3C3C"/>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rgb="FF00B0F0"/>
        <bgColor indexed="64"/>
      </patternFill>
    </fill>
    <fill>
      <patternFill patternType="solid">
        <fgColor rgb="FFEDDBF3"/>
        <bgColor indexed="64"/>
      </patternFill>
    </fill>
    <fill>
      <patternFill patternType="solid">
        <fgColor theme="0" tint="-0.14999847407452621"/>
        <bgColor indexed="64"/>
      </patternFill>
    </fill>
    <fill>
      <patternFill patternType="solid">
        <fgColor rgb="FFD8DCDB"/>
        <bgColor indexed="64"/>
      </patternFill>
    </fill>
    <fill>
      <patternFill patternType="solid">
        <fgColor rgb="FFF4F5F0"/>
        <bgColor indexed="64"/>
      </patternFill>
    </fill>
    <fill>
      <patternFill patternType="solid">
        <fgColor rgb="FFE6DBC8"/>
        <bgColor indexed="64"/>
      </patternFill>
    </fill>
    <fill>
      <patternFill patternType="solid">
        <fgColor rgb="FFBFA674"/>
        <bgColor indexed="64"/>
      </patternFill>
    </fill>
    <fill>
      <patternFill patternType="solid">
        <fgColor rgb="FFE0D7C6"/>
        <bgColor indexed="64"/>
      </patternFill>
    </fill>
    <fill>
      <patternFill patternType="solid">
        <fgColor rgb="FF918E85"/>
        <bgColor indexed="64"/>
      </patternFill>
    </fill>
    <fill>
      <patternFill patternType="solid">
        <fgColor rgb="FFC0C0C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66FF33"/>
        <bgColor indexed="64"/>
      </patternFill>
    </fill>
  </fills>
  <borders count="22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top style="hair">
        <color indexed="64"/>
      </top>
      <bottom/>
      <diagonal/>
    </border>
    <border>
      <left style="hair">
        <color indexed="64"/>
      </left>
      <right/>
      <top/>
      <bottom/>
      <diagonal/>
    </border>
    <border>
      <left/>
      <right style="hair">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style="dotted">
        <color auto="1"/>
      </right>
      <top style="dotted">
        <color auto="1"/>
      </top>
      <bottom style="dotted">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dotted">
        <color auto="1"/>
      </left>
      <right style="dotted">
        <color auto="1"/>
      </right>
      <top style="dotted">
        <color auto="1"/>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ck">
        <color auto="1"/>
      </bottom>
      <diagonal/>
    </border>
    <border>
      <left style="thick">
        <color auto="1"/>
      </left>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thick">
        <color auto="1"/>
      </bottom>
      <diagonal/>
    </border>
    <border>
      <left/>
      <right/>
      <top style="thick">
        <color auto="1"/>
      </top>
      <bottom/>
      <diagonal/>
    </border>
    <border>
      <left style="medium">
        <color auto="1"/>
      </left>
      <right style="thin">
        <color auto="1"/>
      </right>
      <top/>
      <bottom style="thin">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ck">
        <color auto="1"/>
      </bottom>
      <diagonal/>
    </border>
    <border>
      <left style="medium">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medium">
        <color auto="1"/>
      </left>
      <right style="thin">
        <color auto="1"/>
      </right>
      <top style="thin">
        <color auto="1"/>
      </top>
      <bottom style="thick">
        <color auto="1"/>
      </bottom>
      <diagonal/>
    </border>
    <border>
      <left style="thick">
        <color auto="1"/>
      </left>
      <right style="thin">
        <color auto="1"/>
      </right>
      <top style="thin">
        <color auto="1"/>
      </top>
      <bottom style="thick">
        <color auto="1"/>
      </bottom>
      <diagonal/>
    </border>
    <border>
      <left style="thick">
        <color auto="1"/>
      </left>
      <right style="thin">
        <color auto="1"/>
      </right>
      <top style="thin">
        <color auto="1"/>
      </top>
      <bottom style="thin">
        <color auto="1"/>
      </bottom>
      <diagonal/>
    </border>
    <border>
      <left style="thin">
        <color auto="1"/>
      </left>
      <right style="thick">
        <color auto="1"/>
      </right>
      <top style="medium">
        <color auto="1"/>
      </top>
      <bottom style="thin">
        <color auto="1"/>
      </bottom>
      <diagonal/>
    </border>
    <border>
      <left style="medium">
        <color auto="1"/>
      </left>
      <right style="thin">
        <color auto="1"/>
      </right>
      <top style="medium">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auto="1"/>
      </left>
      <right style="thick">
        <color auto="1"/>
      </right>
      <top style="thin">
        <color auto="1"/>
      </top>
      <bottom/>
      <diagonal/>
    </border>
    <border>
      <left/>
      <right style="thick">
        <color auto="1"/>
      </right>
      <top/>
      <bottom/>
      <diagonal/>
    </border>
    <border>
      <left/>
      <right/>
      <top/>
      <bottom style="medium">
        <color indexed="64"/>
      </bottom>
      <diagonal/>
    </border>
    <border>
      <left style="thick">
        <color auto="1"/>
      </left>
      <right/>
      <top/>
      <bottom style="medium">
        <color indexed="64"/>
      </bottom>
      <diagonal/>
    </border>
    <border>
      <left style="thick">
        <color auto="1"/>
      </left>
      <right style="thin">
        <color auto="1"/>
      </right>
      <top style="medium">
        <color indexed="64"/>
      </top>
      <bottom style="thin">
        <color auto="1"/>
      </bottom>
      <diagonal/>
    </border>
    <border>
      <left/>
      <right style="thick">
        <color auto="1"/>
      </right>
      <top style="thick">
        <color auto="1"/>
      </top>
      <bottom/>
      <diagonal/>
    </border>
    <border>
      <left/>
      <right style="thick">
        <color auto="1"/>
      </right>
      <top style="thin">
        <color indexed="64"/>
      </top>
      <bottom style="thin">
        <color indexed="64"/>
      </bottom>
      <diagonal/>
    </border>
    <border>
      <left style="thick">
        <color auto="1"/>
      </left>
      <right/>
      <top/>
      <bottom/>
      <diagonal/>
    </border>
    <border>
      <left/>
      <right/>
      <top style="thick">
        <color indexed="64"/>
      </top>
      <bottom style="thin">
        <color indexed="64"/>
      </bottom>
      <diagonal/>
    </border>
    <border>
      <left style="thick">
        <color auto="1"/>
      </left>
      <right/>
      <top/>
      <bottom style="thick">
        <color auto="1"/>
      </bottom>
      <diagonal/>
    </border>
    <border>
      <left/>
      <right style="thick">
        <color auto="1"/>
      </right>
      <top/>
      <bottom style="thick">
        <color auto="1"/>
      </bottom>
      <diagonal/>
    </border>
    <border>
      <left style="dashed">
        <color indexed="64"/>
      </left>
      <right style="dashed">
        <color indexed="64"/>
      </right>
      <top style="dashed">
        <color indexed="64"/>
      </top>
      <bottom style="dashed">
        <color indexed="64"/>
      </bottom>
      <diagonal/>
    </border>
    <border>
      <left style="hair">
        <color indexed="64"/>
      </left>
      <right style="hair">
        <color indexed="64"/>
      </right>
      <top style="hair">
        <color indexed="64"/>
      </top>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dashed">
        <color indexed="64"/>
      </right>
      <top/>
      <bottom/>
      <diagonal/>
    </border>
    <border>
      <left style="dashed">
        <color indexed="64"/>
      </left>
      <right style="dashed">
        <color indexed="64"/>
      </right>
      <top/>
      <bottom style="dashed">
        <color indexed="64"/>
      </bottom>
      <diagonal/>
    </border>
    <border>
      <left style="thin">
        <color indexed="64"/>
      </left>
      <right style="thin">
        <color indexed="64"/>
      </right>
      <top/>
      <bottom style="thin">
        <color indexed="64"/>
      </bottom>
      <diagonal/>
    </border>
    <border>
      <left style="thick">
        <color auto="1"/>
      </left>
      <right/>
      <top style="thin">
        <color auto="1"/>
      </top>
      <bottom style="thin">
        <color indexed="64"/>
      </bottom>
      <diagonal/>
    </border>
    <border>
      <left style="thick">
        <color auto="1"/>
      </left>
      <right style="thin">
        <color auto="1"/>
      </right>
      <top style="thin">
        <color auto="1"/>
      </top>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n">
        <color indexed="64"/>
      </bottom>
      <diagonal/>
    </border>
    <border>
      <left/>
      <right style="medium">
        <color indexed="64"/>
      </right>
      <top/>
      <bottom style="thin">
        <color indexed="64"/>
      </bottom>
      <diagonal/>
    </border>
    <border>
      <left style="thin">
        <color indexed="64"/>
      </left>
      <right style="medium">
        <color auto="1"/>
      </right>
      <top style="thin">
        <color auto="1"/>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n">
        <color auto="1"/>
      </right>
      <top style="thin">
        <color auto="1"/>
      </top>
      <bottom style="thick">
        <color auto="1"/>
      </bottom>
      <diagonal/>
    </border>
    <border>
      <left style="thin">
        <color auto="1"/>
      </left>
      <right/>
      <top style="thick">
        <color auto="1"/>
      </top>
      <bottom style="thin">
        <color auto="1"/>
      </bottom>
      <diagonal/>
    </border>
    <border>
      <left/>
      <right style="thin">
        <color auto="1"/>
      </right>
      <top style="thick">
        <color auto="1"/>
      </top>
      <bottom style="thin">
        <color auto="1"/>
      </bottom>
      <diagonal/>
    </border>
    <border>
      <left style="thin">
        <color auto="1"/>
      </left>
      <right style="medium">
        <color auto="1"/>
      </right>
      <top style="thick">
        <color auto="1"/>
      </top>
      <bottom style="thin">
        <color auto="1"/>
      </bottom>
      <diagonal/>
    </border>
    <border>
      <left style="thick">
        <color auto="1"/>
      </left>
      <right style="thin">
        <color auto="1"/>
      </right>
      <top/>
      <bottom style="thin">
        <color auto="1"/>
      </bottom>
      <diagonal/>
    </border>
    <border>
      <left style="thin">
        <color indexed="64"/>
      </left>
      <right style="thin">
        <color indexed="64"/>
      </right>
      <top style="thin">
        <color auto="1"/>
      </top>
      <bottom style="medium">
        <color auto="1"/>
      </bottom>
      <diagonal/>
    </border>
    <border>
      <left style="thin">
        <color indexed="64"/>
      </left>
      <right style="medium">
        <color indexed="64"/>
      </right>
      <top style="thin">
        <color auto="1"/>
      </top>
      <bottom style="medium">
        <color auto="1"/>
      </bottom>
      <diagonal/>
    </border>
    <border>
      <left style="thin">
        <color auto="1"/>
      </left>
      <right style="thick">
        <color auto="1"/>
      </right>
      <top style="thin">
        <color auto="1"/>
      </top>
      <bottom style="medium">
        <color auto="1"/>
      </bottom>
      <diagonal/>
    </border>
    <border>
      <left/>
      <right style="thick">
        <color indexed="64"/>
      </right>
      <top/>
      <bottom style="thin">
        <color indexed="64"/>
      </bottom>
      <diagonal/>
    </border>
    <border>
      <left style="thin">
        <color auto="1"/>
      </left>
      <right style="thin">
        <color auto="1"/>
      </right>
      <top style="medium">
        <color auto="1"/>
      </top>
      <bottom style="thin">
        <color auto="1"/>
      </bottom>
      <diagonal/>
    </border>
    <border>
      <left style="thick">
        <color auto="1"/>
      </left>
      <right/>
      <top style="medium">
        <color indexed="64"/>
      </top>
      <bottom/>
      <diagonal/>
    </border>
    <border>
      <left style="thick">
        <color auto="1"/>
      </left>
      <right/>
      <top style="thick">
        <color auto="1"/>
      </top>
      <bottom style="thin">
        <color indexed="64"/>
      </bottom>
      <diagonal/>
    </border>
    <border>
      <left/>
      <right style="thick">
        <color auto="1"/>
      </right>
      <top style="thick">
        <color auto="1"/>
      </top>
      <bottom style="thin">
        <color indexed="64"/>
      </bottom>
      <diagonal/>
    </border>
    <border>
      <left/>
      <right style="thin">
        <color auto="1"/>
      </right>
      <top style="thin">
        <color auto="1"/>
      </top>
      <bottom style="thick">
        <color auto="1"/>
      </bottom>
      <diagonal/>
    </border>
    <border>
      <left style="thick">
        <color indexed="64"/>
      </left>
      <right style="thin">
        <color indexed="64"/>
      </right>
      <top style="thin">
        <color auto="1"/>
      </top>
      <bottom style="medium">
        <color auto="1"/>
      </bottom>
      <diagonal/>
    </border>
    <border>
      <left style="thick">
        <color auto="1"/>
      </left>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thick">
        <color indexed="64"/>
      </left>
      <right/>
      <top style="thin">
        <color auto="1"/>
      </top>
      <bottom style="medium">
        <color auto="1"/>
      </bottom>
      <diagonal/>
    </border>
    <border>
      <left/>
      <right/>
      <top style="thin">
        <color auto="1"/>
      </top>
      <bottom style="medium">
        <color auto="1"/>
      </bottom>
      <diagonal/>
    </border>
    <border>
      <left/>
      <right style="thick">
        <color auto="1"/>
      </right>
      <top style="thin">
        <color auto="1"/>
      </top>
      <bottom style="medium">
        <color auto="1"/>
      </bottom>
      <diagonal/>
    </border>
    <border>
      <left style="thick">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ck">
        <color auto="1"/>
      </right>
      <top style="medium">
        <color auto="1"/>
      </top>
      <bottom style="medium">
        <color auto="1"/>
      </bottom>
      <diagonal/>
    </border>
    <border>
      <left style="thick">
        <color auto="1"/>
      </left>
      <right style="medium">
        <color auto="1"/>
      </right>
      <top style="medium">
        <color auto="1"/>
      </top>
      <bottom style="thick">
        <color indexed="64"/>
      </bottom>
      <diagonal/>
    </border>
    <border>
      <left style="medium">
        <color auto="1"/>
      </left>
      <right style="medium">
        <color auto="1"/>
      </right>
      <top style="medium">
        <color auto="1"/>
      </top>
      <bottom style="thick">
        <color indexed="64"/>
      </bottom>
      <diagonal/>
    </border>
    <border>
      <left style="medium">
        <color auto="1"/>
      </left>
      <right style="thick">
        <color auto="1"/>
      </right>
      <top style="medium">
        <color auto="1"/>
      </top>
      <bottom style="thick">
        <color indexed="64"/>
      </bottom>
      <diagonal/>
    </border>
    <border>
      <left style="thick">
        <color auto="1"/>
      </left>
      <right/>
      <top style="thin">
        <color auto="1"/>
      </top>
      <bottom style="thick">
        <color auto="1"/>
      </bottom>
      <diagonal/>
    </border>
    <border>
      <left style="thick">
        <color auto="1"/>
      </left>
      <right/>
      <top style="thin">
        <color auto="1"/>
      </top>
      <bottom/>
      <diagonal/>
    </border>
    <border>
      <left/>
      <right/>
      <top style="thin">
        <color indexed="64"/>
      </top>
      <bottom style="thick">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indexed="64"/>
      </right>
      <top style="thick">
        <color auto="1"/>
      </top>
      <bottom style="thick">
        <color auto="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theme="9" tint="0.39997558519241921"/>
      </top>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bottom/>
      <diagonal/>
    </border>
    <border>
      <left style="dashed">
        <color indexed="64"/>
      </left>
      <right style="dashed">
        <color indexed="64"/>
      </right>
      <top style="dashed">
        <color indexed="64"/>
      </top>
      <bottom style="thin">
        <color indexed="64"/>
      </bottom>
      <diagonal/>
    </border>
    <border>
      <left/>
      <right style="dashed">
        <color indexed="64"/>
      </right>
      <top style="dashed">
        <color indexed="64"/>
      </top>
      <bottom style="thin">
        <color indexed="64"/>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bottom style="dashed">
        <color indexed="64"/>
      </bottom>
      <diagonal/>
    </border>
    <border>
      <left style="thick">
        <color auto="1"/>
      </left>
      <right style="thin">
        <color auto="1"/>
      </right>
      <top/>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medium">
        <color auto="1"/>
      </bottom>
      <diagonal/>
    </border>
    <border>
      <left/>
      <right/>
      <top style="medium">
        <color auto="1"/>
      </top>
      <bottom style="medium">
        <color auto="1"/>
      </bottom>
      <diagonal/>
    </border>
    <border>
      <left/>
      <right style="thick">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indexed="64"/>
      </right>
      <top style="thick">
        <color auto="1"/>
      </top>
      <bottom/>
      <diagonal/>
    </border>
    <border>
      <left style="medium">
        <color auto="1"/>
      </left>
      <right style="medium">
        <color indexed="64"/>
      </right>
      <top/>
      <bottom/>
      <diagonal/>
    </border>
    <border>
      <left style="medium">
        <color auto="1"/>
      </left>
      <right style="medium">
        <color indexed="64"/>
      </right>
      <top/>
      <bottom style="thick">
        <color indexed="64"/>
      </bottom>
      <diagonal/>
    </border>
    <border>
      <left style="thick">
        <color auto="1"/>
      </left>
      <right style="medium">
        <color auto="1"/>
      </right>
      <top style="thick">
        <color auto="1"/>
      </top>
      <bottom/>
      <diagonal/>
    </border>
    <border>
      <left style="thick">
        <color auto="1"/>
      </left>
      <right style="medium">
        <color auto="1"/>
      </right>
      <top/>
      <bottom/>
      <diagonal/>
    </border>
    <border>
      <left style="thick">
        <color auto="1"/>
      </left>
      <right style="medium">
        <color auto="1"/>
      </right>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indexed="64"/>
      </left>
      <right style="thick">
        <color indexed="64"/>
      </right>
      <top style="thick">
        <color indexed="64"/>
      </top>
      <bottom/>
      <diagonal/>
    </border>
    <border>
      <left style="thin">
        <color indexed="64"/>
      </left>
      <right style="thin">
        <color indexed="64"/>
      </right>
      <top style="thin">
        <color indexed="64"/>
      </top>
      <bottom/>
      <diagonal/>
    </border>
    <border>
      <left style="thick">
        <color auto="1"/>
      </left>
      <right/>
      <top style="medium">
        <color indexed="64"/>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right style="thick">
        <color auto="1"/>
      </right>
      <top style="thin">
        <color auto="1"/>
      </top>
      <bottom style="thick">
        <color auto="1"/>
      </bottom>
      <diagonal/>
    </border>
    <border>
      <left style="thick">
        <color auto="1"/>
      </left>
      <right style="medium">
        <color auto="1"/>
      </right>
      <top style="medium">
        <color indexed="64"/>
      </top>
      <bottom/>
      <diagonal/>
    </border>
    <border>
      <left style="medium">
        <color auto="1"/>
      </left>
      <right/>
      <top style="thick">
        <color indexed="64"/>
      </top>
      <bottom style="thin">
        <color indexed="64"/>
      </bottom>
      <diagonal/>
    </border>
    <border>
      <left/>
      <right style="medium">
        <color indexed="64"/>
      </right>
      <top style="thick">
        <color indexed="64"/>
      </top>
      <bottom style="thin">
        <color indexed="64"/>
      </bottom>
      <diagonal/>
    </border>
    <border>
      <left style="medium">
        <color auto="1"/>
      </left>
      <right/>
      <top style="medium">
        <color auto="1"/>
      </top>
      <bottom style="thick">
        <color indexed="64"/>
      </bottom>
      <diagonal/>
    </border>
    <border>
      <left/>
      <right style="medium">
        <color auto="1"/>
      </right>
      <top style="medium">
        <color auto="1"/>
      </top>
      <bottom style="thick">
        <color indexed="64"/>
      </bottom>
      <diagonal/>
    </border>
    <border>
      <left style="thin">
        <color auto="1"/>
      </left>
      <right/>
      <top style="medium">
        <color auto="1"/>
      </top>
      <bottom style="thin">
        <color auto="1"/>
      </bottom>
      <diagonal/>
    </border>
    <border>
      <left style="medium">
        <color auto="1"/>
      </left>
      <right style="thin">
        <color auto="1"/>
      </right>
      <top style="thick">
        <color auto="1"/>
      </top>
      <bottom style="thin">
        <color auto="1"/>
      </bottom>
      <diagonal/>
    </border>
    <border>
      <left/>
      <right/>
      <top style="dashed">
        <color indexed="64"/>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hair">
        <color indexed="64"/>
      </right>
      <top style="hair">
        <color indexed="64"/>
      </top>
      <bottom style="hair">
        <color indexed="64"/>
      </bottom>
      <diagonal/>
    </border>
    <border>
      <left style="medium">
        <color indexed="64"/>
      </left>
      <right/>
      <top/>
      <bottom/>
      <diagonal/>
    </border>
    <border>
      <left style="medium">
        <color indexed="64"/>
      </left>
      <right style="hair">
        <color indexed="64"/>
      </right>
      <top style="hair">
        <color indexed="64"/>
      </top>
      <bottom/>
      <diagonal/>
    </border>
    <border>
      <left style="medium">
        <color indexed="64"/>
      </left>
      <right style="hair">
        <color indexed="64"/>
      </right>
      <top/>
      <bottom style="hair">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diagonal/>
    </border>
    <border>
      <left/>
      <right style="thin">
        <color indexed="64"/>
      </right>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ck">
        <color auto="1"/>
      </right>
      <top style="thin">
        <color auto="1"/>
      </top>
      <bottom/>
      <diagonal/>
    </border>
    <border>
      <left style="thick">
        <color auto="1"/>
      </left>
      <right style="thick">
        <color auto="1"/>
      </right>
      <top style="thick">
        <color indexed="64"/>
      </top>
      <bottom style="thick">
        <color auto="1"/>
      </bottom>
      <diagonal/>
    </border>
    <border>
      <left style="dashed">
        <color indexed="64"/>
      </left>
      <right style="thick">
        <color auto="1"/>
      </right>
      <top/>
      <bottom/>
      <diagonal/>
    </border>
    <border>
      <left style="hair">
        <color indexed="64"/>
      </left>
      <right style="dashed">
        <color indexed="64"/>
      </right>
      <top style="hair">
        <color auto="1"/>
      </top>
      <bottom style="hair">
        <color auto="1"/>
      </bottom>
      <diagonal/>
    </border>
    <border>
      <left style="thin">
        <color auto="1"/>
      </left>
      <right/>
      <top style="thick">
        <color auto="1"/>
      </top>
      <bottom/>
      <diagonal/>
    </border>
    <border>
      <left/>
      <right style="thin">
        <color indexed="64"/>
      </right>
      <top style="thick">
        <color auto="1"/>
      </top>
      <bottom/>
      <diagonal/>
    </border>
    <border>
      <left style="thin">
        <color auto="1"/>
      </left>
      <right style="thin">
        <color indexed="64"/>
      </right>
      <top/>
      <bottom/>
      <diagonal/>
    </border>
    <border>
      <left style="thin">
        <color auto="1"/>
      </left>
      <right style="thin">
        <color indexed="64"/>
      </right>
      <top/>
      <bottom style="medium">
        <color auto="1"/>
      </bottom>
      <diagonal/>
    </border>
    <border>
      <left/>
      <right style="thin">
        <color indexed="64"/>
      </right>
      <top/>
      <bottom style="medium">
        <color auto="1"/>
      </bottom>
      <diagonal/>
    </border>
    <border>
      <left style="thick">
        <color auto="1"/>
      </left>
      <right style="thin">
        <color indexed="64"/>
      </right>
      <top style="medium">
        <color indexed="64"/>
      </top>
      <bottom/>
      <diagonal/>
    </border>
    <border>
      <left style="thick">
        <color auto="1"/>
      </left>
      <right style="thin">
        <color indexed="64"/>
      </right>
      <top/>
      <bottom style="medium">
        <color auto="1"/>
      </bottom>
      <diagonal/>
    </border>
    <border>
      <left style="thin">
        <color auto="1"/>
      </left>
      <right style="thin">
        <color indexed="64"/>
      </right>
      <top style="medium">
        <color auto="1"/>
      </top>
      <bottom/>
      <diagonal/>
    </border>
    <border>
      <left/>
      <right/>
      <top style="dashed">
        <color indexed="64"/>
      </top>
      <bottom style="dashed">
        <color indexed="64"/>
      </bottom>
      <diagonal/>
    </border>
    <border>
      <left/>
      <right style="medium">
        <color indexed="64"/>
      </right>
      <top style="thick">
        <color auto="1"/>
      </top>
      <bottom/>
      <diagonal/>
    </border>
    <border>
      <left/>
      <right style="medium">
        <color indexed="64"/>
      </right>
      <top/>
      <bottom style="thick">
        <color auto="1"/>
      </bottom>
      <diagonal/>
    </border>
    <border>
      <left/>
      <right style="thin">
        <color indexed="64"/>
      </right>
      <top/>
      <bottom style="thick">
        <color auto="1"/>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auto="1"/>
      </left>
      <right style="thin">
        <color auto="1"/>
      </right>
      <top style="medium">
        <color auto="1"/>
      </top>
      <bottom/>
      <diagonal/>
    </border>
    <border>
      <left/>
      <right/>
      <top/>
      <bottom style="dashed">
        <color indexed="64"/>
      </bottom>
      <diagonal/>
    </border>
    <border>
      <left style="thick">
        <color auto="1"/>
      </left>
      <right style="medium">
        <color auto="1"/>
      </right>
      <top style="thick">
        <color auto="1"/>
      </top>
      <bottom style="medium">
        <color auto="1"/>
      </bottom>
      <diagonal/>
    </border>
    <border>
      <left style="medium">
        <color auto="1"/>
      </left>
      <right style="medium">
        <color auto="1"/>
      </right>
      <top style="thick">
        <color auto="1"/>
      </top>
      <bottom style="medium">
        <color auto="1"/>
      </bottom>
      <diagonal/>
    </border>
    <border>
      <left style="medium">
        <color auto="1"/>
      </left>
      <right style="thick">
        <color auto="1"/>
      </right>
      <top style="thick">
        <color auto="1"/>
      </top>
      <bottom style="medium">
        <color auto="1"/>
      </bottom>
      <diagonal/>
    </border>
    <border>
      <left style="thick">
        <color auto="1"/>
      </left>
      <right style="thick">
        <color auto="1"/>
      </right>
      <top/>
      <bottom style="medium">
        <color auto="1"/>
      </bottom>
      <diagonal/>
    </border>
    <border>
      <left style="thick">
        <color auto="1"/>
      </left>
      <right style="thick">
        <color auto="1"/>
      </right>
      <top style="medium">
        <color auto="1"/>
      </top>
      <bottom style="medium">
        <color auto="1"/>
      </bottom>
      <diagonal/>
    </border>
    <border>
      <left style="medium">
        <color auto="1"/>
      </left>
      <right/>
      <top style="thick">
        <color auto="1"/>
      </top>
      <bottom style="medium">
        <color auto="1"/>
      </bottom>
      <diagonal/>
    </border>
    <border>
      <left/>
      <right style="medium">
        <color auto="1"/>
      </right>
      <top style="thick">
        <color auto="1"/>
      </top>
      <bottom style="medium">
        <color auto="1"/>
      </bottom>
      <diagonal/>
    </border>
    <border>
      <left style="dashed">
        <color indexed="64"/>
      </left>
      <right/>
      <top/>
      <bottom/>
      <diagonal/>
    </border>
    <border>
      <left style="thick">
        <color auto="1"/>
      </left>
      <right style="thin">
        <color indexed="64"/>
      </right>
      <top/>
      <bottom style="thick">
        <color auto="1"/>
      </bottom>
      <diagonal/>
    </border>
    <border>
      <left style="thin">
        <color auto="1"/>
      </left>
      <right style="thin">
        <color indexed="64"/>
      </right>
      <top/>
      <bottom style="thick">
        <color auto="1"/>
      </bottom>
      <diagonal/>
    </border>
    <border>
      <left style="dashed">
        <color indexed="64"/>
      </left>
      <right style="thick">
        <color indexed="64"/>
      </right>
      <top style="dashed">
        <color indexed="64"/>
      </top>
      <bottom style="dashed">
        <color indexed="64"/>
      </bottom>
      <diagonal/>
    </border>
    <border>
      <left style="thick">
        <color auto="1"/>
      </left>
      <right style="thick">
        <color auto="1"/>
      </right>
      <top/>
      <bottom style="thick">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auto="1"/>
      </left>
      <right style="thick">
        <color auto="1"/>
      </right>
      <top/>
      <bottom/>
      <diagonal/>
    </border>
    <border>
      <left style="thin">
        <color auto="1"/>
      </left>
      <right style="thick">
        <color auto="1"/>
      </right>
      <top/>
      <bottom style="thick">
        <color auto="1"/>
      </bottom>
      <diagonal/>
    </border>
    <border>
      <left/>
      <right style="medium">
        <color auto="1"/>
      </right>
      <top style="thin">
        <color auto="1"/>
      </top>
      <bottom style="thin">
        <color auto="1"/>
      </bottom>
      <diagonal/>
    </border>
    <border>
      <left/>
      <right style="medium">
        <color auto="1"/>
      </right>
      <top style="thin">
        <color auto="1"/>
      </top>
      <bottom style="thick">
        <color auto="1"/>
      </bottom>
      <diagonal/>
    </border>
    <border>
      <left/>
      <right/>
      <top style="medium">
        <color auto="1"/>
      </top>
      <bottom style="thin">
        <color auto="1"/>
      </bottom>
      <diagonal/>
    </border>
    <border>
      <left/>
      <right style="thick">
        <color auto="1"/>
      </right>
      <top style="medium">
        <color auto="1"/>
      </top>
      <bottom style="thin">
        <color auto="1"/>
      </bottom>
      <diagonal/>
    </border>
    <border>
      <left style="thick">
        <color indexed="64"/>
      </left>
      <right style="thick">
        <color indexed="64"/>
      </right>
      <top style="medium">
        <color indexed="64"/>
      </top>
      <bottom style="thin">
        <color indexed="64"/>
      </bottom>
      <diagonal/>
    </border>
    <border>
      <left style="thick">
        <color indexed="64"/>
      </left>
      <right style="thick">
        <color indexed="64"/>
      </right>
      <top style="thin">
        <color indexed="64"/>
      </top>
      <bottom style="medium">
        <color indexed="64"/>
      </bottom>
      <diagonal/>
    </border>
    <border>
      <left style="thick">
        <color indexed="64"/>
      </left>
      <right/>
      <top style="medium">
        <color indexed="64"/>
      </top>
      <bottom style="thin">
        <color auto="1"/>
      </bottom>
      <diagonal/>
    </border>
    <border>
      <left style="thick">
        <color auto="1"/>
      </left>
      <right style="thick">
        <color auto="1"/>
      </right>
      <top style="medium">
        <color auto="1"/>
      </top>
      <bottom style="thick">
        <color auto="1"/>
      </bottom>
      <diagonal/>
    </border>
    <border>
      <left style="medium">
        <color indexed="64"/>
      </left>
      <right/>
      <top/>
      <bottom style="thick">
        <color auto="1"/>
      </bottom>
      <diagonal/>
    </border>
    <border>
      <left style="medium">
        <color auto="1"/>
      </left>
      <right style="medium">
        <color auto="1"/>
      </right>
      <top style="medium">
        <color auto="1"/>
      </top>
      <bottom style="thin">
        <color auto="1"/>
      </bottom>
      <diagonal/>
    </border>
    <border>
      <left style="medium">
        <color auto="1"/>
      </left>
      <right style="thick">
        <color indexed="64"/>
      </right>
      <top style="medium">
        <color auto="1"/>
      </top>
      <bottom style="thin">
        <color auto="1"/>
      </bottom>
      <diagonal/>
    </border>
    <border>
      <left style="medium">
        <color auto="1"/>
      </left>
      <right style="thick">
        <color indexed="64"/>
      </right>
      <top style="thin">
        <color auto="1"/>
      </top>
      <bottom style="medium">
        <color auto="1"/>
      </bottom>
      <diagonal/>
    </border>
    <border>
      <left style="medium">
        <color auto="1"/>
      </left>
      <right style="thick">
        <color auto="1"/>
      </right>
      <top style="thick">
        <color auto="1"/>
      </top>
      <bottom style="thin">
        <color auto="1"/>
      </bottom>
      <diagonal/>
    </border>
    <border>
      <left style="thin">
        <color indexed="64"/>
      </left>
      <right style="medium">
        <color indexed="64"/>
      </right>
      <top style="medium">
        <color indexed="64"/>
      </top>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thin">
        <color auto="1"/>
      </bottom>
      <diagonal/>
    </border>
    <border>
      <left/>
      <right style="thin">
        <color indexed="64"/>
      </right>
      <top style="thin">
        <color indexed="64"/>
      </top>
      <bottom style="medium">
        <color indexed="64"/>
      </bottom>
      <diagonal/>
    </border>
  </borders>
  <cellStyleXfs count="2">
    <xf numFmtId="0" fontId="0" fillId="0" borderId="0"/>
    <xf numFmtId="0" fontId="40" fillId="0" borderId="0" applyNumberFormat="0" applyFill="0" applyBorder="0" applyAlignment="0" applyProtection="0"/>
  </cellStyleXfs>
  <cellXfs count="1885">
    <xf numFmtId="0" fontId="0" fillId="0" borderId="0" xfId="0"/>
    <xf numFmtId="0" fontId="16" fillId="3" borderId="0" xfId="0" applyFont="1" applyFill="1" applyAlignment="1">
      <alignment vertical="top" wrapText="1"/>
    </xf>
    <xf numFmtId="0" fontId="2" fillId="2" borderId="10" xfId="0" applyFont="1" applyFill="1" applyBorder="1" applyAlignment="1" applyProtection="1">
      <alignment horizontal="left"/>
      <protection hidden="1"/>
    </xf>
    <xf numFmtId="0" fontId="0" fillId="2" borderId="11" xfId="0" applyFill="1" applyBorder="1" applyProtection="1">
      <protection hidden="1"/>
    </xf>
    <xf numFmtId="0" fontId="0" fillId="2" borderId="12" xfId="0" applyFill="1" applyBorder="1" applyProtection="1">
      <protection hidden="1"/>
    </xf>
    <xf numFmtId="0" fontId="0" fillId="2" borderId="10" xfId="0" applyFill="1" applyBorder="1" applyAlignment="1" applyProtection="1">
      <alignment horizontal="right"/>
      <protection hidden="1"/>
    </xf>
    <xf numFmtId="0" fontId="0" fillId="2" borderId="11" xfId="0" applyFill="1" applyBorder="1" applyAlignment="1" applyProtection="1">
      <alignment horizontal="left"/>
      <protection hidden="1"/>
    </xf>
    <xf numFmtId="0" fontId="0" fillId="2" borderId="5" xfId="0" applyFill="1" applyBorder="1" applyProtection="1">
      <protection hidden="1"/>
    </xf>
    <xf numFmtId="168" fontId="9" fillId="2" borderId="9" xfId="0" applyNumberFormat="1" applyFont="1" applyFill="1" applyBorder="1" applyAlignment="1" applyProtection="1">
      <alignment horizontal="center"/>
      <protection hidden="1"/>
    </xf>
    <xf numFmtId="167" fontId="9" fillId="2" borderId="9" xfId="0" applyNumberFormat="1" applyFont="1" applyFill="1" applyBorder="1" applyAlignment="1" applyProtection="1">
      <alignment horizontal="center"/>
      <protection hidden="1"/>
    </xf>
    <xf numFmtId="0" fontId="2" fillId="0" borderId="0" xfId="0" applyFont="1"/>
    <xf numFmtId="0" fontId="24" fillId="0" borderId="0" xfId="0" applyFont="1"/>
    <xf numFmtId="0" fontId="25" fillId="0" borderId="0" xfId="0" applyFont="1" applyAlignment="1">
      <alignment vertical="center"/>
    </xf>
    <xf numFmtId="0" fontId="26" fillId="0" borderId="0" xfId="0" applyFont="1"/>
    <xf numFmtId="0" fontId="26" fillId="0" borderId="0" xfId="0" applyFont="1" applyAlignment="1">
      <alignment horizontal="left" vertical="center"/>
    </xf>
    <xf numFmtId="0" fontId="0" fillId="0" borderId="0" xfId="0" applyAlignment="1">
      <alignment vertical="center"/>
    </xf>
    <xf numFmtId="0" fontId="28" fillId="0" borderId="0" xfId="0" applyFont="1" applyAlignment="1">
      <alignment horizontal="left" vertical="center" indent="1"/>
    </xf>
    <xf numFmtId="171" fontId="0" fillId="0" borderId="0" xfId="0" applyNumberFormat="1" applyAlignment="1">
      <alignment horizontal="center"/>
    </xf>
    <xf numFmtId="0" fontId="29" fillId="0" borderId="0" xfId="0" applyFont="1" applyAlignment="1">
      <alignment vertical="center"/>
    </xf>
    <xf numFmtId="170" fontId="0" fillId="0" borderId="0" xfId="0" applyNumberFormat="1" applyAlignment="1">
      <alignment horizontal="center"/>
    </xf>
    <xf numFmtId="0" fontId="0" fillId="0" borderId="0" xfId="0" applyAlignment="1">
      <alignment wrapText="1"/>
    </xf>
    <xf numFmtId="0" fontId="2" fillId="0" borderId="0" xfId="0" applyFont="1" applyAlignment="1">
      <alignment vertical="center" textRotation="90"/>
    </xf>
    <xf numFmtId="170" fontId="0" fillId="0" borderId="0" xfId="0" applyNumberFormat="1"/>
    <xf numFmtId="0" fontId="0" fillId="0" borderId="0" xfId="0" applyAlignment="1">
      <alignment horizontal="left" wrapText="1"/>
    </xf>
    <xf numFmtId="1" fontId="0" fillId="0" borderId="0" xfId="0" applyNumberFormat="1" applyAlignment="1">
      <alignment horizontal="center"/>
    </xf>
    <xf numFmtId="0" fontId="0" fillId="0" borderId="0" xfId="0" applyAlignment="1">
      <alignment horizontal="right" vertical="center"/>
    </xf>
    <xf numFmtId="14" fontId="0" fillId="0" borderId="0" xfId="0" applyNumberFormat="1" applyAlignment="1">
      <alignment horizontal="center"/>
    </xf>
    <xf numFmtId="0" fontId="2" fillId="0" borderId="0" xfId="0" applyFont="1" applyAlignment="1">
      <alignment horizontal="center"/>
    </xf>
    <xf numFmtId="0" fontId="0" fillId="0" borderId="1" xfId="0" applyBorder="1" applyAlignment="1">
      <alignment horizontal="center"/>
    </xf>
    <xf numFmtId="0" fontId="0" fillId="0" borderId="1" xfId="0" applyBorder="1" applyAlignment="1">
      <alignment horizontal="center" vertical="center"/>
    </xf>
    <xf numFmtId="0" fontId="0" fillId="0" borderId="0" xfId="0" applyAlignment="1">
      <alignment horizontal="right"/>
    </xf>
    <xf numFmtId="0" fontId="26" fillId="0" borderId="0" xfId="0" applyFont="1" applyAlignment="1">
      <alignment horizontal="right" vertical="center"/>
    </xf>
    <xf numFmtId="0" fontId="27" fillId="0" borderId="0" xfId="0" applyFont="1" applyAlignment="1">
      <alignment horizontal="right" vertical="center"/>
    </xf>
    <xf numFmtId="0" fontId="29" fillId="0" borderId="0" xfId="0" applyFont="1" applyAlignment="1">
      <alignment horizontal="center" vertical="center"/>
    </xf>
    <xf numFmtId="0" fontId="0" fillId="0" borderId="0" xfId="0" applyAlignment="1">
      <alignment vertical="center" textRotation="90"/>
    </xf>
    <xf numFmtId="0" fontId="0" fillId="0" borderId="20" xfId="0" applyBorder="1"/>
    <xf numFmtId="0" fontId="0" fillId="2" borderId="51" xfId="0" applyFill="1" applyBorder="1" applyAlignment="1" applyProtection="1">
      <alignment horizontal="center"/>
      <protection hidden="1"/>
    </xf>
    <xf numFmtId="0" fontId="13" fillId="2" borderId="51" xfId="0" applyFont="1" applyFill="1" applyBorder="1" applyAlignment="1" applyProtection="1">
      <alignment horizontal="center"/>
      <protection hidden="1"/>
    </xf>
    <xf numFmtId="2" fontId="11" fillId="2" borderId="51" xfId="0" applyNumberFormat="1" applyFont="1" applyFill="1" applyBorder="1" applyAlignment="1" applyProtection="1">
      <alignment horizontal="center"/>
      <protection hidden="1"/>
    </xf>
    <xf numFmtId="2" fontId="12" fillId="2" borderId="51" xfId="0" applyNumberFormat="1" applyFont="1" applyFill="1" applyBorder="1" applyAlignment="1" applyProtection="1">
      <alignment horizontal="center"/>
      <protection hidden="1"/>
    </xf>
    <xf numFmtId="0" fontId="0" fillId="0" borderId="30" xfId="0" applyBorder="1" applyAlignment="1">
      <alignment horizontal="center"/>
    </xf>
    <xf numFmtId="171" fontId="0" fillId="0" borderId="26" xfId="0" applyNumberFormat="1" applyBorder="1" applyAlignment="1">
      <alignment horizontal="center"/>
    </xf>
    <xf numFmtId="171" fontId="0" fillId="0" borderId="0" xfId="0" applyNumberFormat="1"/>
    <xf numFmtId="171" fontId="0" fillId="0" borderId="1" xfId="0" applyNumberFormat="1" applyBorder="1" applyAlignment="1">
      <alignment horizontal="center"/>
    </xf>
    <xf numFmtId="0" fontId="0" fillId="0" borderId="67" xfId="0" applyBorder="1" applyAlignment="1">
      <alignment horizontal="center"/>
    </xf>
    <xf numFmtId="171" fontId="0" fillId="0" borderId="67" xfId="0" applyNumberFormat="1" applyBorder="1" applyAlignment="1">
      <alignment horizontal="center"/>
    </xf>
    <xf numFmtId="171" fontId="0" fillId="0" borderId="35" xfId="0" applyNumberFormat="1" applyBorder="1" applyAlignment="1">
      <alignment horizontal="center"/>
    </xf>
    <xf numFmtId="171" fontId="0" fillId="0" borderId="29" xfId="0" applyNumberFormat="1" applyBorder="1" applyAlignment="1">
      <alignment horizontal="center"/>
    </xf>
    <xf numFmtId="171" fontId="0" fillId="0" borderId="31" xfId="0" applyNumberFormat="1" applyBorder="1" applyAlignment="1">
      <alignment horizontal="center"/>
    </xf>
    <xf numFmtId="0" fontId="0" fillId="0" borderId="38" xfId="0" applyBorder="1" applyAlignment="1">
      <alignment horizontal="center"/>
    </xf>
    <xf numFmtId="0" fontId="0" fillId="0" borderId="72" xfId="0" applyBorder="1" applyAlignment="1">
      <alignment horizontal="center"/>
    </xf>
    <xf numFmtId="0" fontId="0" fillId="0" borderId="73" xfId="0" applyBorder="1" applyAlignment="1">
      <alignment horizontal="center"/>
    </xf>
    <xf numFmtId="0" fontId="0" fillId="0" borderId="39" xfId="0" applyBorder="1" applyAlignment="1">
      <alignment horizontal="center"/>
    </xf>
    <xf numFmtId="0" fontId="0" fillId="0" borderId="74" xfId="0" applyBorder="1" applyAlignment="1">
      <alignment horizontal="center"/>
    </xf>
    <xf numFmtId="0" fontId="0" fillId="0" borderId="19" xfId="0"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75" xfId="0" applyBorder="1" applyAlignment="1">
      <alignment horizontal="center" vertical="center"/>
    </xf>
    <xf numFmtId="171" fontId="0" fillId="0" borderId="38" xfId="0" applyNumberFormat="1" applyBorder="1" applyAlignment="1">
      <alignment horizontal="center"/>
    </xf>
    <xf numFmtId="171" fontId="0" fillId="0" borderId="76" xfId="0" applyNumberFormat="1" applyBorder="1" applyAlignment="1">
      <alignment horizontal="center"/>
    </xf>
    <xf numFmtId="171" fontId="0" fillId="0" borderId="72" xfId="0" applyNumberFormat="1" applyBorder="1" applyAlignment="1">
      <alignment horizontal="center"/>
    </xf>
    <xf numFmtId="171" fontId="0" fillId="0" borderId="58" xfId="0" applyNumberFormat="1" applyBorder="1" applyAlignment="1">
      <alignment horizontal="center"/>
    </xf>
    <xf numFmtId="171" fontId="0" fillId="0" borderId="34" xfId="0" applyNumberFormat="1" applyBorder="1" applyAlignment="1">
      <alignment horizontal="center"/>
    </xf>
    <xf numFmtId="171" fontId="0" fillId="0" borderId="30" xfId="0" applyNumberFormat="1" applyBorder="1" applyAlignment="1">
      <alignment horizontal="center"/>
    </xf>
    <xf numFmtId="171" fontId="0" fillId="0" borderId="74" xfId="0" applyNumberFormat="1" applyBorder="1" applyAlignment="1">
      <alignment horizontal="center"/>
    </xf>
    <xf numFmtId="171" fontId="0" fillId="0" borderId="27" xfId="0" applyNumberFormat="1" applyBorder="1" applyAlignment="1">
      <alignment horizontal="center"/>
    </xf>
    <xf numFmtId="171" fontId="0" fillId="0" borderId="28" xfId="0" applyNumberFormat="1" applyBorder="1" applyAlignment="1">
      <alignment horizontal="center"/>
    </xf>
    <xf numFmtId="0" fontId="0" fillId="0" borderId="20" xfId="0" applyBorder="1" applyAlignment="1">
      <alignment vertical="center"/>
    </xf>
    <xf numFmtId="0" fontId="0" fillId="0" borderId="20" xfId="0" applyBorder="1" applyAlignment="1">
      <alignment horizontal="center" vertical="center"/>
    </xf>
    <xf numFmtId="0" fontId="0" fillId="0" borderId="83" xfId="0" applyBorder="1" applyAlignment="1">
      <alignment horizontal="center"/>
    </xf>
    <xf numFmtId="0" fontId="0" fillId="0" borderId="23" xfId="0" applyBorder="1" applyAlignment="1">
      <alignment horizontal="center"/>
    </xf>
    <xf numFmtId="0" fontId="0" fillId="0" borderId="84" xfId="0" applyBorder="1" applyAlignment="1">
      <alignment horizontal="center"/>
    </xf>
    <xf numFmtId="0" fontId="0" fillId="0" borderId="22" xfId="0" applyBorder="1" applyAlignment="1">
      <alignment horizontal="center"/>
    </xf>
    <xf numFmtId="0" fontId="0" fillId="0" borderId="24" xfId="0" applyBorder="1" applyAlignment="1">
      <alignment horizontal="center"/>
    </xf>
    <xf numFmtId="0" fontId="0" fillId="0" borderId="81" xfId="0" applyBorder="1" applyAlignment="1">
      <alignment horizontal="center"/>
    </xf>
    <xf numFmtId="171" fontId="0" fillId="0" borderId="44" xfId="0" applyNumberFormat="1" applyBorder="1" applyAlignment="1">
      <alignment horizontal="center"/>
    </xf>
    <xf numFmtId="171" fontId="0" fillId="0" borderId="33" xfId="0" applyNumberFormat="1" applyBorder="1" applyAlignment="1">
      <alignment horizontal="center"/>
    </xf>
    <xf numFmtId="171" fontId="0" fillId="0" borderId="81" xfId="0" applyNumberFormat="1" applyBorder="1" applyAlignment="1">
      <alignment horizontal="center"/>
    </xf>
    <xf numFmtId="171" fontId="0" fillId="0" borderId="71" xfId="0" applyNumberFormat="1" applyBorder="1" applyAlignment="1">
      <alignment horizontal="center"/>
    </xf>
    <xf numFmtId="171" fontId="0" fillId="0" borderId="32" xfId="0" applyNumberFormat="1" applyBorder="1" applyAlignment="1">
      <alignment horizontal="center"/>
    </xf>
    <xf numFmtId="0" fontId="0" fillId="0" borderId="7" xfId="0" applyBorder="1" applyAlignment="1">
      <alignment horizontal="center" vertical="center"/>
    </xf>
    <xf numFmtId="0" fontId="0" fillId="0" borderId="91" xfId="0" applyBorder="1" applyAlignment="1">
      <alignment horizontal="center" vertical="center" wrapText="1"/>
    </xf>
    <xf numFmtId="0" fontId="0" fillId="0" borderId="92" xfId="0" applyBorder="1" applyAlignment="1">
      <alignment horizontal="center" vertical="center" wrapText="1"/>
    </xf>
    <xf numFmtId="0" fontId="0" fillId="0" borderId="93" xfId="0" applyBorder="1" applyAlignment="1">
      <alignment horizontal="center" vertical="center" wrapText="1"/>
    </xf>
    <xf numFmtId="0" fontId="0" fillId="0" borderId="48" xfId="0" applyBorder="1" applyAlignment="1">
      <alignment horizontal="center" vertical="center"/>
    </xf>
    <xf numFmtId="0" fontId="0" fillId="0" borderId="14" xfId="0" applyBorder="1" applyAlignment="1">
      <alignment horizontal="center" vertical="center"/>
    </xf>
    <xf numFmtId="0" fontId="0" fillId="0" borderId="96" xfId="0" applyBorder="1" applyAlignment="1">
      <alignment horizontal="center" vertical="center"/>
    </xf>
    <xf numFmtId="171" fontId="23" fillId="0" borderId="0" xfId="0" applyNumberFormat="1" applyFont="1" applyAlignment="1">
      <alignment horizontal="center"/>
    </xf>
    <xf numFmtId="0" fontId="39" fillId="0" borderId="21" xfId="0" applyFont="1" applyBorder="1" applyAlignment="1">
      <alignment vertical="center"/>
    </xf>
    <xf numFmtId="0" fontId="39" fillId="0" borderId="25" xfId="0" applyFont="1" applyBorder="1" applyAlignment="1">
      <alignment vertical="center"/>
    </xf>
    <xf numFmtId="0" fontId="39" fillId="0" borderId="45" xfId="0" applyFont="1" applyBorder="1" applyAlignment="1">
      <alignment vertical="center"/>
    </xf>
    <xf numFmtId="0" fontId="39" fillId="0" borderId="47" xfId="0" applyFont="1" applyBorder="1" applyAlignment="1">
      <alignment vertical="center"/>
    </xf>
    <xf numFmtId="0" fontId="39" fillId="0" borderId="0" xfId="0" applyFont="1" applyAlignment="1">
      <alignment vertical="center"/>
    </xf>
    <xf numFmtId="0" fontId="39" fillId="0" borderId="41" xfId="0" applyFont="1" applyBorder="1" applyAlignment="1">
      <alignment vertical="center"/>
    </xf>
    <xf numFmtId="0" fontId="39" fillId="0" borderId="49" xfId="0" applyFont="1" applyBorder="1" applyAlignment="1">
      <alignment vertical="center"/>
    </xf>
    <xf numFmtId="0" fontId="39" fillId="0" borderId="20" xfId="0" applyFont="1" applyBorder="1" applyAlignment="1">
      <alignment vertical="center"/>
    </xf>
    <xf numFmtId="0" fontId="39" fillId="0" borderId="50" xfId="0" applyFont="1" applyBorder="1" applyAlignment="1">
      <alignment vertical="center"/>
    </xf>
    <xf numFmtId="0" fontId="0" fillId="0" borderId="0" xfId="0" applyAlignment="1">
      <alignment horizontal="right" vertical="center" wrapText="1"/>
    </xf>
    <xf numFmtId="0" fontId="27" fillId="0" borderId="0" xfId="0" applyFont="1" applyAlignment="1">
      <alignment horizontal="right" vertical="center" wrapText="1"/>
    </xf>
    <xf numFmtId="0" fontId="2" fillId="0" borderId="0" xfId="0" applyFont="1" applyAlignment="1">
      <alignment horizontal="left" vertical="center"/>
    </xf>
    <xf numFmtId="0" fontId="0" fillId="0" borderId="0" xfId="0" applyAlignment="1">
      <alignment horizontal="right" wrapText="1"/>
    </xf>
    <xf numFmtId="0" fontId="34" fillId="0" borderId="0" xfId="0" applyFont="1" applyAlignment="1">
      <alignment horizontal="center"/>
    </xf>
    <xf numFmtId="0" fontId="34" fillId="0" borderId="0" xfId="0" applyFont="1"/>
    <xf numFmtId="0" fontId="40" fillId="0" borderId="0" xfId="1"/>
    <xf numFmtId="0" fontId="0" fillId="8" borderId="100" xfId="0" applyFill="1" applyBorder="1"/>
    <xf numFmtId="0" fontId="0" fillId="0" borderId="100" xfId="0" applyBorder="1"/>
    <xf numFmtId="0" fontId="0" fillId="8" borderId="101" xfId="0" applyFill="1" applyBorder="1" applyAlignment="1">
      <alignment horizontal="center"/>
    </xf>
    <xf numFmtId="1" fontId="11" fillId="0" borderId="0" xfId="0" applyNumberFormat="1" applyFont="1"/>
    <xf numFmtId="1" fontId="11" fillId="0" borderId="0" xfId="0" applyNumberFormat="1" applyFont="1" applyAlignment="1" applyProtection="1">
      <alignment horizontal="center"/>
      <protection hidden="1"/>
    </xf>
    <xf numFmtId="0" fontId="7" fillId="0" borderId="0" xfId="0" applyFont="1"/>
    <xf numFmtId="0" fontId="3" fillId="0" borderId="0" xfId="0" applyFont="1"/>
    <xf numFmtId="0" fontId="1" fillId="0" borderId="0" xfId="0" applyFont="1"/>
    <xf numFmtId="0" fontId="18" fillId="0" borderId="0" xfId="0" applyFont="1" applyAlignment="1">
      <alignment vertical="center" wrapText="1"/>
    </xf>
    <xf numFmtId="169" fontId="14" fillId="0" borderId="0" xfId="0" applyNumberFormat="1" applyFont="1" applyProtection="1">
      <protection hidden="1"/>
    </xf>
    <xf numFmtId="0" fontId="21" fillId="0" borderId="0" xfId="0" applyFont="1"/>
    <xf numFmtId="0" fontId="17" fillId="0" borderId="0" xfId="0" applyFont="1"/>
    <xf numFmtId="0" fontId="4" fillId="0" borderId="0" xfId="0" applyFont="1"/>
    <xf numFmtId="0" fontId="15" fillId="0" borderId="0" xfId="0" applyFont="1" applyProtection="1">
      <protection locked="0"/>
    </xf>
    <xf numFmtId="0" fontId="11" fillId="0" borderId="0" xfId="0" applyFont="1"/>
    <xf numFmtId="0" fontId="8" fillId="0" borderId="0" xfId="0" applyFont="1"/>
    <xf numFmtId="1" fontId="0" fillId="0" borderId="0" xfId="0" applyNumberFormat="1"/>
    <xf numFmtId="0" fontId="20" fillId="0" borderId="0" xfId="0" applyFont="1"/>
    <xf numFmtId="0" fontId="5" fillId="0" borderId="0" xfId="0" applyFont="1"/>
    <xf numFmtId="165" fontId="0" fillId="0" borderId="0" xfId="0" applyNumberFormat="1" applyProtection="1">
      <protection locked="0"/>
    </xf>
    <xf numFmtId="0" fontId="19" fillId="0" borderId="0" xfId="0" applyFont="1"/>
    <xf numFmtId="0" fontId="2" fillId="0" borderId="0" xfId="0" applyFont="1" applyAlignment="1" applyProtection="1">
      <alignment horizontal="left"/>
      <protection hidden="1"/>
    </xf>
    <xf numFmtId="0" fontId="0" fillId="0" borderId="0" xfId="0" applyProtection="1">
      <protection hidden="1"/>
    </xf>
    <xf numFmtId="0" fontId="0" fillId="0" borderId="0" xfId="0" applyAlignment="1" applyProtection="1">
      <alignment horizontal="left"/>
      <protection hidden="1"/>
    </xf>
    <xf numFmtId="2" fontId="1" fillId="0" borderId="0" xfId="0" applyNumberFormat="1" applyFont="1" applyProtection="1">
      <protection hidden="1"/>
    </xf>
    <xf numFmtId="0" fontId="0" fillId="0" borderId="0" xfId="0" applyAlignment="1">
      <alignment horizontal="center"/>
    </xf>
    <xf numFmtId="14" fontId="0" fillId="0" borderId="0" xfId="0" applyNumberFormat="1" applyAlignment="1">
      <alignment horizontal="left"/>
    </xf>
    <xf numFmtId="0" fontId="2"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70" fontId="0" fillId="2" borderId="11" xfId="0" applyNumberFormat="1" applyFill="1" applyBorder="1" applyAlignment="1">
      <alignment horizontal="left"/>
    </xf>
    <xf numFmtId="0" fontId="0" fillId="3" borderId="0" xfId="0" applyFill="1" applyProtection="1">
      <protection locked="0"/>
    </xf>
    <xf numFmtId="0" fontId="3" fillId="3" borderId="0" xfId="0" applyFont="1" applyFill="1"/>
    <xf numFmtId="0" fontId="0" fillId="3" borderId="0" xfId="0" applyFill="1"/>
    <xf numFmtId="0" fontId="2" fillId="3" borderId="0" xfId="0" applyFont="1" applyFill="1"/>
    <xf numFmtId="0" fontId="4" fillId="3" borderId="0" xfId="0" applyFont="1" applyFill="1"/>
    <xf numFmtId="0" fontId="4" fillId="3" borderId="0" xfId="0" applyFont="1" applyFill="1" applyAlignment="1">
      <alignment horizontal="right"/>
    </xf>
    <xf numFmtId="0" fontId="4" fillId="3" borderId="0" xfId="0" applyFont="1" applyFill="1" applyAlignment="1">
      <alignment horizontal="left"/>
    </xf>
    <xf numFmtId="0" fontId="5" fillId="3" borderId="0" xfId="0" applyFont="1" applyFill="1"/>
    <xf numFmtId="0" fontId="0" fillId="2" borderId="54" xfId="0" applyFill="1" applyBorder="1" applyAlignment="1" applyProtection="1">
      <alignment horizontal="center"/>
      <protection hidden="1"/>
    </xf>
    <xf numFmtId="0" fontId="0" fillId="2" borderId="17" xfId="0" applyFill="1" applyBorder="1" applyAlignment="1" applyProtection="1">
      <alignment horizontal="center"/>
      <protection hidden="1"/>
    </xf>
    <xf numFmtId="0" fontId="0" fillId="2" borderId="52" xfId="0" applyFill="1" applyBorder="1" applyAlignment="1" applyProtection="1">
      <alignment horizontal="center"/>
      <protection hidden="1"/>
    </xf>
    <xf numFmtId="0" fontId="0" fillId="2" borderId="12" xfId="0" applyFill="1" applyBorder="1" applyAlignment="1" applyProtection="1">
      <alignment horizontal="center"/>
      <protection hidden="1"/>
    </xf>
    <xf numFmtId="0" fontId="0" fillId="3" borderId="0" xfId="0" applyFill="1" applyAlignment="1">
      <alignment horizontal="right"/>
    </xf>
    <xf numFmtId="14" fontId="0" fillId="3" borderId="0" xfId="0" applyNumberFormat="1" applyFill="1" applyAlignment="1">
      <alignment horizontal="left"/>
    </xf>
    <xf numFmtId="0" fontId="0" fillId="3" borderId="0" xfId="0" applyFill="1" applyProtection="1">
      <protection hidden="1"/>
    </xf>
    <xf numFmtId="0" fontId="2" fillId="3" borderId="0" xfId="0" applyFont="1" applyFill="1" applyProtection="1">
      <protection hidden="1"/>
    </xf>
    <xf numFmtId="0" fontId="0" fillId="3" borderId="0" xfId="0" applyFill="1" applyAlignment="1" applyProtection="1">
      <alignment horizontal="right"/>
      <protection hidden="1"/>
    </xf>
    <xf numFmtId="165" fontId="10" fillId="3" borderId="0" xfId="0" applyNumberFormat="1" applyFont="1" applyFill="1" applyProtection="1">
      <protection hidden="1"/>
    </xf>
    <xf numFmtId="0" fontId="11" fillId="3" borderId="0" xfId="0" applyFont="1" applyFill="1" applyAlignment="1" applyProtection="1">
      <alignment horizontal="left"/>
      <protection hidden="1"/>
    </xf>
    <xf numFmtId="170" fontId="11" fillId="3" borderId="0" xfId="0" applyNumberFormat="1" applyFont="1" applyFill="1" applyAlignment="1" applyProtection="1">
      <alignment horizontal="left"/>
      <protection hidden="1"/>
    </xf>
    <xf numFmtId="0" fontId="41" fillId="2" borderId="51" xfId="0" applyFont="1" applyFill="1" applyBorder="1" applyAlignment="1" applyProtection="1">
      <alignment horizontal="center"/>
      <protection hidden="1"/>
    </xf>
    <xf numFmtId="0" fontId="16" fillId="3" borderId="0" xfId="0" applyFont="1" applyFill="1" applyAlignment="1" applyProtection="1">
      <alignment vertical="top" wrapText="1"/>
      <protection hidden="1"/>
    </xf>
    <xf numFmtId="0" fontId="0" fillId="0" borderId="0" xfId="0" applyProtection="1">
      <protection locked="0"/>
    </xf>
    <xf numFmtId="0" fontId="0" fillId="3" borderId="0" xfId="0" applyFill="1" applyAlignment="1" applyProtection="1">
      <alignment horizontal="left"/>
      <protection hidden="1"/>
    </xf>
    <xf numFmtId="0" fontId="0" fillId="3" borderId="0" xfId="0" applyFill="1" applyAlignment="1" applyProtection="1">
      <alignment horizontal="center"/>
      <protection hidden="1"/>
    </xf>
    <xf numFmtId="0" fontId="13" fillId="3" borderId="0" xfId="0" applyFont="1" applyFill="1" applyAlignment="1" applyProtection="1">
      <alignment horizontal="center"/>
      <protection hidden="1"/>
    </xf>
    <xf numFmtId="2" fontId="11" fillId="3" borderId="0" xfId="0" applyNumberFormat="1" applyFont="1" applyFill="1" applyAlignment="1" applyProtection="1">
      <alignment horizontal="center"/>
      <protection hidden="1"/>
    </xf>
    <xf numFmtId="0" fontId="13" fillId="2" borderId="106" xfId="0" applyFont="1" applyFill="1" applyBorder="1" applyAlignment="1" applyProtection="1">
      <alignment horizontal="center"/>
      <protection hidden="1"/>
    </xf>
    <xf numFmtId="2" fontId="11" fillId="2" borderId="106" xfId="0" applyNumberFormat="1" applyFont="1" applyFill="1" applyBorder="1" applyAlignment="1" applyProtection="1">
      <alignment horizontal="center"/>
      <protection hidden="1"/>
    </xf>
    <xf numFmtId="0" fontId="2" fillId="3" borderId="3" xfId="0" applyFont="1" applyFill="1" applyBorder="1" applyProtection="1">
      <protection hidden="1"/>
    </xf>
    <xf numFmtId="0" fontId="2" fillId="3" borderId="0" xfId="0" applyFont="1" applyFill="1" applyAlignment="1" applyProtection="1">
      <alignment horizontal="left"/>
      <protection hidden="1"/>
    </xf>
    <xf numFmtId="170" fontId="0" fillId="3" borderId="0" xfId="0" applyNumberFormat="1" applyFill="1" applyAlignment="1">
      <alignment horizontal="left"/>
    </xf>
    <xf numFmtId="166" fontId="11" fillId="3" borderId="0" xfId="0" applyNumberFormat="1" applyFont="1" applyFill="1" applyProtection="1">
      <protection hidden="1"/>
    </xf>
    <xf numFmtId="165" fontId="11" fillId="3" borderId="0" xfId="0" applyNumberFormat="1" applyFont="1" applyFill="1" applyAlignment="1" applyProtection="1">
      <alignment horizontal="left"/>
      <protection hidden="1"/>
    </xf>
    <xf numFmtId="0" fontId="0" fillId="2" borderId="107" xfId="0" applyFill="1" applyBorder="1" applyAlignment="1" applyProtection="1">
      <alignment horizontal="center"/>
      <protection hidden="1"/>
    </xf>
    <xf numFmtId="0" fontId="0" fillId="3" borderId="0" xfId="0" applyFill="1" applyAlignment="1">
      <alignment vertical="center" textRotation="90"/>
    </xf>
    <xf numFmtId="168" fontId="9" fillId="3" borderId="0" xfId="0" applyNumberFormat="1" applyFont="1" applyFill="1" applyAlignment="1" applyProtection="1">
      <alignment horizontal="center"/>
      <protection hidden="1"/>
    </xf>
    <xf numFmtId="167" fontId="9" fillId="3" borderId="0" xfId="0" applyNumberFormat="1" applyFont="1" applyFill="1" applyAlignment="1" applyProtection="1">
      <alignment horizontal="center"/>
      <protection hidden="1"/>
    </xf>
    <xf numFmtId="2" fontId="12" fillId="3" borderId="0" xfId="0" applyNumberFormat="1" applyFont="1" applyFill="1" applyAlignment="1" applyProtection="1">
      <alignment horizontal="center"/>
      <protection hidden="1"/>
    </xf>
    <xf numFmtId="0" fontId="0" fillId="0" borderId="21" xfId="0" applyBorder="1"/>
    <xf numFmtId="0" fontId="0" fillId="3" borderId="25" xfId="0" applyFill="1" applyBorder="1"/>
    <xf numFmtId="0" fontId="0" fillId="0" borderId="25" xfId="0" applyBorder="1"/>
    <xf numFmtId="0" fontId="0" fillId="0" borderId="45" xfId="0" applyBorder="1"/>
    <xf numFmtId="0" fontId="0" fillId="0" borderId="47" xfId="0" applyBorder="1"/>
    <xf numFmtId="0" fontId="0" fillId="0" borderId="41" xfId="0" applyBorder="1"/>
    <xf numFmtId="0" fontId="0" fillId="3" borderId="41" xfId="0" applyFill="1" applyBorder="1"/>
    <xf numFmtId="0" fontId="0" fillId="0" borderId="49" xfId="0" applyBorder="1"/>
    <xf numFmtId="0" fontId="4" fillId="3" borderId="20" xfId="0" applyFont="1" applyFill="1" applyBorder="1" applyAlignment="1">
      <alignment horizontal="left"/>
    </xf>
    <xf numFmtId="0" fontId="0" fillId="3" borderId="20" xfId="0" applyFill="1" applyBorder="1" applyProtection="1">
      <protection locked="0"/>
    </xf>
    <xf numFmtId="0" fontId="5" fillId="3" borderId="20" xfId="0" applyFont="1" applyFill="1" applyBorder="1"/>
    <xf numFmtId="0" fontId="5" fillId="3" borderId="50" xfId="0" applyFont="1" applyFill="1" applyBorder="1"/>
    <xf numFmtId="0" fontId="0" fillId="3" borderId="0" xfId="0" applyFill="1" applyAlignment="1">
      <alignment horizontal="center"/>
    </xf>
    <xf numFmtId="2" fontId="0" fillId="3" borderId="0" xfId="0" applyNumberFormat="1" applyFill="1" applyAlignment="1">
      <alignment horizontal="center"/>
    </xf>
    <xf numFmtId="2" fontId="0" fillId="0" borderId="0" xfId="0" applyNumberFormat="1" applyAlignment="1">
      <alignment horizontal="center"/>
    </xf>
    <xf numFmtId="0" fontId="22" fillId="3" borderId="25" xfId="0" applyFont="1" applyFill="1" applyBorder="1"/>
    <xf numFmtId="0" fontId="3" fillId="3" borderId="25" xfId="0" applyFont="1" applyFill="1" applyBorder="1"/>
    <xf numFmtId="0" fontId="3" fillId="3" borderId="45" xfId="0" applyFont="1" applyFill="1" applyBorder="1"/>
    <xf numFmtId="0" fontId="2" fillId="0" borderId="47" xfId="0" applyFont="1" applyBorder="1"/>
    <xf numFmtId="0" fontId="3" fillId="3" borderId="21" xfId="0" applyFont="1" applyFill="1" applyBorder="1"/>
    <xf numFmtId="0" fontId="0" fillId="3" borderId="41" xfId="0" quotePrefix="1" applyFill="1" applyBorder="1" applyAlignment="1" applyProtection="1">
      <alignment horizontal="left"/>
      <protection hidden="1"/>
    </xf>
    <xf numFmtId="0" fontId="0" fillId="3" borderId="41" xfId="0" applyFill="1" applyBorder="1" applyProtection="1">
      <protection hidden="1"/>
    </xf>
    <xf numFmtId="0" fontId="0" fillId="3" borderId="47" xfId="0" applyFill="1" applyBorder="1"/>
    <xf numFmtId="0" fontId="0" fillId="3" borderId="49" xfId="0" applyFill="1" applyBorder="1" applyAlignment="1">
      <alignment vertical="center" textRotation="90"/>
    </xf>
    <xf numFmtId="0" fontId="2" fillId="3" borderId="20" xfId="0" applyFont="1" applyFill="1" applyBorder="1" applyProtection="1">
      <protection hidden="1"/>
    </xf>
    <xf numFmtId="0" fontId="2" fillId="3" borderId="50" xfId="0" applyFont="1" applyFill="1" applyBorder="1" applyProtection="1">
      <protection hidden="1"/>
    </xf>
    <xf numFmtId="0" fontId="16" fillId="2" borderId="47" xfId="0" applyFont="1" applyFill="1" applyBorder="1" applyAlignment="1" applyProtection="1">
      <alignment vertical="top" wrapText="1"/>
      <protection hidden="1"/>
    </xf>
    <xf numFmtId="0" fontId="16" fillId="2" borderId="0" xfId="0" applyFont="1" applyFill="1" applyAlignment="1" applyProtection="1">
      <alignment vertical="top" wrapText="1"/>
      <protection hidden="1"/>
    </xf>
    <xf numFmtId="0" fontId="16" fillId="2" borderId="41" xfId="0" applyFont="1" applyFill="1" applyBorder="1" applyAlignment="1" applyProtection="1">
      <alignment vertical="top" wrapText="1"/>
      <protection hidden="1"/>
    </xf>
    <xf numFmtId="0" fontId="0" fillId="2" borderId="0" xfId="0" applyFill="1" applyAlignment="1" applyProtection="1">
      <alignment horizontal="left"/>
      <protection hidden="1"/>
    </xf>
    <xf numFmtId="0" fontId="0" fillId="2" borderId="0" xfId="0" applyFill="1" applyProtection="1">
      <protection locked="0"/>
    </xf>
    <xf numFmtId="0" fontId="0" fillId="2" borderId="41" xfId="0" applyFill="1" applyBorder="1" applyProtection="1">
      <protection locked="0"/>
    </xf>
    <xf numFmtId="0" fontId="0" fillId="2" borderId="0" xfId="0" applyFill="1"/>
    <xf numFmtId="0" fontId="0" fillId="2" borderId="41" xfId="0" applyFill="1" applyBorder="1" applyAlignment="1">
      <alignment horizontal="left"/>
    </xf>
    <xf numFmtId="170" fontId="0" fillId="2" borderId="41" xfId="0" applyNumberFormat="1" applyFill="1" applyBorder="1" applyAlignment="1" applyProtection="1">
      <alignment horizontal="left"/>
      <protection locked="0"/>
    </xf>
    <xf numFmtId="0" fontId="0" fillId="2" borderId="20" xfId="0" applyFill="1" applyBorder="1"/>
    <xf numFmtId="0" fontId="0" fillId="2" borderId="50" xfId="0" applyFill="1" applyBorder="1"/>
    <xf numFmtId="0" fontId="2" fillId="3" borderId="41" xfId="0" applyFont="1" applyFill="1" applyBorder="1" applyProtection="1">
      <protection hidden="1"/>
    </xf>
    <xf numFmtId="0" fontId="0" fillId="3" borderId="41" xfId="0" applyFill="1" applyBorder="1" applyAlignment="1" applyProtection="1">
      <alignment horizontal="center"/>
      <protection hidden="1"/>
    </xf>
    <xf numFmtId="165" fontId="11" fillId="2" borderId="12" xfId="0" applyNumberFormat="1" applyFont="1" applyFill="1" applyBorder="1" applyAlignment="1" applyProtection="1">
      <alignment horizontal="left"/>
      <protection hidden="1"/>
    </xf>
    <xf numFmtId="0" fontId="16" fillId="3" borderId="0" xfId="0" applyFont="1" applyFill="1" applyAlignment="1" applyProtection="1">
      <alignment horizontal="center" vertical="top" wrapText="1"/>
      <protection hidden="1"/>
    </xf>
    <xf numFmtId="0" fontId="16" fillId="3" borderId="0" xfId="0" applyFont="1" applyFill="1" applyAlignment="1" applyProtection="1">
      <alignment horizontal="left" vertical="top" wrapText="1"/>
      <protection hidden="1"/>
    </xf>
    <xf numFmtId="0" fontId="0" fillId="0" borderId="50" xfId="0" applyBorder="1"/>
    <xf numFmtId="0" fontId="0" fillId="0" borderId="129" xfId="0" applyBorder="1" applyAlignment="1">
      <alignment horizontal="center"/>
    </xf>
    <xf numFmtId="0" fontId="0" fillId="0" borderId="130" xfId="0" applyBorder="1" applyAlignment="1">
      <alignment horizontal="center"/>
    </xf>
    <xf numFmtId="0" fontId="0" fillId="0" borderId="131" xfId="0" applyBorder="1" applyAlignment="1">
      <alignment horizontal="center"/>
    </xf>
    <xf numFmtId="2" fontId="0" fillId="0" borderId="89" xfId="0" applyNumberFormat="1" applyBorder="1" applyAlignment="1">
      <alignment horizontal="center"/>
    </xf>
    <xf numFmtId="0" fontId="0" fillId="0" borderId="88" xfId="0" applyBorder="1" applyAlignment="1">
      <alignment horizontal="center"/>
    </xf>
    <xf numFmtId="2" fontId="0" fillId="0" borderId="90" xfId="0" applyNumberFormat="1" applyBorder="1" applyAlignment="1">
      <alignment horizontal="center"/>
    </xf>
    <xf numFmtId="0" fontId="0" fillId="0" borderId="91" xfId="0" applyBorder="1" applyAlignment="1">
      <alignment horizontal="center"/>
    </xf>
    <xf numFmtId="2" fontId="0" fillId="0" borderId="92" xfId="0" applyNumberFormat="1" applyBorder="1" applyAlignment="1">
      <alignment horizontal="center"/>
    </xf>
    <xf numFmtId="2" fontId="0" fillId="0" borderId="93" xfId="0" applyNumberFormat="1" applyBorder="1" applyAlignment="1">
      <alignment horizontal="center"/>
    </xf>
    <xf numFmtId="0" fontId="1" fillId="3" borderId="0" xfId="0" applyFont="1" applyFill="1"/>
    <xf numFmtId="0" fontId="15" fillId="3" borderId="0" xfId="0" applyFont="1" applyFill="1" applyProtection="1">
      <protection locked="0"/>
    </xf>
    <xf numFmtId="1" fontId="11" fillId="3" borderId="0" xfId="0" applyNumberFormat="1" applyFont="1" applyFill="1"/>
    <xf numFmtId="1" fontId="11" fillId="3" borderId="0" xfId="0" applyNumberFormat="1" applyFont="1" applyFill="1" applyAlignment="1" applyProtection="1">
      <alignment horizontal="center"/>
      <protection hidden="1"/>
    </xf>
    <xf numFmtId="0" fontId="11" fillId="3" borderId="0" xfId="0" applyFont="1" applyFill="1"/>
    <xf numFmtId="0" fontId="7" fillId="3" borderId="0" xfId="0" applyFont="1" applyFill="1"/>
    <xf numFmtId="170" fontId="14" fillId="3" borderId="0" xfId="0" applyNumberFormat="1" applyFont="1" applyFill="1" applyAlignment="1" applyProtection="1">
      <alignment horizontal="left"/>
      <protection hidden="1"/>
    </xf>
    <xf numFmtId="1" fontId="0" fillId="3" borderId="0" xfId="0" applyNumberFormat="1" applyFill="1"/>
    <xf numFmtId="0" fontId="18" fillId="3" borderId="0" xfId="0" applyFont="1" applyFill="1" applyAlignment="1">
      <alignment vertical="center" wrapText="1"/>
    </xf>
    <xf numFmtId="2" fontId="1" fillId="3" borderId="0" xfId="0" applyNumberFormat="1" applyFont="1" applyFill="1" applyProtection="1">
      <protection hidden="1"/>
    </xf>
    <xf numFmtId="170" fontId="11" fillId="3" borderId="0" xfId="0" applyNumberFormat="1" applyFont="1" applyFill="1" applyAlignment="1" applyProtection="1">
      <alignment horizontal="center"/>
      <protection hidden="1"/>
    </xf>
    <xf numFmtId="0" fontId="0" fillId="0" borderId="6" xfId="0" applyBorder="1" applyAlignment="1">
      <alignment horizontal="center" vertical="center"/>
    </xf>
    <xf numFmtId="0" fontId="0" fillId="0" borderId="46" xfId="0" applyBorder="1" applyAlignment="1">
      <alignment horizontal="center" vertical="center"/>
    </xf>
    <xf numFmtId="0" fontId="0" fillId="0" borderId="8" xfId="0" applyBorder="1" applyAlignment="1">
      <alignment horizontal="center" vertical="center"/>
    </xf>
    <xf numFmtId="0" fontId="25" fillId="3" borderId="0" xfId="0" applyFont="1" applyFill="1" applyAlignment="1">
      <alignment vertical="center"/>
    </xf>
    <xf numFmtId="0" fontId="0" fillId="0" borderId="76" xfId="0" applyBorder="1" applyAlignment="1">
      <alignment horizontal="center"/>
    </xf>
    <xf numFmtId="0" fontId="0" fillId="6" borderId="72" xfId="0" applyFill="1" applyBorder="1" applyAlignment="1">
      <alignment horizontal="center" vertical="center"/>
    </xf>
    <xf numFmtId="0" fontId="0" fillId="4" borderId="72" xfId="0" applyFill="1" applyBorder="1" applyAlignment="1">
      <alignment horizontal="center" vertical="center"/>
    </xf>
    <xf numFmtId="0" fontId="0" fillId="5" borderId="72" xfId="0" applyFill="1" applyBorder="1" applyAlignment="1">
      <alignment horizontal="center"/>
    </xf>
    <xf numFmtId="0" fontId="0" fillId="5" borderId="74" xfId="0" applyFill="1" applyBorder="1" applyAlignment="1">
      <alignment horizontal="center"/>
    </xf>
    <xf numFmtId="0" fontId="27" fillId="3" borderId="51" xfId="0" applyFont="1" applyFill="1" applyBorder="1" applyAlignment="1">
      <alignment horizontal="center" vertical="center"/>
    </xf>
    <xf numFmtId="171" fontId="0" fillId="0" borderId="1" xfId="0" applyNumberFormat="1" applyBorder="1"/>
    <xf numFmtId="171" fontId="0" fillId="0" borderId="30" xfId="0" applyNumberFormat="1" applyBorder="1"/>
    <xf numFmtId="2" fontId="0" fillId="0" borderId="67" xfId="0" applyNumberFormat="1" applyBorder="1" applyAlignment="1">
      <alignment horizontal="center"/>
    </xf>
    <xf numFmtId="171" fontId="0" fillId="0" borderId="67" xfId="0" applyNumberFormat="1" applyBorder="1"/>
    <xf numFmtId="171" fontId="0" fillId="0" borderId="28" xfId="0" applyNumberFormat="1" applyBorder="1"/>
    <xf numFmtId="0" fontId="0" fillId="0" borderId="66" xfId="0" applyBorder="1" applyAlignment="1">
      <alignment horizontal="center" vertical="center"/>
    </xf>
    <xf numFmtId="0" fontId="0" fillId="0" borderId="58" xfId="0" applyBorder="1" applyAlignment="1">
      <alignment horizontal="center" vertical="center"/>
    </xf>
    <xf numFmtId="0" fontId="0" fillId="0" borderId="65" xfId="0" applyBorder="1" applyAlignment="1">
      <alignment horizontal="center"/>
    </xf>
    <xf numFmtId="0" fontId="0" fillId="0" borderId="66" xfId="0" applyBorder="1" applyAlignment="1">
      <alignment horizontal="center"/>
    </xf>
    <xf numFmtId="0" fontId="0" fillId="0" borderId="71" xfId="0" applyBorder="1" applyAlignment="1">
      <alignment horizontal="center"/>
    </xf>
    <xf numFmtId="0" fontId="0" fillId="0" borderId="58" xfId="0" applyBorder="1" applyAlignment="1">
      <alignment horizontal="center"/>
    </xf>
    <xf numFmtId="0" fontId="0" fillId="0" borderId="33" xfId="0" applyBorder="1" applyAlignment="1">
      <alignment horizontal="center"/>
    </xf>
    <xf numFmtId="171" fontId="0" fillId="0" borderId="80" xfId="0" applyNumberFormat="1" applyBorder="1" applyAlignment="1">
      <alignment horizontal="center"/>
    </xf>
    <xf numFmtId="0" fontId="0" fillId="0" borderId="132" xfId="0" applyBorder="1" applyAlignment="1">
      <alignment horizontal="center"/>
    </xf>
    <xf numFmtId="171" fontId="0" fillId="0" borderId="132" xfId="0" applyNumberFormat="1" applyBorder="1" applyAlignment="1">
      <alignment horizontal="center"/>
    </xf>
    <xf numFmtId="0" fontId="36" fillId="0" borderId="0" xfId="0" applyFont="1" applyAlignment="1">
      <alignment horizontal="left"/>
    </xf>
    <xf numFmtId="0" fontId="35" fillId="0" borderId="0" xfId="0" applyFont="1" applyAlignment="1">
      <alignment horizontal="left"/>
    </xf>
    <xf numFmtId="0" fontId="35" fillId="0" borderId="0" xfId="0" applyFont="1"/>
    <xf numFmtId="0" fontId="36" fillId="0" borderId="0" xfId="0" applyFont="1"/>
    <xf numFmtId="0" fontId="34" fillId="0" borderId="32" xfId="0" applyFont="1" applyBorder="1" applyAlignment="1">
      <alignment horizontal="center"/>
    </xf>
    <xf numFmtId="0" fontId="34" fillId="0" borderId="67" xfId="0" applyFont="1" applyBorder="1" applyAlignment="1">
      <alignment horizontal="center"/>
    </xf>
    <xf numFmtId="0" fontId="34" fillId="0" borderId="28" xfId="0" applyFont="1" applyBorder="1" applyAlignment="1">
      <alignment horizontal="center"/>
    </xf>
    <xf numFmtId="0" fontId="40" fillId="0" borderId="65" xfId="1" applyBorder="1" applyAlignment="1">
      <alignment horizontal="center" vertical="center"/>
    </xf>
    <xf numFmtId="0" fontId="40" fillId="0" borderId="66" xfId="1" applyBorder="1" applyAlignment="1">
      <alignment horizontal="center" vertical="center"/>
    </xf>
    <xf numFmtId="171" fontId="0" fillId="10" borderId="67" xfId="0" applyNumberFormat="1" applyFill="1" applyBorder="1" applyAlignment="1">
      <alignment horizontal="center"/>
    </xf>
    <xf numFmtId="0" fontId="40" fillId="0" borderId="62" xfId="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171" fontId="0" fillId="11" borderId="1" xfId="0" applyNumberFormat="1" applyFill="1" applyBorder="1" applyAlignment="1">
      <alignment horizontal="center"/>
    </xf>
    <xf numFmtId="171" fontId="0" fillId="11" borderId="67" xfId="0" applyNumberFormat="1" applyFill="1" applyBorder="1" applyAlignment="1">
      <alignment horizontal="center"/>
    </xf>
    <xf numFmtId="0" fontId="37" fillId="0" borderId="47" xfId="0" applyFont="1" applyBorder="1" applyAlignment="1">
      <alignment vertical="center"/>
    </xf>
    <xf numFmtId="0" fontId="37" fillId="0" borderId="0" xfId="0" applyFont="1" applyAlignment="1">
      <alignment vertical="center"/>
    </xf>
    <xf numFmtId="171" fontId="0" fillId="0" borderId="142" xfId="0" applyNumberFormat="1" applyBorder="1" applyAlignment="1">
      <alignment horizontal="center"/>
    </xf>
    <xf numFmtId="171" fontId="0" fillId="0" borderId="6" xfId="0" applyNumberFormat="1" applyBorder="1" applyAlignment="1">
      <alignment horizontal="center"/>
    </xf>
    <xf numFmtId="171" fontId="0" fillId="0" borderId="61" xfId="0" applyNumberFormat="1" applyBorder="1" applyAlignment="1">
      <alignment horizontal="center"/>
    </xf>
    <xf numFmtId="0" fontId="32" fillId="0" borderId="0" xfId="0" applyFont="1" applyAlignment="1">
      <alignment vertical="center"/>
    </xf>
    <xf numFmtId="0" fontId="38" fillId="0" borderId="0" xfId="0" applyFont="1" applyAlignment="1">
      <alignment vertical="center"/>
    </xf>
    <xf numFmtId="0" fontId="32" fillId="0" borderId="47" xfId="0" applyFont="1" applyBorder="1" applyAlignment="1">
      <alignment vertical="center"/>
    </xf>
    <xf numFmtId="0" fontId="38" fillId="0" borderId="47" xfId="0" applyFont="1" applyBorder="1" applyAlignment="1">
      <alignment vertical="center"/>
    </xf>
    <xf numFmtId="0" fontId="0" fillId="0" borderId="47" xfId="0" applyBorder="1" applyAlignment="1">
      <alignment horizontal="center"/>
    </xf>
    <xf numFmtId="171" fontId="0" fillId="0" borderId="47" xfId="0" applyNumberFormat="1" applyBorder="1" applyAlignment="1">
      <alignment horizontal="center"/>
    </xf>
    <xf numFmtId="171" fontId="0" fillId="10" borderId="28" xfId="0" applyNumberFormat="1" applyFill="1" applyBorder="1" applyAlignment="1">
      <alignment horizontal="center"/>
    </xf>
    <xf numFmtId="0" fontId="40" fillId="0" borderId="32" xfId="1" applyBorder="1" applyAlignment="1">
      <alignment horizontal="center" vertical="center"/>
    </xf>
    <xf numFmtId="0" fontId="40" fillId="0" borderId="67" xfId="1" applyBorder="1" applyAlignment="1">
      <alignment horizontal="center" vertical="center"/>
    </xf>
    <xf numFmtId="0" fontId="40" fillId="0" borderId="28" xfId="1" applyBorder="1" applyAlignment="1">
      <alignment horizontal="center" vertical="center"/>
    </xf>
    <xf numFmtId="0" fontId="34" fillId="0" borderId="61" xfId="0" applyFont="1" applyBorder="1" applyAlignment="1">
      <alignment horizontal="center"/>
    </xf>
    <xf numFmtId="0" fontId="40" fillId="0" borderId="68" xfId="1" applyBorder="1" applyAlignment="1">
      <alignment horizontal="center" vertical="center"/>
    </xf>
    <xf numFmtId="0" fontId="40" fillId="0" borderId="61" xfId="1" applyBorder="1" applyAlignment="1">
      <alignment horizontal="center" vertical="center"/>
    </xf>
    <xf numFmtId="0" fontId="34" fillId="0" borderId="31" xfId="0" applyFont="1" applyBorder="1" applyAlignment="1">
      <alignment horizontal="center"/>
    </xf>
    <xf numFmtId="0" fontId="40" fillId="0" borderId="143" xfId="1" applyBorder="1" applyAlignment="1">
      <alignment horizontal="center" vertical="center"/>
    </xf>
    <xf numFmtId="0" fontId="40" fillId="0" borderId="31" xfId="1" applyBorder="1" applyAlignment="1">
      <alignment horizontal="center" vertical="center"/>
    </xf>
    <xf numFmtId="0" fontId="27" fillId="3" borderId="0" xfId="0" applyFont="1" applyFill="1" applyAlignment="1">
      <alignment horizontal="center" vertical="center"/>
    </xf>
    <xf numFmtId="171" fontId="45" fillId="9" borderId="1" xfId="0" applyNumberFormat="1" applyFont="1" applyFill="1" applyBorder="1" applyAlignment="1">
      <alignment horizontal="center"/>
    </xf>
    <xf numFmtId="171" fontId="0" fillId="9" borderId="67" xfId="0" applyNumberFormat="1" applyFill="1" applyBorder="1" applyAlignment="1">
      <alignment horizontal="center"/>
    </xf>
    <xf numFmtId="0" fontId="0" fillId="3" borderId="144" xfId="0" applyFill="1" applyBorder="1"/>
    <xf numFmtId="0" fontId="0" fillId="3" borderId="53" xfId="0" applyFill="1" applyBorder="1" applyAlignment="1">
      <alignment horizontal="center" vertical="center" wrapText="1"/>
    </xf>
    <xf numFmtId="0" fontId="0" fillId="9" borderId="0" xfId="0" applyFill="1"/>
    <xf numFmtId="0" fontId="0" fillId="6" borderId="0" xfId="0" applyFill="1"/>
    <xf numFmtId="0" fontId="0" fillId="0" borderId="11" xfId="0" applyBorder="1" applyProtection="1">
      <protection hidden="1"/>
    </xf>
    <xf numFmtId="0" fontId="46" fillId="3" borderId="149" xfId="0" applyFont="1" applyFill="1" applyBorder="1" applyAlignment="1" applyProtection="1">
      <alignment horizontal="center" vertical="center"/>
      <protection hidden="1"/>
    </xf>
    <xf numFmtId="0" fontId="46" fillId="0" borderId="0" xfId="0" applyFont="1" applyProtection="1">
      <protection hidden="1"/>
    </xf>
    <xf numFmtId="2" fontId="0" fillId="0" borderId="0" xfId="0" applyNumberFormat="1" applyProtection="1">
      <protection hidden="1"/>
    </xf>
    <xf numFmtId="1" fontId="0" fillId="0" borderId="0" xfId="0" applyNumberFormat="1" applyProtection="1">
      <protection hidden="1"/>
    </xf>
    <xf numFmtId="0" fontId="0" fillId="0" borderId="13" xfId="0" applyBorder="1"/>
    <xf numFmtId="0" fontId="0" fillId="0" borderId="15" xfId="0" applyBorder="1"/>
    <xf numFmtId="0" fontId="0" fillId="0" borderId="0" xfId="0" quotePrefix="1"/>
    <xf numFmtId="0" fontId="0" fillId="0" borderId="157" xfId="0" applyBorder="1"/>
    <xf numFmtId="0" fontId="0" fillId="0" borderId="158" xfId="0" applyBorder="1"/>
    <xf numFmtId="0" fontId="0" fillId="0" borderId="19" xfId="0" applyBorder="1"/>
    <xf numFmtId="0" fontId="0" fillId="0" borderId="18" xfId="0" applyBorder="1"/>
    <xf numFmtId="0" fontId="0" fillId="0" borderId="13" xfId="0" quotePrefix="1" applyBorder="1"/>
    <xf numFmtId="0" fontId="0" fillId="0" borderId="157" xfId="0" quotePrefix="1" applyBorder="1"/>
    <xf numFmtId="0" fontId="0" fillId="7" borderId="154" xfId="0" applyFill="1" applyBorder="1" applyAlignment="1" applyProtection="1">
      <alignment horizontal="center" vertical="center"/>
      <protection locked="0"/>
    </xf>
    <xf numFmtId="1" fontId="49" fillId="7" borderId="1" xfId="0" applyNumberFormat="1" applyFont="1" applyFill="1" applyBorder="1" applyAlignment="1" applyProtection="1">
      <alignment horizontal="center"/>
      <protection hidden="1"/>
    </xf>
    <xf numFmtId="0" fontId="0" fillId="0" borderId="147" xfId="0" applyBorder="1"/>
    <xf numFmtId="0" fontId="51" fillId="7" borderId="0" xfId="0" applyFont="1" applyFill="1" applyAlignment="1">
      <alignment horizontal="left"/>
    </xf>
    <xf numFmtId="0" fontId="51" fillId="7" borderId="0" xfId="0" applyFont="1" applyFill="1"/>
    <xf numFmtId="0" fontId="51" fillId="7" borderId="0" xfId="0" applyFont="1" applyFill="1" applyProtection="1">
      <protection hidden="1"/>
    </xf>
    <xf numFmtId="2" fontId="0" fillId="5" borderId="1" xfId="0" applyNumberFormat="1" applyFill="1" applyBorder="1" applyAlignment="1">
      <alignment horizontal="center"/>
    </xf>
    <xf numFmtId="0" fontId="0" fillId="0" borderId="0" xfId="0" applyAlignment="1">
      <alignment horizontal="left"/>
    </xf>
    <xf numFmtId="0" fontId="0" fillId="9" borderId="0" xfId="0" applyFill="1" applyAlignment="1">
      <alignment horizontal="center"/>
    </xf>
    <xf numFmtId="0" fontId="53" fillId="13" borderId="29" xfId="0" applyFont="1" applyFill="1" applyBorder="1" applyAlignment="1">
      <alignment horizontal="center" vertical="center" wrapText="1" readingOrder="1"/>
    </xf>
    <xf numFmtId="0" fontId="53" fillId="13" borderId="1" xfId="0" applyFont="1" applyFill="1" applyBorder="1" applyAlignment="1">
      <alignment horizontal="center" vertical="center" wrapText="1" readingOrder="1"/>
    </xf>
    <xf numFmtId="0" fontId="53" fillId="13" borderId="35" xfId="0" applyFont="1" applyFill="1" applyBorder="1" applyAlignment="1">
      <alignment horizontal="center" vertical="center" wrapText="1" readingOrder="1"/>
    </xf>
    <xf numFmtId="0" fontId="53" fillId="13" borderId="76" xfId="0" applyFont="1" applyFill="1" applyBorder="1" applyAlignment="1">
      <alignment horizontal="center" vertical="center" wrapText="1" readingOrder="1"/>
    </xf>
    <xf numFmtId="0" fontId="0" fillId="3" borderId="89" xfId="0" applyFill="1" applyBorder="1" applyAlignment="1">
      <alignment horizontal="center"/>
    </xf>
    <xf numFmtId="0" fontId="0" fillId="2" borderId="119" xfId="0" applyFill="1" applyBorder="1" applyAlignment="1">
      <alignment horizontal="center"/>
    </xf>
    <xf numFmtId="0" fontId="0" fillId="2" borderId="89" xfId="0" applyFill="1" applyBorder="1" applyAlignment="1">
      <alignment horizontal="center"/>
    </xf>
    <xf numFmtId="0" fontId="0" fillId="3" borderId="119" xfId="0" applyFill="1" applyBorder="1" applyAlignment="1">
      <alignment horizontal="center"/>
    </xf>
    <xf numFmtId="0" fontId="0" fillId="0" borderId="6" xfId="0" applyBorder="1" applyAlignment="1">
      <alignment horizontal="center"/>
    </xf>
    <xf numFmtId="0" fontId="0" fillId="9" borderId="6" xfId="0" applyFill="1" applyBorder="1" applyAlignment="1">
      <alignment horizontal="center"/>
    </xf>
    <xf numFmtId="0" fontId="0" fillId="31" borderId="1" xfId="0" applyFill="1" applyBorder="1"/>
    <xf numFmtId="0" fontId="0" fillId="33" borderId="1" xfId="0" applyFill="1" applyBorder="1"/>
    <xf numFmtId="0" fontId="0" fillId="34" borderId="1" xfId="0" applyFill="1" applyBorder="1"/>
    <xf numFmtId="2" fontId="0" fillId="0" borderId="1" xfId="0" applyNumberFormat="1" applyBorder="1" applyAlignment="1">
      <alignment horizontal="center"/>
    </xf>
    <xf numFmtId="2" fontId="0" fillId="0" borderId="58" xfId="0" applyNumberFormat="1" applyBorder="1" applyAlignment="1">
      <alignment horizontal="center"/>
    </xf>
    <xf numFmtId="2" fontId="0" fillId="0" borderId="72" xfId="0" applyNumberFormat="1" applyBorder="1" applyAlignment="1">
      <alignment horizontal="center"/>
    </xf>
    <xf numFmtId="0" fontId="0" fillId="35" borderId="72" xfId="0" applyFill="1" applyBorder="1" applyAlignment="1">
      <alignment horizontal="center"/>
    </xf>
    <xf numFmtId="0" fontId="0" fillId="22" borderId="76" xfId="0" applyFill="1" applyBorder="1" applyAlignment="1">
      <alignment horizontal="center"/>
    </xf>
    <xf numFmtId="0" fontId="0" fillId="23" borderId="1" xfId="0" applyFill="1" applyBorder="1" applyAlignment="1">
      <alignment horizontal="center"/>
    </xf>
    <xf numFmtId="0" fontId="0" fillId="24" borderId="1" xfId="0" applyFill="1" applyBorder="1" applyAlignment="1">
      <alignment horizontal="center"/>
    </xf>
    <xf numFmtId="0" fontId="0" fillId="25" borderId="1" xfId="0" applyFill="1" applyBorder="1" applyAlignment="1">
      <alignment horizontal="center"/>
    </xf>
    <xf numFmtId="0" fontId="0" fillId="26" borderId="1" xfId="0" applyFill="1" applyBorder="1" applyAlignment="1">
      <alignment horizontal="center"/>
    </xf>
    <xf numFmtId="0" fontId="0" fillId="27" borderId="72" xfId="0" applyFill="1" applyBorder="1" applyAlignment="1">
      <alignment horizontal="center"/>
    </xf>
    <xf numFmtId="0" fontId="0" fillId="36" borderId="76" xfId="0" applyFill="1" applyBorder="1" applyAlignment="1">
      <alignment horizontal="center"/>
    </xf>
    <xf numFmtId="0" fontId="0" fillId="37" borderId="1" xfId="0" applyFill="1" applyBorder="1" applyAlignment="1">
      <alignment horizontal="center"/>
    </xf>
    <xf numFmtId="0" fontId="0" fillId="38" borderId="1" xfId="0" applyFill="1" applyBorder="1" applyAlignment="1">
      <alignment horizontal="center"/>
    </xf>
    <xf numFmtId="0" fontId="0" fillId="39" borderId="1" xfId="0" applyFill="1" applyBorder="1" applyAlignment="1">
      <alignment horizontal="center"/>
    </xf>
    <xf numFmtId="0" fontId="0" fillId="40" borderId="72" xfId="0" applyFill="1" applyBorder="1" applyAlignment="1">
      <alignment horizontal="center"/>
    </xf>
    <xf numFmtId="0" fontId="0" fillId="21" borderId="76" xfId="0" applyFill="1" applyBorder="1" applyAlignment="1">
      <alignment horizontal="center"/>
    </xf>
    <xf numFmtId="0" fontId="0" fillId="20" borderId="1" xfId="0" applyFill="1" applyBorder="1" applyAlignment="1">
      <alignment horizontal="center"/>
    </xf>
    <xf numFmtId="0" fontId="0" fillId="19" borderId="1" xfId="0" applyFill="1" applyBorder="1" applyAlignment="1">
      <alignment horizontal="center"/>
    </xf>
    <xf numFmtId="0" fontId="0" fillId="29" borderId="1" xfId="0" applyFill="1" applyBorder="1" applyAlignment="1">
      <alignment horizontal="center"/>
    </xf>
    <xf numFmtId="0" fontId="0" fillId="30" borderId="72" xfId="0" applyFill="1" applyBorder="1" applyAlignment="1">
      <alignment horizontal="center"/>
    </xf>
    <xf numFmtId="0" fontId="0" fillId="14" borderId="76" xfId="0" applyFill="1" applyBorder="1" applyAlignment="1">
      <alignment horizontal="center"/>
    </xf>
    <xf numFmtId="0" fontId="0" fillId="17" borderId="1" xfId="0" applyFill="1" applyBorder="1" applyAlignment="1">
      <alignment horizontal="center"/>
    </xf>
    <xf numFmtId="0" fontId="0" fillId="16" borderId="1" xfId="0" applyFill="1" applyBorder="1" applyAlignment="1">
      <alignment horizontal="center"/>
    </xf>
    <xf numFmtId="0" fontId="0" fillId="15" borderId="1" xfId="0" applyFill="1" applyBorder="1" applyAlignment="1">
      <alignment horizontal="center"/>
    </xf>
    <xf numFmtId="0" fontId="0" fillId="18" borderId="1" xfId="0" applyFill="1" applyBorder="1" applyAlignment="1">
      <alignment horizontal="center"/>
    </xf>
    <xf numFmtId="0" fontId="0" fillId="11" borderId="1" xfId="0" applyFill="1" applyBorder="1" applyAlignment="1">
      <alignment horizontal="center"/>
    </xf>
    <xf numFmtId="0" fontId="0" fillId="28" borderId="72" xfId="0" applyFill="1" applyBorder="1" applyAlignment="1">
      <alignment horizontal="center"/>
    </xf>
    <xf numFmtId="1" fontId="0" fillId="0" borderId="4" xfId="0" applyNumberFormat="1" applyBorder="1"/>
    <xf numFmtId="2" fontId="49" fillId="12" borderId="1" xfId="0" applyNumberFormat="1" applyFont="1" applyFill="1" applyBorder="1" applyAlignment="1" applyProtection="1">
      <alignment horizontal="center"/>
      <protection hidden="1"/>
    </xf>
    <xf numFmtId="2" fontId="8" fillId="12" borderId="26" xfId="0" applyNumberFormat="1" applyFont="1" applyFill="1" applyBorder="1" applyAlignment="1" applyProtection="1">
      <alignment horizontal="center"/>
      <protection hidden="1"/>
    </xf>
    <xf numFmtId="176" fontId="0" fillId="0" borderId="142" xfId="0" applyNumberFormat="1" applyBorder="1" applyAlignment="1">
      <alignment horizontal="center"/>
    </xf>
    <xf numFmtId="176" fontId="0" fillId="0" borderId="6" xfId="0" applyNumberFormat="1" applyBorder="1" applyAlignment="1">
      <alignment horizontal="center"/>
    </xf>
    <xf numFmtId="176" fontId="0" fillId="0" borderId="39" xfId="0" applyNumberFormat="1" applyBorder="1" applyAlignment="1">
      <alignment horizontal="center"/>
    </xf>
    <xf numFmtId="1" fontId="0" fillId="0" borderId="1" xfId="0" applyNumberFormat="1" applyBorder="1" applyAlignment="1">
      <alignment horizontal="center"/>
    </xf>
    <xf numFmtId="0" fontId="0" fillId="9" borderId="4" xfId="0" applyFill="1" applyBorder="1"/>
    <xf numFmtId="171" fontId="0" fillId="9" borderId="0" xfId="0" applyNumberFormat="1" applyFill="1" applyAlignment="1">
      <alignment horizontal="left"/>
    </xf>
    <xf numFmtId="1" fontId="0" fillId="9" borderId="4" xfId="0" applyNumberFormat="1" applyFill="1" applyBorder="1" applyAlignment="1">
      <alignment horizontal="left"/>
    </xf>
    <xf numFmtId="0" fontId="31" fillId="0" borderId="0" xfId="0" applyFont="1" applyAlignment="1">
      <alignment vertical="center"/>
    </xf>
    <xf numFmtId="0" fontId="40" fillId="0" borderId="0" xfId="1" applyBorder="1"/>
    <xf numFmtId="0" fontId="0" fillId="3" borderId="51" xfId="0" applyFill="1" applyBorder="1" applyAlignment="1">
      <alignment horizontal="center" vertical="center" wrapText="1"/>
    </xf>
    <xf numFmtId="0" fontId="0" fillId="3" borderId="163" xfId="0" applyFill="1" applyBorder="1" applyAlignment="1">
      <alignment horizontal="center"/>
    </xf>
    <xf numFmtId="14" fontId="0" fillId="0" borderId="0" xfId="0" applyNumberFormat="1"/>
    <xf numFmtId="0" fontId="0" fillId="2" borderId="17" xfId="0" applyFill="1" applyBorder="1" applyAlignment="1" applyProtection="1">
      <alignment horizontal="center" vertical="center"/>
      <protection hidden="1"/>
    </xf>
    <xf numFmtId="0" fontId="0" fillId="2" borderId="111" xfId="0" applyFill="1" applyBorder="1" applyAlignment="1" applyProtection="1">
      <alignment horizontal="center" vertical="center"/>
      <protection hidden="1"/>
    </xf>
    <xf numFmtId="0" fontId="0" fillId="2" borderId="2" xfId="0" applyFill="1" applyBorder="1" applyAlignment="1" applyProtection="1">
      <alignment horizontal="center"/>
      <protection hidden="1"/>
    </xf>
    <xf numFmtId="0" fontId="31" fillId="0" borderId="0" xfId="0" applyFont="1" applyAlignment="1">
      <alignment horizontal="left" vertical="center"/>
    </xf>
    <xf numFmtId="0" fontId="0" fillId="2" borderId="0" xfId="0" applyFill="1" applyAlignment="1" applyProtection="1">
      <alignment horizontal="right"/>
      <protection locked="0"/>
    </xf>
    <xf numFmtId="0" fontId="16" fillId="3" borderId="0" xfId="0" applyFont="1" applyFill="1" applyAlignment="1" applyProtection="1">
      <alignment vertical="top"/>
      <protection hidden="1"/>
    </xf>
    <xf numFmtId="0" fontId="0" fillId="3" borderId="21" xfId="0" applyFill="1" applyBorder="1"/>
    <xf numFmtId="0" fontId="0" fillId="2" borderId="41" xfId="0" applyFill="1" applyBorder="1"/>
    <xf numFmtId="168" fontId="9" fillId="2" borderId="9" xfId="0" quotePrefix="1" applyNumberFormat="1" applyFont="1" applyFill="1" applyBorder="1" applyAlignment="1" applyProtection="1">
      <alignment horizontal="center"/>
      <protection hidden="1"/>
    </xf>
    <xf numFmtId="0" fontId="0" fillId="2" borderId="2" xfId="0" applyFill="1" applyBorder="1" applyProtection="1">
      <protection hidden="1"/>
    </xf>
    <xf numFmtId="0" fontId="2" fillId="2" borderId="12" xfId="0" applyFont="1" applyFill="1" applyBorder="1" applyProtection="1">
      <protection hidden="1"/>
    </xf>
    <xf numFmtId="0" fontId="46" fillId="2" borderId="17" xfId="0" applyFont="1" applyFill="1" applyBorder="1" applyAlignment="1" applyProtection="1">
      <alignment horizontal="center"/>
      <protection hidden="1"/>
    </xf>
    <xf numFmtId="171" fontId="0" fillId="0" borderId="0" xfId="0" applyNumberFormat="1" applyAlignment="1">
      <alignment vertical="center"/>
    </xf>
    <xf numFmtId="0" fontId="59" fillId="3" borderId="25" xfId="0" applyFont="1" applyFill="1" applyBorder="1"/>
    <xf numFmtId="0" fontId="58" fillId="0" borderId="25" xfId="1" applyFont="1" applyBorder="1" applyAlignment="1">
      <alignment horizontal="left" vertical="center" readingOrder="1"/>
    </xf>
    <xf numFmtId="0" fontId="0" fillId="3" borderId="20" xfId="0" applyFill="1" applyBorder="1"/>
    <xf numFmtId="0" fontId="0" fillId="2" borderId="0" xfId="0" applyFill="1" applyAlignment="1">
      <alignment horizontal="right"/>
    </xf>
    <xf numFmtId="171" fontId="0" fillId="2" borderId="0" xfId="0" applyNumberFormat="1" applyFill="1" applyAlignment="1">
      <alignment horizontal="right"/>
    </xf>
    <xf numFmtId="2" fontId="0" fillId="2" borderId="20" xfId="0" applyNumberFormat="1" applyFill="1" applyBorder="1" applyAlignment="1">
      <alignment horizontal="right"/>
    </xf>
    <xf numFmtId="0" fontId="0" fillId="2" borderId="168" xfId="0" applyFill="1" applyBorder="1" applyProtection="1">
      <protection hidden="1"/>
    </xf>
    <xf numFmtId="0" fontId="0" fillId="3" borderId="167" xfId="0" applyFill="1" applyBorder="1" applyProtection="1">
      <protection hidden="1"/>
    </xf>
    <xf numFmtId="2" fontId="13" fillId="2" borderId="51" xfId="0" applyNumberFormat="1" applyFont="1" applyFill="1" applyBorder="1" applyAlignment="1" applyProtection="1">
      <alignment horizontal="center"/>
      <protection hidden="1"/>
    </xf>
    <xf numFmtId="2" fontId="13" fillId="2" borderId="106" xfId="0" applyNumberFormat="1" applyFont="1" applyFill="1" applyBorder="1" applyAlignment="1" applyProtection="1">
      <alignment horizontal="center"/>
      <protection hidden="1"/>
    </xf>
    <xf numFmtId="0" fontId="0" fillId="2" borderId="41" xfId="0" applyFill="1" applyBorder="1" applyAlignment="1">
      <alignment horizontal="right"/>
    </xf>
    <xf numFmtId="0" fontId="0" fillId="3" borderId="0" xfId="0" applyFill="1" applyAlignment="1">
      <alignment vertical="center" wrapText="1"/>
    </xf>
    <xf numFmtId="0" fontId="34" fillId="3" borderId="0" xfId="0" applyFont="1" applyFill="1" applyAlignment="1">
      <alignment vertical="center"/>
    </xf>
    <xf numFmtId="0" fontId="41" fillId="3" borderId="0" xfId="0" applyFont="1" applyFill="1" applyAlignment="1" applyProtection="1">
      <alignment horizontal="center"/>
      <protection hidden="1"/>
    </xf>
    <xf numFmtId="2" fontId="0" fillId="6" borderId="76" xfId="0" applyNumberFormat="1" applyFill="1" applyBorder="1" applyAlignment="1">
      <alignment horizontal="center"/>
    </xf>
    <xf numFmtId="2" fontId="0" fillId="4" borderId="76" xfId="0" applyNumberFormat="1" applyFill="1" applyBorder="1" applyAlignment="1">
      <alignment horizontal="center"/>
    </xf>
    <xf numFmtId="2" fontId="0" fillId="5" borderId="76" xfId="0" applyNumberFormat="1" applyFill="1" applyBorder="1" applyAlignment="1">
      <alignment horizontal="center"/>
    </xf>
    <xf numFmtId="2" fontId="0" fillId="5" borderId="34" xfId="0" applyNumberFormat="1" applyFill="1" applyBorder="1" applyAlignment="1">
      <alignment horizontal="center"/>
    </xf>
    <xf numFmtId="2" fontId="0" fillId="6" borderId="1" xfId="0" applyNumberFormat="1" applyFill="1" applyBorder="1" applyAlignment="1">
      <alignment horizontal="center"/>
    </xf>
    <xf numFmtId="2" fontId="0" fillId="4" borderId="1" xfId="0" applyNumberFormat="1" applyFill="1" applyBorder="1" applyAlignment="1">
      <alignment horizontal="center"/>
    </xf>
    <xf numFmtId="2" fontId="0" fillId="5" borderId="30" xfId="0" applyNumberFormat="1" applyFill="1" applyBorder="1" applyAlignment="1">
      <alignment horizontal="center"/>
    </xf>
    <xf numFmtId="2" fontId="0" fillId="4" borderId="72" xfId="0" applyNumberFormat="1" applyFill="1" applyBorder="1" applyAlignment="1">
      <alignment horizontal="center"/>
    </xf>
    <xf numFmtId="2" fontId="0" fillId="5" borderId="72" xfId="0" applyNumberFormat="1" applyFill="1" applyBorder="1" applyAlignment="1">
      <alignment horizontal="center"/>
    </xf>
    <xf numFmtId="2" fontId="0" fillId="5" borderId="74" xfId="0" applyNumberFormat="1" applyFill="1" applyBorder="1" applyAlignment="1">
      <alignment horizontal="center"/>
    </xf>
    <xf numFmtId="2" fontId="0" fillId="6" borderId="72" xfId="0" applyNumberFormat="1" applyFill="1" applyBorder="1" applyAlignment="1">
      <alignment horizontal="center"/>
    </xf>
    <xf numFmtId="2" fontId="0" fillId="0" borderId="25" xfId="0" applyNumberFormat="1" applyBorder="1" applyAlignment="1">
      <alignment horizontal="center" vertical="center"/>
    </xf>
    <xf numFmtId="2" fontId="0" fillId="0" borderId="0" xfId="0" applyNumberFormat="1" applyAlignment="1">
      <alignment horizontal="center" vertical="center"/>
    </xf>
    <xf numFmtId="0" fontId="34" fillId="0" borderId="25" xfId="0" applyFont="1" applyBorder="1" applyAlignment="1">
      <alignment vertical="center" textRotation="90" wrapText="1"/>
    </xf>
    <xf numFmtId="0" fontId="0" fillId="0" borderId="25" xfId="0" applyBorder="1" applyAlignment="1">
      <alignment vertical="center" textRotation="90"/>
    </xf>
    <xf numFmtId="0" fontId="0" fillId="0" borderId="25" xfId="0" applyBorder="1" applyAlignment="1">
      <alignment horizontal="center" vertical="center"/>
    </xf>
    <xf numFmtId="0" fontId="34" fillId="0" borderId="0" xfId="0" applyFont="1" applyAlignment="1">
      <alignment vertical="center" textRotation="90" wrapText="1"/>
    </xf>
    <xf numFmtId="1" fontId="46" fillId="0" borderId="0" xfId="0" applyNumberFormat="1" applyFont="1" applyAlignment="1">
      <alignment horizontal="center" wrapText="1"/>
    </xf>
    <xf numFmtId="1" fontId="46" fillId="0" borderId="0" xfId="0" applyNumberFormat="1" applyFont="1" applyAlignment="1">
      <alignment horizontal="center"/>
    </xf>
    <xf numFmtId="1" fontId="60" fillId="0" borderId="0" xfId="0" applyNumberFormat="1" applyFont="1" applyAlignment="1">
      <alignment horizontal="center" vertical="center"/>
    </xf>
    <xf numFmtId="1" fontId="61" fillId="0" borderId="0" xfId="0" applyNumberFormat="1" applyFont="1" applyAlignment="1">
      <alignment horizontal="center" vertical="center"/>
    </xf>
    <xf numFmtId="1" fontId="46" fillId="0" borderId="0" xfId="0" applyNumberFormat="1" applyFont="1" applyAlignment="1">
      <alignment horizontal="center" vertical="center"/>
    </xf>
    <xf numFmtId="0" fontId="0" fillId="42" borderId="0" xfId="0" applyFill="1" applyAlignment="1">
      <alignment horizontal="center"/>
    </xf>
    <xf numFmtId="2" fontId="2" fillId="3" borderId="0" xfId="0" applyNumberFormat="1" applyFont="1" applyFill="1" applyProtection="1">
      <protection hidden="1"/>
    </xf>
    <xf numFmtId="0" fontId="0" fillId="42" borderId="0" xfId="0" applyFill="1"/>
    <xf numFmtId="0" fontId="0" fillId="5" borderId="81" xfId="0" applyFill="1" applyBorder="1" applyAlignment="1">
      <alignment horizontal="center" vertical="center"/>
    </xf>
    <xf numFmtId="0" fontId="0" fillId="5" borderId="72" xfId="0" applyFill="1" applyBorder="1" applyAlignment="1">
      <alignment horizontal="center" vertical="center"/>
    </xf>
    <xf numFmtId="0" fontId="0" fillId="5" borderId="39" xfId="0" applyFill="1" applyBorder="1" applyAlignment="1">
      <alignment horizontal="center" vertical="center"/>
    </xf>
    <xf numFmtId="0" fontId="0" fillId="5" borderId="74" xfId="0" applyFill="1" applyBorder="1" applyAlignment="1">
      <alignment horizontal="center" vertical="center"/>
    </xf>
    <xf numFmtId="2" fontId="0" fillId="5" borderId="44" xfId="0" applyNumberFormat="1" applyFill="1" applyBorder="1" applyAlignment="1">
      <alignment horizontal="center"/>
    </xf>
    <xf numFmtId="2" fontId="0" fillId="5" borderId="142" xfId="0" applyNumberFormat="1" applyFill="1" applyBorder="1" applyAlignment="1">
      <alignment horizontal="center"/>
    </xf>
    <xf numFmtId="2" fontId="0" fillId="5" borderId="33" xfId="0" applyNumberFormat="1" applyFill="1" applyBorder="1" applyAlignment="1">
      <alignment horizontal="center"/>
    </xf>
    <xf numFmtId="2" fontId="0" fillId="5" borderId="81" xfId="0" applyNumberFormat="1" applyFill="1" applyBorder="1" applyAlignment="1">
      <alignment horizontal="center"/>
    </xf>
    <xf numFmtId="0" fontId="0" fillId="41" borderId="0" xfId="0" applyFill="1" applyAlignment="1">
      <alignment horizontal="center"/>
    </xf>
    <xf numFmtId="0" fontId="0" fillId="41" borderId="0" xfId="0" applyFill="1"/>
    <xf numFmtId="0" fontId="0" fillId="3" borderId="163" xfId="0" applyFill="1" applyBorder="1" applyAlignment="1">
      <alignment vertical="center" wrapText="1"/>
    </xf>
    <xf numFmtId="12" fontId="0" fillId="3" borderId="89" xfId="0" applyNumberFormat="1" applyFill="1" applyBorder="1" applyAlignment="1">
      <alignment horizontal="center"/>
    </xf>
    <xf numFmtId="0" fontId="0" fillId="3" borderId="147" xfId="0" applyFill="1" applyBorder="1" applyAlignment="1">
      <alignment vertical="center" wrapText="1"/>
    </xf>
    <xf numFmtId="0" fontId="34" fillId="3" borderId="0" xfId="0" applyFont="1" applyFill="1" applyAlignment="1">
      <alignment horizontal="center"/>
    </xf>
    <xf numFmtId="0" fontId="0" fillId="43" borderId="0" xfId="0" applyFill="1"/>
    <xf numFmtId="0" fontId="46" fillId="0" borderId="0" xfId="0" applyFont="1"/>
    <xf numFmtId="0" fontId="0" fillId="0" borderId="36" xfId="0" applyBorder="1" applyAlignment="1">
      <alignment horizontal="center"/>
    </xf>
    <xf numFmtId="2" fontId="0" fillId="6" borderId="132" xfId="0" applyNumberFormat="1" applyFill="1" applyBorder="1" applyAlignment="1">
      <alignment horizontal="center"/>
    </xf>
    <xf numFmtId="0" fontId="40" fillId="3" borderId="0" xfId="1" applyFill="1"/>
    <xf numFmtId="2" fontId="0" fillId="3" borderId="41" xfId="0" applyNumberFormat="1" applyFill="1" applyBorder="1"/>
    <xf numFmtId="0" fontId="0" fillId="11" borderId="119" xfId="0" applyFill="1" applyBorder="1"/>
    <xf numFmtId="0" fontId="0" fillId="11" borderId="117" xfId="0" applyFill="1" applyBorder="1"/>
    <xf numFmtId="0" fontId="0" fillId="11" borderId="120" xfId="0" applyFill="1" applyBorder="1"/>
    <xf numFmtId="0" fontId="2" fillId="0" borderId="183" xfId="0" applyFont="1" applyBorder="1" applyAlignment="1">
      <alignment horizontal="center" vertical="center"/>
    </xf>
    <xf numFmtId="0" fontId="2" fillId="0" borderId="176" xfId="0" applyFont="1" applyBorder="1" applyAlignment="1">
      <alignment horizontal="center" vertical="center" wrapText="1"/>
    </xf>
    <xf numFmtId="0" fontId="2" fillId="0" borderId="176" xfId="0" applyFont="1" applyBorder="1" applyAlignment="1">
      <alignment horizontal="center" vertical="center"/>
    </xf>
    <xf numFmtId="0" fontId="0" fillId="32" borderId="1" xfId="0" applyFill="1" applyBorder="1"/>
    <xf numFmtId="176" fontId="0" fillId="0" borderId="1" xfId="0" applyNumberFormat="1" applyBorder="1" applyAlignment="1">
      <alignment horizontal="center"/>
    </xf>
    <xf numFmtId="176" fontId="0" fillId="0" borderId="72" xfId="0" applyNumberFormat="1" applyBorder="1" applyAlignment="1">
      <alignment horizontal="center"/>
    </xf>
    <xf numFmtId="0" fontId="0" fillId="44" borderId="66" xfId="0" applyFill="1" applyBorder="1" applyAlignment="1">
      <alignment horizontal="center"/>
    </xf>
    <xf numFmtId="172" fontId="0" fillId="0" borderId="0" xfId="0" applyNumberFormat="1"/>
    <xf numFmtId="177" fontId="0" fillId="3" borderId="160" xfId="0" applyNumberFormat="1" applyFill="1" applyBorder="1" applyAlignment="1">
      <alignment horizontal="center" vertical="center" wrapText="1"/>
    </xf>
    <xf numFmtId="9" fontId="0" fillId="3" borderId="161" xfId="0" applyNumberFormat="1" applyFill="1" applyBorder="1" applyAlignment="1">
      <alignment horizontal="center" vertical="center"/>
    </xf>
    <xf numFmtId="0" fontId="27" fillId="3" borderId="159" xfId="0" applyFont="1" applyFill="1" applyBorder="1" applyAlignment="1">
      <alignment horizontal="center" vertical="center" wrapText="1"/>
    </xf>
    <xf numFmtId="0" fontId="0" fillId="3" borderId="0" xfId="0" applyFill="1" applyAlignment="1">
      <alignment horizontal="left" wrapText="1"/>
    </xf>
    <xf numFmtId="2" fontId="0" fillId="3" borderId="0" xfId="0" applyNumberFormat="1" applyFill="1" applyAlignment="1">
      <alignment horizontal="center" vertical="center" wrapText="1"/>
    </xf>
    <xf numFmtId="171" fontId="0" fillId="3" borderId="0" xfId="0" applyNumberFormat="1" applyFill="1" applyAlignment="1">
      <alignment horizontal="center" vertical="center" wrapText="1"/>
    </xf>
    <xf numFmtId="0" fontId="39" fillId="3" borderId="47" xfId="0" applyFont="1" applyFill="1" applyBorder="1" applyAlignment="1">
      <alignment vertical="center"/>
    </xf>
    <xf numFmtId="0" fontId="39" fillId="3" borderId="0" xfId="0" applyFont="1" applyFill="1" applyAlignment="1">
      <alignment vertical="center"/>
    </xf>
    <xf numFmtId="0" fontId="39" fillId="3" borderId="41" xfId="0" applyFont="1" applyFill="1" applyBorder="1" applyAlignment="1">
      <alignment vertical="center"/>
    </xf>
    <xf numFmtId="0" fontId="39" fillId="3" borderId="21" xfId="0" applyFont="1" applyFill="1" applyBorder="1" applyAlignment="1">
      <alignment vertical="center"/>
    </xf>
    <xf numFmtId="0" fontId="39" fillId="3" borderId="25" xfId="0" applyFont="1" applyFill="1" applyBorder="1" applyAlignment="1">
      <alignment vertical="center"/>
    </xf>
    <xf numFmtId="0" fontId="39" fillId="3" borderId="45" xfId="0" applyFont="1" applyFill="1" applyBorder="1" applyAlignment="1">
      <alignment vertical="center"/>
    </xf>
    <xf numFmtId="0" fontId="40" fillId="3" borderId="0" xfId="1" applyFill="1" applyBorder="1" applyAlignment="1">
      <alignment horizontal="center" vertical="center"/>
    </xf>
    <xf numFmtId="0" fontId="40" fillId="3" borderId="41" xfId="1" applyFill="1" applyBorder="1" applyAlignment="1">
      <alignment horizontal="center" vertical="center"/>
    </xf>
    <xf numFmtId="0" fontId="46" fillId="3" borderId="47" xfId="1" applyFont="1" applyFill="1" applyBorder="1" applyAlignment="1">
      <alignment vertical="center"/>
    </xf>
    <xf numFmtId="0" fontId="0" fillId="43" borderId="21" xfId="0" applyFill="1" applyBorder="1"/>
    <xf numFmtId="0" fontId="0" fillId="43" borderId="25" xfId="0" applyFill="1" applyBorder="1" applyAlignment="1" applyProtection="1">
      <alignment vertical="center"/>
      <protection hidden="1"/>
    </xf>
    <xf numFmtId="168" fontId="9" fillId="43" borderId="25" xfId="0" applyNumberFormat="1" applyFont="1" applyFill="1" applyBorder="1" applyAlignment="1" applyProtection="1">
      <alignment horizontal="center"/>
      <protection hidden="1"/>
    </xf>
    <xf numFmtId="167" fontId="9" fillId="43" borderId="25" xfId="0" applyNumberFormat="1" applyFont="1" applyFill="1" applyBorder="1" applyAlignment="1" applyProtection="1">
      <alignment horizontal="center"/>
      <protection hidden="1"/>
    </xf>
    <xf numFmtId="0" fontId="0" fillId="43" borderId="45" xfId="0" applyFill="1" applyBorder="1"/>
    <xf numFmtId="0" fontId="0" fillId="43" borderId="47" xfId="0" applyFill="1" applyBorder="1"/>
    <xf numFmtId="0" fontId="2" fillId="43" borderId="0" xfId="0" applyFont="1" applyFill="1"/>
    <xf numFmtId="2" fontId="12" fillId="43" borderId="0" xfId="0" applyNumberFormat="1" applyFont="1" applyFill="1" applyAlignment="1" applyProtection="1">
      <alignment horizontal="center"/>
      <protection hidden="1"/>
    </xf>
    <xf numFmtId="0" fontId="0" fillId="43" borderId="41" xfId="0" applyFill="1" applyBorder="1"/>
    <xf numFmtId="0" fontId="0" fillId="43" borderId="0" xfId="0" applyFill="1" applyAlignment="1" applyProtection="1">
      <alignment horizontal="left"/>
      <protection hidden="1"/>
    </xf>
    <xf numFmtId="0" fontId="2" fillId="43" borderId="20" xfId="0" applyFont="1" applyFill="1" applyBorder="1" applyAlignment="1">
      <alignment horizontal="center"/>
    </xf>
    <xf numFmtId="0" fontId="1" fillId="43" borderId="41" xfId="0" applyFont="1" applyFill="1" applyBorder="1"/>
    <xf numFmtId="0" fontId="0" fillId="43" borderId="129" xfId="0" applyFill="1" applyBorder="1" applyAlignment="1">
      <alignment horizontal="center"/>
    </xf>
    <xf numFmtId="0" fontId="0" fillId="43" borderId="130" xfId="0" applyFill="1" applyBorder="1" applyAlignment="1">
      <alignment horizontal="center"/>
    </xf>
    <xf numFmtId="0" fontId="0" fillId="43" borderId="131" xfId="0" applyFill="1" applyBorder="1" applyAlignment="1">
      <alignment horizontal="center"/>
    </xf>
    <xf numFmtId="0" fontId="0" fillId="43" borderId="88" xfId="0" applyFill="1" applyBorder="1" applyAlignment="1">
      <alignment horizontal="center"/>
    </xf>
    <xf numFmtId="2" fontId="0" fillId="43" borderId="89" xfId="0" applyNumberFormat="1" applyFill="1" applyBorder="1" applyAlignment="1">
      <alignment horizontal="center"/>
    </xf>
    <xf numFmtId="2" fontId="0" fillId="43" borderId="90" xfId="0" applyNumberFormat="1" applyFill="1" applyBorder="1" applyAlignment="1">
      <alignment horizontal="center"/>
    </xf>
    <xf numFmtId="0" fontId="0" fillId="43" borderId="91" xfId="0" applyFill="1" applyBorder="1" applyAlignment="1">
      <alignment horizontal="center"/>
    </xf>
    <xf numFmtId="2" fontId="0" fillId="43" borderId="92" xfId="0" applyNumberFormat="1" applyFill="1" applyBorder="1" applyAlignment="1">
      <alignment horizontal="center"/>
    </xf>
    <xf numFmtId="2" fontId="0" fillId="43" borderId="93" xfId="0" applyNumberFormat="1" applyFill="1" applyBorder="1" applyAlignment="1">
      <alignment horizontal="center"/>
    </xf>
    <xf numFmtId="0" fontId="0" fillId="43" borderId="0" xfId="0" applyFill="1" applyAlignment="1">
      <alignment horizontal="left"/>
    </xf>
    <xf numFmtId="0" fontId="18" fillId="43" borderId="0" xfId="0" applyFont="1" applyFill="1" applyAlignment="1">
      <alignment vertical="center" wrapText="1"/>
    </xf>
    <xf numFmtId="0" fontId="46" fillId="43" borderId="0" xfId="0" applyFont="1" applyFill="1" applyAlignment="1">
      <alignment horizontal="left" vertical="center" wrapText="1"/>
    </xf>
    <xf numFmtId="0" fontId="20" fillId="3" borderId="0" xfId="0" applyFont="1" applyFill="1"/>
    <xf numFmtId="0" fontId="46" fillId="43" borderId="0" xfId="0" applyFont="1" applyFill="1" applyAlignment="1">
      <alignment horizontal="left" wrapText="1"/>
    </xf>
    <xf numFmtId="0" fontId="25" fillId="0" borderId="0" xfId="0" applyFont="1"/>
    <xf numFmtId="0" fontId="0" fillId="0" borderId="159" xfId="0" applyBorder="1" applyAlignment="1">
      <alignment horizontal="center"/>
    </xf>
    <xf numFmtId="0" fontId="0" fillId="0" borderId="161" xfId="0" applyBorder="1" applyAlignment="1">
      <alignment horizontal="center"/>
    </xf>
    <xf numFmtId="0" fontId="0" fillId="0" borderId="160" xfId="0" applyBorder="1" applyAlignment="1">
      <alignment horizontal="center"/>
    </xf>
    <xf numFmtId="0" fontId="0" fillId="0" borderId="26" xfId="0" applyBorder="1" applyAlignment="1">
      <alignment horizontal="center"/>
    </xf>
    <xf numFmtId="0" fontId="0" fillId="0" borderId="182" xfId="0" applyBorder="1" applyAlignment="1">
      <alignment horizontal="center"/>
    </xf>
    <xf numFmtId="0" fontId="0" fillId="0" borderId="29" xfId="0" applyBorder="1" applyAlignment="1">
      <alignment horizontal="center"/>
    </xf>
    <xf numFmtId="171" fontId="5" fillId="0" borderId="0" xfId="0" applyNumberFormat="1" applyFont="1" applyAlignment="1">
      <alignment horizontal="center"/>
    </xf>
    <xf numFmtId="170" fontId="2" fillId="0" borderId="0" xfId="0" applyNumberFormat="1" applyFont="1" applyAlignment="1">
      <alignment horizontal="center"/>
    </xf>
    <xf numFmtId="0" fontId="69" fillId="0" borderId="0" xfId="0" applyFont="1"/>
    <xf numFmtId="0" fontId="46" fillId="0" borderId="0" xfId="0" quotePrefix="1" applyFont="1"/>
    <xf numFmtId="0" fontId="70" fillId="0" borderId="0" xfId="0" applyFont="1"/>
    <xf numFmtId="0" fontId="68" fillId="3" borderId="47" xfId="1" applyFont="1" applyFill="1" applyBorder="1" applyAlignment="1">
      <alignment horizontal="left" vertical="center"/>
    </xf>
    <xf numFmtId="0" fontId="68" fillId="3" borderId="0" xfId="1" applyFont="1" applyFill="1" applyBorder="1" applyAlignment="1">
      <alignment horizontal="left" vertical="center"/>
    </xf>
    <xf numFmtId="0" fontId="68" fillId="3" borderId="41" xfId="1" applyFont="1" applyFill="1" applyBorder="1" applyAlignment="1">
      <alignment horizontal="left" vertical="center"/>
    </xf>
    <xf numFmtId="0" fontId="68" fillId="3" borderId="0" xfId="1" applyFont="1" applyFill="1" applyBorder="1" applyAlignment="1">
      <alignment horizontal="center" vertical="center"/>
    </xf>
    <xf numFmtId="0" fontId="68" fillId="3" borderId="41" xfId="1" applyFont="1" applyFill="1" applyBorder="1" applyAlignment="1">
      <alignment horizontal="center" vertical="center"/>
    </xf>
    <xf numFmtId="0" fontId="66" fillId="3" borderId="0" xfId="0" applyFont="1" applyFill="1" applyAlignment="1">
      <alignment horizontal="left" vertical="center"/>
    </xf>
    <xf numFmtId="0" fontId="66" fillId="3" borderId="41" xfId="0" applyFont="1" applyFill="1" applyBorder="1" applyAlignment="1">
      <alignment horizontal="left" vertical="center"/>
    </xf>
    <xf numFmtId="0" fontId="68" fillId="3" borderId="49" xfId="1" applyFont="1" applyFill="1" applyBorder="1" applyAlignment="1">
      <alignment horizontal="left" vertical="center"/>
    </xf>
    <xf numFmtId="0" fontId="68" fillId="3" borderId="20" xfId="1" applyFont="1" applyFill="1" applyBorder="1" applyAlignment="1">
      <alignment horizontal="left" vertical="center"/>
    </xf>
    <xf numFmtId="0" fontId="68" fillId="3" borderId="50" xfId="1" applyFont="1" applyFill="1" applyBorder="1" applyAlignment="1">
      <alignment horizontal="left" vertical="center"/>
    </xf>
    <xf numFmtId="0" fontId="34" fillId="0" borderId="0" xfId="0" applyFont="1" applyAlignment="1">
      <alignment vertical="center" textRotation="90"/>
    </xf>
    <xf numFmtId="0" fontId="47" fillId="0" borderId="0" xfId="0" applyFont="1" applyAlignment="1">
      <alignment vertical="center" textRotation="90"/>
    </xf>
    <xf numFmtId="0" fontId="47" fillId="0" borderId="0" xfId="0" applyFont="1" applyAlignment="1">
      <alignment horizontal="center"/>
    </xf>
    <xf numFmtId="2" fontId="0" fillId="5" borderId="65" xfId="0" applyNumberFormat="1" applyFill="1" applyBorder="1" applyAlignment="1">
      <alignment horizontal="center" vertical="center"/>
    </xf>
    <xf numFmtId="2" fontId="0" fillId="5" borderId="33" xfId="0" applyNumberFormat="1" applyFill="1" applyBorder="1" applyAlignment="1">
      <alignment horizontal="center" vertical="center"/>
    </xf>
    <xf numFmtId="2" fontId="0" fillId="5" borderId="60" xfId="0" applyNumberFormat="1" applyFill="1" applyBorder="1" applyAlignment="1">
      <alignment horizontal="center" vertical="center"/>
    </xf>
    <xf numFmtId="2" fontId="0" fillId="5" borderId="36" xfId="0" applyNumberFormat="1" applyFill="1" applyBorder="1" applyAlignment="1">
      <alignment horizontal="center" vertical="center"/>
    </xf>
    <xf numFmtId="2" fontId="0" fillId="5" borderId="64" xfId="0" applyNumberFormat="1" applyFill="1" applyBorder="1" applyAlignment="1">
      <alignment horizontal="center" vertical="center"/>
    </xf>
    <xf numFmtId="2" fontId="0" fillId="6" borderId="36" xfId="0" applyNumberFormat="1" applyFill="1" applyBorder="1" applyAlignment="1">
      <alignment horizontal="center" vertical="center"/>
    </xf>
    <xf numFmtId="2" fontId="0" fillId="5" borderId="30" xfId="0" applyNumberFormat="1" applyFill="1" applyBorder="1" applyAlignment="1">
      <alignment horizontal="center" vertical="center"/>
    </xf>
    <xf numFmtId="2" fontId="0" fillId="5" borderId="15" xfId="0" applyNumberFormat="1" applyFill="1" applyBorder="1" applyAlignment="1">
      <alignment horizontal="center" vertical="center"/>
    </xf>
    <xf numFmtId="2" fontId="0" fillId="5" borderId="40" xfId="0" applyNumberFormat="1" applyFill="1" applyBorder="1" applyAlignment="1">
      <alignment horizontal="center" vertical="center"/>
    </xf>
    <xf numFmtId="2" fontId="0" fillId="5" borderId="70" xfId="0" applyNumberFormat="1" applyFill="1" applyBorder="1" applyAlignment="1">
      <alignment horizontal="center" vertical="center"/>
    </xf>
    <xf numFmtId="2" fontId="0" fillId="5" borderId="6" xfId="0" applyNumberFormat="1" applyFill="1" applyBorder="1" applyAlignment="1">
      <alignment horizontal="center" vertical="center"/>
    </xf>
    <xf numFmtId="2" fontId="0" fillId="5" borderId="13" xfId="0" applyNumberFormat="1" applyFill="1" applyBorder="1" applyAlignment="1">
      <alignment horizontal="center" vertical="center"/>
    </xf>
    <xf numFmtId="1" fontId="0" fillId="0" borderId="36" xfId="0" applyNumberFormat="1" applyBorder="1" applyAlignment="1">
      <alignment horizontal="center"/>
    </xf>
    <xf numFmtId="1" fontId="0" fillId="0" borderId="72" xfId="0" applyNumberFormat="1" applyBorder="1" applyAlignment="1">
      <alignment horizontal="center"/>
    </xf>
    <xf numFmtId="1" fontId="0" fillId="0" borderId="73" xfId="0" applyNumberFormat="1" applyBorder="1" applyAlignment="1">
      <alignment horizontal="center"/>
    </xf>
    <xf numFmtId="0" fontId="2" fillId="0" borderId="155" xfId="0" applyFont="1" applyBorder="1" applyAlignment="1">
      <alignment horizontal="center" vertical="center"/>
    </xf>
    <xf numFmtId="0" fontId="2" fillId="0" borderId="155" xfId="0" applyFont="1" applyBorder="1" applyAlignment="1">
      <alignment horizontal="center" vertical="center" wrapText="1"/>
    </xf>
    <xf numFmtId="0" fontId="0" fillId="3" borderId="0" xfId="0" applyFill="1" applyAlignment="1">
      <alignment horizontal="left" vertical="center" wrapText="1"/>
    </xf>
    <xf numFmtId="2" fontId="0" fillId="5" borderId="80" xfId="0" applyNumberFormat="1" applyFill="1" applyBorder="1" applyAlignment="1">
      <alignment horizontal="center" vertical="center"/>
    </xf>
    <xf numFmtId="2" fontId="0" fillId="5" borderId="8" xfId="0" applyNumberFormat="1" applyFill="1" applyBorder="1" applyAlignment="1">
      <alignment horizontal="center" vertical="center"/>
    </xf>
    <xf numFmtId="0" fontId="0" fillId="0" borderId="20" xfId="0" applyBorder="1" applyAlignment="1">
      <alignment horizontal="center"/>
    </xf>
    <xf numFmtId="0" fontId="0" fillId="3" borderId="0" xfId="0" applyFill="1" applyAlignment="1">
      <alignment horizontal="left"/>
    </xf>
    <xf numFmtId="0" fontId="76" fillId="3" borderId="0" xfId="0" applyFont="1" applyFill="1"/>
    <xf numFmtId="0" fontId="0" fillId="3" borderId="16" xfId="0" applyFill="1" applyBorder="1"/>
    <xf numFmtId="0" fontId="0" fillId="3" borderId="75" xfId="0" applyFill="1" applyBorder="1"/>
    <xf numFmtId="0" fontId="25" fillId="3" borderId="20" xfId="0" applyFont="1" applyFill="1" applyBorder="1" applyAlignment="1">
      <alignment vertical="center"/>
    </xf>
    <xf numFmtId="14" fontId="34" fillId="3" borderId="0" xfId="0" applyNumberFormat="1" applyFont="1" applyFill="1" applyAlignment="1">
      <alignment vertical="center"/>
    </xf>
    <xf numFmtId="0" fontId="75" fillId="3" borderId="0" xfId="0" applyFont="1" applyFill="1" applyAlignment="1">
      <alignment horizontal="left"/>
    </xf>
    <xf numFmtId="0" fontId="0" fillId="5" borderId="185" xfId="0" applyFill="1" applyBorder="1" applyAlignment="1">
      <alignment horizontal="center" vertical="center"/>
    </xf>
    <xf numFmtId="0" fontId="0" fillId="6" borderId="186" xfId="0" applyFill="1" applyBorder="1" applyAlignment="1">
      <alignment horizontal="center" vertical="center"/>
    </xf>
    <xf numFmtId="0" fontId="0" fillId="4" borderId="187" xfId="0" applyFill="1" applyBorder="1" applyAlignment="1">
      <alignment horizontal="center" vertical="center"/>
    </xf>
    <xf numFmtId="170" fontId="0" fillId="2" borderId="0" xfId="0" applyNumberFormat="1" applyFill="1" applyAlignment="1">
      <alignment horizontal="right"/>
    </xf>
    <xf numFmtId="2" fontId="0" fillId="5" borderId="69" xfId="0" applyNumberFormat="1" applyFill="1" applyBorder="1" applyAlignment="1">
      <alignment horizontal="center" vertical="center"/>
    </xf>
    <xf numFmtId="2" fontId="0" fillId="5" borderId="62" xfId="0" applyNumberFormat="1" applyFill="1" applyBorder="1" applyAlignment="1">
      <alignment horizontal="center" vertical="center"/>
    </xf>
    <xf numFmtId="2" fontId="0" fillId="5" borderId="68" xfId="0" applyNumberFormat="1" applyFill="1" applyBorder="1" applyAlignment="1">
      <alignment horizontal="center" vertical="center"/>
    </xf>
    <xf numFmtId="2" fontId="0" fillId="5" borderId="32" xfId="0" applyNumberFormat="1" applyFill="1" applyBorder="1" applyAlignment="1">
      <alignment horizontal="center" vertical="center"/>
    </xf>
    <xf numFmtId="2" fontId="0" fillId="5" borderId="37" xfId="0" applyNumberFormat="1" applyFill="1" applyBorder="1" applyAlignment="1">
      <alignment horizontal="center" vertical="center"/>
    </xf>
    <xf numFmtId="2" fontId="0" fillId="5" borderId="28" xfId="0" applyNumberFormat="1" applyFill="1" applyBorder="1" applyAlignment="1">
      <alignment horizontal="center" vertical="center"/>
    </xf>
    <xf numFmtId="2" fontId="0" fillId="5" borderId="61" xfId="0" applyNumberFormat="1" applyFill="1" applyBorder="1" applyAlignment="1">
      <alignment horizontal="center" vertical="center"/>
    </xf>
    <xf numFmtId="2" fontId="0" fillId="6" borderId="29" xfId="0" applyNumberFormat="1" applyFill="1" applyBorder="1" applyAlignment="1">
      <alignment horizontal="center"/>
    </xf>
    <xf numFmtId="2" fontId="0" fillId="6" borderId="1" xfId="0" applyNumberFormat="1" applyFill="1" applyBorder="1" applyAlignment="1">
      <alignment horizontal="center" vertical="center"/>
    </xf>
    <xf numFmtId="2" fontId="0" fillId="6" borderId="38" xfId="0" applyNumberFormat="1" applyFill="1" applyBorder="1" applyAlignment="1">
      <alignment horizontal="center" vertical="center"/>
    </xf>
    <xf numFmtId="2" fontId="0" fillId="6" borderId="72" xfId="0" applyNumberFormat="1" applyFill="1" applyBorder="1" applyAlignment="1">
      <alignment horizontal="center" vertical="center"/>
    </xf>
    <xf numFmtId="2" fontId="0" fillId="6" borderId="73" xfId="0" applyNumberFormat="1" applyFill="1" applyBorder="1" applyAlignment="1">
      <alignment horizontal="center" vertical="center"/>
    </xf>
    <xf numFmtId="0" fontId="0" fillId="0" borderId="47" xfId="0" applyBorder="1" applyAlignment="1">
      <alignment horizontal="left"/>
    </xf>
    <xf numFmtId="0" fontId="0" fillId="0" borderId="0" xfId="0" applyAlignment="1">
      <alignment horizontal="center" vertical="center" textRotation="90"/>
    </xf>
    <xf numFmtId="0" fontId="34" fillId="0" borderId="0" xfId="0" applyFont="1" applyAlignment="1">
      <alignment horizontal="center" vertical="center" textRotation="90" wrapText="1"/>
    </xf>
    <xf numFmtId="0" fontId="0" fillId="3" borderId="25" xfId="0" applyFill="1" applyBorder="1" applyAlignment="1">
      <alignment horizontal="left" vertical="center"/>
    </xf>
    <xf numFmtId="0" fontId="77" fillId="3" borderId="0" xfId="0" applyFont="1" applyFill="1" applyAlignment="1">
      <alignment horizontal="left"/>
    </xf>
    <xf numFmtId="0" fontId="0" fillId="3" borderId="0" xfId="0" applyFill="1" applyAlignment="1">
      <alignment horizontal="center" vertical="center"/>
    </xf>
    <xf numFmtId="0" fontId="0" fillId="0" borderId="101" xfId="0" applyBorder="1" applyAlignment="1">
      <alignment horizontal="center"/>
    </xf>
    <xf numFmtId="0" fontId="0" fillId="3" borderId="47" xfId="0" applyFill="1" applyBorder="1" applyAlignment="1">
      <alignment horizontal="left" vertical="center"/>
    </xf>
    <xf numFmtId="0" fontId="34" fillId="3" borderId="0" xfId="0" applyFont="1" applyFill="1"/>
    <xf numFmtId="2" fontId="0" fillId="5" borderId="99" xfId="0" applyNumberFormat="1" applyFill="1" applyBorder="1" applyAlignment="1">
      <alignment horizontal="center"/>
    </xf>
    <xf numFmtId="0" fontId="78" fillId="0" borderId="189" xfId="0" applyFont="1" applyBorder="1" applyAlignment="1">
      <alignment horizontal="center"/>
    </xf>
    <xf numFmtId="0" fontId="72" fillId="3" borderId="0" xfId="1" applyFont="1" applyFill="1" applyAlignment="1">
      <alignment horizontal="center" vertical="center"/>
    </xf>
    <xf numFmtId="0" fontId="2" fillId="3" borderId="0" xfId="0" applyFont="1" applyFill="1" applyAlignment="1">
      <alignment horizontal="left"/>
    </xf>
    <xf numFmtId="0" fontId="81" fillId="3" borderId="0" xfId="1" applyFont="1" applyFill="1" applyAlignment="1">
      <alignment horizontal="center"/>
    </xf>
    <xf numFmtId="0" fontId="72" fillId="3" borderId="0" xfId="1" applyFont="1" applyFill="1" applyAlignment="1">
      <alignment horizontal="center"/>
    </xf>
    <xf numFmtId="0" fontId="46" fillId="3" borderId="0" xfId="0" applyFont="1" applyFill="1"/>
    <xf numFmtId="0" fontId="69" fillId="3" borderId="0" xfId="0" applyFont="1" applyFill="1"/>
    <xf numFmtId="0" fontId="46" fillId="3" borderId="0" xfId="0" quotePrefix="1" applyFont="1" applyFill="1"/>
    <xf numFmtId="0" fontId="70" fillId="3" borderId="0" xfId="0" applyFont="1" applyFill="1"/>
    <xf numFmtId="0" fontId="83" fillId="0" borderId="0" xfId="0" applyFont="1"/>
    <xf numFmtId="0" fontId="34" fillId="3" borderId="0" xfId="0" applyFont="1" applyFill="1" applyAlignment="1">
      <alignment horizontal="left"/>
    </xf>
    <xf numFmtId="0" fontId="0" fillId="7" borderId="51" xfId="0" applyFill="1" applyBorder="1" applyAlignment="1" applyProtection="1">
      <alignment horizontal="center" vertical="center"/>
      <protection locked="0"/>
    </xf>
    <xf numFmtId="0" fontId="26" fillId="7" borderId="51" xfId="0" applyFont="1" applyFill="1" applyBorder="1" applyAlignment="1" applyProtection="1">
      <alignment horizontal="center" vertical="center"/>
      <protection locked="0"/>
    </xf>
    <xf numFmtId="0" fontId="0" fillId="7" borderId="53" xfId="0" applyFill="1" applyBorder="1" applyAlignment="1" applyProtection="1">
      <alignment horizontal="center" vertical="center"/>
      <protection locked="0"/>
    </xf>
    <xf numFmtId="0" fontId="0" fillId="7" borderId="51" xfId="0" applyFill="1" applyBorder="1" applyAlignment="1" applyProtection="1">
      <alignment horizontal="center" vertical="center" wrapText="1"/>
      <protection locked="0"/>
    </xf>
    <xf numFmtId="0" fontId="0" fillId="3" borderId="0" xfId="0" applyFill="1" applyAlignment="1">
      <alignment horizontal="left" vertical="center"/>
    </xf>
    <xf numFmtId="0" fontId="84" fillId="0" borderId="0" xfId="0" applyFont="1"/>
    <xf numFmtId="0" fontId="34" fillId="3" borderId="98" xfId="0" applyFont="1" applyFill="1" applyBorder="1" applyAlignment="1">
      <alignment horizontal="center" wrapText="1"/>
    </xf>
    <xf numFmtId="0" fontId="34" fillId="3" borderId="166" xfId="0" applyFont="1" applyFill="1" applyBorder="1" applyAlignment="1">
      <alignment vertical="center"/>
    </xf>
    <xf numFmtId="179" fontId="34" fillId="6" borderId="0" xfId="0" applyNumberFormat="1" applyFont="1" applyFill="1" applyAlignment="1" applyProtection="1">
      <alignment horizontal="center" vertical="center"/>
      <protection locked="0"/>
    </xf>
    <xf numFmtId="0" fontId="34" fillId="3" borderId="25" xfId="0" applyFont="1" applyFill="1" applyBorder="1" applyAlignment="1">
      <alignment horizontal="center" vertical="center"/>
    </xf>
    <xf numFmtId="0" fontId="26" fillId="3" borderId="0" xfId="0" applyFont="1" applyFill="1"/>
    <xf numFmtId="14" fontId="0" fillId="3" borderId="0" xfId="0" applyNumberFormat="1" applyFill="1"/>
    <xf numFmtId="0" fontId="2" fillId="3" borderId="0" xfId="0" applyFont="1" applyFill="1" applyAlignment="1">
      <alignment horizontal="left" vertical="center"/>
    </xf>
    <xf numFmtId="0" fontId="0" fillId="3" borderId="0" xfId="0" applyFill="1" applyAlignment="1">
      <alignment vertical="center"/>
    </xf>
    <xf numFmtId="0" fontId="26" fillId="3" borderId="0" xfId="0" applyFont="1" applyFill="1" applyAlignment="1">
      <alignment horizontal="left" vertical="center"/>
    </xf>
    <xf numFmtId="178" fontId="2" fillId="3" borderId="0" xfId="0" applyNumberFormat="1" applyFont="1" applyFill="1" applyAlignment="1">
      <alignment horizontal="right"/>
    </xf>
    <xf numFmtId="178" fontId="2" fillId="3" borderId="0" xfId="0" applyNumberFormat="1" applyFont="1" applyFill="1" applyAlignment="1">
      <alignment horizontal="right" vertical="center" wrapText="1"/>
    </xf>
    <xf numFmtId="0" fontId="30" fillId="3" borderId="0" xfId="0" applyFont="1" applyFill="1" applyAlignment="1">
      <alignment vertical="center" textRotation="90"/>
    </xf>
    <xf numFmtId="1" fontId="0" fillId="3" borderId="0" xfId="0" applyNumberFormat="1" applyFill="1" applyAlignment="1">
      <alignment horizontal="center"/>
    </xf>
    <xf numFmtId="1" fontId="0" fillId="3" borderId="0" xfId="0" applyNumberFormat="1" applyFill="1" applyAlignment="1">
      <alignment horizontal="left"/>
    </xf>
    <xf numFmtId="0" fontId="29" fillId="3" borderId="0" xfId="0" applyFont="1" applyFill="1" applyAlignment="1">
      <alignment vertical="center"/>
    </xf>
    <xf numFmtId="0" fontId="64" fillId="3" borderId="0" xfId="0" applyFont="1" applyFill="1" applyAlignment="1">
      <alignment vertical="center"/>
    </xf>
    <xf numFmtId="0" fontId="84" fillId="3" borderId="0" xfId="0" applyFont="1" applyFill="1" applyAlignment="1">
      <alignment vertical="center"/>
    </xf>
    <xf numFmtId="0" fontId="84" fillId="3" borderId="20" xfId="0" applyFont="1" applyFill="1" applyBorder="1" applyAlignment="1">
      <alignment vertical="center"/>
    </xf>
    <xf numFmtId="0" fontId="34" fillId="3" borderId="0" xfId="0" applyFont="1" applyFill="1" applyAlignment="1">
      <alignment horizontal="center" vertical="center" textRotation="90" wrapText="1"/>
    </xf>
    <xf numFmtId="0" fontId="0" fillId="3" borderId="0" xfId="0" applyFill="1" applyAlignment="1">
      <alignment horizontal="center" vertical="center" textRotation="90"/>
    </xf>
    <xf numFmtId="2" fontId="0" fillId="3" borderId="0" xfId="0" applyNumberFormat="1" applyFill="1" applyAlignment="1">
      <alignment horizontal="center" vertical="center"/>
    </xf>
    <xf numFmtId="2" fontId="0" fillId="3" borderId="0" xfId="0" applyNumberFormat="1" applyFill="1" applyAlignment="1">
      <alignment horizontal="left" vertical="center"/>
    </xf>
    <xf numFmtId="0" fontId="4" fillId="3" borderId="0" xfId="0" applyFont="1" applyFill="1" applyAlignment="1">
      <alignment wrapText="1"/>
    </xf>
    <xf numFmtId="0" fontId="0" fillId="3" borderId="0" xfId="0" applyFill="1" applyAlignment="1">
      <alignment wrapText="1"/>
    </xf>
    <xf numFmtId="0" fontId="0" fillId="3" borderId="0" xfId="0" applyFill="1" applyAlignment="1">
      <alignment horizontal="center" wrapText="1"/>
    </xf>
    <xf numFmtId="0" fontId="2" fillId="3" borderId="0" xfId="0" applyFont="1" applyFill="1" applyAlignment="1">
      <alignment vertical="center" textRotation="90"/>
    </xf>
    <xf numFmtId="0" fontId="0" fillId="3" borderId="0" xfId="0" applyFill="1" applyAlignment="1">
      <alignment horizontal="right" vertical="center"/>
    </xf>
    <xf numFmtId="0" fontId="0" fillId="3" borderId="0" xfId="0" applyFill="1" applyAlignment="1">
      <alignment horizontal="center" vertical="center" wrapText="1"/>
    </xf>
    <xf numFmtId="0" fontId="24" fillId="3" borderId="0" xfId="0" applyFont="1" applyFill="1"/>
    <xf numFmtId="0" fontId="78" fillId="3" borderId="0" xfId="0" applyFont="1" applyFill="1" applyAlignment="1">
      <alignment horizontal="center"/>
    </xf>
    <xf numFmtId="0" fontId="45" fillId="3" borderId="0" xfId="0" applyFont="1" applyFill="1"/>
    <xf numFmtId="0" fontId="31" fillId="3" borderId="0" xfId="0" applyFont="1" applyFill="1" applyAlignment="1">
      <alignment vertical="center"/>
    </xf>
    <xf numFmtId="0" fontId="69" fillId="3" borderId="0" xfId="0" applyFont="1" applyFill="1" applyAlignment="1">
      <alignment vertical="top"/>
    </xf>
    <xf numFmtId="0" fontId="3" fillId="3" borderId="0" xfId="0" quotePrefix="1" applyFont="1" applyFill="1"/>
    <xf numFmtId="0" fontId="40" fillId="3" borderId="0" xfId="1" applyFill="1" applyAlignment="1"/>
    <xf numFmtId="0" fontId="81" fillId="3" borderId="0" xfId="1" applyFont="1" applyFill="1" applyBorder="1" applyAlignment="1"/>
    <xf numFmtId="0" fontId="34" fillId="3" borderId="0" xfId="0" applyFont="1" applyFill="1" applyAlignment="1">
      <alignment horizontal="center" vertical="center"/>
    </xf>
    <xf numFmtId="0" fontId="46" fillId="0" borderId="0" xfId="0" applyFont="1" applyAlignment="1">
      <alignment vertical="center"/>
    </xf>
    <xf numFmtId="0" fontId="46" fillId="0" borderId="0" xfId="0" applyFont="1" applyAlignment="1">
      <alignment horizontal="center" vertical="center"/>
    </xf>
    <xf numFmtId="2" fontId="55" fillId="0" borderId="0" xfId="0" applyNumberFormat="1" applyFont="1" applyAlignment="1">
      <alignment horizontal="center" vertical="center"/>
    </xf>
    <xf numFmtId="0" fontId="0" fillId="3" borderId="0" xfId="0" quotePrefix="1" applyFill="1"/>
    <xf numFmtId="175" fontId="46" fillId="0" borderId="0" xfId="0" applyNumberFormat="1" applyFont="1" applyAlignment="1">
      <alignment horizontal="center" vertical="center"/>
    </xf>
    <xf numFmtId="0" fontId="0" fillId="43" borderId="131" xfId="0" applyFill="1" applyBorder="1" applyAlignment="1">
      <alignment horizontal="center" vertical="center" wrapText="1"/>
    </xf>
    <xf numFmtId="0" fontId="0" fillId="43" borderId="33" xfId="0" applyFill="1" applyBorder="1" applyAlignment="1">
      <alignment horizontal="center"/>
    </xf>
    <xf numFmtId="0" fontId="34" fillId="43" borderId="6" xfId="0" applyFont="1" applyFill="1" applyBorder="1" applyAlignment="1">
      <alignment horizontal="center"/>
    </xf>
    <xf numFmtId="0" fontId="34" fillId="43" borderId="8" xfId="0" applyFont="1" applyFill="1" applyBorder="1"/>
    <xf numFmtId="0" fontId="34" fillId="43" borderId="1" xfId="0" applyFont="1" applyFill="1" applyBorder="1" applyAlignment="1">
      <alignment horizontal="center"/>
    </xf>
    <xf numFmtId="0" fontId="0" fillId="43" borderId="30" xfId="0" applyFill="1" applyBorder="1" applyAlignment="1">
      <alignment horizontal="center"/>
    </xf>
    <xf numFmtId="0" fontId="0" fillId="43" borderId="32" xfId="0" applyFill="1" applyBorder="1" applyAlignment="1">
      <alignment horizontal="center"/>
    </xf>
    <xf numFmtId="0" fontId="34" fillId="11" borderId="61" xfId="0" applyFont="1" applyFill="1" applyBorder="1" applyAlignment="1">
      <alignment horizontal="center"/>
    </xf>
    <xf numFmtId="0" fontId="34" fillId="11" borderId="80" xfId="0" applyFont="1" applyFill="1" applyBorder="1" applyAlignment="1">
      <alignment horizontal="center"/>
    </xf>
    <xf numFmtId="0" fontId="34" fillId="43" borderId="67" xfId="0" applyFont="1" applyFill="1" applyBorder="1" applyAlignment="1">
      <alignment horizontal="center"/>
    </xf>
    <xf numFmtId="0" fontId="34" fillId="43" borderId="61" xfId="0" applyFont="1" applyFill="1" applyBorder="1" applyAlignment="1">
      <alignment horizontal="center"/>
    </xf>
    <xf numFmtId="0" fontId="0" fillId="43" borderId="28" xfId="0" applyFill="1" applyBorder="1" applyAlignment="1">
      <alignment horizontal="center"/>
    </xf>
    <xf numFmtId="0" fontId="34" fillId="0" borderId="0" xfId="0" applyFont="1" applyAlignment="1">
      <alignment vertical="center"/>
    </xf>
    <xf numFmtId="0" fontId="0" fillId="43" borderId="51" xfId="0" applyFill="1" applyBorder="1" applyAlignment="1">
      <alignment horizontal="center" vertical="center" wrapText="1"/>
    </xf>
    <xf numFmtId="0" fontId="0" fillId="43" borderId="51" xfId="0" applyFill="1" applyBorder="1" applyAlignment="1">
      <alignment horizontal="center" vertical="center"/>
    </xf>
    <xf numFmtId="179" fontId="0" fillId="3" borderId="0" xfId="0" applyNumberFormat="1" applyFill="1" applyAlignment="1">
      <alignment horizontal="center"/>
    </xf>
    <xf numFmtId="0" fontId="0" fillId="8" borderId="104" xfId="0" applyFill="1" applyBorder="1" applyAlignment="1">
      <alignment horizontal="center"/>
    </xf>
    <xf numFmtId="0" fontId="0" fillId="8" borderId="100" xfId="0" applyFill="1" applyBorder="1" applyAlignment="1">
      <alignment horizontal="center"/>
    </xf>
    <xf numFmtId="0" fontId="0" fillId="0" borderId="100" xfId="0" applyBorder="1" applyAlignment="1">
      <alignment horizontal="center"/>
    </xf>
    <xf numFmtId="0" fontId="0" fillId="0" borderId="104" xfId="0" applyBorder="1" applyAlignment="1">
      <alignment horizontal="center"/>
    </xf>
    <xf numFmtId="0" fontId="0" fillId="8" borderId="105" xfId="0" applyFill="1" applyBorder="1" applyAlignment="1">
      <alignment horizontal="center"/>
    </xf>
    <xf numFmtId="0" fontId="34" fillId="0" borderId="0" xfId="0" applyFont="1" applyAlignment="1">
      <alignment horizontal="left"/>
    </xf>
    <xf numFmtId="0" fontId="0" fillId="3" borderId="51" xfId="0" applyFill="1" applyBorder="1" applyAlignment="1">
      <alignment horizontal="center" vertical="center"/>
    </xf>
    <xf numFmtId="0" fontId="0" fillId="3" borderId="192" xfId="0" applyFill="1" applyBorder="1"/>
    <xf numFmtId="0" fontId="34" fillId="3" borderId="192" xfId="0" applyFont="1" applyFill="1" applyBorder="1" applyAlignment="1" applyProtection="1">
      <alignment vertical="center"/>
      <protection locked="0"/>
    </xf>
    <xf numFmtId="0" fontId="34" fillId="3" borderId="0" xfId="0" applyFont="1" applyFill="1" applyAlignment="1" applyProtection="1">
      <alignment vertical="center"/>
      <protection locked="0"/>
    </xf>
    <xf numFmtId="0" fontId="34" fillId="3" borderId="0" xfId="0" applyFont="1" applyFill="1" applyAlignment="1">
      <alignment horizontal="center" wrapText="1"/>
    </xf>
    <xf numFmtId="0" fontId="32" fillId="3" borderId="0" xfId="0" applyFont="1" applyFill="1" applyAlignment="1">
      <alignment horizontal="center" vertical="center"/>
    </xf>
    <xf numFmtId="49" fontId="32" fillId="3" borderId="0" xfId="0" applyNumberFormat="1" applyFont="1" applyFill="1" applyAlignment="1">
      <alignment horizontal="center" vertical="center"/>
    </xf>
    <xf numFmtId="0" fontId="40" fillId="3" borderId="0" xfId="1" applyFill="1" applyBorder="1" applyAlignment="1">
      <alignment horizontal="left" vertical="center"/>
    </xf>
    <xf numFmtId="2" fontId="0" fillId="6" borderId="67" xfId="0" applyNumberFormat="1" applyFill="1" applyBorder="1" applyAlignment="1">
      <alignment horizontal="center"/>
    </xf>
    <xf numFmtId="2" fontId="0" fillId="4" borderId="67" xfId="0" applyNumberFormat="1" applyFill="1" applyBorder="1" applyAlignment="1">
      <alignment horizontal="center"/>
    </xf>
    <xf numFmtId="2" fontId="0" fillId="5" borderId="67" xfId="0" applyNumberFormat="1" applyFill="1" applyBorder="1" applyAlignment="1">
      <alignment horizontal="center"/>
    </xf>
    <xf numFmtId="2" fontId="0" fillId="5" borderId="28" xfId="0" applyNumberFormat="1" applyFill="1" applyBorder="1" applyAlignment="1">
      <alignment horizontal="center"/>
    </xf>
    <xf numFmtId="2" fontId="0" fillId="5" borderId="32" xfId="0" applyNumberFormat="1" applyFill="1" applyBorder="1" applyAlignment="1">
      <alignment horizontal="center"/>
    </xf>
    <xf numFmtId="0" fontId="0" fillId="8" borderId="100" xfId="0" applyFill="1" applyBorder="1" applyAlignment="1">
      <alignment horizontal="center" wrapText="1"/>
    </xf>
    <xf numFmtId="0" fontId="79" fillId="0" borderId="0" xfId="0" applyFont="1" applyAlignment="1">
      <alignment horizontal="left" vertical="center"/>
    </xf>
    <xf numFmtId="0" fontId="62" fillId="3" borderId="0" xfId="0" applyFont="1" applyFill="1"/>
    <xf numFmtId="0" fontId="34" fillId="3" borderId="7" xfId="0" applyFont="1" applyFill="1" applyBorder="1" applyAlignment="1" applyProtection="1">
      <alignment horizontal="center" vertical="center"/>
      <protection locked="0"/>
    </xf>
    <xf numFmtId="0" fontId="0" fillId="3" borderId="48" xfId="0" applyFill="1" applyBorder="1" applyAlignment="1">
      <alignment horizontal="left" vertical="center"/>
    </xf>
    <xf numFmtId="0" fontId="34" fillId="3" borderId="7" xfId="0" applyFont="1" applyFill="1" applyBorder="1" applyAlignment="1" applyProtection="1">
      <alignment horizontal="center" vertical="center" wrapText="1"/>
      <protection locked="0"/>
    </xf>
    <xf numFmtId="0" fontId="34" fillId="3" borderId="25" xfId="0" applyFont="1" applyFill="1" applyBorder="1" applyAlignment="1" applyProtection="1">
      <alignment horizontal="center" vertical="center"/>
      <protection locked="0"/>
    </xf>
    <xf numFmtId="0" fontId="34" fillId="3" borderId="20" xfId="0" applyFont="1" applyFill="1" applyBorder="1" applyAlignment="1" applyProtection="1">
      <alignment horizontal="center" vertical="center"/>
      <protection locked="0"/>
    </xf>
    <xf numFmtId="0" fontId="0" fillId="3" borderId="14" xfId="0" applyFill="1" applyBorder="1" applyAlignment="1">
      <alignment horizontal="left" vertical="center"/>
    </xf>
    <xf numFmtId="0" fontId="34" fillId="3" borderId="14" xfId="0" applyFont="1" applyFill="1" applyBorder="1" applyAlignment="1">
      <alignment horizontal="center" vertical="center"/>
    </xf>
    <xf numFmtId="0" fontId="34" fillId="3" borderId="20" xfId="0" applyFont="1" applyFill="1" applyBorder="1" applyAlignment="1">
      <alignment horizontal="center" vertical="center"/>
    </xf>
    <xf numFmtId="0" fontId="34" fillId="3" borderId="14" xfId="0" applyFont="1" applyFill="1" applyBorder="1" applyAlignment="1" applyProtection="1">
      <alignment horizontal="center" vertical="center"/>
      <protection locked="0"/>
    </xf>
    <xf numFmtId="0" fontId="34" fillId="7" borderId="25" xfId="0" applyFont="1" applyFill="1" applyBorder="1" applyAlignment="1" applyProtection="1">
      <alignment horizontal="center" vertical="center"/>
      <protection locked="0"/>
    </xf>
    <xf numFmtId="0" fontId="34" fillId="7" borderId="20" xfId="0" applyFont="1" applyFill="1" applyBorder="1" applyAlignment="1" applyProtection="1">
      <alignment horizontal="center" vertical="center"/>
      <protection locked="0"/>
    </xf>
    <xf numFmtId="0" fontId="77" fillId="3" borderId="0" xfId="0" applyFont="1" applyFill="1" applyAlignment="1">
      <alignment horizontal="left" wrapText="1"/>
    </xf>
    <xf numFmtId="0" fontId="0" fillId="6" borderId="0" xfId="0" applyFill="1" applyAlignment="1">
      <alignment horizontal="right"/>
    </xf>
    <xf numFmtId="0" fontId="0" fillId="6" borderId="0" xfId="0" applyFill="1" applyAlignment="1" applyProtection="1">
      <alignment horizontal="right"/>
      <protection locked="0"/>
    </xf>
    <xf numFmtId="171" fontId="0" fillId="6" borderId="0" xfId="0" applyNumberFormat="1" applyFill="1" applyAlignment="1">
      <alignment horizontal="right"/>
    </xf>
    <xf numFmtId="170" fontId="0" fillId="6" borderId="0" xfId="0" applyNumberFormat="1" applyFill="1" applyAlignment="1">
      <alignment horizontal="right"/>
    </xf>
    <xf numFmtId="2" fontId="0" fillId="6" borderId="20" xfId="0" applyNumberFormat="1" applyFill="1" applyBorder="1" applyAlignment="1">
      <alignment horizontal="right"/>
    </xf>
    <xf numFmtId="2" fontId="0" fillId="4" borderId="132" xfId="0" applyNumberFormat="1" applyFill="1" applyBorder="1" applyAlignment="1">
      <alignment horizontal="center"/>
    </xf>
    <xf numFmtId="0" fontId="58" fillId="3" borderId="0" xfId="1" applyFont="1" applyFill="1" applyBorder="1" applyAlignment="1">
      <alignment horizontal="left"/>
    </xf>
    <xf numFmtId="0" fontId="34" fillId="3" borderId="25" xfId="0" applyFont="1" applyFill="1" applyBorder="1" applyAlignment="1">
      <alignment horizontal="center" vertical="top"/>
    </xf>
    <xf numFmtId="0" fontId="34" fillId="3" borderId="16" xfId="0" applyFont="1" applyFill="1" applyBorder="1" applyAlignment="1">
      <alignment horizontal="center" vertical="top"/>
    </xf>
    <xf numFmtId="0" fontId="34" fillId="7" borderId="0" xfId="0" applyFont="1" applyFill="1" applyAlignment="1" applyProtection="1">
      <alignment horizontal="center" vertical="center"/>
      <protection locked="0"/>
    </xf>
    <xf numFmtId="0" fontId="84" fillId="3" borderId="0" xfId="0" applyFont="1" applyFill="1"/>
    <xf numFmtId="0" fontId="0" fillId="3" borderId="91" xfId="0" applyFill="1" applyBorder="1" applyAlignment="1">
      <alignment horizontal="center" vertical="center" wrapText="1"/>
    </xf>
    <xf numFmtId="0" fontId="0" fillId="3" borderId="92" xfId="0" applyFill="1" applyBorder="1" applyAlignment="1">
      <alignment horizontal="center" vertical="center" wrapText="1"/>
    </xf>
    <xf numFmtId="0" fontId="0" fillId="3" borderId="93" xfId="0" applyFill="1" applyBorder="1" applyAlignment="1">
      <alignment horizontal="center" vertical="center" wrapText="1"/>
    </xf>
    <xf numFmtId="0" fontId="0" fillId="3" borderId="0" xfId="0" applyFill="1" applyAlignment="1">
      <alignment vertical="top" wrapText="1"/>
    </xf>
    <xf numFmtId="0" fontId="87" fillId="3" borderId="0" xfId="1" applyFont="1" applyFill="1" applyBorder="1" applyAlignment="1">
      <alignment horizontal="left" vertical="center"/>
    </xf>
    <xf numFmtId="0" fontId="46" fillId="3" borderId="0" xfId="1" applyFont="1" applyFill="1" applyBorder="1" applyAlignment="1">
      <alignment horizontal="left" vertical="center"/>
    </xf>
    <xf numFmtId="0" fontId="0" fillId="3" borderId="98" xfId="0" applyFill="1" applyBorder="1" applyAlignment="1">
      <alignment horizontal="left" vertical="center"/>
    </xf>
    <xf numFmtId="0" fontId="34" fillId="3" borderId="98" xfId="0" applyFont="1" applyFill="1" applyBorder="1" applyAlignment="1" applyProtection="1">
      <alignment horizontal="center" vertical="center"/>
      <protection locked="0"/>
    </xf>
    <xf numFmtId="2" fontId="0" fillId="5" borderId="29" xfId="0" applyNumberFormat="1" applyFill="1" applyBorder="1" applyAlignment="1">
      <alignment horizontal="center"/>
    </xf>
    <xf numFmtId="2" fontId="0" fillId="5" borderId="1" xfId="0" applyNumberFormat="1" applyFill="1" applyBorder="1" applyAlignment="1">
      <alignment horizontal="center" vertical="center"/>
    </xf>
    <xf numFmtId="2" fontId="0" fillId="5" borderId="38" xfId="0" applyNumberFormat="1" applyFill="1" applyBorder="1" applyAlignment="1">
      <alignment horizontal="center" vertical="center"/>
    </xf>
    <xf numFmtId="2" fontId="0" fillId="5" borderId="72" xfId="0" applyNumberFormat="1" applyFill="1" applyBorder="1" applyAlignment="1">
      <alignment horizontal="center" vertical="center"/>
    </xf>
    <xf numFmtId="2" fontId="0" fillId="5" borderId="73" xfId="0" applyNumberFormat="1" applyFill="1" applyBorder="1" applyAlignment="1">
      <alignment horizontal="center" vertical="center"/>
    </xf>
    <xf numFmtId="0" fontId="0" fillId="0" borderId="41" xfId="0" applyBorder="1" applyAlignment="1">
      <alignment horizontal="center"/>
    </xf>
    <xf numFmtId="0" fontId="13" fillId="2" borderId="55" xfId="0" applyFont="1" applyFill="1" applyBorder="1" applyAlignment="1" applyProtection="1">
      <alignment horizontal="center"/>
      <protection hidden="1"/>
    </xf>
    <xf numFmtId="0" fontId="0" fillId="2" borderId="195" xfId="0" applyFill="1" applyBorder="1" applyAlignment="1">
      <alignment horizontal="center"/>
    </xf>
    <xf numFmtId="0" fontId="0" fillId="6" borderId="20" xfId="0" applyFill="1" applyBorder="1"/>
    <xf numFmtId="0" fontId="0" fillId="6" borderId="50" xfId="0" applyFill="1" applyBorder="1"/>
    <xf numFmtId="0" fontId="0" fillId="3" borderId="20" xfId="0" applyFill="1" applyBorder="1" applyAlignment="1" applyProtection="1">
      <alignment horizontal="center"/>
      <protection hidden="1"/>
    </xf>
    <xf numFmtId="0" fontId="13" fillId="3" borderId="20" xfId="0" applyFont="1" applyFill="1" applyBorder="1" applyAlignment="1" applyProtection="1">
      <alignment horizontal="center"/>
      <protection hidden="1"/>
    </xf>
    <xf numFmtId="0" fontId="4" fillId="9" borderId="20" xfId="0" applyFont="1" applyFill="1" applyBorder="1" applyAlignment="1">
      <alignment horizontal="left"/>
    </xf>
    <xf numFmtId="0" fontId="71" fillId="3" borderId="0" xfId="1" applyFont="1" applyFill="1" applyAlignment="1">
      <alignment horizontal="center"/>
    </xf>
    <xf numFmtId="0" fontId="40" fillId="0" borderId="20" xfId="1" applyBorder="1"/>
    <xf numFmtId="0" fontId="40" fillId="0" borderId="0" xfId="1" applyFill="1" applyBorder="1"/>
    <xf numFmtId="0" fontId="58" fillId="0" borderId="0" xfId="1" applyFont="1" applyBorder="1" applyAlignment="1">
      <alignment horizontal="left"/>
    </xf>
    <xf numFmtId="0" fontId="81" fillId="3" borderId="0" xfId="1" applyFont="1" applyFill="1" applyAlignment="1"/>
    <xf numFmtId="0" fontId="71" fillId="3" borderId="0" xfId="1" applyFont="1" applyFill="1" applyAlignment="1"/>
    <xf numFmtId="0" fontId="71" fillId="3" borderId="0" xfId="1" applyFont="1" applyFill="1" applyAlignment="1">
      <alignment vertical="center"/>
    </xf>
    <xf numFmtId="0" fontId="26" fillId="0" borderId="0" xfId="0" applyFont="1" applyAlignment="1">
      <alignment horizontal="center"/>
    </xf>
    <xf numFmtId="0" fontId="26" fillId="0" borderId="0" xfId="0" applyFont="1" applyAlignment="1">
      <alignment horizontal="center" vertical="center"/>
    </xf>
    <xf numFmtId="2" fontId="0" fillId="0" borderId="0" xfId="0" applyNumberFormat="1" applyAlignment="1">
      <alignment horizontal="left" vertical="center"/>
    </xf>
    <xf numFmtId="0" fontId="2" fillId="3" borderId="25" xfId="0" applyFont="1" applyFill="1" applyBorder="1"/>
    <xf numFmtId="0" fontId="0" fillId="3" borderId="45" xfId="0" applyFill="1" applyBorder="1"/>
    <xf numFmtId="0" fontId="34" fillId="3" borderId="41" xfId="0" applyFont="1" applyFill="1" applyBorder="1"/>
    <xf numFmtId="0" fontId="0" fillId="3" borderId="50" xfId="0" applyFill="1" applyBorder="1"/>
    <xf numFmtId="0" fontId="88" fillId="3" borderId="0" xfId="0" applyFont="1" applyFill="1"/>
    <xf numFmtId="181" fontId="11" fillId="2" borderId="11" xfId="0" applyNumberFormat="1" applyFont="1" applyFill="1" applyBorder="1" applyProtection="1">
      <protection hidden="1"/>
    </xf>
    <xf numFmtId="171" fontId="0" fillId="2" borderId="41" xfId="0" applyNumberFormat="1" applyFill="1" applyBorder="1" applyAlignment="1">
      <alignment horizontal="left"/>
    </xf>
    <xf numFmtId="0" fontId="34" fillId="3" borderId="166" xfId="0" applyFont="1" applyFill="1" applyBorder="1" applyAlignment="1">
      <alignment horizontal="center" vertical="center" wrapText="1"/>
    </xf>
    <xf numFmtId="0" fontId="2" fillId="0" borderId="0" xfId="0" applyFont="1" applyAlignment="1">
      <alignment vertical="center"/>
    </xf>
    <xf numFmtId="2" fontId="0" fillId="5" borderId="6" xfId="0" applyNumberFormat="1" applyFill="1" applyBorder="1" applyAlignment="1">
      <alignment horizontal="center"/>
    </xf>
    <xf numFmtId="2" fontId="0" fillId="5" borderId="59" xfId="0" applyNumberFormat="1" applyFill="1" applyBorder="1" applyAlignment="1">
      <alignment horizontal="center"/>
    </xf>
    <xf numFmtId="2" fontId="0" fillId="5" borderId="94" xfId="0" applyNumberFormat="1" applyFill="1" applyBorder="1" applyAlignment="1">
      <alignment horizontal="center"/>
    </xf>
    <xf numFmtId="0" fontId="40" fillId="3" borderId="32" xfId="1" applyFill="1" applyBorder="1" applyAlignment="1">
      <alignment vertical="center"/>
    </xf>
    <xf numFmtId="0" fontId="40" fillId="3" borderId="67" xfId="1" applyFill="1" applyBorder="1" applyAlignment="1">
      <alignment vertical="center"/>
    </xf>
    <xf numFmtId="0" fontId="0" fillId="0" borderId="0" xfId="0" quotePrefix="1" applyAlignment="1">
      <alignment horizontal="left"/>
    </xf>
    <xf numFmtId="0" fontId="0" fillId="0" borderId="78" xfId="0" applyBorder="1"/>
    <xf numFmtId="0" fontId="0" fillId="0" borderId="48" xfId="0" applyBorder="1"/>
    <xf numFmtId="182" fontId="0" fillId="0" borderId="0" xfId="0" applyNumberFormat="1"/>
    <xf numFmtId="22" fontId="0" fillId="0" borderId="0" xfId="0" applyNumberFormat="1"/>
    <xf numFmtId="0" fontId="0" fillId="0" borderId="7" xfId="0" applyBorder="1"/>
    <xf numFmtId="0" fontId="0" fillId="0" borderId="46" xfId="0" applyBorder="1"/>
    <xf numFmtId="0" fontId="0" fillId="3" borderId="163" xfId="0" applyFill="1" applyBorder="1" applyAlignment="1">
      <alignment horizontal="center" vertical="center"/>
    </xf>
    <xf numFmtId="0" fontId="26" fillId="0" borderId="0" xfId="0" applyFont="1" applyAlignment="1">
      <alignment horizontal="center" vertical="center" wrapText="1"/>
    </xf>
    <xf numFmtId="0" fontId="0" fillId="3" borderId="146" xfId="0" applyFill="1" applyBorder="1" applyAlignment="1">
      <alignment horizontal="center"/>
    </xf>
    <xf numFmtId="0" fontId="67" fillId="3" borderId="0" xfId="0" applyFont="1" applyFill="1" applyAlignment="1">
      <alignment horizontal="left" wrapText="1"/>
    </xf>
    <xf numFmtId="0" fontId="84" fillId="3" borderId="0" xfId="0" applyFont="1" applyFill="1" applyAlignment="1">
      <alignment horizontal="center"/>
    </xf>
    <xf numFmtId="0" fontId="0" fillId="3" borderId="1" xfId="0" applyFill="1" applyBorder="1" applyAlignment="1">
      <alignment horizontal="center"/>
    </xf>
    <xf numFmtId="0" fontId="40" fillId="3" borderId="61" xfId="1" applyFill="1" applyBorder="1" applyAlignment="1">
      <alignment vertical="center"/>
    </xf>
    <xf numFmtId="0" fontId="40" fillId="3" borderId="136" xfId="1" applyFill="1" applyBorder="1" applyAlignment="1">
      <alignment vertical="center"/>
    </xf>
    <xf numFmtId="0" fontId="0" fillId="3" borderId="79" xfId="0" applyFill="1" applyBorder="1"/>
    <xf numFmtId="0" fontId="0" fillId="0" borderId="59" xfId="0" applyBorder="1"/>
    <xf numFmtId="0" fontId="0" fillId="3" borderId="78" xfId="0" applyFill="1" applyBorder="1" applyAlignment="1">
      <alignment vertical="center"/>
    </xf>
    <xf numFmtId="0" fontId="0" fillId="3" borderId="48" xfId="0" applyFill="1" applyBorder="1" applyAlignment="1">
      <alignment vertical="center"/>
    </xf>
    <xf numFmtId="0" fontId="0" fillId="3" borderId="79" xfId="0" applyFill="1" applyBorder="1" applyAlignment="1">
      <alignment vertical="center"/>
    </xf>
    <xf numFmtId="0" fontId="0" fillId="3" borderId="59" xfId="0" applyFill="1" applyBorder="1" applyAlignment="1">
      <alignment vertical="center"/>
    </xf>
    <xf numFmtId="0" fontId="0" fillId="3" borderId="7" xfId="0" applyFill="1" applyBorder="1" applyAlignment="1">
      <alignment vertical="center"/>
    </xf>
    <xf numFmtId="0" fontId="0" fillId="3" borderId="46" xfId="0" applyFill="1" applyBorder="1" applyAlignment="1">
      <alignment vertical="center"/>
    </xf>
    <xf numFmtId="0" fontId="0" fillId="0" borderId="33" xfId="0" applyBorder="1"/>
    <xf numFmtId="0" fontId="0" fillId="0" borderId="1" xfId="0" applyBorder="1"/>
    <xf numFmtId="0" fontId="0" fillId="0" borderId="32" xfId="0" applyBorder="1"/>
    <xf numFmtId="0" fontId="0" fillId="0" borderId="67" xfId="0" applyBorder="1"/>
    <xf numFmtId="0" fontId="0" fillId="0" borderId="6" xfId="0" applyBorder="1"/>
    <xf numFmtId="0" fontId="0" fillId="0" borderId="61" xfId="0" applyBorder="1"/>
    <xf numFmtId="0" fontId="0" fillId="0" borderId="127" xfId="0" applyBorder="1"/>
    <xf numFmtId="0" fontId="0" fillId="0" borderId="128" xfId="0" applyBorder="1"/>
    <xf numFmtId="0" fontId="0" fillId="9" borderId="128" xfId="0" applyFill="1" applyBorder="1"/>
    <xf numFmtId="0" fontId="0" fillId="0" borderId="196" xfId="0" applyBorder="1"/>
    <xf numFmtId="0" fontId="0" fillId="0" borderId="28" xfId="0" applyBorder="1" applyAlignment="1">
      <alignment horizontal="center"/>
    </xf>
    <xf numFmtId="0" fontId="0" fillId="6" borderId="41" xfId="0" applyFill="1" applyBorder="1"/>
    <xf numFmtId="0" fontId="46" fillId="9" borderId="49" xfId="0" applyFont="1" applyFill="1" applyBorder="1" applyAlignment="1">
      <alignment vertical="center"/>
    </xf>
    <xf numFmtId="2" fontId="55" fillId="9" borderId="20" xfId="0" applyNumberFormat="1" applyFont="1" applyFill="1" applyBorder="1" applyAlignment="1">
      <alignment vertical="center"/>
    </xf>
    <xf numFmtId="175" fontId="46" fillId="9" borderId="20" xfId="0" applyNumberFormat="1" applyFont="1" applyFill="1" applyBorder="1" applyAlignment="1">
      <alignment vertical="center"/>
    </xf>
    <xf numFmtId="2" fontId="55" fillId="9" borderId="50" xfId="0" applyNumberFormat="1" applyFont="1" applyFill="1" applyBorder="1" applyAlignment="1">
      <alignment vertical="center"/>
    </xf>
    <xf numFmtId="0" fontId="0" fillId="9" borderId="89" xfId="0" applyFill="1" applyBorder="1" applyAlignment="1">
      <alignment horizontal="center"/>
    </xf>
    <xf numFmtId="0" fontId="0" fillId="0" borderId="0" xfId="0" applyAlignment="1">
      <alignment horizontal="center" vertical="center" wrapText="1"/>
    </xf>
    <xf numFmtId="0" fontId="26" fillId="0" borderId="0" xfId="0" applyFont="1" applyAlignment="1">
      <alignment vertical="center"/>
    </xf>
    <xf numFmtId="0" fontId="0" fillId="0" borderId="150" xfId="0" applyBorder="1"/>
    <xf numFmtId="0" fontId="0" fillId="0" borderId="150" xfId="0" applyBorder="1" applyAlignment="1">
      <alignment vertical="center"/>
    </xf>
    <xf numFmtId="0" fontId="0" fillId="0" borderId="150" xfId="0" applyBorder="1" applyAlignment="1">
      <alignment horizontal="center"/>
    </xf>
    <xf numFmtId="0" fontId="0" fillId="0" borderId="147" xfId="0" applyBorder="1" applyAlignment="1">
      <alignment horizontal="center"/>
    </xf>
    <xf numFmtId="12" fontId="0" fillId="0" borderId="147" xfId="0" applyNumberFormat="1" applyBorder="1" applyAlignment="1">
      <alignment horizontal="center"/>
    </xf>
    <xf numFmtId="12" fontId="0" fillId="0" borderId="0" xfId="0" applyNumberFormat="1" applyAlignment="1">
      <alignment horizontal="center"/>
    </xf>
    <xf numFmtId="0" fontId="0" fillId="0" borderId="198" xfId="0" applyBorder="1"/>
    <xf numFmtId="0" fontId="0" fillId="0" borderId="199" xfId="0" applyBorder="1"/>
    <xf numFmtId="1" fontId="17" fillId="0" borderId="58" xfId="0" applyNumberFormat="1" applyFont="1" applyBorder="1" applyAlignment="1">
      <alignment horizontal="center"/>
    </xf>
    <xf numFmtId="1" fontId="17" fillId="0" borderId="182" xfId="0" applyNumberFormat="1" applyFont="1" applyBorder="1" applyAlignment="1">
      <alignment horizontal="center"/>
    </xf>
    <xf numFmtId="0" fontId="17" fillId="0" borderId="200" xfId="0" applyFont="1" applyBorder="1" applyAlignment="1">
      <alignment horizontal="center"/>
    </xf>
    <xf numFmtId="0" fontId="0" fillId="0" borderId="197" xfId="0" applyBorder="1"/>
    <xf numFmtId="2" fontId="0" fillId="0" borderId="197" xfId="0" applyNumberFormat="1" applyBorder="1" applyAlignment="1">
      <alignment horizontal="center"/>
    </xf>
    <xf numFmtId="0" fontId="57" fillId="0" borderId="119" xfId="0" applyFont="1" applyBorder="1" applyAlignment="1">
      <alignment horizontal="center" vertical="center"/>
    </xf>
    <xf numFmtId="0" fontId="57" fillId="0" borderId="161" xfId="0" applyFont="1" applyBorder="1" applyAlignment="1">
      <alignment horizontal="center" vertical="center"/>
    </xf>
    <xf numFmtId="0" fontId="57" fillId="0" borderId="160" xfId="0" applyFont="1" applyBorder="1" applyAlignment="1">
      <alignment horizontal="center" vertical="center"/>
    </xf>
    <xf numFmtId="0" fontId="2" fillId="0" borderId="160" xfId="0" applyFont="1" applyBorder="1" applyAlignment="1">
      <alignment horizontal="center"/>
    </xf>
    <xf numFmtId="0" fontId="0" fillId="0" borderId="89" xfId="0" applyBorder="1"/>
    <xf numFmtId="0" fontId="2" fillId="0" borderId="89" xfId="0" applyFont="1" applyBorder="1" applyAlignment="1">
      <alignment horizontal="center"/>
    </xf>
    <xf numFmtId="2" fontId="0" fillId="0" borderId="30" xfId="0" applyNumberFormat="1" applyBorder="1" applyAlignment="1">
      <alignment horizontal="center"/>
    </xf>
    <xf numFmtId="0" fontId="0" fillId="0" borderId="33" xfId="0" applyBorder="1" applyAlignment="1">
      <alignment horizontal="center" vertical="center"/>
    </xf>
    <xf numFmtId="0" fontId="0" fillId="0" borderId="32" xfId="0" applyBorder="1" applyAlignment="1">
      <alignment horizontal="center"/>
    </xf>
    <xf numFmtId="0" fontId="74" fillId="0" borderId="0" xfId="0" applyFont="1" applyAlignment="1">
      <alignment vertical="center"/>
    </xf>
    <xf numFmtId="0" fontId="2" fillId="0" borderId="21" xfId="0" applyFont="1" applyBorder="1" applyAlignment="1">
      <alignment horizontal="center"/>
    </xf>
    <xf numFmtId="0" fontId="2" fillId="0" borderId="25" xfId="0" applyFont="1" applyBorder="1" applyAlignment="1">
      <alignment horizontal="center"/>
    </xf>
    <xf numFmtId="0" fontId="2" fillId="0" borderId="45" xfId="0" applyFont="1"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47" xfId="0" applyBorder="1" applyAlignment="1">
      <alignment wrapText="1"/>
    </xf>
    <xf numFmtId="0" fontId="27" fillId="0" borderId="0" xfId="0" applyFont="1" applyAlignment="1">
      <alignment horizontal="center" vertical="center" wrapText="1"/>
    </xf>
    <xf numFmtId="0" fontId="27" fillId="0" borderId="47" xfId="0" applyFont="1" applyBorder="1" applyAlignment="1">
      <alignment vertical="center" wrapText="1"/>
    </xf>
    <xf numFmtId="0" fontId="0" fillId="0" borderId="47" xfId="0" applyBorder="1" applyAlignment="1">
      <alignment horizontal="center" vertical="center" wrapText="1"/>
    </xf>
    <xf numFmtId="0" fontId="0" fillId="0" borderId="0" xfId="0" quotePrefix="1" applyAlignment="1">
      <alignment horizontal="center" wrapText="1"/>
    </xf>
    <xf numFmtId="0" fontId="26" fillId="0" borderId="0" xfId="0" applyFont="1" applyAlignment="1">
      <alignment vertical="center" wrapText="1"/>
    </xf>
    <xf numFmtId="1" fontId="0" fillId="0" borderId="0" xfId="0" applyNumberFormat="1" applyAlignment="1">
      <alignment horizontal="right"/>
    </xf>
    <xf numFmtId="0" fontId="0" fillId="0" borderId="40" xfId="0" applyBorder="1"/>
    <xf numFmtId="0" fontId="0" fillId="0" borderId="201" xfId="0" applyBorder="1"/>
    <xf numFmtId="0" fontId="0" fillId="0" borderId="202" xfId="0" applyBorder="1"/>
    <xf numFmtId="0" fontId="74" fillId="3" borderId="0" xfId="0" applyFont="1" applyFill="1" applyAlignment="1">
      <alignment horizontal="center" vertical="center" textRotation="90"/>
    </xf>
    <xf numFmtId="49" fontId="0" fillId="3" borderId="163" xfId="0" applyNumberFormat="1" applyFill="1" applyBorder="1" applyAlignment="1">
      <alignment horizontal="center" vertical="center"/>
    </xf>
    <xf numFmtId="49" fontId="0" fillId="3" borderId="163" xfId="0" applyNumberFormat="1" applyFill="1" applyBorder="1" applyAlignment="1">
      <alignment horizontal="center"/>
    </xf>
    <xf numFmtId="0" fontId="34" fillId="3" borderId="25" xfId="0" applyFont="1" applyFill="1" applyBorder="1" applyAlignment="1">
      <alignment horizontal="center" wrapText="1"/>
    </xf>
    <xf numFmtId="0" fontId="34" fillId="3" borderId="127" xfId="0" applyFont="1" applyFill="1" applyBorder="1" applyAlignment="1">
      <alignment vertical="center"/>
    </xf>
    <xf numFmtId="49" fontId="32" fillId="3" borderId="207" xfId="0" applyNumberFormat="1" applyFont="1" applyFill="1" applyBorder="1" applyAlignment="1">
      <alignment horizontal="center" vertical="center"/>
    </xf>
    <xf numFmtId="49" fontId="32" fillId="3" borderId="208" xfId="0" applyNumberFormat="1" applyFont="1" applyFill="1" applyBorder="1" applyAlignment="1">
      <alignment horizontal="center" vertical="center"/>
    </xf>
    <xf numFmtId="49" fontId="0" fillId="3" borderId="207" xfId="0" applyNumberFormat="1" applyFill="1" applyBorder="1" applyAlignment="1">
      <alignment horizontal="center" vertical="center"/>
    </xf>
    <xf numFmtId="49" fontId="0" fillId="3" borderId="208" xfId="0" applyNumberFormat="1" applyFill="1" applyBorder="1" applyAlignment="1">
      <alignment horizontal="center" vertical="center"/>
    </xf>
    <xf numFmtId="0" fontId="0" fillId="3" borderId="93" xfId="0" applyFill="1" applyBorder="1" applyAlignment="1">
      <alignment horizontal="center" vertical="center"/>
    </xf>
    <xf numFmtId="49" fontId="0" fillId="3" borderId="210" xfId="0" applyNumberFormat="1" applyFill="1" applyBorder="1" applyAlignment="1">
      <alignment horizontal="center" vertical="center"/>
    </xf>
    <xf numFmtId="0" fontId="34" fillId="3" borderId="0" xfId="0" applyFont="1" applyFill="1" applyAlignment="1">
      <alignment vertical="center" textRotation="90" wrapText="1"/>
    </xf>
    <xf numFmtId="0" fontId="29" fillId="3" borderId="0" xfId="0" applyFont="1" applyFill="1" applyAlignment="1">
      <alignment horizontal="center" vertical="center"/>
    </xf>
    <xf numFmtId="49" fontId="0" fillId="3" borderId="146" xfId="0" applyNumberFormat="1" applyFill="1" applyBorder="1" applyAlignment="1">
      <alignment horizontal="center"/>
    </xf>
    <xf numFmtId="49" fontId="0" fillId="3" borderId="119" xfId="0" applyNumberFormat="1" applyFill="1" applyBorder="1" applyAlignment="1">
      <alignment horizontal="center"/>
    </xf>
    <xf numFmtId="0" fontId="0" fillId="3" borderId="89" xfId="0" applyFill="1" applyBorder="1" applyAlignment="1">
      <alignment horizontal="center" vertical="center"/>
    </xf>
    <xf numFmtId="49" fontId="0" fillId="2" borderId="89" xfId="0" applyNumberFormat="1" applyFill="1" applyBorder="1" applyAlignment="1">
      <alignment horizontal="center" vertical="center"/>
    </xf>
    <xf numFmtId="0" fontId="74" fillId="0" borderId="0" xfId="0" applyFont="1" applyAlignment="1">
      <alignment horizontal="center"/>
    </xf>
    <xf numFmtId="0" fontId="0" fillId="0" borderId="150" xfId="0" applyBorder="1" applyAlignment="1">
      <alignment horizontal="center" vertical="center"/>
    </xf>
    <xf numFmtId="49" fontId="0" fillId="0" borderId="0" xfId="0" applyNumberFormat="1" applyAlignment="1">
      <alignment vertical="center"/>
    </xf>
    <xf numFmtId="0" fontId="67" fillId="3" borderId="0" xfId="0" applyFont="1" applyFill="1" applyAlignment="1">
      <alignment horizontal="left"/>
    </xf>
    <xf numFmtId="0" fontId="0" fillId="9" borderId="163" xfId="0" applyFill="1" applyBorder="1" applyAlignment="1">
      <alignment horizontal="center"/>
    </xf>
    <xf numFmtId="0" fontId="0" fillId="9" borderId="146" xfId="0" applyFill="1" applyBorder="1" applyAlignment="1">
      <alignment horizontal="center"/>
    </xf>
    <xf numFmtId="0" fontId="0" fillId="9" borderId="119" xfId="0" applyFill="1" applyBorder="1" applyAlignment="1">
      <alignment horizontal="center"/>
    </xf>
    <xf numFmtId="0" fontId="0" fillId="9" borderId="163" xfId="0" applyFill="1" applyBorder="1" applyAlignment="1">
      <alignment horizontal="center" vertical="center"/>
    </xf>
    <xf numFmtId="0" fontId="0" fillId="9" borderId="89" xfId="0" applyFill="1" applyBorder="1" applyAlignment="1">
      <alignment horizontal="center" vertical="center"/>
    </xf>
    <xf numFmtId="49" fontId="0" fillId="9" borderId="163" xfId="0" applyNumberFormat="1" applyFill="1" applyBorder="1" applyAlignment="1">
      <alignment horizontal="center"/>
    </xf>
    <xf numFmtId="49" fontId="0" fillId="9" borderId="146" xfId="0" applyNumberFormat="1" applyFill="1" applyBorder="1" applyAlignment="1">
      <alignment horizontal="center"/>
    </xf>
    <xf numFmtId="49" fontId="0" fillId="9" borderId="119" xfId="0" applyNumberFormat="1" applyFill="1" applyBorder="1" applyAlignment="1">
      <alignment horizontal="center"/>
    </xf>
    <xf numFmtId="49" fontId="0" fillId="9" borderId="163" xfId="0" applyNumberFormat="1" applyFill="1" applyBorder="1" applyAlignment="1">
      <alignment horizontal="center" vertical="center"/>
    </xf>
    <xf numFmtId="49" fontId="0" fillId="9" borderId="89" xfId="0" applyNumberFormat="1" applyFill="1" applyBorder="1" applyAlignment="1">
      <alignment horizontal="center" vertical="center"/>
    </xf>
    <xf numFmtId="0" fontId="0" fillId="9" borderId="1" xfId="0" applyFill="1" applyBorder="1" applyAlignment="1">
      <alignment horizontal="center"/>
    </xf>
    <xf numFmtId="49" fontId="0" fillId="3" borderId="92" xfId="0" applyNumberFormat="1" applyFill="1" applyBorder="1" applyAlignment="1">
      <alignment horizontal="center" vertical="center"/>
    </xf>
    <xf numFmtId="0" fontId="67" fillId="3" borderId="0" xfId="0" applyFont="1" applyFill="1"/>
    <xf numFmtId="49" fontId="0" fillId="3" borderId="213" xfId="0" applyNumberFormat="1" applyFill="1" applyBorder="1" applyAlignment="1">
      <alignment horizontal="center" vertical="center"/>
    </xf>
    <xf numFmtId="49" fontId="0" fillId="3" borderId="214" xfId="0" applyNumberFormat="1" applyFill="1" applyBorder="1" applyAlignment="1">
      <alignment horizontal="center" vertical="center"/>
    </xf>
    <xf numFmtId="49" fontId="32" fillId="3" borderId="213" xfId="0" applyNumberFormat="1" applyFont="1" applyFill="1" applyBorder="1" applyAlignment="1">
      <alignment horizontal="center" vertical="center"/>
    </xf>
    <xf numFmtId="49" fontId="32" fillId="3" borderId="214" xfId="0" applyNumberFormat="1" applyFont="1" applyFill="1" applyBorder="1" applyAlignment="1">
      <alignment horizontal="center" vertical="center"/>
    </xf>
    <xf numFmtId="49" fontId="32" fillId="3" borderId="215" xfId="0" applyNumberFormat="1" applyFont="1" applyFill="1" applyBorder="1" applyAlignment="1">
      <alignment horizontal="center" vertical="center"/>
    </xf>
    <xf numFmtId="0" fontId="0" fillId="3" borderId="212" xfId="0" applyFill="1" applyBorder="1" applyAlignment="1">
      <alignment horizontal="center" vertical="center"/>
    </xf>
    <xf numFmtId="0" fontId="0" fillId="3" borderId="199" xfId="0" applyFill="1" applyBorder="1" applyAlignment="1">
      <alignment horizontal="center" vertical="center"/>
    </xf>
    <xf numFmtId="0" fontId="0" fillId="3" borderId="92" xfId="0" applyFill="1" applyBorder="1" applyAlignment="1">
      <alignment horizontal="center"/>
    </xf>
    <xf numFmtId="0" fontId="0" fillId="3" borderId="207" xfId="0" applyFill="1" applyBorder="1" applyAlignment="1">
      <alignment horizontal="center" vertical="center"/>
    </xf>
    <xf numFmtId="0" fontId="0" fillId="3" borderId="208" xfId="0" applyFill="1" applyBorder="1" applyAlignment="1">
      <alignment horizontal="center" vertical="center"/>
    </xf>
    <xf numFmtId="0" fontId="0" fillId="3" borderId="210" xfId="0" applyFill="1" applyBorder="1" applyAlignment="1">
      <alignment horizontal="center"/>
    </xf>
    <xf numFmtId="0" fontId="0" fillId="3" borderId="72" xfId="0" applyFill="1" applyBorder="1" applyAlignment="1">
      <alignment horizontal="center"/>
    </xf>
    <xf numFmtId="0" fontId="0" fillId="3" borderId="6" xfId="0" applyFill="1" applyBorder="1" applyAlignment="1">
      <alignment horizontal="center"/>
    </xf>
    <xf numFmtId="0" fontId="0" fillId="3" borderId="39" xfId="0" applyFill="1" applyBorder="1" applyAlignment="1">
      <alignment horizontal="center"/>
    </xf>
    <xf numFmtId="0" fontId="0" fillId="3" borderId="36" xfId="0" applyFill="1" applyBorder="1" applyAlignment="1">
      <alignment horizontal="center"/>
    </xf>
    <xf numFmtId="0" fontId="0" fillId="3" borderId="73" xfId="0" applyFill="1" applyBorder="1" applyAlignment="1">
      <alignment horizontal="center"/>
    </xf>
    <xf numFmtId="0" fontId="0" fillId="3" borderId="181" xfId="0" applyFill="1" applyBorder="1" applyAlignment="1">
      <alignment horizontal="center"/>
    </xf>
    <xf numFmtId="2" fontId="17" fillId="3" borderId="66" xfId="0" applyNumberFormat="1" applyFont="1" applyFill="1" applyBorder="1" applyAlignment="1">
      <alignment horizontal="center" wrapText="1"/>
    </xf>
    <xf numFmtId="176" fontId="63" fillId="3" borderId="58" xfId="0" applyNumberFormat="1" applyFont="1" applyFill="1" applyBorder="1" applyAlignment="1">
      <alignment horizontal="center"/>
    </xf>
    <xf numFmtId="0" fontId="17" fillId="3" borderId="143" xfId="0" applyFont="1" applyFill="1" applyBorder="1" applyAlignment="1">
      <alignment horizontal="center" vertical="center"/>
    </xf>
    <xf numFmtId="0" fontId="17" fillId="3" borderId="66" xfId="0" applyFont="1" applyFill="1" applyBorder="1" applyAlignment="1">
      <alignment horizontal="center" vertical="center" wrapText="1"/>
    </xf>
    <xf numFmtId="0" fontId="17" fillId="3" borderId="66" xfId="0" applyFont="1" applyFill="1" applyBorder="1" applyAlignment="1">
      <alignment horizontal="center" vertical="center"/>
    </xf>
    <xf numFmtId="0" fontId="17" fillId="3" borderId="66" xfId="0" applyFont="1" applyFill="1" applyBorder="1" applyAlignment="1">
      <alignment horizontal="center"/>
    </xf>
    <xf numFmtId="0" fontId="0" fillId="3" borderId="1" xfId="0" applyFill="1" applyBorder="1" applyAlignment="1">
      <alignment horizontal="center" vertical="center"/>
    </xf>
    <xf numFmtId="0" fontId="53" fillId="3" borderId="29" xfId="0" applyFont="1" applyFill="1" applyBorder="1" applyAlignment="1">
      <alignment horizontal="center" vertical="center" wrapText="1" readingOrder="1"/>
    </xf>
    <xf numFmtId="0" fontId="53" fillId="3" borderId="1" xfId="0" applyFont="1" applyFill="1" applyBorder="1" applyAlignment="1">
      <alignment horizontal="center" vertical="center" wrapText="1" readingOrder="1"/>
    </xf>
    <xf numFmtId="0" fontId="53" fillId="3" borderId="162" xfId="0" applyFont="1" applyFill="1" applyBorder="1" applyAlignment="1">
      <alignment horizontal="center" vertical="center" wrapText="1" readingOrder="1"/>
    </xf>
    <xf numFmtId="0" fontId="53" fillId="3" borderId="132" xfId="0" applyFont="1" applyFill="1" applyBorder="1" applyAlignment="1">
      <alignment horizontal="center" vertical="center" wrapText="1" readingOrder="1"/>
    </xf>
    <xf numFmtId="0" fontId="0" fillId="3" borderId="132" xfId="0" applyFill="1" applyBorder="1" applyAlignment="1">
      <alignment horizontal="center" vertical="center"/>
    </xf>
    <xf numFmtId="0" fontId="0" fillId="3" borderId="76" xfId="0" applyFill="1" applyBorder="1" applyAlignment="1">
      <alignment horizontal="center" vertical="center"/>
    </xf>
    <xf numFmtId="0" fontId="0" fillId="3" borderId="142" xfId="0" applyFill="1" applyBorder="1" applyAlignment="1">
      <alignment horizontal="center"/>
    </xf>
    <xf numFmtId="0" fontId="53" fillId="3" borderId="38" xfId="0" applyFont="1" applyFill="1" applyBorder="1" applyAlignment="1">
      <alignment horizontal="center" vertical="center" wrapText="1" readingOrder="1"/>
    </xf>
    <xf numFmtId="0" fontId="53" fillId="3" borderId="72" xfId="0" applyFont="1" applyFill="1" applyBorder="1" applyAlignment="1">
      <alignment horizontal="center" vertical="center" wrapText="1" readingOrder="1"/>
    </xf>
    <xf numFmtId="0" fontId="0" fillId="3" borderId="72" xfId="0" applyFill="1" applyBorder="1" applyAlignment="1">
      <alignment horizontal="center" vertical="center"/>
    </xf>
    <xf numFmtId="0" fontId="53" fillId="13" borderId="38" xfId="0" applyFont="1" applyFill="1" applyBorder="1" applyAlignment="1">
      <alignment horizontal="center" vertical="center" wrapText="1" readingOrder="1"/>
    </xf>
    <xf numFmtId="0" fontId="53" fillId="13" borderId="72" xfId="0" applyFont="1" applyFill="1" applyBorder="1" applyAlignment="1">
      <alignment horizontal="center" vertical="center" wrapText="1" readingOrder="1"/>
    </xf>
    <xf numFmtId="0" fontId="53" fillId="13" borderId="162" xfId="0" applyFont="1" applyFill="1" applyBorder="1" applyAlignment="1">
      <alignment horizontal="center" vertical="center" wrapText="1" readingOrder="1"/>
    </xf>
    <xf numFmtId="0" fontId="53" fillId="13" borderId="132" xfId="0" applyFont="1" applyFill="1" applyBorder="1" applyAlignment="1">
      <alignment horizontal="center" vertical="center" wrapText="1" readingOrder="1"/>
    </xf>
    <xf numFmtId="0" fontId="0" fillId="3" borderId="19" xfId="0" applyFill="1" applyBorder="1" applyAlignment="1">
      <alignment horizontal="center"/>
    </xf>
    <xf numFmtId="0" fontId="46" fillId="3" borderId="1" xfId="0" applyFont="1" applyFill="1" applyBorder="1" applyAlignment="1">
      <alignment horizontal="center" vertical="center"/>
    </xf>
    <xf numFmtId="0" fontId="54" fillId="3" borderId="38" xfId="0" applyFont="1" applyFill="1" applyBorder="1" applyAlignment="1">
      <alignment horizontal="center" vertical="center" wrapText="1"/>
    </xf>
    <xf numFmtId="0" fontId="54" fillId="3" borderId="72" xfId="0" applyFont="1" applyFill="1" applyBorder="1" applyAlignment="1">
      <alignment horizontal="center" vertical="center" wrapText="1"/>
    </xf>
    <xf numFmtId="0" fontId="2" fillId="0" borderId="1" xfId="0" applyFont="1" applyBorder="1" applyAlignment="1">
      <alignment horizontal="center" vertical="center"/>
    </xf>
    <xf numFmtId="0" fontId="74" fillId="0" borderId="0" xfId="0" applyFont="1"/>
    <xf numFmtId="0" fontId="74" fillId="45" borderId="0" xfId="0" applyFont="1" applyFill="1"/>
    <xf numFmtId="0" fontId="0" fillId="45" borderId="0" xfId="0" applyFill="1"/>
    <xf numFmtId="0" fontId="40" fillId="45" borderId="0" xfId="1" applyFill="1"/>
    <xf numFmtId="0" fontId="95" fillId="45" borderId="0" xfId="0" applyFont="1" applyFill="1" applyAlignment="1">
      <alignment wrapText="1"/>
    </xf>
    <xf numFmtId="0" fontId="96" fillId="0" borderId="35" xfId="0" applyFont="1" applyBorder="1" applyAlignment="1">
      <alignment horizontal="center" vertical="center" wrapText="1"/>
    </xf>
    <xf numFmtId="0" fontId="91" fillId="0" borderId="220" xfId="0" applyFont="1" applyBorder="1" applyAlignment="1">
      <alignment horizontal="center" vertical="center" readingOrder="1"/>
    </xf>
    <xf numFmtId="0" fontId="96" fillId="3" borderId="76" xfId="0" applyFont="1" applyFill="1" applyBorder="1" applyAlignment="1">
      <alignment horizontal="center" vertical="center"/>
    </xf>
    <xf numFmtId="0" fontId="46" fillId="28" borderId="76" xfId="0" applyFont="1" applyFill="1" applyBorder="1" applyAlignment="1">
      <alignment horizontal="center" vertical="center"/>
    </xf>
    <xf numFmtId="2" fontId="96" fillId="3" borderId="76" xfId="0" applyNumberFormat="1" applyFont="1" applyFill="1" applyBorder="1" applyAlignment="1">
      <alignment horizontal="center" vertical="center" wrapText="1"/>
    </xf>
    <xf numFmtId="2" fontId="46" fillId="0" borderId="76" xfId="0" applyNumberFormat="1" applyFont="1" applyBorder="1" applyAlignment="1">
      <alignment horizontal="center" vertical="center"/>
    </xf>
    <xf numFmtId="2" fontId="97" fillId="0" borderId="76" xfId="0" applyNumberFormat="1" applyFont="1" applyBorder="1" applyAlignment="1">
      <alignment horizontal="center" vertical="center"/>
    </xf>
    <xf numFmtId="1" fontId="98" fillId="0" borderId="142" xfId="0" applyNumberFormat="1" applyFont="1" applyBorder="1" applyAlignment="1">
      <alignment horizontal="center" vertical="center"/>
    </xf>
    <xf numFmtId="1" fontId="99" fillId="0" borderId="181" xfId="0" applyNumberFormat="1" applyFont="1" applyBorder="1" applyAlignment="1">
      <alignment horizontal="center" vertical="center"/>
    </xf>
    <xf numFmtId="0" fontId="91" fillId="3" borderId="29" xfId="0" applyFont="1" applyFill="1" applyBorder="1" applyAlignment="1">
      <alignment horizontal="center" vertical="center" wrapText="1" readingOrder="1"/>
    </xf>
    <xf numFmtId="0" fontId="91" fillId="0" borderId="8" xfId="0" applyFont="1" applyBorder="1" applyAlignment="1">
      <alignment horizontal="center" vertical="center" readingOrder="1"/>
    </xf>
    <xf numFmtId="0" fontId="46" fillId="46" borderId="1" xfId="0" applyFont="1" applyFill="1" applyBorder="1" applyAlignment="1">
      <alignment horizontal="center" vertical="center"/>
    </xf>
    <xf numFmtId="2" fontId="91" fillId="13" borderId="1" xfId="0" applyNumberFormat="1" applyFont="1" applyFill="1" applyBorder="1" applyAlignment="1">
      <alignment horizontal="center" vertical="center" wrapText="1" readingOrder="1"/>
    </xf>
    <xf numFmtId="2" fontId="46" fillId="0" borderId="1" xfId="0" applyNumberFormat="1" applyFont="1" applyBorder="1" applyAlignment="1">
      <alignment horizontal="center" vertical="center" wrapText="1" readingOrder="1"/>
    </xf>
    <xf numFmtId="2" fontId="46" fillId="0" borderId="1" xfId="0" applyNumberFormat="1" applyFont="1" applyBorder="1" applyAlignment="1">
      <alignment horizontal="center" vertical="center"/>
    </xf>
    <xf numFmtId="1" fontId="46" fillId="0" borderId="6" xfId="0" applyNumberFormat="1" applyFont="1" applyBorder="1" applyAlignment="1">
      <alignment horizontal="center" vertical="center"/>
    </xf>
    <xf numFmtId="1" fontId="46" fillId="0" borderId="36" xfId="0" applyNumberFormat="1" applyFont="1" applyBorder="1" applyAlignment="1">
      <alignment horizontal="center" vertical="center" wrapText="1"/>
    </xf>
    <xf numFmtId="0" fontId="46" fillId="47" borderId="1" xfId="0" applyFont="1" applyFill="1" applyBorder="1" applyAlignment="1">
      <alignment horizontal="center" vertical="center"/>
    </xf>
    <xf numFmtId="2" fontId="91" fillId="3" borderId="1" xfId="0" applyNumberFormat="1" applyFont="1" applyFill="1" applyBorder="1" applyAlignment="1">
      <alignment horizontal="center" vertical="center" wrapText="1" readingOrder="1"/>
    </xf>
    <xf numFmtId="0" fontId="46" fillId="0" borderId="36" xfId="0" applyFont="1" applyBorder="1" applyAlignment="1">
      <alignment horizontal="center" vertical="center" wrapText="1"/>
    </xf>
    <xf numFmtId="0" fontId="46" fillId="3" borderId="29" xfId="0" applyFont="1" applyFill="1" applyBorder="1" applyAlignment="1">
      <alignment horizontal="center" vertical="center" wrapText="1" readingOrder="1"/>
    </xf>
    <xf numFmtId="0" fontId="0" fillId="48" borderId="1" xfId="0" applyFill="1" applyBorder="1"/>
    <xf numFmtId="1" fontId="46" fillId="0" borderId="36" xfId="0" applyNumberFormat="1" applyFont="1" applyBorder="1" applyAlignment="1">
      <alignment horizontal="center" vertical="center"/>
    </xf>
    <xf numFmtId="0" fontId="46" fillId="0" borderId="8" xfId="0" applyFont="1" applyBorder="1" applyAlignment="1">
      <alignment horizontal="center" vertical="center" readingOrder="1"/>
    </xf>
    <xf numFmtId="0" fontId="46" fillId="29" borderId="1" xfId="0" applyFont="1" applyFill="1" applyBorder="1" applyAlignment="1">
      <alignment horizontal="center" vertical="center"/>
    </xf>
    <xf numFmtId="2" fontId="46" fillId="13" borderId="1" xfId="0" applyNumberFormat="1" applyFont="1" applyFill="1" applyBorder="1" applyAlignment="1">
      <alignment horizontal="center" vertical="center" wrapText="1" readingOrder="1"/>
    </xf>
    <xf numFmtId="0" fontId="46" fillId="32" borderId="1" xfId="0" applyFont="1" applyFill="1" applyBorder="1" applyAlignment="1">
      <alignment horizontal="center" vertical="center"/>
    </xf>
    <xf numFmtId="0" fontId="46" fillId="0" borderId="36" xfId="0" applyFont="1" applyBorder="1" applyAlignment="1">
      <alignment horizontal="center" vertical="center"/>
    </xf>
    <xf numFmtId="0" fontId="46" fillId="49" borderId="1" xfId="0" applyFont="1" applyFill="1" applyBorder="1" applyAlignment="1">
      <alignment horizontal="center" vertical="center"/>
    </xf>
    <xf numFmtId="0" fontId="46" fillId="50" borderId="1" xfId="0" applyFont="1" applyFill="1" applyBorder="1" applyAlignment="1">
      <alignment horizontal="center" vertical="center"/>
    </xf>
    <xf numFmtId="0" fontId="46" fillId="51" borderId="1" xfId="0" applyFont="1" applyFill="1" applyBorder="1" applyAlignment="1">
      <alignment horizontal="center" vertical="center"/>
    </xf>
    <xf numFmtId="0" fontId="46" fillId="52" borderId="1" xfId="0" applyFont="1" applyFill="1" applyBorder="1" applyAlignment="1">
      <alignment horizontal="center" vertical="center"/>
    </xf>
    <xf numFmtId="2" fontId="0" fillId="0" borderId="1" xfId="0" applyNumberFormat="1" applyBorder="1" applyAlignment="1">
      <alignment horizontal="center" vertical="center"/>
    </xf>
    <xf numFmtId="0" fontId="46" fillId="27" borderId="1" xfId="0" applyFont="1" applyFill="1" applyBorder="1" applyAlignment="1">
      <alignment horizontal="center" vertical="center"/>
    </xf>
    <xf numFmtId="2" fontId="46" fillId="3" borderId="1" xfId="0" applyNumberFormat="1" applyFont="1" applyFill="1" applyBorder="1" applyAlignment="1">
      <alignment horizontal="center" vertical="center" wrapText="1" readingOrder="1"/>
    </xf>
    <xf numFmtId="0" fontId="46" fillId="18" borderId="1" xfId="0" applyFont="1" applyFill="1" applyBorder="1" applyAlignment="1">
      <alignment horizontal="center" vertical="center"/>
    </xf>
    <xf numFmtId="0" fontId="46" fillId="40" borderId="1" xfId="0" applyFont="1" applyFill="1" applyBorder="1" applyAlignment="1">
      <alignment horizontal="center" vertical="center"/>
    </xf>
    <xf numFmtId="0" fontId="46" fillId="26" borderId="1" xfId="0" applyFont="1" applyFill="1" applyBorder="1" applyAlignment="1">
      <alignment horizontal="center" vertical="center"/>
    </xf>
    <xf numFmtId="0" fontId="46" fillId="35" borderId="1" xfId="0" applyFont="1" applyFill="1" applyBorder="1" applyAlignment="1">
      <alignment horizontal="center" vertical="center"/>
    </xf>
    <xf numFmtId="0" fontId="46" fillId="39" borderId="1" xfId="0" applyFont="1" applyFill="1" applyBorder="1" applyAlignment="1">
      <alignment horizontal="center" vertical="center"/>
    </xf>
    <xf numFmtId="0" fontId="46" fillId="36" borderId="1" xfId="0" applyFont="1" applyFill="1" applyBorder="1" applyAlignment="1">
      <alignment horizontal="center" vertical="center"/>
    </xf>
    <xf numFmtId="0" fontId="46" fillId="14" borderId="1" xfId="0" applyFont="1" applyFill="1" applyBorder="1" applyAlignment="1">
      <alignment horizontal="center" vertical="center"/>
    </xf>
    <xf numFmtId="0" fontId="46" fillId="19" borderId="1" xfId="0" applyFont="1" applyFill="1" applyBorder="1" applyAlignment="1">
      <alignment horizontal="center" vertical="center"/>
    </xf>
    <xf numFmtId="0" fontId="46" fillId="15" borderId="1" xfId="0" applyFont="1" applyFill="1" applyBorder="1" applyAlignment="1">
      <alignment horizontal="center" vertical="center"/>
    </xf>
    <xf numFmtId="0" fontId="46" fillId="22" borderId="1" xfId="0" applyFont="1" applyFill="1" applyBorder="1" applyAlignment="1">
      <alignment horizontal="center" vertical="center"/>
    </xf>
    <xf numFmtId="0" fontId="46" fillId="20" borderId="1" xfId="0" applyFont="1" applyFill="1" applyBorder="1" applyAlignment="1">
      <alignment horizontal="center" vertical="center"/>
    </xf>
    <xf numFmtId="0" fontId="46" fillId="23" borderId="1" xfId="0" applyFont="1" applyFill="1" applyBorder="1" applyAlignment="1">
      <alignment horizontal="center" vertical="center"/>
    </xf>
    <xf numFmtId="0" fontId="46" fillId="30" borderId="1" xfId="0" applyFont="1" applyFill="1" applyBorder="1" applyAlignment="1">
      <alignment horizontal="center" vertical="center"/>
    </xf>
    <xf numFmtId="0" fontId="46" fillId="17" borderId="1" xfId="0" applyFont="1" applyFill="1" applyBorder="1" applyAlignment="1">
      <alignment horizontal="center" vertical="center"/>
    </xf>
    <xf numFmtId="0" fontId="46" fillId="37" borderId="1" xfId="0" applyFont="1" applyFill="1" applyBorder="1" applyAlignment="1">
      <alignment horizontal="center" vertical="center"/>
    </xf>
    <xf numFmtId="0" fontId="46" fillId="21" borderId="1" xfId="0" applyFont="1" applyFill="1" applyBorder="1" applyAlignment="1">
      <alignment horizontal="center" vertical="center"/>
    </xf>
    <xf numFmtId="0" fontId="46" fillId="38" borderId="1" xfId="0" applyFont="1" applyFill="1" applyBorder="1" applyAlignment="1">
      <alignment horizontal="center" vertical="center"/>
    </xf>
    <xf numFmtId="0" fontId="46" fillId="11" borderId="1" xfId="0" applyFont="1" applyFill="1" applyBorder="1" applyAlignment="1">
      <alignment horizontal="center" vertical="center"/>
    </xf>
    <xf numFmtId="0" fontId="97" fillId="3" borderId="38" xfId="0" applyFont="1" applyFill="1" applyBorder="1" applyAlignment="1">
      <alignment horizontal="center" vertical="center"/>
    </xf>
    <xf numFmtId="0" fontId="97" fillId="0" borderId="221" xfId="0" applyFont="1" applyBorder="1" applyAlignment="1">
      <alignment horizontal="center" vertical="center"/>
    </xf>
    <xf numFmtId="0" fontId="97" fillId="3" borderId="72" xfId="0" applyFont="1" applyFill="1" applyBorder="1" applyAlignment="1">
      <alignment horizontal="center" vertical="center"/>
    </xf>
    <xf numFmtId="0" fontId="97" fillId="44" borderId="72" xfId="0" applyFont="1" applyFill="1" applyBorder="1" applyAlignment="1">
      <alignment horizontal="center" vertical="center"/>
    </xf>
    <xf numFmtId="2" fontId="97" fillId="3" borderId="72" xfId="0" applyNumberFormat="1" applyFont="1" applyFill="1" applyBorder="1" applyAlignment="1">
      <alignment horizontal="center" vertical="center" wrapText="1"/>
    </xf>
    <xf numFmtId="2" fontId="97" fillId="0" borderId="72" xfId="0" applyNumberFormat="1" applyFont="1" applyBorder="1" applyAlignment="1">
      <alignment horizontal="center" vertical="center" wrapText="1"/>
    </xf>
    <xf numFmtId="2" fontId="46" fillId="0" borderId="72" xfId="0" applyNumberFormat="1" applyFont="1" applyBorder="1" applyAlignment="1">
      <alignment horizontal="center" vertical="center"/>
    </xf>
    <xf numFmtId="2" fontId="97" fillId="0" borderId="72" xfId="0" applyNumberFormat="1" applyFont="1" applyBorder="1" applyAlignment="1">
      <alignment horizontal="center" vertical="center"/>
    </xf>
    <xf numFmtId="1" fontId="97" fillId="0" borderId="39" xfId="0" applyNumberFormat="1" applyFont="1" applyBorder="1" applyAlignment="1">
      <alignment horizontal="center" vertical="center"/>
    </xf>
    <xf numFmtId="1" fontId="97" fillId="0" borderId="73" xfId="0" applyNumberFormat="1" applyFont="1" applyBorder="1" applyAlignment="1">
      <alignment horizontal="center" vertical="center"/>
    </xf>
    <xf numFmtId="0" fontId="8" fillId="3" borderId="1" xfId="0" applyFont="1" applyFill="1" applyBorder="1" applyAlignment="1">
      <alignment horizontal="center" vertical="center"/>
    </xf>
    <xf numFmtId="0" fontId="100" fillId="3" borderId="132" xfId="0" applyFont="1" applyFill="1" applyBorder="1" applyAlignment="1">
      <alignment horizontal="center" vertical="center" wrapText="1" readingOrder="1"/>
    </xf>
    <xf numFmtId="0" fontId="100" fillId="3" borderId="132" xfId="0" applyFont="1" applyFill="1" applyBorder="1" applyAlignment="1">
      <alignment horizontal="center" vertical="center" readingOrder="1"/>
    </xf>
    <xf numFmtId="2" fontId="46" fillId="0" borderId="6" xfId="0" applyNumberFormat="1" applyFont="1" applyBorder="1" applyAlignment="1">
      <alignment horizontal="center" vertical="center"/>
    </xf>
    <xf numFmtId="1" fontId="47" fillId="3" borderId="1" xfId="0" applyNumberFormat="1" applyFont="1" applyFill="1" applyBorder="1" applyAlignment="1">
      <alignment horizontal="center" vertical="center"/>
    </xf>
    <xf numFmtId="1" fontId="47" fillId="41" borderId="1" xfId="0" applyNumberFormat="1" applyFont="1" applyFill="1" applyBorder="1" applyAlignment="1">
      <alignment horizontal="center" vertical="center" wrapText="1"/>
    </xf>
    <xf numFmtId="2" fontId="47" fillId="41" borderId="1" xfId="0" applyNumberFormat="1" applyFont="1" applyFill="1" applyBorder="1" applyAlignment="1">
      <alignment horizontal="center" vertical="center" wrapText="1"/>
    </xf>
    <xf numFmtId="0" fontId="47" fillId="41" borderId="1" xfId="0" applyFont="1" applyFill="1" applyBorder="1" applyAlignment="1">
      <alignment horizontal="center" vertical="center" wrapText="1"/>
    </xf>
    <xf numFmtId="0" fontId="100" fillId="3" borderId="58" xfId="0" applyFont="1" applyFill="1" applyBorder="1" applyAlignment="1">
      <alignment horizontal="center" vertical="center" wrapText="1" readingOrder="1"/>
    </xf>
    <xf numFmtId="0" fontId="100" fillId="13" borderId="171" xfId="0" applyFont="1" applyFill="1" applyBorder="1" applyAlignment="1">
      <alignment horizontal="center" vertical="center" readingOrder="1"/>
    </xf>
    <xf numFmtId="1" fontId="47" fillId="53" borderId="1" xfId="0" applyNumberFormat="1" applyFont="1" applyFill="1" applyBorder="1" applyAlignment="1">
      <alignment horizontal="center" vertical="center" wrapText="1"/>
    </xf>
    <xf numFmtId="2" fontId="47" fillId="53" borderId="1" xfId="0" applyNumberFormat="1" applyFont="1" applyFill="1" applyBorder="1" applyAlignment="1">
      <alignment horizontal="center" vertical="center" wrapText="1"/>
    </xf>
    <xf numFmtId="0" fontId="54" fillId="53" borderId="1" xfId="0" applyFont="1" applyFill="1" applyBorder="1" applyAlignment="1">
      <alignment horizontal="center" vertical="center"/>
    </xf>
    <xf numFmtId="0" fontId="100" fillId="3" borderId="15" xfId="0" applyFont="1" applyFill="1" applyBorder="1" applyAlignment="1">
      <alignment horizontal="center" vertical="center" readingOrder="1"/>
    </xf>
    <xf numFmtId="0" fontId="47" fillId="41" borderId="1" xfId="0" applyFont="1" applyFill="1" applyBorder="1" applyAlignment="1">
      <alignment horizontal="center"/>
    </xf>
    <xf numFmtId="0" fontId="100" fillId="3" borderId="171" xfId="0" applyFont="1" applyFill="1" applyBorder="1" applyAlignment="1">
      <alignment vertical="center" wrapText="1" readingOrder="1"/>
    </xf>
    <xf numFmtId="0" fontId="100" fillId="3" borderId="158" xfId="0" applyFont="1" applyFill="1" applyBorder="1" applyAlignment="1">
      <alignment horizontal="center" vertical="center" readingOrder="1"/>
    </xf>
    <xf numFmtId="0" fontId="47" fillId="54" borderId="1" xfId="0" applyFont="1" applyFill="1" applyBorder="1" applyAlignment="1">
      <alignment horizontal="center" vertical="center" wrapText="1"/>
    </xf>
    <xf numFmtId="2" fontId="47" fillId="54" borderId="1" xfId="0" applyNumberFormat="1" applyFont="1" applyFill="1" applyBorder="1" applyAlignment="1">
      <alignment horizontal="center" vertical="center" wrapText="1"/>
    </xf>
    <xf numFmtId="0" fontId="54" fillId="54" borderId="1" xfId="0" applyFont="1" applyFill="1" applyBorder="1" applyAlignment="1">
      <alignment horizontal="center"/>
    </xf>
    <xf numFmtId="0" fontId="100" fillId="3" borderId="58" xfId="0" applyFont="1" applyFill="1" applyBorder="1" applyAlignment="1">
      <alignment vertical="center" wrapText="1" readingOrder="1"/>
    </xf>
    <xf numFmtId="0" fontId="100" fillId="3" borderId="18" xfId="0" applyFont="1" applyFill="1" applyBorder="1" applyAlignment="1">
      <alignment horizontal="center" vertical="center" readingOrder="1"/>
    </xf>
    <xf numFmtId="0" fontId="47" fillId="53" borderId="1" xfId="0" applyFont="1" applyFill="1" applyBorder="1" applyAlignment="1">
      <alignment horizontal="center" vertical="center" wrapText="1"/>
    </xf>
    <xf numFmtId="0" fontId="46" fillId="3" borderId="1" xfId="0" applyFont="1" applyFill="1" applyBorder="1" applyAlignment="1">
      <alignment horizontal="center" vertical="center" wrapText="1" readingOrder="1"/>
    </xf>
    <xf numFmtId="1" fontId="47" fillId="0" borderId="1" xfId="0" applyNumberFormat="1" applyFont="1" applyBorder="1" applyAlignment="1">
      <alignment horizontal="center" vertical="center"/>
    </xf>
    <xf numFmtId="0" fontId="47" fillId="53" borderId="1" xfId="0" applyFont="1" applyFill="1" applyBorder="1" applyAlignment="1">
      <alignment horizontal="center" vertical="center"/>
    </xf>
    <xf numFmtId="0" fontId="47" fillId="3" borderId="1" xfId="0" applyFont="1" applyFill="1" applyBorder="1" applyAlignment="1">
      <alignment horizontal="center" vertical="center" wrapText="1" readingOrder="1"/>
    </xf>
    <xf numFmtId="0" fontId="47" fillId="13" borderId="58" xfId="0" applyFont="1" applyFill="1" applyBorder="1" applyAlignment="1">
      <alignment horizontal="center" vertical="center" readingOrder="1"/>
    </xf>
    <xf numFmtId="1" fontId="47" fillId="41" borderId="1" xfId="0" applyNumberFormat="1" applyFont="1" applyFill="1" applyBorder="1" applyAlignment="1">
      <alignment horizontal="center" vertical="center"/>
    </xf>
    <xf numFmtId="0" fontId="47" fillId="41" borderId="1" xfId="0" applyFont="1" applyFill="1" applyBorder="1" applyAlignment="1">
      <alignment horizontal="center" vertical="center"/>
    </xf>
    <xf numFmtId="0" fontId="100" fillId="3" borderId="1" xfId="0" applyFont="1" applyFill="1" applyBorder="1" applyAlignment="1">
      <alignment horizontal="center" vertical="center" wrapText="1" readingOrder="1"/>
    </xf>
    <xf numFmtId="171" fontId="47" fillId="53" borderId="1" xfId="0" applyNumberFormat="1" applyFont="1" applyFill="1" applyBorder="1" applyAlignment="1">
      <alignment horizontal="center" vertical="center" wrapText="1"/>
    </xf>
    <xf numFmtId="0" fontId="100" fillId="3" borderId="1" xfId="0" applyFont="1" applyFill="1" applyBorder="1" applyAlignment="1">
      <alignment horizontal="center" vertical="center" readingOrder="1"/>
    </xf>
    <xf numFmtId="171" fontId="47" fillId="41" borderId="1" xfId="0" applyNumberFormat="1" applyFont="1" applyFill="1" applyBorder="1" applyAlignment="1">
      <alignment horizontal="center" vertical="center" wrapText="1"/>
    </xf>
    <xf numFmtId="0" fontId="47" fillId="54" borderId="1" xfId="0" applyFont="1" applyFill="1" applyBorder="1" applyAlignment="1">
      <alignment horizontal="center" vertical="center"/>
    </xf>
    <xf numFmtId="171" fontId="47" fillId="54" borderId="1" xfId="0" applyNumberFormat="1" applyFont="1" applyFill="1" applyBorder="1" applyAlignment="1">
      <alignment horizontal="center" vertical="center" wrapText="1"/>
    </xf>
    <xf numFmtId="1" fontId="47" fillId="54" borderId="1" xfId="0" applyNumberFormat="1" applyFont="1" applyFill="1" applyBorder="1" applyAlignment="1">
      <alignment horizontal="center" vertical="center"/>
    </xf>
    <xf numFmtId="0" fontId="100" fillId="3" borderId="13" xfId="0" applyFont="1" applyFill="1" applyBorder="1" applyAlignment="1">
      <alignment horizontal="center" vertical="center" wrapText="1" readingOrder="1"/>
    </xf>
    <xf numFmtId="0" fontId="100" fillId="13" borderId="132" xfId="0" applyFont="1" applyFill="1" applyBorder="1" applyAlignment="1">
      <alignment horizontal="center" vertical="center" readingOrder="1"/>
    </xf>
    <xf numFmtId="0" fontId="100" fillId="3" borderId="19" xfId="0" applyFont="1" applyFill="1" applyBorder="1" applyAlignment="1">
      <alignment vertical="center" wrapText="1" readingOrder="1"/>
    </xf>
    <xf numFmtId="0" fontId="100" fillId="13" borderId="58" xfId="0" applyFont="1" applyFill="1" applyBorder="1" applyAlignment="1">
      <alignment horizontal="center" vertical="center" readingOrder="1"/>
    </xf>
    <xf numFmtId="0" fontId="100" fillId="3" borderId="171" xfId="0" applyFont="1" applyFill="1" applyBorder="1" applyAlignment="1">
      <alignment horizontal="center" vertical="center" wrapText="1" readingOrder="1"/>
    </xf>
    <xf numFmtId="0" fontId="100" fillId="3" borderId="58" xfId="0" applyFont="1" applyFill="1" applyBorder="1" applyAlignment="1">
      <alignment horizontal="center" vertical="center" readingOrder="1"/>
    </xf>
    <xf numFmtId="0" fontId="47" fillId="3" borderId="58" xfId="0" applyFont="1" applyFill="1" applyBorder="1" applyAlignment="1">
      <alignment horizontal="center" vertical="center" wrapText="1" readingOrder="1"/>
    </xf>
    <xf numFmtId="0" fontId="54" fillId="41" borderId="1" xfId="0" applyFont="1" applyFill="1" applyBorder="1" applyAlignment="1">
      <alignment horizontal="center" vertical="center"/>
    </xf>
    <xf numFmtId="0" fontId="2" fillId="0" borderId="0" xfId="0" applyFont="1" applyAlignment="1">
      <alignment horizontal="center" vertical="center" wrapText="1"/>
    </xf>
    <xf numFmtId="0" fontId="91" fillId="0" borderId="0" xfId="0" applyFont="1" applyAlignment="1">
      <alignment vertical="center" readingOrder="1"/>
    </xf>
    <xf numFmtId="2" fontId="46" fillId="0" borderId="0" xfId="0" applyNumberFormat="1" applyFont="1" applyAlignment="1">
      <alignment horizontal="center" vertical="center"/>
    </xf>
    <xf numFmtId="0" fontId="91" fillId="0" borderId="0" xfId="0" applyFont="1" applyAlignment="1">
      <alignment horizontal="right" vertical="center" readingOrder="1"/>
    </xf>
    <xf numFmtId="0" fontId="46" fillId="0" borderId="0" xfId="0" applyFont="1" applyAlignment="1">
      <alignment horizontal="right" vertical="center" readingOrder="1"/>
    </xf>
    <xf numFmtId="0" fontId="2" fillId="0" borderId="1" xfId="0" applyFont="1" applyBorder="1" applyAlignment="1">
      <alignment horizontal="center" vertical="center" wrapText="1"/>
    </xf>
    <xf numFmtId="0" fontId="2" fillId="0" borderId="6" xfId="0" applyFont="1" applyBorder="1" applyAlignment="1">
      <alignment horizontal="center" vertical="center" wrapText="1"/>
    </xf>
    <xf numFmtId="0" fontId="2" fillId="0" borderId="29" xfId="0" applyFont="1" applyBorder="1" applyAlignment="1">
      <alignment horizontal="center" vertical="center" wrapText="1"/>
    </xf>
    <xf numFmtId="0" fontId="2" fillId="0" borderId="36" xfId="0" applyFont="1" applyBorder="1" applyAlignment="1">
      <alignment horizontal="center" vertical="center" wrapText="1"/>
    </xf>
    <xf numFmtId="0" fontId="2" fillId="0" borderId="198" xfId="0" applyFont="1" applyBorder="1" applyAlignment="1">
      <alignment horizontal="center" vertical="center" wrapText="1"/>
    </xf>
    <xf numFmtId="0" fontId="91" fillId="0" borderId="1" xfId="0" applyFont="1" applyBorder="1" applyAlignment="1">
      <alignment horizontal="right" vertical="center" readingOrder="1"/>
    </xf>
    <xf numFmtId="1" fontId="46" fillId="0" borderId="1" xfId="0" applyNumberFormat="1" applyFont="1" applyBorder="1" applyAlignment="1">
      <alignment horizontal="center" vertical="center"/>
    </xf>
    <xf numFmtId="0" fontId="0" fillId="43" borderId="29" xfId="0" applyFill="1" applyBorder="1" applyAlignment="1">
      <alignment horizontal="center"/>
    </xf>
    <xf numFmtId="2" fontId="0" fillId="0" borderId="36" xfId="0" applyNumberFormat="1" applyBorder="1" applyAlignment="1">
      <alignment horizontal="center" vertical="center"/>
    </xf>
    <xf numFmtId="0" fontId="0" fillId="43" borderId="29" xfId="0" applyFill="1" applyBorder="1" applyAlignment="1">
      <alignment horizontal="center" vertical="center"/>
    </xf>
    <xf numFmtId="0" fontId="46" fillId="3" borderId="29" xfId="0" applyFont="1" applyFill="1" applyBorder="1" applyAlignment="1">
      <alignment horizontal="right" vertical="center" readingOrder="1"/>
    </xf>
    <xf numFmtId="0" fontId="0" fillId="55" borderId="1" xfId="0" applyFill="1" applyBorder="1"/>
    <xf numFmtId="0" fontId="0" fillId="55" borderId="29" xfId="0" applyFill="1" applyBorder="1"/>
    <xf numFmtId="0" fontId="0" fillId="55" borderId="36" xfId="0" applyFill="1" applyBorder="1"/>
    <xf numFmtId="0" fontId="46" fillId="0" borderId="29" xfId="0" applyFont="1" applyBorder="1" applyAlignment="1">
      <alignment horizontal="center" vertical="center"/>
    </xf>
    <xf numFmtId="2" fontId="0" fillId="55" borderId="6" xfId="0" applyNumberFormat="1" applyFill="1" applyBorder="1" applyAlignment="1">
      <alignment horizontal="center"/>
    </xf>
    <xf numFmtId="0" fontId="46" fillId="43" borderId="29" xfId="0" applyFont="1" applyFill="1" applyBorder="1" applyAlignment="1">
      <alignment horizontal="center" vertical="center"/>
    </xf>
    <xf numFmtId="0" fontId="0" fillId="0" borderId="29" xfId="0" applyBorder="1" applyAlignment="1">
      <alignment horizontal="center" vertical="center"/>
    </xf>
    <xf numFmtId="0" fontId="46" fillId="0" borderId="1" xfId="0" applyFont="1" applyBorder="1" applyAlignment="1">
      <alignment horizontal="right" vertical="center" readingOrder="1"/>
    </xf>
    <xf numFmtId="0" fontId="0" fillId="43" borderId="38" xfId="0" applyFill="1" applyBorder="1" applyAlignment="1">
      <alignment horizontal="center" vertical="center"/>
    </xf>
    <xf numFmtId="2" fontId="0" fillId="0" borderId="73" xfId="0" applyNumberFormat="1" applyBorder="1" applyAlignment="1">
      <alignment horizontal="center" vertical="center"/>
    </xf>
    <xf numFmtId="0" fontId="0" fillId="43" borderId="38" xfId="0" applyFill="1" applyBorder="1" applyAlignment="1">
      <alignment horizontal="center"/>
    </xf>
    <xf numFmtId="0" fontId="0" fillId="0" borderId="38" xfId="0" applyBorder="1" applyAlignment="1">
      <alignment horizontal="center" vertical="center"/>
    </xf>
    <xf numFmtId="0" fontId="0" fillId="2" borderId="6" xfId="0" applyFill="1" applyBorder="1" applyAlignment="1">
      <alignment horizontal="right"/>
    </xf>
    <xf numFmtId="0" fontId="0" fillId="2" borderId="7" xfId="0" applyFill="1" applyBorder="1"/>
    <xf numFmtId="0" fontId="0" fillId="2" borderId="7" xfId="0" applyFill="1" applyBorder="1" applyAlignment="1">
      <alignment horizontal="center"/>
    </xf>
    <xf numFmtId="0" fontId="0" fillId="2" borderId="8" xfId="0" applyFill="1" applyBorder="1"/>
    <xf numFmtId="0" fontId="24" fillId="0" borderId="0" xfId="0" applyFont="1" applyAlignment="1">
      <alignment horizontal="center"/>
    </xf>
    <xf numFmtId="0" fontId="46" fillId="3" borderId="1" xfId="0" applyFont="1" applyFill="1" applyBorder="1" applyAlignment="1">
      <alignment horizontal="right" vertical="center" readingOrder="1"/>
    </xf>
    <xf numFmtId="2" fontId="0" fillId="55" borderId="6" xfId="0" applyNumberFormat="1" applyFill="1" applyBorder="1" applyAlignment="1">
      <alignment horizontal="center" vertical="center"/>
    </xf>
    <xf numFmtId="0" fontId="47" fillId="43" borderId="29" xfId="0" applyFont="1" applyFill="1" applyBorder="1" applyAlignment="1">
      <alignment horizontal="center" vertical="center"/>
    </xf>
    <xf numFmtId="0" fontId="47" fillId="0" borderId="29" xfId="0" applyFont="1" applyBorder="1" applyAlignment="1">
      <alignment horizontal="center" vertical="center"/>
    </xf>
    <xf numFmtId="0" fontId="0" fillId="55" borderId="38" xfId="0" applyFill="1" applyBorder="1"/>
    <xf numFmtId="0" fontId="0" fillId="55" borderId="72" xfId="0" applyFill="1" applyBorder="1"/>
    <xf numFmtId="0" fontId="0" fillId="55" borderId="73" xfId="0" applyFill="1" applyBorder="1"/>
    <xf numFmtId="170" fontId="0" fillId="2" borderId="7" xfId="0" applyNumberFormat="1" applyFill="1" applyBorder="1"/>
    <xf numFmtId="2" fontId="0" fillId="55" borderId="1" xfId="0" applyNumberFormat="1" applyFill="1" applyBorder="1"/>
    <xf numFmtId="2" fontId="0" fillId="55" borderId="29" xfId="0" applyNumberFormat="1" applyFill="1" applyBorder="1"/>
    <xf numFmtId="2" fontId="0" fillId="55" borderId="36" xfId="0" applyNumberFormat="1" applyFill="1" applyBorder="1"/>
    <xf numFmtId="2" fontId="0" fillId="43" borderId="29" xfId="0" applyNumberFormat="1" applyFill="1" applyBorder="1" applyAlignment="1">
      <alignment horizontal="center" vertical="center"/>
    </xf>
    <xf numFmtId="0" fontId="0" fillId="55" borderId="23" xfId="0" applyFill="1" applyBorder="1"/>
    <xf numFmtId="0" fontId="0" fillId="55" borderId="8" xfId="0" applyFill="1" applyBorder="1"/>
    <xf numFmtId="2" fontId="0" fillId="55" borderId="38" xfId="0" applyNumberFormat="1" applyFill="1" applyBorder="1"/>
    <xf numFmtId="2" fontId="0" fillId="55" borderId="72" xfId="0" applyNumberFormat="1" applyFill="1" applyBorder="1"/>
    <xf numFmtId="2" fontId="0" fillId="55" borderId="73" xfId="0" applyNumberFormat="1" applyFill="1" applyBorder="1"/>
    <xf numFmtId="0" fontId="0" fillId="42" borderId="1" xfId="0" applyFill="1" applyBorder="1"/>
    <xf numFmtId="0" fontId="0" fillId="56" borderId="1" xfId="0" applyFill="1" applyBorder="1"/>
    <xf numFmtId="0" fontId="2" fillId="3" borderId="1" xfId="0" applyFont="1" applyFill="1" applyBorder="1" applyAlignment="1">
      <alignment horizontal="center" vertical="center"/>
    </xf>
    <xf numFmtId="49" fontId="0" fillId="0" borderId="1" xfId="0" applyNumberFormat="1" applyBorder="1" applyAlignment="1">
      <alignment horizontal="center" vertical="center"/>
    </xf>
    <xf numFmtId="0" fontId="0" fillId="45" borderId="1" xfId="0" applyFill="1" applyBorder="1" applyAlignment="1">
      <alignment horizontal="center" vertical="center"/>
    </xf>
    <xf numFmtId="14" fontId="0" fillId="0" borderId="1" xfId="0" applyNumberFormat="1" applyBorder="1" applyAlignment="1">
      <alignment horizontal="center" vertical="center"/>
    </xf>
    <xf numFmtId="173" fontId="0" fillId="0" borderId="1" xfId="0" applyNumberFormat="1" applyBorder="1" applyAlignment="1">
      <alignment horizontal="center" vertical="center"/>
    </xf>
    <xf numFmtId="173" fontId="0" fillId="0" borderId="1" xfId="0" applyNumberFormat="1" applyBorder="1"/>
    <xf numFmtId="0" fontId="0" fillId="0" borderId="1" xfId="0" applyBorder="1" applyAlignment="1">
      <alignment horizontal="center" vertical="center" wrapText="1"/>
    </xf>
    <xf numFmtId="0" fontId="0" fillId="56" borderId="1" xfId="0" applyFill="1" applyBorder="1" applyAlignment="1">
      <alignment horizontal="center" vertical="center"/>
    </xf>
    <xf numFmtId="0" fontId="100" fillId="3" borderId="171" xfId="0" applyFont="1" applyFill="1" applyBorder="1" applyAlignment="1">
      <alignment horizontal="center" vertical="center" readingOrder="1"/>
    </xf>
    <xf numFmtId="0" fontId="100" fillId="3" borderId="157" xfId="0" applyFont="1" applyFill="1" applyBorder="1" applyAlignment="1">
      <alignment horizontal="center" vertical="center" wrapText="1" readingOrder="1"/>
    </xf>
    <xf numFmtId="1" fontId="54" fillId="41" borderId="1" xfId="0" applyNumberFormat="1" applyFont="1" applyFill="1" applyBorder="1" applyAlignment="1">
      <alignment horizontal="center" vertical="center" wrapText="1"/>
    </xf>
    <xf numFmtId="0" fontId="24" fillId="43" borderId="0" xfId="0" applyFont="1" applyFill="1" applyAlignment="1">
      <alignment horizontal="center"/>
    </xf>
    <xf numFmtId="0" fontId="95" fillId="45" borderId="0" xfId="0" applyFont="1" applyFill="1" applyAlignment="1">
      <alignment horizontal="center" wrapText="1"/>
    </xf>
    <xf numFmtId="0" fontId="57" fillId="0" borderId="176" xfId="0" applyFont="1" applyBorder="1" applyAlignment="1">
      <alignment horizontal="center" vertical="center" wrapText="1"/>
    </xf>
    <xf numFmtId="0" fontId="57" fillId="0" borderId="172" xfId="0" applyFont="1" applyBorder="1" applyAlignment="1">
      <alignment horizontal="center" vertical="center" wrapText="1"/>
    </xf>
    <xf numFmtId="0" fontId="8" fillId="0" borderId="176" xfId="0" applyFont="1" applyBorder="1" applyAlignment="1">
      <alignment horizontal="center" vertical="center" wrapText="1"/>
    </xf>
    <xf numFmtId="0" fontId="8" fillId="0" borderId="172" xfId="0" applyFont="1" applyBorder="1" applyAlignment="1">
      <alignment horizontal="center" vertical="center" wrapText="1"/>
    </xf>
    <xf numFmtId="0" fontId="52" fillId="0" borderId="176" xfId="0" applyFont="1" applyBorder="1" applyAlignment="1">
      <alignment horizontal="center" vertical="center"/>
    </xf>
    <xf numFmtId="0" fontId="52" fillId="0" borderId="172" xfId="0" applyFont="1" applyBorder="1" applyAlignment="1">
      <alignment horizontal="center" vertical="center"/>
    </xf>
    <xf numFmtId="0" fontId="8" fillId="0" borderId="155" xfId="0" applyFont="1" applyBorder="1" applyAlignment="1">
      <alignment horizontal="center" vertical="center"/>
    </xf>
    <xf numFmtId="0" fontId="8" fillId="0" borderId="218" xfId="0" applyFont="1" applyBorder="1" applyAlignment="1">
      <alignment horizontal="center" vertical="center"/>
    </xf>
    <xf numFmtId="0" fontId="8" fillId="0" borderId="216" xfId="0" applyFont="1" applyBorder="1" applyAlignment="1">
      <alignment horizontal="center" vertical="center"/>
    </xf>
    <xf numFmtId="0" fontId="8" fillId="0" borderId="219" xfId="0" applyFont="1" applyBorder="1" applyAlignment="1">
      <alignment horizontal="center" vertical="center"/>
    </xf>
    <xf numFmtId="0" fontId="2" fillId="0" borderId="183" xfId="0" applyFont="1" applyBorder="1" applyAlignment="1">
      <alignment horizontal="center" vertical="center" wrapText="1"/>
    </xf>
    <xf numFmtId="0" fontId="2" fillId="0" borderId="217" xfId="0" applyFont="1" applyBorder="1" applyAlignment="1">
      <alignment horizontal="center" vertical="center" wrapText="1"/>
    </xf>
    <xf numFmtId="0" fontId="2" fillId="0" borderId="176" xfId="0" applyFont="1" applyBorder="1" applyAlignment="1">
      <alignment horizontal="center" vertical="center" wrapText="1"/>
    </xf>
    <xf numFmtId="0" fontId="2" fillId="0" borderId="172" xfId="0" applyFont="1" applyBorder="1" applyAlignment="1">
      <alignment horizontal="center" vertical="center" wrapText="1"/>
    </xf>
    <xf numFmtId="0" fontId="92" fillId="0" borderId="176" xfId="0" applyFont="1" applyBorder="1" applyAlignment="1">
      <alignment horizontal="center" vertical="center" wrapText="1"/>
    </xf>
    <xf numFmtId="0" fontId="92" fillId="0" borderId="172" xfId="0" applyFont="1" applyBorder="1" applyAlignment="1">
      <alignment horizontal="center" vertical="center" wrapText="1"/>
    </xf>
    <xf numFmtId="0" fontId="93" fillId="0" borderId="176" xfId="0" applyFont="1" applyBorder="1" applyAlignment="1">
      <alignment horizontal="center" vertical="center" wrapText="1"/>
    </xf>
    <xf numFmtId="0" fontId="93" fillId="0" borderId="172" xfId="0" applyFont="1" applyBorder="1" applyAlignment="1">
      <alignment horizontal="center" vertical="center" wrapText="1"/>
    </xf>
    <xf numFmtId="0" fontId="52" fillId="0" borderId="176" xfId="0" applyFont="1" applyBorder="1" applyAlignment="1">
      <alignment horizontal="center" vertical="center" wrapText="1"/>
    </xf>
    <xf numFmtId="0" fontId="52" fillId="0" borderId="172" xfId="0" applyFont="1" applyBorder="1" applyAlignment="1">
      <alignment horizontal="center" vertical="center" wrapText="1"/>
    </xf>
    <xf numFmtId="0" fontId="0" fillId="0" borderId="35" xfId="0" applyBorder="1" applyAlignment="1">
      <alignment horizontal="center" vertical="center" wrapText="1"/>
    </xf>
    <xf numFmtId="0" fontId="0" fillId="0" borderId="76" xfId="0" applyBorder="1" applyAlignment="1">
      <alignment horizontal="center" vertical="center" wrapText="1"/>
    </xf>
    <xf numFmtId="0" fontId="0" fillId="0" borderId="181" xfId="0" applyBorder="1" applyAlignment="1">
      <alignment horizontal="center" vertical="center" wrapText="1"/>
    </xf>
    <xf numFmtId="0" fontId="0" fillId="0" borderId="35" xfId="0" applyBorder="1" applyAlignment="1">
      <alignment horizontal="center" vertical="center"/>
    </xf>
    <xf numFmtId="0" fontId="0" fillId="0" borderId="76" xfId="0" applyBorder="1" applyAlignment="1">
      <alignment horizontal="center" vertical="center"/>
    </xf>
    <xf numFmtId="0" fontId="0" fillId="0" borderId="181" xfId="0" applyBorder="1" applyAlignment="1">
      <alignment horizontal="center" vertical="center"/>
    </xf>
    <xf numFmtId="0" fontId="0" fillId="0" borderId="1" xfId="0" applyBorder="1" applyAlignment="1">
      <alignment horizontal="center"/>
    </xf>
    <xf numFmtId="0" fontId="8" fillId="0" borderId="13" xfId="0" applyFont="1" applyBorder="1" applyAlignment="1">
      <alignment horizontal="center" vertical="center"/>
    </xf>
    <xf numFmtId="0" fontId="8" fillId="0" borderId="15" xfId="0" applyFont="1" applyBorder="1" applyAlignment="1">
      <alignment horizontal="center" vertical="center"/>
    </xf>
    <xf numFmtId="0" fontId="8" fillId="0" borderId="19" xfId="0" applyFont="1" applyBorder="1" applyAlignment="1">
      <alignment horizontal="center" vertical="center"/>
    </xf>
    <xf numFmtId="0" fontId="8" fillId="0" borderId="18" xfId="0" applyFont="1" applyBorder="1" applyAlignment="1">
      <alignment horizontal="center" vertical="center"/>
    </xf>
    <xf numFmtId="2" fontId="46" fillId="0" borderId="132" xfId="0" applyNumberFormat="1" applyFont="1" applyBorder="1" applyAlignment="1">
      <alignment horizontal="center" vertical="center"/>
    </xf>
    <xf numFmtId="2" fontId="46" fillId="0" borderId="171" xfId="0" applyNumberFormat="1" applyFont="1" applyBorder="1" applyAlignment="1">
      <alignment horizontal="center" vertical="center"/>
    </xf>
    <xf numFmtId="2" fontId="46" fillId="0" borderId="58" xfId="0" applyNumberFormat="1" applyFont="1" applyBorder="1" applyAlignment="1">
      <alignment horizontal="center" vertical="center"/>
    </xf>
    <xf numFmtId="0" fontId="47" fillId="13" borderId="132" xfId="0" applyFont="1" applyFill="1" applyBorder="1" applyAlignment="1">
      <alignment horizontal="center" vertical="center" readingOrder="1"/>
    </xf>
    <xf numFmtId="0" fontId="47" fillId="13" borderId="171" xfId="0" applyFont="1" applyFill="1" applyBorder="1" applyAlignment="1">
      <alignment horizontal="center" vertical="center" readingOrder="1"/>
    </xf>
    <xf numFmtId="0" fontId="47" fillId="13" borderId="58" xfId="0" applyFont="1" applyFill="1" applyBorder="1" applyAlignment="1">
      <alignment horizontal="center" vertical="center" readingOrder="1"/>
    </xf>
    <xf numFmtId="0" fontId="100" fillId="3" borderId="132" xfId="0" applyFont="1" applyFill="1" applyBorder="1" applyAlignment="1">
      <alignment horizontal="center" vertical="center" wrapText="1" readingOrder="1"/>
    </xf>
    <xf numFmtId="0" fontId="100" fillId="3" borderId="171" xfId="0" applyFont="1" applyFill="1" applyBorder="1" applyAlignment="1">
      <alignment horizontal="center" vertical="center" wrapText="1" readingOrder="1"/>
    </xf>
    <xf numFmtId="0" fontId="100" fillId="3" borderId="58" xfId="0" applyFont="1" applyFill="1" applyBorder="1" applyAlignment="1">
      <alignment horizontal="center" vertical="center" wrapText="1" readingOrder="1"/>
    </xf>
    <xf numFmtId="1" fontId="47" fillId="0" borderId="132" xfId="0" applyNumberFormat="1" applyFont="1" applyBorder="1" applyAlignment="1">
      <alignment horizontal="center" vertical="center"/>
    </xf>
    <xf numFmtId="1" fontId="47" fillId="0" borderId="171" xfId="0" applyNumberFormat="1" applyFont="1" applyBorder="1" applyAlignment="1">
      <alignment horizontal="center" vertical="center"/>
    </xf>
    <xf numFmtId="1" fontId="47" fillId="0" borderId="58" xfId="0" applyNumberFormat="1" applyFont="1" applyBorder="1" applyAlignment="1">
      <alignment horizontal="center" vertical="center"/>
    </xf>
    <xf numFmtId="0" fontId="8" fillId="0" borderId="132" xfId="0" applyFont="1" applyBorder="1" applyAlignment="1">
      <alignment horizontal="center" vertical="center" wrapText="1"/>
    </xf>
    <xf numFmtId="0" fontId="8" fillId="0" borderId="171" xfId="0" applyFont="1" applyBorder="1" applyAlignment="1">
      <alignment horizontal="center" vertical="center" wrapText="1"/>
    </xf>
    <xf numFmtId="0" fontId="8" fillId="0" borderId="58" xfId="0" applyFont="1" applyBorder="1" applyAlignment="1">
      <alignment horizontal="center" vertical="center" wrapText="1"/>
    </xf>
    <xf numFmtId="0" fontId="2" fillId="0" borderId="132" xfId="0" applyFont="1" applyBorder="1" applyAlignment="1">
      <alignment horizontal="center" vertical="center" wrapText="1"/>
    </xf>
    <xf numFmtId="0" fontId="2" fillId="0" borderId="171" xfId="0" applyFont="1" applyBorder="1" applyAlignment="1">
      <alignment horizontal="center" vertical="center" wrapText="1"/>
    </xf>
    <xf numFmtId="0" fontId="2" fillId="0" borderId="58" xfId="0" applyFont="1" applyBorder="1" applyAlignment="1">
      <alignment horizontal="center" vertical="center" wrapText="1"/>
    </xf>
    <xf numFmtId="0" fontId="8" fillId="0" borderId="132" xfId="0" applyFont="1" applyBorder="1" applyAlignment="1">
      <alignment horizontal="center" vertical="center"/>
    </xf>
    <xf numFmtId="0" fontId="8" fillId="0" borderId="171" xfId="0" applyFont="1" applyBorder="1" applyAlignment="1">
      <alignment horizontal="center" vertical="center"/>
    </xf>
    <xf numFmtId="0" fontId="8" fillId="0" borderId="58" xfId="0" applyFont="1" applyBorder="1" applyAlignment="1">
      <alignment horizontal="center" vertical="center"/>
    </xf>
    <xf numFmtId="0" fontId="2" fillId="0" borderId="132" xfId="0" applyFont="1" applyBorder="1" applyAlignment="1">
      <alignment horizontal="center" vertical="center"/>
    </xf>
    <xf numFmtId="0" fontId="2" fillId="0" borderId="171" xfId="0" applyFont="1" applyBorder="1" applyAlignment="1">
      <alignment horizontal="center" vertical="center"/>
    </xf>
    <xf numFmtId="0" fontId="2" fillId="0" borderId="58" xfId="0" applyFont="1" applyBorder="1" applyAlignment="1">
      <alignment horizontal="center" vertical="center"/>
    </xf>
    <xf numFmtId="0" fontId="2" fillId="0" borderId="6"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46" fillId="3" borderId="132" xfId="0" applyFont="1" applyFill="1" applyBorder="1" applyAlignment="1">
      <alignment horizontal="center" vertical="center" wrapText="1" readingOrder="1"/>
    </xf>
    <xf numFmtId="0" fontId="46" fillId="3" borderId="171" xfId="0" applyFont="1" applyFill="1" applyBorder="1" applyAlignment="1">
      <alignment horizontal="center" vertical="center" wrapText="1" readingOrder="1"/>
    </xf>
    <xf numFmtId="0" fontId="46" fillId="3" borderId="58" xfId="0" applyFont="1" applyFill="1" applyBorder="1" applyAlignment="1">
      <alignment horizontal="center" vertical="center" wrapText="1" readingOrder="1"/>
    </xf>
    <xf numFmtId="0" fontId="91" fillId="0" borderId="132" xfId="0" applyFont="1" applyBorder="1" applyAlignment="1">
      <alignment horizontal="center" vertical="center" readingOrder="1"/>
    </xf>
    <xf numFmtId="0" fontId="91" fillId="0" borderId="171" xfId="0" applyFont="1" applyBorder="1" applyAlignment="1">
      <alignment horizontal="center" vertical="center" readingOrder="1"/>
    </xf>
    <xf numFmtId="0" fontId="91" fillId="0" borderId="58" xfId="0" applyFont="1" applyBorder="1" applyAlignment="1">
      <alignment horizontal="center" vertical="center" readingOrder="1"/>
    </xf>
    <xf numFmtId="0" fontId="47" fillId="3" borderId="132" xfId="0" applyFont="1" applyFill="1" applyBorder="1" applyAlignment="1">
      <alignment horizontal="center" vertical="center" wrapText="1" readingOrder="1"/>
    </xf>
    <xf numFmtId="0" fontId="47" fillId="3" borderId="171" xfId="0" applyFont="1" applyFill="1" applyBorder="1" applyAlignment="1">
      <alignment horizontal="center" vertical="center" wrapText="1" readingOrder="1"/>
    </xf>
    <xf numFmtId="0" fontId="47" fillId="3" borderId="58" xfId="0" applyFont="1" applyFill="1" applyBorder="1" applyAlignment="1">
      <alignment horizontal="center" vertical="center" wrapText="1" readingOrder="1"/>
    </xf>
    <xf numFmtId="0" fontId="100" fillId="3" borderId="132" xfId="0" applyFont="1" applyFill="1" applyBorder="1" applyAlignment="1">
      <alignment horizontal="center" vertical="center" readingOrder="1"/>
    </xf>
    <xf numFmtId="0" fontId="100" fillId="3" borderId="171" xfId="0" applyFont="1" applyFill="1" applyBorder="1" applyAlignment="1">
      <alignment horizontal="center" vertical="center" readingOrder="1"/>
    </xf>
    <xf numFmtId="0" fontId="100" fillId="3" borderId="58" xfId="0" applyFont="1" applyFill="1" applyBorder="1" applyAlignment="1">
      <alignment horizontal="center" vertical="center" readingOrder="1"/>
    </xf>
    <xf numFmtId="0" fontId="0" fillId="0" borderId="1" xfId="0" applyBorder="1" applyAlignment="1">
      <alignment horizontal="left"/>
    </xf>
    <xf numFmtId="0" fontId="46" fillId="3" borderId="21" xfId="0" applyFont="1" applyFill="1" applyBorder="1" applyAlignment="1">
      <alignment horizontal="left" vertical="center"/>
    </xf>
    <xf numFmtId="0" fontId="46" fillId="3" borderId="25" xfId="0" applyFont="1" applyFill="1" applyBorder="1" applyAlignment="1">
      <alignment horizontal="left" vertical="center"/>
    </xf>
    <xf numFmtId="0" fontId="46" fillId="3" borderId="49" xfId="0" applyFont="1" applyFill="1" applyBorder="1" applyAlignment="1">
      <alignment horizontal="left" vertical="center"/>
    </xf>
    <xf numFmtId="0" fontId="46" fillId="3" borderId="20" xfId="0" applyFont="1" applyFill="1" applyBorder="1" applyAlignment="1">
      <alignment horizontal="left" vertical="center"/>
    </xf>
    <xf numFmtId="0" fontId="34" fillId="7" borderId="25" xfId="0" applyFont="1" applyFill="1" applyBorder="1" applyAlignment="1" applyProtection="1">
      <alignment horizontal="center" vertical="center"/>
      <protection locked="0"/>
    </xf>
    <xf numFmtId="0" fontId="34" fillId="7" borderId="45" xfId="0" applyFont="1" applyFill="1" applyBorder="1" applyAlignment="1" applyProtection="1">
      <alignment horizontal="center" vertical="center"/>
      <protection locked="0"/>
    </xf>
    <xf numFmtId="0" fontId="34" fillId="7" borderId="20" xfId="0" applyFont="1" applyFill="1" applyBorder="1" applyAlignment="1" applyProtection="1">
      <alignment horizontal="center" vertical="center"/>
      <protection locked="0"/>
    </xf>
    <xf numFmtId="0" fontId="34" fillId="7" borderId="50" xfId="0" applyFont="1" applyFill="1" applyBorder="1" applyAlignment="1" applyProtection="1">
      <alignment horizontal="center" vertical="center"/>
      <protection locked="0"/>
    </xf>
    <xf numFmtId="0" fontId="0" fillId="3" borderId="21" xfId="0" applyFill="1" applyBorder="1" applyAlignment="1">
      <alignment horizontal="left" wrapText="1"/>
    </xf>
    <xf numFmtId="0" fontId="0" fillId="3" borderId="25" xfId="0" applyFill="1" applyBorder="1" applyAlignment="1">
      <alignment horizontal="left" wrapText="1"/>
    </xf>
    <xf numFmtId="0" fontId="0" fillId="3" borderId="49" xfId="0" applyFill="1" applyBorder="1" applyAlignment="1">
      <alignment horizontal="left" wrapText="1"/>
    </xf>
    <xf numFmtId="0" fontId="0" fillId="3" borderId="20" xfId="0" applyFill="1" applyBorder="1" applyAlignment="1">
      <alignment horizontal="left" wrapText="1"/>
    </xf>
    <xf numFmtId="0" fontId="34" fillId="3" borderId="78" xfId="0" applyFont="1" applyFill="1" applyBorder="1" applyAlignment="1">
      <alignment horizontal="center" vertical="top"/>
    </xf>
    <xf numFmtId="0" fontId="34" fillId="3" borderId="48" xfId="0" applyFont="1" applyFill="1" applyBorder="1" applyAlignment="1">
      <alignment horizontal="center" vertical="top"/>
    </xf>
    <xf numFmtId="0" fontId="34" fillId="3" borderId="79" xfId="0" applyFont="1" applyFill="1" applyBorder="1" applyAlignment="1">
      <alignment horizontal="center" vertical="top"/>
    </xf>
    <xf numFmtId="0" fontId="34" fillId="3" borderId="59" xfId="0" applyFont="1" applyFill="1" applyBorder="1" applyAlignment="1">
      <alignment horizontal="center" vertical="top"/>
    </xf>
    <xf numFmtId="0" fontId="34" fillId="3" borderId="7" xfId="0" applyFont="1" applyFill="1" applyBorder="1" applyAlignment="1">
      <alignment horizontal="center" vertical="top"/>
    </xf>
    <xf numFmtId="0" fontId="34" fillId="3" borderId="46" xfId="0" applyFont="1" applyFill="1" applyBorder="1" applyAlignment="1">
      <alignment horizontal="center" vertical="top"/>
    </xf>
    <xf numFmtId="0" fontId="77" fillId="3" borderId="0" xfId="0" applyFont="1" applyFill="1" applyAlignment="1">
      <alignment horizontal="left"/>
    </xf>
    <xf numFmtId="0" fontId="0" fillId="3" borderId="59" xfId="0" applyFill="1" applyBorder="1" applyAlignment="1">
      <alignment horizontal="left" vertical="center"/>
    </xf>
    <xf numFmtId="0" fontId="0" fillId="3" borderId="7" xfId="0" applyFill="1" applyBorder="1" applyAlignment="1">
      <alignment horizontal="left" vertical="center"/>
    </xf>
    <xf numFmtId="0" fontId="0" fillId="3" borderId="94" xfId="0" applyFill="1" applyBorder="1" applyAlignment="1">
      <alignment horizontal="left" vertical="center"/>
    </xf>
    <xf numFmtId="0" fontId="0" fillId="3" borderId="96" xfId="0" applyFill="1" applyBorder="1" applyAlignment="1">
      <alignment horizontal="left" vertical="center"/>
    </xf>
    <xf numFmtId="14" fontId="34" fillId="3" borderId="0" xfId="0" applyNumberFormat="1" applyFont="1" applyFill="1" applyAlignment="1">
      <alignment horizontal="right" vertical="center"/>
    </xf>
    <xf numFmtId="0" fontId="34" fillId="7" borderId="0" xfId="0" applyFont="1" applyFill="1" applyAlignment="1" applyProtection="1">
      <alignment horizontal="left"/>
      <protection locked="0"/>
    </xf>
    <xf numFmtId="0" fontId="34" fillId="7" borderId="48" xfId="0" applyFont="1" applyFill="1" applyBorder="1" applyAlignment="1" applyProtection="1">
      <alignment horizontal="center" vertical="center"/>
      <protection locked="0"/>
    </xf>
    <xf numFmtId="0" fontId="34" fillId="7" borderId="96" xfId="0" applyFont="1" applyFill="1" applyBorder="1" applyAlignment="1" applyProtection="1">
      <alignment horizontal="center" vertical="center"/>
      <protection locked="0"/>
    </xf>
    <xf numFmtId="0" fontId="0" fillId="3" borderId="79" xfId="0" applyFill="1" applyBorder="1" applyAlignment="1">
      <alignment horizontal="left" vertical="center"/>
    </xf>
    <xf numFmtId="0" fontId="0" fillId="3" borderId="136" xfId="0" applyFill="1" applyBorder="1" applyAlignment="1">
      <alignment horizontal="left" vertical="center"/>
    </xf>
    <xf numFmtId="171" fontId="34" fillId="7" borderId="7" xfId="0" applyNumberFormat="1" applyFont="1" applyFill="1" applyBorder="1" applyAlignment="1" applyProtection="1">
      <alignment horizontal="center" vertical="center"/>
      <protection locked="0"/>
    </xf>
    <xf numFmtId="171" fontId="34" fillId="7" borderId="96" xfId="0" applyNumberFormat="1" applyFont="1" applyFill="1" applyBorder="1" applyAlignment="1" applyProtection="1">
      <alignment horizontal="center" vertical="center"/>
      <protection locked="0"/>
    </xf>
    <xf numFmtId="0" fontId="0" fillId="3" borderId="46" xfId="0" applyFill="1" applyBorder="1" applyAlignment="1">
      <alignment horizontal="left" vertical="center"/>
    </xf>
    <xf numFmtId="0" fontId="0" fillId="3" borderId="78" xfId="0" applyFill="1" applyBorder="1" applyAlignment="1">
      <alignment horizontal="left" vertical="center"/>
    </xf>
    <xf numFmtId="0" fontId="0" fillId="3" borderId="48" xfId="0" applyFill="1" applyBorder="1" applyAlignment="1">
      <alignment horizontal="left" vertical="center"/>
    </xf>
    <xf numFmtId="0" fontId="34" fillId="7" borderId="0" xfId="0" applyFont="1" applyFill="1" applyAlignment="1" applyProtection="1">
      <alignment horizontal="left" vertical="center"/>
      <protection locked="0"/>
    </xf>
    <xf numFmtId="0" fontId="40" fillId="3" borderId="0" xfId="1" applyFill="1" applyAlignment="1" applyProtection="1">
      <alignment horizontal="left"/>
      <protection locked="0"/>
    </xf>
    <xf numFmtId="0" fontId="25" fillId="3" borderId="0" xfId="0" applyFont="1" applyFill="1" applyAlignment="1">
      <alignment horizontal="left"/>
    </xf>
    <xf numFmtId="0" fontId="0" fillId="3" borderId="21" xfId="0" applyFill="1" applyBorder="1" applyAlignment="1">
      <alignment horizontal="left" vertical="center" wrapText="1"/>
    </xf>
    <xf numFmtId="0" fontId="0" fillId="3" borderId="25" xfId="0" applyFill="1" applyBorder="1" applyAlignment="1">
      <alignment horizontal="left" vertical="center" wrapText="1"/>
    </xf>
    <xf numFmtId="0" fontId="0" fillId="3" borderId="49" xfId="0" applyFill="1" applyBorder="1" applyAlignment="1">
      <alignment horizontal="left" vertical="center" wrapText="1"/>
    </xf>
    <xf numFmtId="0" fontId="0" fillId="3" borderId="20" xfId="0" applyFill="1" applyBorder="1" applyAlignment="1">
      <alignment horizontal="left" vertical="center" wrapText="1"/>
    </xf>
    <xf numFmtId="0" fontId="34" fillId="3" borderId="25" xfId="0" applyFont="1" applyFill="1" applyBorder="1" applyAlignment="1" applyProtection="1">
      <alignment horizontal="center" vertical="center"/>
      <protection locked="0"/>
    </xf>
    <xf numFmtId="0" fontId="34" fillId="3" borderId="45" xfId="0" applyFont="1" applyFill="1" applyBorder="1" applyAlignment="1" applyProtection="1">
      <alignment horizontal="center" vertical="center"/>
      <protection locked="0"/>
    </xf>
    <xf numFmtId="0" fontId="34" fillId="3" borderId="20" xfId="0" applyFont="1" applyFill="1" applyBorder="1" applyAlignment="1" applyProtection="1">
      <alignment horizontal="center" vertical="center"/>
      <protection locked="0"/>
    </xf>
    <xf numFmtId="0" fontId="34" fillId="3" borderId="50" xfId="0" applyFont="1" applyFill="1" applyBorder="1" applyAlignment="1" applyProtection="1">
      <alignment horizontal="center" vertical="center"/>
      <protection locked="0"/>
    </xf>
    <xf numFmtId="0" fontId="0" fillId="3" borderId="21" xfId="0" applyFill="1" applyBorder="1" applyAlignment="1">
      <alignment horizontal="left" vertical="center"/>
    </xf>
    <xf numFmtId="0" fontId="0" fillId="3" borderId="25" xfId="0" applyFill="1" applyBorder="1" applyAlignment="1">
      <alignment horizontal="left" vertical="center"/>
    </xf>
    <xf numFmtId="0" fontId="0" fillId="3" borderId="49" xfId="0" applyFill="1" applyBorder="1" applyAlignment="1">
      <alignment horizontal="left" vertical="center"/>
    </xf>
    <xf numFmtId="0" fontId="0" fillId="3" borderId="20" xfId="0" applyFill="1" applyBorder="1" applyAlignment="1">
      <alignment horizontal="left" vertical="center"/>
    </xf>
    <xf numFmtId="0" fontId="0" fillId="3" borderId="95" xfId="0" applyFill="1" applyBorder="1" applyAlignment="1">
      <alignment horizontal="left" vertical="center"/>
    </xf>
    <xf numFmtId="0" fontId="0" fillId="3" borderId="14" xfId="0" applyFill="1" applyBorder="1" applyAlignment="1">
      <alignment horizontal="left" vertical="center"/>
    </xf>
    <xf numFmtId="0" fontId="34" fillId="3" borderId="14" xfId="0" applyFont="1" applyFill="1" applyBorder="1" applyAlignment="1" applyProtection="1">
      <alignment horizontal="center" vertical="center"/>
      <protection locked="0"/>
    </xf>
    <xf numFmtId="0" fontId="34" fillId="3" borderId="165" xfId="0" applyFont="1" applyFill="1" applyBorder="1" applyAlignment="1" applyProtection="1">
      <alignment horizontal="center" vertical="center"/>
      <protection locked="0"/>
    </xf>
    <xf numFmtId="0" fontId="34" fillId="3" borderId="14" xfId="0" applyFont="1" applyFill="1" applyBorder="1" applyAlignment="1" applyProtection="1">
      <alignment horizontal="center" vertical="center" wrapText="1"/>
      <protection locked="0"/>
    </xf>
    <xf numFmtId="0" fontId="34" fillId="3" borderId="165" xfId="0" applyFont="1" applyFill="1" applyBorder="1" applyAlignment="1" applyProtection="1">
      <alignment horizontal="center" vertical="center" wrapText="1"/>
      <protection locked="0"/>
    </xf>
    <xf numFmtId="0" fontId="34" fillId="3" borderId="16" xfId="0" applyFont="1" applyFill="1" applyBorder="1" applyAlignment="1" applyProtection="1">
      <alignment horizontal="center" vertical="center" wrapText="1"/>
      <protection locked="0"/>
    </xf>
    <xf numFmtId="0" fontId="34" fillId="3" borderId="75" xfId="0" applyFont="1" applyFill="1" applyBorder="1" applyAlignment="1" applyProtection="1">
      <alignment horizontal="center" vertical="center" wrapText="1"/>
      <protection locked="0"/>
    </xf>
    <xf numFmtId="0" fontId="34" fillId="3" borderId="16" xfId="0" applyFont="1" applyFill="1" applyBorder="1" applyAlignment="1" applyProtection="1">
      <alignment horizontal="center" vertical="center"/>
      <protection locked="0"/>
    </xf>
    <xf numFmtId="0" fontId="34" fillId="3" borderId="75" xfId="0" applyFont="1" applyFill="1" applyBorder="1" applyAlignment="1" applyProtection="1">
      <alignment horizontal="center" vertical="center"/>
      <protection locked="0"/>
    </xf>
    <xf numFmtId="0" fontId="0" fillId="3" borderId="95" xfId="0" applyFill="1" applyBorder="1" applyAlignment="1">
      <alignment horizontal="left" vertical="center" wrapText="1"/>
    </xf>
    <xf numFmtId="0" fontId="0" fillId="3" borderId="14" xfId="0" applyFill="1" applyBorder="1" applyAlignment="1">
      <alignment horizontal="left" vertical="center" wrapText="1"/>
    </xf>
    <xf numFmtId="0" fontId="0" fillId="3" borderId="82" xfId="0" applyFill="1" applyBorder="1" applyAlignment="1">
      <alignment horizontal="left" vertical="center" wrapText="1"/>
    </xf>
    <xf numFmtId="0" fontId="0" fillId="3" borderId="16" xfId="0" applyFill="1" applyBorder="1" applyAlignment="1">
      <alignment horizontal="left" vertical="center" wrapText="1"/>
    </xf>
    <xf numFmtId="0" fontId="77" fillId="3" borderId="0" xfId="0" applyFont="1" applyFill="1" applyAlignment="1">
      <alignment horizontal="left" wrapText="1"/>
    </xf>
    <xf numFmtId="180" fontId="34" fillId="3" borderId="25" xfId="0" applyNumberFormat="1" applyFont="1" applyFill="1" applyBorder="1" applyAlignment="1" applyProtection="1">
      <alignment horizontal="center" vertical="center" wrapText="1"/>
      <protection locked="0"/>
    </xf>
    <xf numFmtId="180" fontId="34" fillId="3" borderId="20" xfId="0" applyNumberFormat="1" applyFont="1" applyFill="1" applyBorder="1" applyAlignment="1" applyProtection="1">
      <alignment horizontal="center" vertical="center" wrapText="1"/>
      <protection locked="0"/>
    </xf>
    <xf numFmtId="0" fontId="0" fillId="3" borderId="47" xfId="0" applyFill="1" applyBorder="1" applyAlignment="1">
      <alignment horizontal="left" vertical="center" wrapText="1"/>
    </xf>
    <xf numFmtId="0" fontId="45" fillId="3" borderId="21" xfId="0" applyFont="1" applyFill="1" applyBorder="1" applyAlignment="1">
      <alignment horizontal="left" vertical="center" wrapText="1"/>
    </xf>
    <xf numFmtId="0" fontId="45" fillId="3" borderId="25" xfId="0" applyFont="1" applyFill="1" applyBorder="1" applyAlignment="1">
      <alignment horizontal="left" vertical="center" wrapText="1"/>
    </xf>
    <xf numFmtId="0" fontId="45" fillId="3" borderId="45" xfId="0" applyFont="1" applyFill="1" applyBorder="1" applyAlignment="1">
      <alignment horizontal="left" vertical="center" wrapText="1"/>
    </xf>
    <xf numFmtId="0" fontId="45" fillId="3" borderId="49" xfId="0" applyFont="1" applyFill="1" applyBorder="1" applyAlignment="1">
      <alignment horizontal="left" vertical="center" wrapText="1"/>
    </xf>
    <xf numFmtId="0" fontId="45" fillId="3" borderId="20" xfId="0" applyFont="1" applyFill="1" applyBorder="1" applyAlignment="1">
      <alignment horizontal="left" vertical="center" wrapText="1"/>
    </xf>
    <xf numFmtId="0" fontId="45" fillId="3" borderId="50" xfId="0" applyFont="1" applyFill="1" applyBorder="1" applyAlignment="1">
      <alignment horizontal="left" vertical="center" wrapText="1"/>
    </xf>
    <xf numFmtId="0" fontId="0" fillId="3" borderId="0" xfId="0" applyFill="1" applyAlignment="1">
      <alignment horizontal="center"/>
    </xf>
    <xf numFmtId="0" fontId="26" fillId="3" borderId="53" xfId="0" applyFont="1" applyFill="1" applyBorder="1" applyAlignment="1">
      <alignment horizontal="center" vertical="center"/>
    </xf>
    <xf numFmtId="0" fontId="26" fillId="3" borderId="177" xfId="0" applyFont="1" applyFill="1" applyBorder="1" applyAlignment="1">
      <alignment horizontal="center" vertical="center"/>
    </xf>
    <xf numFmtId="0" fontId="55" fillId="43" borderId="14" xfId="0" applyFont="1" applyFill="1" applyBorder="1" applyAlignment="1">
      <alignment horizontal="center" vertical="center"/>
    </xf>
    <xf numFmtId="0" fontId="55" fillId="43" borderId="165" xfId="0" applyFont="1" applyFill="1" applyBorder="1" applyAlignment="1">
      <alignment horizontal="center" vertical="center"/>
    </xf>
    <xf numFmtId="0" fontId="55" fillId="43" borderId="16" xfId="0" applyFont="1" applyFill="1" applyBorder="1" applyAlignment="1">
      <alignment horizontal="center" vertical="center"/>
    </xf>
    <xf numFmtId="0" fontId="55" fillId="43" borderId="75" xfId="0" applyFont="1" applyFill="1" applyBorder="1" applyAlignment="1">
      <alignment horizontal="center" vertical="center"/>
    </xf>
    <xf numFmtId="0" fontId="46" fillId="43" borderId="95" xfId="0" applyFont="1" applyFill="1" applyBorder="1" applyAlignment="1">
      <alignment horizontal="left" vertical="center" wrapText="1"/>
    </xf>
    <xf numFmtId="0" fontId="46" fillId="43" borderId="14" xfId="0" applyFont="1" applyFill="1" applyBorder="1" applyAlignment="1">
      <alignment horizontal="left" vertical="center" wrapText="1"/>
    </xf>
    <xf numFmtId="0" fontId="46" fillId="43" borderId="82" xfId="0" applyFont="1" applyFill="1" applyBorder="1" applyAlignment="1">
      <alignment horizontal="left" vertical="center" wrapText="1"/>
    </xf>
    <xf numFmtId="0" fontId="46" fillId="43" borderId="16" xfId="0" applyFont="1" applyFill="1" applyBorder="1" applyAlignment="1">
      <alignment horizontal="left" vertical="center" wrapText="1"/>
    </xf>
    <xf numFmtId="0" fontId="0" fillId="43" borderId="130" xfId="0" applyFill="1" applyBorder="1" applyAlignment="1">
      <alignment horizontal="center" vertical="center" wrapText="1"/>
    </xf>
    <xf numFmtId="0" fontId="0" fillId="43" borderId="171" xfId="0" applyFill="1" applyBorder="1" applyAlignment="1">
      <alignment horizontal="center" vertical="center" wrapText="1"/>
    </xf>
    <xf numFmtId="0" fontId="0" fillId="43" borderId="58" xfId="0" applyFill="1" applyBorder="1" applyAlignment="1">
      <alignment horizontal="center" vertical="center" wrapText="1"/>
    </xf>
    <xf numFmtId="0" fontId="0" fillId="43" borderId="169" xfId="0" applyFill="1" applyBorder="1" applyAlignment="1">
      <alignment horizontal="center" wrapText="1"/>
    </xf>
    <xf numFmtId="0" fontId="0" fillId="43" borderId="157" xfId="0" applyFill="1" applyBorder="1" applyAlignment="1">
      <alignment horizontal="center" wrapText="1"/>
    </xf>
    <xf numFmtId="0" fontId="0" fillId="43" borderId="19" xfId="0" applyFill="1" applyBorder="1" applyAlignment="1">
      <alignment horizontal="center" wrapText="1"/>
    </xf>
    <xf numFmtId="0" fontId="0" fillId="43" borderId="129" xfId="0" applyFill="1" applyBorder="1" applyAlignment="1">
      <alignment horizontal="center" vertical="center"/>
    </xf>
    <xf numFmtId="0" fontId="0" fillId="43" borderId="112" xfId="0" applyFill="1" applyBorder="1" applyAlignment="1">
      <alignment horizontal="center" vertical="center"/>
    </xf>
    <xf numFmtId="0" fontId="0" fillId="43" borderId="71" xfId="0" applyFill="1" applyBorder="1" applyAlignment="1">
      <alignment horizontal="center" vertical="center"/>
    </xf>
    <xf numFmtId="0" fontId="40" fillId="3" borderId="0" xfId="1" quotePrefix="1" applyFill="1" applyAlignment="1">
      <alignment horizontal="left"/>
    </xf>
    <xf numFmtId="0" fontId="0" fillId="3" borderId="0" xfId="0" applyFill="1" applyAlignment="1">
      <alignment horizontal="left" wrapText="1"/>
    </xf>
    <xf numFmtId="0" fontId="0" fillId="43" borderId="0" xfId="0" applyFill="1" applyAlignment="1">
      <alignment horizontal="center" vertical="center" wrapText="1"/>
    </xf>
    <xf numFmtId="0" fontId="0" fillId="43" borderId="184" xfId="0" applyFill="1" applyBorder="1" applyAlignment="1">
      <alignment horizontal="center" vertical="center" wrapText="1"/>
    </xf>
    <xf numFmtId="0" fontId="34" fillId="7" borderId="14" xfId="0" applyFont="1" applyFill="1" applyBorder="1" applyAlignment="1">
      <alignment horizontal="center" vertical="center" wrapText="1"/>
    </xf>
    <xf numFmtId="0" fontId="34" fillId="7" borderId="15" xfId="0" applyFont="1" applyFill="1" applyBorder="1" applyAlignment="1">
      <alignment horizontal="center" vertical="center" wrapText="1"/>
    </xf>
    <xf numFmtId="0" fontId="34" fillId="7" borderId="20" xfId="0" applyFont="1" applyFill="1" applyBorder="1" applyAlignment="1">
      <alignment horizontal="center" vertical="center" wrapText="1"/>
    </xf>
    <xf numFmtId="0" fontId="34" fillId="7" borderId="180" xfId="0" applyFont="1" applyFill="1" applyBorder="1" applyAlignment="1">
      <alignment horizontal="center" vertical="center" wrapText="1"/>
    </xf>
    <xf numFmtId="0" fontId="0" fillId="43" borderId="169" xfId="0" applyFill="1" applyBorder="1" applyAlignment="1">
      <alignment horizontal="center" vertical="center" wrapText="1"/>
    </xf>
    <xf numFmtId="0" fontId="0" fillId="43" borderId="170" xfId="0" applyFill="1" applyBorder="1" applyAlignment="1">
      <alignment horizontal="center" vertical="center" wrapText="1"/>
    </xf>
    <xf numFmtId="0" fontId="0" fillId="43" borderId="157" xfId="0" applyFill="1" applyBorder="1" applyAlignment="1">
      <alignment horizontal="center" vertical="center" wrapText="1"/>
    </xf>
    <xf numFmtId="0" fontId="0" fillId="43" borderId="158" xfId="0" applyFill="1" applyBorder="1" applyAlignment="1">
      <alignment horizontal="center" vertical="center" wrapText="1"/>
    </xf>
    <xf numFmtId="0" fontId="0" fillId="43" borderId="19" xfId="0" applyFill="1" applyBorder="1" applyAlignment="1">
      <alignment horizontal="center" vertical="center" wrapText="1"/>
    </xf>
    <xf numFmtId="0" fontId="0" fillId="43" borderId="18" xfId="0" applyFill="1" applyBorder="1" applyAlignment="1">
      <alignment horizontal="center" vertical="center" wrapText="1"/>
    </xf>
    <xf numFmtId="0" fontId="34" fillId="3" borderId="21" xfId="0" applyFont="1" applyFill="1" applyBorder="1" applyAlignment="1">
      <alignment horizontal="center"/>
    </xf>
    <xf numFmtId="0" fontId="34" fillId="3" borderId="25" xfId="0" applyFont="1" applyFill="1" applyBorder="1" applyAlignment="1">
      <alignment horizontal="center"/>
    </xf>
    <xf numFmtId="0" fontId="34" fillId="3" borderId="45" xfId="0" applyFont="1" applyFill="1" applyBorder="1" applyAlignment="1">
      <alignment horizontal="center"/>
    </xf>
    <xf numFmtId="0" fontId="86" fillId="3" borderId="21" xfId="0" applyFont="1" applyFill="1" applyBorder="1" applyAlignment="1">
      <alignment horizontal="center" vertical="center"/>
    </xf>
    <xf numFmtId="0" fontId="86" fillId="3" borderId="25" xfId="0" applyFont="1" applyFill="1" applyBorder="1" applyAlignment="1">
      <alignment horizontal="center" vertical="center"/>
    </xf>
    <xf numFmtId="0" fontId="86" fillId="3" borderId="45" xfId="0" applyFont="1" applyFill="1" applyBorder="1" applyAlignment="1">
      <alignment horizontal="center" vertical="center"/>
    </xf>
    <xf numFmtId="0" fontId="86" fillId="3" borderId="49" xfId="0" applyFont="1" applyFill="1" applyBorder="1" applyAlignment="1">
      <alignment horizontal="center" vertical="center"/>
    </xf>
    <xf numFmtId="0" fontId="86" fillId="3" borderId="20" xfId="0" applyFont="1" applyFill="1" applyBorder="1" applyAlignment="1">
      <alignment horizontal="center" vertical="center"/>
    </xf>
    <xf numFmtId="0" fontId="86" fillId="3" borderId="50" xfId="0" applyFont="1" applyFill="1" applyBorder="1" applyAlignment="1">
      <alignment horizontal="center" vertical="center"/>
    </xf>
    <xf numFmtId="180" fontId="34" fillId="3" borderId="14" xfId="0" applyNumberFormat="1" applyFont="1" applyFill="1" applyBorder="1" applyAlignment="1" applyProtection="1">
      <alignment horizontal="center" vertical="center" wrapText="1"/>
      <protection locked="0"/>
    </xf>
    <xf numFmtId="180" fontId="34" fillId="3" borderId="165" xfId="0" applyNumberFormat="1" applyFont="1" applyFill="1" applyBorder="1" applyAlignment="1" applyProtection="1">
      <alignment horizontal="center" vertical="center" wrapText="1"/>
      <protection locked="0"/>
    </xf>
    <xf numFmtId="180" fontId="34" fillId="3" borderId="16" xfId="0" applyNumberFormat="1" applyFont="1" applyFill="1" applyBorder="1" applyAlignment="1" applyProtection="1">
      <alignment horizontal="center" vertical="center" wrapText="1"/>
      <protection locked="0"/>
    </xf>
    <xf numFmtId="180" fontId="34" fillId="3" borderId="75" xfId="0" applyNumberFormat="1" applyFont="1" applyFill="1" applyBorder="1" applyAlignment="1" applyProtection="1">
      <alignment horizontal="center" vertical="center" wrapText="1"/>
      <protection locked="0"/>
    </xf>
    <xf numFmtId="0" fontId="58" fillId="3" borderId="82" xfId="1" applyFont="1" applyFill="1" applyBorder="1" applyAlignment="1" applyProtection="1">
      <alignment horizontal="left" vertical="center" readingOrder="1"/>
      <protection locked="0"/>
    </xf>
    <xf numFmtId="0" fontId="58" fillId="3" borderId="16" xfId="1" applyFont="1" applyFill="1" applyBorder="1" applyAlignment="1" applyProtection="1">
      <alignment horizontal="left" vertical="center" readingOrder="1"/>
      <protection locked="0"/>
    </xf>
    <xf numFmtId="0" fontId="82" fillId="0" borderId="0" xfId="0" applyFont="1" applyAlignment="1">
      <alignment horizontal="center"/>
    </xf>
    <xf numFmtId="0" fontId="0" fillId="3" borderId="0" xfId="0" applyFill="1" applyAlignment="1">
      <alignment horizontal="left"/>
    </xf>
    <xf numFmtId="0" fontId="58" fillId="3" borderId="20" xfId="1" applyFont="1" applyFill="1" applyBorder="1" applyAlignment="1">
      <alignment horizontal="left"/>
    </xf>
    <xf numFmtId="0" fontId="34" fillId="7" borderId="7" xfId="0" applyFont="1" applyFill="1" applyBorder="1" applyAlignment="1" applyProtection="1">
      <alignment horizontal="center" vertical="center"/>
      <protection locked="0"/>
    </xf>
    <xf numFmtId="0" fontId="0" fillId="0" borderId="59" xfId="0" applyBorder="1" applyAlignment="1">
      <alignment horizontal="left" vertical="center"/>
    </xf>
    <xf numFmtId="0" fontId="0" fillId="0" borderId="7" xfId="0" applyBorder="1" applyAlignment="1">
      <alignment horizontal="left" vertical="center"/>
    </xf>
    <xf numFmtId="0" fontId="0" fillId="0" borderId="46" xfId="0" applyBorder="1" applyAlignment="1">
      <alignment horizontal="left" vertical="center"/>
    </xf>
    <xf numFmtId="0" fontId="0" fillId="7" borderId="59" xfId="0" applyFill="1" applyBorder="1" applyAlignment="1">
      <alignment horizontal="left" vertical="center"/>
    </xf>
    <xf numFmtId="0" fontId="0" fillId="7" borderId="7" xfId="0" applyFill="1" applyBorder="1" applyAlignment="1">
      <alignment horizontal="left" vertical="center"/>
    </xf>
    <xf numFmtId="0" fontId="0" fillId="7" borderId="46" xfId="0" applyFill="1" applyBorder="1" applyAlignment="1">
      <alignment horizontal="left" vertical="center"/>
    </xf>
    <xf numFmtId="0" fontId="2" fillId="3" borderId="0" xfId="0" applyFont="1" applyFill="1" applyAlignment="1">
      <alignment horizontal="left"/>
    </xf>
    <xf numFmtId="0" fontId="0" fillId="0" borderId="113" xfId="0" applyBorder="1" applyAlignment="1">
      <alignment horizontal="center" vertical="center"/>
    </xf>
    <xf numFmtId="0" fontId="0" fillId="0" borderId="114" xfId="0" applyBorder="1" applyAlignment="1">
      <alignment horizontal="center" vertical="center"/>
    </xf>
    <xf numFmtId="0" fontId="0" fillId="0" borderId="115" xfId="0" applyBorder="1" applyAlignment="1">
      <alignment horizontal="center" vertical="center"/>
    </xf>
    <xf numFmtId="0" fontId="0" fillId="0" borderId="133" xfId="0" applyBorder="1" applyAlignment="1">
      <alignment horizontal="center" vertical="center"/>
    </xf>
    <xf numFmtId="0" fontId="0" fillId="0" borderId="134" xfId="0" applyBorder="1" applyAlignment="1">
      <alignment horizontal="center" vertical="center"/>
    </xf>
    <xf numFmtId="0" fontId="0" fillId="0" borderId="135" xfId="0" applyBorder="1" applyAlignment="1">
      <alignment horizontal="center" vertical="center"/>
    </xf>
    <xf numFmtId="0" fontId="0" fillId="3" borderId="85" xfId="0" applyFill="1" applyBorder="1" applyAlignment="1">
      <alignment horizontal="center" vertical="center"/>
    </xf>
    <xf numFmtId="0" fontId="0" fillId="3" borderId="86" xfId="0" applyFill="1" applyBorder="1" applyAlignment="1">
      <alignment horizontal="center" vertical="center"/>
    </xf>
    <xf numFmtId="0" fontId="0" fillId="3" borderId="87" xfId="0" applyFill="1" applyBorder="1" applyAlignment="1">
      <alignment horizontal="center" vertical="center"/>
    </xf>
    <xf numFmtId="0" fontId="67" fillId="3" borderId="0" xfId="0" applyFont="1" applyFill="1" applyAlignment="1">
      <alignment horizontal="left"/>
    </xf>
    <xf numFmtId="1" fontId="74" fillId="3" borderId="0" xfId="0" applyNumberFormat="1" applyFont="1" applyFill="1" applyAlignment="1">
      <alignment horizontal="left"/>
    </xf>
    <xf numFmtId="0" fontId="40" fillId="0" borderId="0" xfId="1" applyFill="1" applyAlignment="1">
      <alignment horizontal="center"/>
    </xf>
    <xf numFmtId="0" fontId="34" fillId="0" borderId="119" xfId="0" applyFont="1" applyBorder="1" applyAlignment="1">
      <alignment horizontal="center" vertical="center"/>
    </xf>
    <xf numFmtId="0" fontId="34" fillId="0" borderId="118" xfId="0" applyFont="1" applyBorder="1" applyAlignment="1">
      <alignment horizontal="center" vertical="center"/>
    </xf>
    <xf numFmtId="0" fontId="0" fillId="3" borderId="0" xfId="0" applyFill="1" applyAlignment="1">
      <alignment horizontal="left" vertical="center" wrapText="1"/>
    </xf>
    <xf numFmtId="0" fontId="40" fillId="3" borderId="49" xfId="1" applyFill="1" applyBorder="1" applyAlignment="1">
      <alignment horizontal="left" vertical="center"/>
    </xf>
    <xf numFmtId="0" fontId="40" fillId="3" borderId="20" xfId="1" applyFill="1" applyBorder="1" applyAlignment="1">
      <alignment horizontal="left" vertical="center"/>
    </xf>
    <xf numFmtId="0" fontId="40" fillId="3" borderId="50" xfId="1" applyFill="1" applyBorder="1" applyAlignment="1">
      <alignment horizontal="left" vertical="center"/>
    </xf>
    <xf numFmtId="0" fontId="0" fillId="3" borderId="78" xfId="0" applyFill="1" applyBorder="1" applyAlignment="1">
      <alignment horizontal="center" vertical="center"/>
    </xf>
    <xf numFmtId="0" fontId="0" fillId="3" borderId="48" xfId="0" applyFill="1" applyBorder="1" applyAlignment="1">
      <alignment horizontal="center" vertical="center"/>
    </xf>
    <xf numFmtId="0" fontId="0" fillId="3" borderId="79" xfId="0" applyFill="1" applyBorder="1" applyAlignment="1">
      <alignment horizontal="center" vertical="center"/>
    </xf>
    <xf numFmtId="0" fontId="0" fillId="3" borderId="209" xfId="0" applyFill="1" applyBorder="1" applyAlignment="1">
      <alignment horizontal="center" vertical="center"/>
    </xf>
    <xf numFmtId="0" fontId="0" fillId="3" borderId="205" xfId="0" applyFill="1" applyBorder="1" applyAlignment="1">
      <alignment horizontal="center" vertical="center"/>
    </xf>
    <xf numFmtId="0" fontId="0" fillId="3" borderId="206" xfId="0" applyFill="1" applyBorder="1" applyAlignment="1">
      <alignment horizontal="center" vertical="center"/>
    </xf>
    <xf numFmtId="0" fontId="31" fillId="0" borderId="0" xfId="0" applyFont="1" applyAlignment="1">
      <alignment horizontal="center"/>
    </xf>
    <xf numFmtId="0" fontId="84" fillId="3" borderId="0" xfId="0" applyFont="1" applyFill="1" applyAlignment="1">
      <alignment horizontal="center"/>
    </xf>
    <xf numFmtId="0" fontId="84" fillId="3" borderId="20" xfId="0" applyFont="1" applyFill="1" applyBorder="1" applyAlignment="1">
      <alignment horizontal="center"/>
    </xf>
    <xf numFmtId="0" fontId="0" fillId="0" borderId="119" xfId="0" applyBorder="1" applyAlignment="1">
      <alignment horizontal="center" vertical="center"/>
    </xf>
    <xf numFmtId="0" fontId="0" fillId="0" borderId="118" xfId="0" applyBorder="1" applyAlignment="1">
      <alignment horizontal="center" vertical="center"/>
    </xf>
    <xf numFmtId="0" fontId="64" fillId="3" borderId="41" xfId="0" applyFont="1" applyFill="1" applyBorder="1" applyAlignment="1">
      <alignment horizontal="center" vertical="center" textRotation="90"/>
    </xf>
    <xf numFmtId="0" fontId="40" fillId="0" borderId="119" xfId="1" applyBorder="1" applyAlignment="1">
      <alignment horizontal="center" vertical="center"/>
    </xf>
    <xf numFmtId="0" fontId="40" fillId="0" borderId="118" xfId="1" applyBorder="1" applyAlignment="1">
      <alignment horizontal="center" vertical="center"/>
    </xf>
    <xf numFmtId="0" fontId="0" fillId="0" borderId="116" xfId="0" applyBorder="1" applyAlignment="1">
      <alignment horizontal="center" vertical="center"/>
    </xf>
    <xf numFmtId="0" fontId="0" fillId="0" borderId="120" xfId="0" applyBorder="1" applyAlignment="1">
      <alignment horizontal="center" vertical="center"/>
    </xf>
    <xf numFmtId="0" fontId="44" fillId="3" borderId="0" xfId="0" applyFont="1" applyFill="1" applyAlignment="1">
      <alignment horizontal="left" vertical="center"/>
    </xf>
    <xf numFmtId="0" fontId="46" fillId="3" borderId="0" xfId="1" applyFont="1" applyFill="1" applyBorder="1" applyAlignment="1">
      <alignment horizontal="left" vertical="center"/>
    </xf>
    <xf numFmtId="0" fontId="46" fillId="3" borderId="0" xfId="1" applyFont="1" applyFill="1" applyBorder="1" applyAlignment="1">
      <alignment horizontal="left" vertical="center" wrapText="1"/>
    </xf>
    <xf numFmtId="0" fontId="87" fillId="3" borderId="0" xfId="1" applyFont="1" applyFill="1" applyBorder="1" applyAlignment="1">
      <alignment horizontal="left" vertical="center"/>
    </xf>
    <xf numFmtId="0" fontId="0" fillId="3" borderId="33" xfId="0" applyFill="1" applyBorder="1" applyAlignment="1">
      <alignment horizontal="left" vertical="center"/>
    </xf>
    <xf numFmtId="0" fontId="0" fillId="3" borderId="1" xfId="0" applyFill="1" applyBorder="1" applyAlignment="1">
      <alignment horizontal="left" vertical="center"/>
    </xf>
    <xf numFmtId="0" fontId="0" fillId="3" borderId="6" xfId="0" applyFill="1" applyBorder="1" applyAlignment="1">
      <alignment horizontal="left" vertical="center"/>
    </xf>
    <xf numFmtId="0" fontId="0" fillId="0" borderId="0" xfId="0" applyAlignment="1">
      <alignment horizontal="center" vertical="center"/>
    </xf>
    <xf numFmtId="0" fontId="34" fillId="0" borderId="116" xfId="0" applyFont="1" applyBorder="1" applyAlignment="1">
      <alignment horizontal="center" vertical="center"/>
    </xf>
    <xf numFmtId="0" fontId="34" fillId="0" borderId="117" xfId="0" applyFont="1" applyBorder="1" applyAlignment="1">
      <alignment horizontal="center" vertical="center"/>
    </xf>
    <xf numFmtId="0" fontId="31" fillId="0" borderId="113" xfId="0" applyFont="1" applyBorder="1" applyAlignment="1">
      <alignment horizontal="center" vertical="center"/>
    </xf>
    <xf numFmtId="0" fontId="31" fillId="0" borderId="114" xfId="0" applyFont="1" applyBorder="1" applyAlignment="1">
      <alignment horizontal="center" vertical="center"/>
    </xf>
    <xf numFmtId="0" fontId="31" fillId="0" borderId="115" xfId="0" applyFont="1" applyBorder="1" applyAlignment="1">
      <alignment horizontal="center" vertical="center"/>
    </xf>
    <xf numFmtId="1" fontId="0" fillId="3" borderId="94" xfId="0" applyNumberFormat="1" applyFill="1" applyBorder="1" applyAlignment="1">
      <alignment horizontal="center" vertical="center"/>
    </xf>
    <xf numFmtId="1" fontId="0" fillId="3" borderId="96" xfId="0" applyNumberFormat="1" applyFill="1" applyBorder="1" applyAlignment="1">
      <alignment horizontal="center" vertical="center"/>
    </xf>
    <xf numFmtId="0" fontId="65" fillId="3" borderId="0" xfId="0" applyFont="1" applyFill="1" applyAlignment="1">
      <alignment horizontal="left"/>
    </xf>
    <xf numFmtId="0" fontId="0" fillId="3" borderId="1" xfId="0" applyFill="1" applyBorder="1" applyAlignment="1">
      <alignment horizontal="left" wrapText="1"/>
    </xf>
    <xf numFmtId="0" fontId="0" fillId="3" borderId="59"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5" borderId="0" xfId="0" applyFill="1" applyAlignment="1">
      <alignment horizontal="center" vertical="center" wrapText="1"/>
    </xf>
    <xf numFmtId="0" fontId="0" fillId="3" borderId="92" xfId="0" applyFill="1" applyBorder="1" applyAlignment="1">
      <alignment horizontal="center" vertical="center" wrapText="1"/>
    </xf>
    <xf numFmtId="0" fontId="34" fillId="0" borderId="120" xfId="0" applyFont="1" applyBorder="1" applyAlignment="1">
      <alignment horizontal="center" vertical="center"/>
    </xf>
    <xf numFmtId="0" fontId="39" fillId="3" borderId="49" xfId="0" applyFont="1" applyFill="1" applyBorder="1" applyAlignment="1">
      <alignment horizontal="center" vertical="center"/>
    </xf>
    <xf numFmtId="0" fontId="39" fillId="3" borderId="20" xfId="0" applyFont="1" applyFill="1" applyBorder="1" applyAlignment="1">
      <alignment horizontal="center" vertical="center"/>
    </xf>
    <xf numFmtId="0" fontId="39" fillId="3" borderId="50" xfId="0" applyFont="1" applyFill="1" applyBorder="1" applyAlignment="1">
      <alignment horizontal="center" vertical="center"/>
    </xf>
    <xf numFmtId="0" fontId="0" fillId="3" borderId="0" xfId="0" applyFill="1" applyAlignment="1">
      <alignment horizontal="center" vertical="center"/>
    </xf>
    <xf numFmtId="0" fontId="0" fillId="3" borderId="6" xfId="0" applyFill="1" applyBorder="1" applyAlignment="1">
      <alignment horizontal="left"/>
    </xf>
    <xf numFmtId="0" fontId="0" fillId="3" borderId="7" xfId="0" applyFill="1" applyBorder="1" applyAlignment="1">
      <alignment horizontal="left"/>
    </xf>
    <xf numFmtId="0" fontId="0" fillId="3" borderId="46" xfId="0" applyFill="1" applyBorder="1" applyAlignment="1">
      <alignment horizontal="left"/>
    </xf>
    <xf numFmtId="0" fontId="55" fillId="3" borderId="190" xfId="0" applyFont="1" applyFill="1" applyBorder="1" applyAlignment="1">
      <alignment horizontal="center"/>
    </xf>
    <xf numFmtId="0" fontId="55" fillId="3" borderId="115" xfId="0" applyFont="1" applyFill="1" applyBorder="1" applyAlignment="1">
      <alignment horizontal="center"/>
    </xf>
    <xf numFmtId="0" fontId="0" fillId="3" borderId="78" xfId="0" applyFill="1" applyBorder="1" applyAlignment="1">
      <alignment horizontal="center"/>
    </xf>
    <xf numFmtId="0" fontId="0" fillId="3" borderId="48" xfId="0" applyFill="1" applyBorder="1" applyAlignment="1">
      <alignment horizontal="center"/>
    </xf>
    <xf numFmtId="0" fontId="0" fillId="3" borderId="69" xfId="0" applyFill="1" applyBorder="1" applyAlignment="1">
      <alignment horizontal="center"/>
    </xf>
    <xf numFmtId="0" fontId="31" fillId="3" borderId="97" xfId="0" applyFont="1" applyFill="1" applyBorder="1" applyAlignment="1">
      <alignment horizontal="center" vertical="center"/>
    </xf>
    <xf numFmtId="0" fontId="31" fillId="3" borderId="98" xfId="0" applyFont="1" applyFill="1" applyBorder="1" applyAlignment="1">
      <alignment horizontal="center" vertical="center"/>
    </xf>
    <xf numFmtId="0" fontId="31" fillId="3" borderId="99" xfId="0" applyFont="1" applyFill="1" applyBorder="1" applyAlignment="1">
      <alignment horizontal="center" vertical="center"/>
    </xf>
    <xf numFmtId="0" fontId="0" fillId="3" borderId="61" xfId="0" applyFill="1" applyBorder="1" applyAlignment="1">
      <alignment horizontal="left"/>
    </xf>
    <xf numFmtId="0" fontId="0" fillId="3" borderId="96" xfId="0" applyFill="1" applyBorder="1" applyAlignment="1">
      <alignment horizontal="left"/>
    </xf>
    <xf numFmtId="0" fontId="0" fillId="3" borderId="136" xfId="0" applyFill="1" applyBorder="1" applyAlignment="1">
      <alignment horizontal="left"/>
    </xf>
    <xf numFmtId="0" fontId="80" fillId="3" borderId="0" xfId="0" applyFont="1" applyFill="1" applyAlignment="1">
      <alignment horizontal="left"/>
    </xf>
    <xf numFmtId="0" fontId="3" fillId="3" borderId="0" xfId="0" applyFont="1" applyFill="1" applyAlignment="1">
      <alignment horizontal="center"/>
    </xf>
    <xf numFmtId="0" fontId="46" fillId="3" borderId="0" xfId="0" applyFont="1" applyFill="1" applyAlignment="1">
      <alignment horizontal="center"/>
    </xf>
    <xf numFmtId="0" fontId="0" fillId="3" borderId="94" xfId="0" applyFill="1" applyBorder="1" applyAlignment="1">
      <alignment horizontal="center"/>
    </xf>
    <xf numFmtId="0" fontId="0" fillId="3" borderId="96" xfId="0" applyFill="1" applyBorder="1" applyAlignment="1">
      <alignment horizontal="center"/>
    </xf>
    <xf numFmtId="0" fontId="0" fillId="3" borderId="80" xfId="0" applyFill="1" applyBorder="1" applyAlignment="1">
      <alignment horizontal="center"/>
    </xf>
    <xf numFmtId="0" fontId="0" fillId="3" borderId="6" xfId="0" applyFill="1" applyBorder="1" applyAlignment="1">
      <alignment wrapText="1"/>
    </xf>
    <xf numFmtId="0" fontId="0" fillId="3" borderId="7" xfId="0" applyFill="1" applyBorder="1" applyAlignment="1">
      <alignment wrapText="1"/>
    </xf>
    <xf numFmtId="0" fontId="0" fillId="3" borderId="8" xfId="0" applyFill="1" applyBorder="1" applyAlignment="1">
      <alignment wrapText="1"/>
    </xf>
    <xf numFmtId="0" fontId="0" fillId="3" borderId="1" xfId="0" applyFill="1" applyBorder="1" applyAlignment="1">
      <alignment horizontal="left"/>
    </xf>
    <xf numFmtId="0" fontId="74" fillId="5" borderId="0" xfId="0" applyFont="1" applyFill="1" applyAlignment="1">
      <alignment horizontal="center" vertical="center" wrapText="1"/>
    </xf>
    <xf numFmtId="0" fontId="0" fillId="3" borderId="33" xfId="0" applyFill="1" applyBorder="1" applyAlignment="1">
      <alignment horizontal="center"/>
    </xf>
    <xf numFmtId="0" fontId="0" fillId="3" borderId="1" xfId="0" applyFill="1" applyBorder="1" applyAlignment="1">
      <alignment horizontal="center"/>
    </xf>
    <xf numFmtId="0" fontId="0" fillId="3" borderId="65" xfId="0" applyFill="1" applyBorder="1" applyAlignment="1">
      <alignment horizontal="center"/>
    </xf>
    <xf numFmtId="0" fontId="0" fillId="3" borderId="66" xfId="0" applyFill="1" applyBorder="1" applyAlignment="1">
      <alignment horizontal="center"/>
    </xf>
    <xf numFmtId="0" fontId="0" fillId="3" borderId="59"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0" borderId="0" xfId="0" applyAlignment="1">
      <alignment horizontal="left" wrapText="1"/>
    </xf>
    <xf numFmtId="0" fontId="0" fillId="3" borderId="30" xfId="0" applyFill="1" applyBorder="1" applyAlignment="1">
      <alignment horizontal="left" vertical="center"/>
    </xf>
    <xf numFmtId="0" fontId="0" fillId="0" borderId="127" xfId="0" applyBorder="1" applyAlignment="1">
      <alignment horizontal="center" vertical="center" wrapText="1"/>
    </xf>
    <xf numFmtId="0" fontId="0" fillId="0" borderId="128" xfId="0" applyBorder="1" applyAlignment="1">
      <alignment horizontal="center" vertical="center" wrapText="1"/>
    </xf>
    <xf numFmtId="0" fontId="0" fillId="0" borderId="188" xfId="0" applyBorder="1" applyAlignment="1">
      <alignment horizontal="center" vertical="center" wrapText="1"/>
    </xf>
    <xf numFmtId="0" fontId="0" fillId="0" borderId="113" xfId="0" applyBorder="1" applyAlignment="1">
      <alignment horizontal="center"/>
    </xf>
    <xf numFmtId="0" fontId="0" fillId="0" borderId="114" xfId="0" applyBorder="1" applyAlignment="1">
      <alignment horizontal="center"/>
    </xf>
    <xf numFmtId="0" fontId="0" fillId="0" borderId="115" xfId="0" applyBorder="1" applyAlignment="1">
      <alignment horizontal="center"/>
    </xf>
    <xf numFmtId="0" fontId="0" fillId="5" borderId="97" xfId="0" applyFill="1" applyBorder="1" applyAlignment="1">
      <alignment horizontal="left"/>
    </xf>
    <xf numFmtId="0" fontId="0" fillId="5" borderId="98" xfId="0" applyFill="1" applyBorder="1" applyAlignment="1">
      <alignment horizontal="left"/>
    </xf>
    <xf numFmtId="0" fontId="73" fillId="42" borderId="21" xfId="0" applyFont="1" applyFill="1" applyBorder="1" applyAlignment="1">
      <alignment horizontal="center" vertical="center"/>
    </xf>
    <xf numFmtId="0" fontId="73" fillId="42" borderId="25" xfId="0" applyFont="1" applyFill="1" applyBorder="1" applyAlignment="1">
      <alignment horizontal="center" vertical="center"/>
    </xf>
    <xf numFmtId="0" fontId="73" fillId="42" borderId="45" xfId="0" applyFont="1" applyFill="1" applyBorder="1" applyAlignment="1">
      <alignment horizontal="center" vertical="center"/>
    </xf>
    <xf numFmtId="0" fontId="0" fillId="0" borderId="0" xfId="0" applyAlignment="1">
      <alignment horizontal="center"/>
    </xf>
    <xf numFmtId="0" fontId="47" fillId="3" borderId="140" xfId="0" applyFont="1" applyFill="1" applyBorder="1" applyAlignment="1">
      <alignment horizontal="center"/>
    </xf>
    <xf numFmtId="0" fontId="47" fillId="3" borderId="135" xfId="0" applyFont="1" applyFill="1" applyBorder="1" applyAlignment="1">
      <alignment horizontal="center"/>
    </xf>
    <xf numFmtId="0" fontId="74" fillId="4" borderId="0" xfId="0" applyFont="1" applyFill="1" applyAlignment="1">
      <alignment horizontal="center" vertical="center" wrapText="1"/>
    </xf>
    <xf numFmtId="0" fontId="0" fillId="3" borderId="67" xfId="0" applyFill="1" applyBorder="1" applyAlignment="1">
      <alignment horizontal="left" vertical="center"/>
    </xf>
    <xf numFmtId="0" fontId="0" fillId="3" borderId="28" xfId="0" applyFill="1" applyBorder="1" applyAlignment="1">
      <alignment horizontal="left" vertical="center"/>
    </xf>
    <xf numFmtId="0" fontId="0" fillId="3" borderId="1" xfId="0" applyFill="1" applyBorder="1" applyAlignment="1">
      <alignment horizontal="left" vertical="center" wrapText="1"/>
    </xf>
    <xf numFmtId="1" fontId="46" fillId="0" borderId="0" xfId="0" applyNumberFormat="1" applyFont="1" applyAlignment="1">
      <alignment horizontal="center"/>
    </xf>
    <xf numFmtId="0" fontId="31" fillId="0" borderId="21" xfId="0" applyFont="1" applyBorder="1" applyAlignment="1">
      <alignment horizontal="center" vertical="center"/>
    </xf>
    <xf numFmtId="0" fontId="31" fillId="0" borderId="25" xfId="0" applyFont="1" applyBorder="1" applyAlignment="1">
      <alignment horizontal="center" vertical="center"/>
    </xf>
    <xf numFmtId="0" fontId="31" fillId="0" borderId="45" xfId="0" applyFont="1" applyBorder="1" applyAlignment="1">
      <alignment horizontal="center" vertical="center"/>
    </xf>
    <xf numFmtId="0" fontId="0" fillId="0" borderId="133" xfId="0" applyBorder="1" applyAlignment="1">
      <alignment horizontal="center"/>
    </xf>
    <xf numFmtId="0" fontId="0" fillId="0" borderId="141" xfId="0" applyBorder="1" applyAlignment="1">
      <alignment horizontal="center"/>
    </xf>
    <xf numFmtId="0" fontId="34" fillId="0" borderId="97" xfId="0" applyFont="1" applyBorder="1" applyAlignment="1">
      <alignment horizontal="center" vertical="center"/>
    </xf>
    <xf numFmtId="0" fontId="34" fillId="0" borderId="98" xfId="0" applyFont="1" applyBorder="1" applyAlignment="1">
      <alignment horizontal="center" vertical="center"/>
    </xf>
    <xf numFmtId="0" fontId="34" fillId="0" borderId="99" xfId="0" applyFont="1" applyBorder="1" applyAlignment="1">
      <alignment horizontal="center" vertical="center"/>
    </xf>
    <xf numFmtId="0" fontId="0" fillId="0" borderId="0" xfId="0" applyAlignment="1">
      <alignment horizontal="center" vertical="center" textRotation="90"/>
    </xf>
    <xf numFmtId="0" fontId="34" fillId="0" borderId="0" xfId="0" applyFont="1" applyAlignment="1">
      <alignment horizontal="center" vertical="center" textRotation="90" wrapText="1"/>
    </xf>
    <xf numFmtId="0" fontId="34" fillId="3" borderId="97" xfId="0" applyFont="1" applyFill="1" applyBorder="1" applyAlignment="1">
      <alignment horizontal="center" vertical="center"/>
    </xf>
    <xf numFmtId="0" fontId="34" fillId="3" borderId="98" xfId="0" applyFont="1" applyFill="1" applyBorder="1" applyAlignment="1">
      <alignment horizontal="center" vertical="center"/>
    </xf>
    <xf numFmtId="0" fontId="34" fillId="3" borderId="99" xfId="0" applyFont="1" applyFill="1" applyBorder="1" applyAlignment="1">
      <alignment horizontal="center" vertical="center"/>
    </xf>
    <xf numFmtId="0" fontId="31" fillId="0" borderId="0" xfId="0" applyFont="1" applyAlignment="1">
      <alignment horizontal="left" vertical="center"/>
    </xf>
    <xf numFmtId="0" fontId="0" fillId="3" borderId="0" xfId="0" applyFill="1" applyAlignment="1">
      <alignment horizontal="left" vertical="center"/>
    </xf>
    <xf numFmtId="1" fontId="0" fillId="3" borderId="0" xfId="0" quotePrefix="1" applyNumberFormat="1" applyFill="1" applyAlignment="1">
      <alignment horizontal="left" vertical="center"/>
    </xf>
    <xf numFmtId="1" fontId="0" fillId="3" borderId="0" xfId="0" applyNumberFormat="1" applyFill="1" applyAlignment="1">
      <alignment horizontal="left" vertical="center"/>
    </xf>
    <xf numFmtId="0" fontId="25" fillId="3" borderId="0" xfId="0" applyFont="1" applyFill="1" applyAlignment="1">
      <alignment horizontal="left" vertical="center"/>
    </xf>
    <xf numFmtId="2" fontId="0" fillId="3" borderId="59" xfId="0" applyNumberFormat="1" applyFill="1" applyBorder="1" applyAlignment="1">
      <alignment horizontal="center" vertical="center"/>
    </xf>
    <xf numFmtId="2" fontId="0" fillId="3" borderId="7" xfId="0" applyNumberFormat="1" applyFill="1" applyBorder="1" applyAlignment="1">
      <alignment horizontal="center" vertical="center"/>
    </xf>
    <xf numFmtId="0" fontId="0" fillId="0" borderId="140" xfId="0" applyBorder="1" applyAlignment="1">
      <alignment horizontal="center"/>
    </xf>
    <xf numFmtId="0" fontId="0" fillId="0" borderId="135" xfId="0" applyBorder="1" applyAlignment="1">
      <alignment horizontal="center"/>
    </xf>
    <xf numFmtId="0" fontId="0" fillId="4" borderId="0" xfId="0" applyFill="1" applyAlignment="1">
      <alignment horizontal="center" vertical="center" wrapText="1"/>
    </xf>
    <xf numFmtId="1" fontId="0" fillId="3" borderId="96" xfId="0" applyNumberFormat="1" applyFill="1" applyBorder="1" applyAlignment="1">
      <alignment horizontal="left" vertical="center"/>
    </xf>
    <xf numFmtId="1" fontId="0" fillId="3" borderId="136" xfId="0" applyNumberFormat="1" applyFill="1" applyBorder="1" applyAlignment="1">
      <alignment horizontal="left" vertical="center"/>
    </xf>
    <xf numFmtId="173" fontId="0" fillId="0" borderId="0" xfId="0" applyNumberFormat="1" applyAlignment="1">
      <alignment horizontal="left" vertical="center"/>
    </xf>
    <xf numFmtId="0" fontId="25" fillId="0" borderId="0" xfId="0" applyFont="1" applyAlignment="1">
      <alignment horizontal="center" vertical="center"/>
    </xf>
    <xf numFmtId="0" fontId="27" fillId="0" borderId="0" xfId="0" applyFont="1" applyAlignment="1">
      <alignment horizontal="center" vertical="center" wrapText="1"/>
    </xf>
    <xf numFmtId="0" fontId="26" fillId="0" borderId="0" xfId="0" applyFont="1" applyAlignment="1">
      <alignment horizontal="center" vertical="center"/>
    </xf>
    <xf numFmtId="0" fontId="0" fillId="0" borderId="0" xfId="0" applyAlignment="1">
      <alignment horizontal="left" vertical="top" wrapText="1"/>
    </xf>
    <xf numFmtId="0" fontId="0" fillId="0" borderId="0" xfId="0" applyAlignment="1">
      <alignment horizontal="left" vertical="center" wrapText="1"/>
    </xf>
    <xf numFmtId="0" fontId="0" fillId="0" borderId="0" xfId="0" applyAlignment="1">
      <alignment horizontal="left" vertical="center"/>
    </xf>
    <xf numFmtId="0" fontId="29" fillId="9" borderId="0" xfId="0" applyFont="1" applyFill="1" applyAlignment="1">
      <alignment horizontal="center" vertical="center"/>
    </xf>
    <xf numFmtId="0" fontId="29" fillId="0" borderId="0" xfId="0" applyFont="1" applyAlignment="1">
      <alignment horizontal="center" vertical="center"/>
    </xf>
    <xf numFmtId="0" fontId="29" fillId="0" borderId="20" xfId="0" applyFont="1" applyBorder="1" applyAlignment="1">
      <alignment horizontal="center" vertical="center"/>
    </xf>
    <xf numFmtId="0" fontId="24" fillId="3" borderId="0" xfId="0" applyFont="1" applyFill="1" applyAlignment="1">
      <alignment horizontal="left"/>
    </xf>
    <xf numFmtId="0" fontId="44" fillId="3" borderId="20" xfId="0" applyFont="1" applyFill="1" applyBorder="1" applyAlignment="1">
      <alignment horizontal="left" vertical="center"/>
    </xf>
    <xf numFmtId="173" fontId="0" fillId="3" borderId="0" xfId="0" applyNumberFormat="1" applyFill="1" applyAlignment="1">
      <alignment horizontal="left" vertical="center"/>
    </xf>
    <xf numFmtId="0" fontId="27" fillId="3" borderId="0" xfId="0" applyFont="1" applyFill="1" applyAlignment="1">
      <alignment horizontal="left" vertical="center" wrapText="1"/>
    </xf>
    <xf numFmtId="0" fontId="26" fillId="3" borderId="0" xfId="0" applyFont="1" applyFill="1" applyAlignment="1">
      <alignment horizontal="left" vertical="center"/>
    </xf>
    <xf numFmtId="1" fontId="0" fillId="7" borderId="59" xfId="0" applyNumberFormat="1" applyFill="1" applyBorder="1" applyAlignment="1">
      <alignment horizontal="center" vertical="center"/>
    </xf>
    <xf numFmtId="0" fontId="0" fillId="7" borderId="7" xfId="0" applyFill="1" applyBorder="1" applyAlignment="1">
      <alignment horizontal="center" vertical="center"/>
    </xf>
    <xf numFmtId="0" fontId="40" fillId="3" borderId="0" xfId="1" applyFill="1" applyAlignment="1">
      <alignment horizontal="left"/>
    </xf>
    <xf numFmtId="0" fontId="46" fillId="3" borderId="94" xfId="0" applyFont="1" applyFill="1" applyBorder="1" applyAlignment="1">
      <alignment horizontal="center"/>
    </xf>
    <xf numFmtId="0" fontId="46" fillId="3" borderId="96" xfId="0" applyFont="1" applyFill="1" applyBorder="1" applyAlignment="1">
      <alignment horizontal="center"/>
    </xf>
    <xf numFmtId="0" fontId="46" fillId="3" borderId="136" xfId="0" applyFont="1" applyFill="1" applyBorder="1" applyAlignment="1">
      <alignment horizontal="center"/>
    </xf>
    <xf numFmtId="0" fontId="46" fillId="3" borderId="78" xfId="0" applyFont="1" applyFill="1" applyBorder="1" applyAlignment="1">
      <alignment horizontal="center"/>
    </xf>
    <xf numFmtId="0" fontId="46" fillId="3" borderId="48" xfId="0" applyFont="1" applyFill="1" applyBorder="1" applyAlignment="1">
      <alignment horizontal="center"/>
    </xf>
    <xf numFmtId="0" fontId="46" fillId="3" borderId="79" xfId="0" applyFont="1" applyFill="1" applyBorder="1" applyAlignment="1">
      <alignment horizontal="center"/>
    </xf>
    <xf numFmtId="0" fontId="74" fillId="6" borderId="0" xfId="0" applyFont="1" applyFill="1" applyAlignment="1">
      <alignment horizontal="center" vertical="center" wrapText="1"/>
    </xf>
    <xf numFmtId="0" fontId="0" fillId="3" borderId="62" xfId="0" applyFill="1" applyBorder="1" applyAlignment="1">
      <alignment horizontal="center"/>
    </xf>
    <xf numFmtId="0" fontId="0" fillId="3" borderId="67" xfId="0" applyFill="1" applyBorder="1" applyAlignment="1">
      <alignment horizontal="left" wrapText="1"/>
    </xf>
    <xf numFmtId="0" fontId="0" fillId="3" borderId="32" xfId="0" applyFill="1" applyBorder="1" applyAlignment="1">
      <alignment horizontal="center"/>
    </xf>
    <xf numFmtId="0" fontId="0" fillId="3" borderId="67" xfId="0" applyFill="1" applyBorder="1" applyAlignment="1">
      <alignment horizontal="center"/>
    </xf>
    <xf numFmtId="0" fontId="0" fillId="3" borderId="6" xfId="0" applyFill="1" applyBorder="1" applyAlignment="1">
      <alignment horizontal="left" wrapText="1"/>
    </xf>
    <xf numFmtId="0" fontId="0" fillId="3" borderId="7" xfId="0" applyFill="1" applyBorder="1" applyAlignment="1">
      <alignment horizontal="left" wrapText="1"/>
    </xf>
    <xf numFmtId="0" fontId="0" fillId="3" borderId="46" xfId="0" applyFill="1" applyBorder="1" applyAlignment="1">
      <alignment horizontal="left" wrapText="1"/>
    </xf>
    <xf numFmtId="0" fontId="0" fillId="3" borderId="68" xfId="0" applyFill="1" applyBorder="1" applyAlignment="1">
      <alignment horizontal="center"/>
    </xf>
    <xf numFmtId="0" fontId="0" fillId="3" borderId="79" xfId="0" applyFill="1" applyBorder="1" applyAlignment="1">
      <alignment horizontal="center"/>
    </xf>
    <xf numFmtId="2" fontId="0" fillId="5" borderId="23" xfId="0" applyNumberFormat="1" applyFill="1" applyBorder="1" applyAlignment="1">
      <alignment horizontal="center" vertical="center"/>
    </xf>
    <xf numFmtId="2" fontId="0" fillId="5" borderId="8" xfId="0" applyNumberFormat="1" applyFill="1" applyBorder="1" applyAlignment="1">
      <alignment horizontal="center" vertical="center"/>
    </xf>
    <xf numFmtId="2" fontId="0" fillId="5" borderId="138" xfId="0" applyNumberFormat="1" applyFill="1" applyBorder="1" applyAlignment="1">
      <alignment horizontal="center" vertical="center"/>
    </xf>
    <xf numFmtId="2" fontId="0" fillId="5" borderId="69" xfId="0" applyNumberFormat="1" applyFill="1" applyBorder="1" applyAlignment="1">
      <alignment horizontal="center" vertical="center"/>
    </xf>
    <xf numFmtId="2" fontId="0" fillId="5" borderId="24" xfId="0" applyNumberFormat="1" applyFill="1" applyBorder="1" applyAlignment="1">
      <alignment horizontal="center" vertical="center"/>
    </xf>
    <xf numFmtId="2" fontId="0" fillId="5" borderId="80" xfId="0" applyNumberFormat="1" applyFill="1" applyBorder="1" applyAlignment="1">
      <alignment horizontal="center" vertical="center"/>
    </xf>
    <xf numFmtId="0" fontId="0" fillId="6" borderId="0" xfId="0" applyFill="1" applyAlignment="1">
      <alignment horizontal="center" vertical="center" wrapText="1"/>
    </xf>
    <xf numFmtId="0" fontId="39" fillId="3" borderId="21" xfId="0" applyFont="1" applyFill="1" applyBorder="1" applyAlignment="1">
      <alignment horizontal="left" vertical="center"/>
    </xf>
    <xf numFmtId="0" fontId="39" fillId="3" borderId="25" xfId="0" applyFont="1" applyFill="1" applyBorder="1" applyAlignment="1">
      <alignment horizontal="left" vertical="center"/>
    </xf>
    <xf numFmtId="0" fontId="39" fillId="3" borderId="45" xfId="0" applyFont="1" applyFill="1" applyBorder="1" applyAlignment="1">
      <alignment horizontal="left" vertical="center"/>
    </xf>
    <xf numFmtId="0" fontId="40" fillId="3" borderId="47" xfId="1" applyFill="1" applyBorder="1" applyAlignment="1">
      <alignment horizontal="left" vertical="center"/>
    </xf>
    <xf numFmtId="0" fontId="40" fillId="3" borderId="0" xfId="1" applyFill="1" applyBorder="1" applyAlignment="1">
      <alignment horizontal="left" vertical="center"/>
    </xf>
    <xf numFmtId="0" fontId="40" fillId="3" borderId="41" xfId="1" applyFill="1" applyBorder="1" applyAlignment="1">
      <alignment horizontal="left" vertical="center"/>
    </xf>
    <xf numFmtId="0" fontId="0" fillId="0" borderId="178" xfId="0" applyBorder="1" applyAlignment="1">
      <alignment horizontal="center" vertical="center" textRotation="90"/>
    </xf>
    <xf numFmtId="0" fontId="0" fillId="0" borderId="145" xfId="0" applyBorder="1" applyAlignment="1">
      <alignment horizontal="center" vertical="center" textRotation="90"/>
    </xf>
    <xf numFmtId="0" fontId="0" fillId="0" borderId="179" xfId="0" applyBorder="1" applyAlignment="1">
      <alignment horizontal="center" vertical="center" textRotation="90"/>
    </xf>
    <xf numFmtId="0" fontId="34" fillId="0" borderId="121" xfId="0" applyFont="1" applyBorder="1" applyAlignment="1">
      <alignment horizontal="center" vertical="center" wrapText="1"/>
    </xf>
    <xf numFmtId="0" fontId="34" fillId="0" borderId="122" xfId="0" applyFont="1" applyBorder="1" applyAlignment="1">
      <alignment horizontal="center" vertical="center" wrapText="1"/>
    </xf>
    <xf numFmtId="0" fontId="34" fillId="0" borderId="123" xfId="0" applyFont="1" applyBorder="1" applyAlignment="1">
      <alignment horizontal="center" vertical="center" wrapText="1"/>
    </xf>
    <xf numFmtId="0" fontId="0" fillId="0" borderId="124" xfId="0" applyBorder="1" applyAlignment="1">
      <alignment horizontal="center" vertical="center" textRotation="90"/>
    </xf>
    <xf numFmtId="0" fontId="0" fillId="0" borderId="125" xfId="0" applyBorder="1" applyAlignment="1">
      <alignment horizontal="center" vertical="center" textRotation="90"/>
    </xf>
    <xf numFmtId="0" fontId="0" fillId="0" borderId="126" xfId="0" applyBorder="1" applyAlignment="1">
      <alignment horizontal="center" vertical="center" textRotation="90"/>
    </xf>
    <xf numFmtId="0" fontId="34" fillId="3" borderId="41" xfId="0" applyFont="1" applyFill="1" applyBorder="1" applyAlignment="1">
      <alignment horizontal="center" vertical="center" textRotation="90" wrapText="1"/>
    </xf>
    <xf numFmtId="0" fontId="0" fillId="0" borderId="117" xfId="0" applyBorder="1" applyAlignment="1">
      <alignment horizontal="center" vertical="center"/>
    </xf>
    <xf numFmtId="0" fontId="0" fillId="0" borderId="134" xfId="0" applyBorder="1" applyAlignment="1">
      <alignment horizontal="center"/>
    </xf>
    <xf numFmtId="0" fontId="74" fillId="3" borderId="21" xfId="0" applyFont="1" applyFill="1" applyBorder="1" applyAlignment="1">
      <alignment horizontal="center" vertical="center" textRotation="90"/>
    </xf>
    <xf numFmtId="0" fontId="74" fillId="3" borderId="178" xfId="0" applyFont="1" applyFill="1" applyBorder="1" applyAlignment="1">
      <alignment horizontal="center" vertical="center" textRotation="90"/>
    </xf>
    <xf numFmtId="0" fontId="74" fillId="3" borderId="47" xfId="0" applyFont="1" applyFill="1" applyBorder="1" applyAlignment="1">
      <alignment horizontal="center" vertical="center" textRotation="90"/>
    </xf>
    <xf numFmtId="0" fontId="74" fillId="3" borderId="145" xfId="0" applyFont="1" applyFill="1" applyBorder="1" applyAlignment="1">
      <alignment horizontal="center" vertical="center" textRotation="90"/>
    </xf>
    <xf numFmtId="0" fontId="74" fillId="3" borderId="49" xfId="0" applyFont="1" applyFill="1" applyBorder="1" applyAlignment="1">
      <alignment horizontal="center" vertical="center" textRotation="90"/>
    </xf>
    <xf numFmtId="0" fontId="74" fillId="3" borderId="179" xfId="0" applyFont="1" applyFill="1" applyBorder="1" applyAlignment="1">
      <alignment horizontal="center" vertical="center" textRotation="90"/>
    </xf>
    <xf numFmtId="0" fontId="34" fillId="3" borderId="97" xfId="0" applyFont="1" applyFill="1" applyBorder="1" applyAlignment="1">
      <alignment horizontal="center"/>
    </xf>
    <xf numFmtId="0" fontId="34" fillId="3" borderId="98" xfId="0" applyFont="1" applyFill="1" applyBorder="1" applyAlignment="1">
      <alignment horizontal="center"/>
    </xf>
    <xf numFmtId="0" fontId="34" fillId="3" borderId="99" xfId="0" applyFont="1" applyFill="1" applyBorder="1" applyAlignment="1">
      <alignment horizontal="center"/>
    </xf>
    <xf numFmtId="0" fontId="32" fillId="3" borderId="190" xfId="0" applyFont="1" applyFill="1" applyBorder="1" applyAlignment="1">
      <alignment horizontal="center" vertical="center"/>
    </xf>
    <xf numFmtId="0" fontId="32" fillId="3" borderId="191" xfId="0" applyFont="1" applyFill="1" applyBorder="1" applyAlignment="1">
      <alignment horizontal="center" vertical="center"/>
    </xf>
    <xf numFmtId="0" fontId="32" fillId="3" borderId="119" xfId="0" applyFont="1" applyFill="1" applyBorder="1" applyAlignment="1">
      <alignment horizontal="center" vertical="center"/>
    </xf>
    <xf numFmtId="0" fontId="32" fillId="3" borderId="120" xfId="0" applyFont="1" applyFill="1" applyBorder="1" applyAlignment="1">
      <alignment horizontal="center" vertical="center"/>
    </xf>
    <xf numFmtId="0" fontId="32" fillId="3" borderId="146" xfId="0" applyFont="1" applyFill="1" applyBorder="1" applyAlignment="1">
      <alignment horizontal="center" vertical="center"/>
    </xf>
    <xf numFmtId="0" fontId="32" fillId="3" borderId="148" xfId="0" applyFont="1" applyFill="1" applyBorder="1" applyAlignment="1">
      <alignment horizontal="center" vertical="center"/>
    </xf>
    <xf numFmtId="0" fontId="34" fillId="3" borderId="77" xfId="0" applyFont="1" applyFill="1" applyBorder="1" applyAlignment="1">
      <alignment horizontal="center" vertical="center" textRotation="90"/>
    </xf>
    <xf numFmtId="0" fontId="34" fillId="3" borderId="147" xfId="0" applyFont="1" applyFill="1" applyBorder="1" applyAlignment="1">
      <alignment horizontal="center" vertical="center" textRotation="90"/>
    </xf>
    <xf numFmtId="0" fontId="34" fillId="3" borderId="49" xfId="0" applyFont="1" applyFill="1" applyBorder="1" applyAlignment="1">
      <alignment horizontal="center" vertical="center" textRotation="90"/>
    </xf>
    <xf numFmtId="0" fontId="34" fillId="3" borderId="20" xfId="0" applyFont="1" applyFill="1" applyBorder="1" applyAlignment="1">
      <alignment horizontal="center" vertical="center" textRotation="90"/>
    </xf>
    <xf numFmtId="0" fontId="47" fillId="3" borderId="146" xfId="0" applyFont="1" applyFill="1" applyBorder="1" applyAlignment="1">
      <alignment horizontal="center" vertical="center"/>
    </xf>
    <xf numFmtId="0" fontId="47" fillId="3" borderId="148" xfId="0" applyFont="1" applyFill="1" applyBorder="1" applyAlignment="1">
      <alignment horizontal="center" vertical="center"/>
    </xf>
    <xf numFmtId="0" fontId="47" fillId="3" borderId="211" xfId="0" applyFont="1" applyFill="1" applyBorder="1" applyAlignment="1">
      <alignment horizontal="center" vertical="center"/>
    </xf>
    <xf numFmtId="0" fontId="47" fillId="3" borderId="179" xfId="0" applyFont="1" applyFill="1" applyBorder="1" applyAlignment="1">
      <alignment horizontal="center" vertical="center"/>
    </xf>
    <xf numFmtId="0" fontId="55" fillId="3" borderId="113" xfId="0" applyFont="1" applyFill="1" applyBorder="1" applyAlignment="1">
      <alignment horizontal="center"/>
    </xf>
    <xf numFmtId="0" fontId="55" fillId="3" borderId="114" xfId="0" applyFont="1" applyFill="1" applyBorder="1" applyAlignment="1">
      <alignment horizontal="center"/>
    </xf>
    <xf numFmtId="0" fontId="55" fillId="3" borderId="191" xfId="0" applyFont="1" applyFill="1" applyBorder="1" applyAlignment="1">
      <alignment horizontal="center"/>
    </xf>
    <xf numFmtId="0" fontId="0" fillId="0" borderId="89" xfId="0" applyBorder="1" applyAlignment="1">
      <alignment horizontal="center" vertical="center" wrapText="1"/>
    </xf>
    <xf numFmtId="0" fontId="0" fillId="3" borderId="92" xfId="0" applyFill="1" applyBorder="1" applyAlignment="1">
      <alignment horizontal="center" vertical="center"/>
    </xf>
    <xf numFmtId="0" fontId="0" fillId="3" borderId="133" xfId="0" applyFill="1" applyBorder="1" applyAlignment="1">
      <alignment horizontal="center" vertical="center"/>
    </xf>
    <xf numFmtId="0" fontId="0" fillId="3" borderId="134" xfId="0" applyFill="1" applyBorder="1" applyAlignment="1">
      <alignment horizontal="center" vertical="center"/>
    </xf>
    <xf numFmtId="0" fontId="0" fillId="3" borderId="135" xfId="0" applyFill="1" applyBorder="1" applyAlignment="1">
      <alignment horizontal="center" vertical="center"/>
    </xf>
    <xf numFmtId="0" fontId="47" fillId="3" borderId="119" xfId="0" applyFont="1" applyFill="1" applyBorder="1" applyAlignment="1">
      <alignment horizontal="center"/>
    </xf>
    <xf numFmtId="0" fontId="47" fillId="3" borderId="118" xfId="0" applyFont="1" applyFill="1" applyBorder="1" applyAlignment="1">
      <alignment horizontal="center"/>
    </xf>
    <xf numFmtId="0" fontId="0" fillId="3" borderId="133" xfId="0" applyFill="1" applyBorder="1" applyAlignment="1">
      <alignment horizontal="center" vertical="center" wrapText="1"/>
    </xf>
    <xf numFmtId="0" fontId="0" fillId="3" borderId="141" xfId="0" applyFill="1" applyBorder="1" applyAlignment="1">
      <alignment horizontal="center" vertical="center" wrapText="1"/>
    </xf>
    <xf numFmtId="0" fontId="0" fillId="0" borderId="90" xfId="0" applyBorder="1" applyAlignment="1">
      <alignment horizontal="center" vertical="center" wrapText="1"/>
    </xf>
    <xf numFmtId="2" fontId="0" fillId="5" borderId="96" xfId="0" applyNumberFormat="1" applyFill="1" applyBorder="1" applyAlignment="1">
      <alignment horizontal="center" vertical="center"/>
    </xf>
    <xf numFmtId="2" fontId="0" fillId="5" borderId="136" xfId="0" applyNumberFormat="1" applyFill="1" applyBorder="1" applyAlignment="1">
      <alignment horizontal="center" vertical="center"/>
    </xf>
    <xf numFmtId="2" fontId="0" fillId="5" borderId="7" xfId="0" applyNumberFormat="1" applyFill="1" applyBorder="1" applyAlignment="1">
      <alignment horizontal="center" vertical="center"/>
    </xf>
    <xf numFmtId="2" fontId="0" fillId="5" borderId="46" xfId="0" applyNumberFormat="1" applyFill="1" applyBorder="1" applyAlignment="1">
      <alignment horizontal="center" vertical="center"/>
    </xf>
    <xf numFmtId="2" fontId="0" fillId="5" borderId="48" xfId="0" applyNumberFormat="1" applyFill="1" applyBorder="1" applyAlignment="1">
      <alignment horizontal="center" vertical="center"/>
    </xf>
    <xf numFmtId="2" fontId="0" fillId="5" borderId="79" xfId="0" applyNumberFormat="1" applyFill="1" applyBorder="1" applyAlignment="1">
      <alignment horizontal="center" vertical="center"/>
    </xf>
    <xf numFmtId="2" fontId="0" fillId="5" borderId="94" xfId="0" applyNumberFormat="1" applyFill="1" applyBorder="1" applyAlignment="1">
      <alignment horizontal="center" vertical="center"/>
    </xf>
    <xf numFmtId="2" fontId="0" fillId="5" borderId="204" xfId="0" applyNumberFormat="1" applyFill="1" applyBorder="1" applyAlignment="1">
      <alignment horizontal="center" vertical="center"/>
    </xf>
    <xf numFmtId="2" fontId="0" fillId="5" borderId="59" xfId="0" applyNumberFormat="1" applyFill="1" applyBorder="1" applyAlignment="1">
      <alignment horizontal="center" vertical="center"/>
    </xf>
    <xf numFmtId="2" fontId="0" fillId="5" borderId="203" xfId="0" applyNumberFormat="1" applyFill="1" applyBorder="1" applyAlignment="1">
      <alignment horizontal="center" vertical="center"/>
    </xf>
    <xf numFmtId="2" fontId="0" fillId="5" borderId="78" xfId="0" applyNumberFormat="1" applyFill="1" applyBorder="1" applyAlignment="1">
      <alignment horizontal="center" vertical="center"/>
    </xf>
    <xf numFmtId="2" fontId="0" fillId="5" borderId="139" xfId="0" applyNumberFormat="1" applyFill="1" applyBorder="1" applyAlignment="1">
      <alignment horizontal="center" vertical="center"/>
    </xf>
    <xf numFmtId="0" fontId="0" fillId="3" borderId="140" xfId="0" applyFill="1" applyBorder="1" applyAlignment="1">
      <alignment horizontal="center" vertical="center" wrapText="1"/>
    </xf>
    <xf numFmtId="0" fontId="0" fillId="3" borderId="134" xfId="0" applyFill="1" applyBorder="1" applyAlignment="1">
      <alignment horizontal="center" vertical="center" wrapText="1"/>
    </xf>
    <xf numFmtId="0" fontId="0" fillId="3" borderId="135" xfId="0" applyFill="1" applyBorder="1" applyAlignment="1">
      <alignment horizontal="center" vertical="center" wrapText="1"/>
    </xf>
    <xf numFmtId="0" fontId="67" fillId="3" borderId="0" xfId="0" applyFont="1" applyFill="1" applyAlignment="1">
      <alignment horizontal="left" wrapText="1"/>
    </xf>
    <xf numFmtId="0" fontId="31" fillId="3" borderId="21" xfId="0" applyFont="1" applyFill="1" applyBorder="1" applyAlignment="1">
      <alignment horizontal="center" vertical="center"/>
    </xf>
    <xf numFmtId="0" fontId="31" fillId="3" borderId="25" xfId="0" applyFont="1" applyFill="1" applyBorder="1" applyAlignment="1">
      <alignment horizontal="center" vertical="center"/>
    </xf>
    <xf numFmtId="0" fontId="31" fillId="3" borderId="45" xfId="0" applyFont="1" applyFill="1" applyBorder="1" applyAlignment="1">
      <alignment horizontal="center" vertical="center"/>
    </xf>
    <xf numFmtId="0" fontId="74" fillId="3" borderId="124" xfId="0" applyFont="1" applyFill="1" applyBorder="1" applyAlignment="1">
      <alignment horizontal="center" vertical="center" textRotation="90"/>
    </xf>
    <xf numFmtId="0" fontId="74" fillId="3" borderId="125" xfId="0" applyFont="1" applyFill="1" applyBorder="1" applyAlignment="1">
      <alignment horizontal="center" vertical="center" textRotation="90"/>
    </xf>
    <xf numFmtId="0" fontId="74" fillId="3" borderId="126" xfId="0" applyFont="1" applyFill="1" applyBorder="1" applyAlignment="1">
      <alignment horizontal="center" vertical="center" textRotation="90"/>
    </xf>
    <xf numFmtId="0" fontId="32" fillId="3" borderId="90" xfId="0" applyFont="1" applyFill="1" applyBorder="1" applyAlignment="1">
      <alignment horizontal="center" vertical="center"/>
    </xf>
    <xf numFmtId="0" fontId="32" fillId="3" borderId="187" xfId="0" applyFont="1" applyFill="1" applyBorder="1" applyAlignment="1">
      <alignment horizontal="center" vertical="center"/>
    </xf>
    <xf numFmtId="0" fontId="40" fillId="3" borderId="0" xfId="1" applyFill="1" applyAlignment="1" applyProtection="1">
      <alignment horizontal="left"/>
    </xf>
    <xf numFmtId="0" fontId="31" fillId="0" borderId="113" xfId="0" applyFont="1" applyBorder="1" applyAlignment="1">
      <alignment horizontal="center"/>
    </xf>
    <xf numFmtId="0" fontId="31" fillId="0" borderId="114" xfId="0" applyFont="1" applyBorder="1" applyAlignment="1">
      <alignment horizontal="center"/>
    </xf>
    <xf numFmtId="0" fontId="31" fillId="0" borderId="115" xfId="0" applyFont="1" applyBorder="1" applyAlignment="1">
      <alignment horizontal="center"/>
    </xf>
    <xf numFmtId="174" fontId="0" fillId="3" borderId="0" xfId="0" applyNumberFormat="1" applyFill="1" applyAlignment="1">
      <alignment horizontal="left" vertical="center"/>
    </xf>
    <xf numFmtId="0" fontId="0" fillId="3" borderId="0" xfId="0" applyFill="1" applyAlignment="1">
      <alignment horizontal="center" wrapText="1"/>
    </xf>
    <xf numFmtId="0" fontId="0" fillId="3" borderId="8" xfId="0" applyFill="1" applyBorder="1" applyAlignment="1">
      <alignment horizontal="left" wrapText="1"/>
    </xf>
    <xf numFmtId="0" fontId="0" fillId="3" borderId="30" xfId="0" applyFill="1" applyBorder="1" applyAlignment="1">
      <alignment horizontal="left" wrapText="1"/>
    </xf>
    <xf numFmtId="0" fontId="0" fillId="3" borderId="61" xfId="0" applyFill="1" applyBorder="1" applyAlignment="1">
      <alignment horizontal="left" wrapText="1"/>
    </xf>
    <xf numFmtId="0" fontId="0" fillId="3" borderId="96" xfId="0" applyFill="1" applyBorder="1" applyAlignment="1">
      <alignment horizontal="left" wrapText="1"/>
    </xf>
    <xf numFmtId="0" fontId="0" fillId="3" borderId="80" xfId="0" applyFill="1" applyBorder="1" applyAlignment="1">
      <alignment horizontal="left" wrapText="1"/>
    </xf>
    <xf numFmtId="0" fontId="0" fillId="3" borderId="136" xfId="0" applyFill="1" applyBorder="1" applyAlignment="1">
      <alignment horizontal="left" wrapText="1"/>
    </xf>
    <xf numFmtId="0" fontId="0" fillId="3" borderId="28" xfId="0" applyFill="1" applyBorder="1" applyAlignment="1">
      <alignment horizontal="left" wrapText="1"/>
    </xf>
    <xf numFmtId="0" fontId="74" fillId="0" borderId="0" xfId="0" applyFont="1" applyAlignment="1">
      <alignment horizontal="center"/>
    </xf>
    <xf numFmtId="0" fontId="74" fillId="0" borderId="42" xfId="0" applyFont="1" applyBorder="1" applyAlignment="1">
      <alignment horizontal="center"/>
    </xf>
    <xf numFmtId="0" fontId="0" fillId="0" borderId="35" xfId="0" applyBorder="1" applyAlignment="1">
      <alignment horizontal="center"/>
    </xf>
    <xf numFmtId="0" fontId="0" fillId="0" borderId="76" xfId="0" applyBorder="1" applyAlignment="1">
      <alignment horizontal="center"/>
    </xf>
    <xf numFmtId="0" fontId="0" fillId="0" borderId="181" xfId="0" applyBorder="1" applyAlignment="1">
      <alignment horizontal="center"/>
    </xf>
    <xf numFmtId="0" fontId="0" fillId="0" borderId="174" xfId="0" applyBorder="1" applyAlignment="1">
      <alignment horizontal="center" vertical="center"/>
    </xf>
    <xf numFmtId="0" fontId="0" fillId="0" borderId="112" xfId="0" applyBorder="1" applyAlignment="1">
      <alignment horizontal="center" vertical="center"/>
    </xf>
    <xf numFmtId="0" fontId="0" fillId="0" borderId="175" xfId="0" applyBorder="1" applyAlignment="1">
      <alignment horizontal="center" vertical="center"/>
    </xf>
    <xf numFmtId="0" fontId="0" fillId="0" borderId="176" xfId="0" applyBorder="1" applyAlignment="1">
      <alignment horizontal="center" vertical="center"/>
    </xf>
    <xf numFmtId="0" fontId="0" fillId="0" borderId="58" xfId="0" applyBorder="1" applyAlignment="1">
      <alignment horizontal="center" vertical="center"/>
    </xf>
    <xf numFmtId="0" fontId="0" fillId="0" borderId="132" xfId="0" applyBorder="1" applyAlignment="1">
      <alignment horizontal="center" vertical="center"/>
    </xf>
    <xf numFmtId="0" fontId="0" fillId="0" borderId="172" xfId="0" applyBorder="1" applyAlignment="1">
      <alignment horizontal="center" vertical="center"/>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170" xfId="0" applyBorder="1" applyAlignment="1">
      <alignment horizontal="center" vertical="center"/>
    </xf>
    <xf numFmtId="0" fontId="0" fillId="0" borderId="47" xfId="0" applyBorder="1" applyAlignment="1">
      <alignment horizontal="center" vertical="center"/>
    </xf>
    <xf numFmtId="0" fontId="0" fillId="0" borderId="158" xfId="0" applyBorder="1" applyAlignment="1">
      <alignment horizontal="center" vertical="center"/>
    </xf>
    <xf numFmtId="0" fontId="0" fillId="0" borderId="43" xfId="0" applyBorder="1" applyAlignment="1">
      <alignment horizontal="center" vertical="center"/>
    </xf>
    <xf numFmtId="0" fontId="0" fillId="0" borderId="42" xfId="0" applyBorder="1" applyAlignment="1">
      <alignment horizontal="center" vertical="center"/>
    </xf>
    <xf numFmtId="0" fontId="0" fillId="0" borderId="173" xfId="0" applyBorder="1" applyAlignment="1">
      <alignment horizontal="center" vertical="center"/>
    </xf>
    <xf numFmtId="0" fontId="0" fillId="0" borderId="130" xfId="0" applyBorder="1" applyAlignment="1">
      <alignment horizontal="center" vertical="center"/>
    </xf>
    <xf numFmtId="0" fontId="0" fillId="0" borderId="171" xfId="0" applyBorder="1" applyAlignment="1">
      <alignment horizontal="center" vertical="center"/>
    </xf>
    <xf numFmtId="0" fontId="0" fillId="6" borderId="169" xfId="0" applyFill="1" applyBorder="1" applyAlignment="1">
      <alignment horizontal="center" vertical="center"/>
    </xf>
    <xf numFmtId="0" fontId="0" fillId="6" borderId="25" xfId="0" applyFill="1" applyBorder="1" applyAlignment="1">
      <alignment horizontal="center" vertical="center"/>
    </xf>
    <xf numFmtId="0" fontId="0" fillId="6" borderId="170" xfId="0" applyFill="1" applyBorder="1" applyAlignment="1">
      <alignment horizontal="center" vertical="center"/>
    </xf>
    <xf numFmtId="0" fontId="0" fillId="6" borderId="19" xfId="0" applyFill="1" applyBorder="1" applyAlignment="1">
      <alignment horizontal="center" vertical="center"/>
    </xf>
    <xf numFmtId="0" fontId="0" fillId="6" borderId="16" xfId="0" applyFill="1" applyBorder="1" applyAlignment="1">
      <alignment horizontal="center" vertical="center"/>
    </xf>
    <xf numFmtId="0" fontId="0" fillId="6" borderId="18" xfId="0" applyFill="1" applyBorder="1" applyAlignment="1">
      <alignment horizontal="center" vertical="center"/>
    </xf>
    <xf numFmtId="0" fontId="0" fillId="4" borderId="130" xfId="0" applyFill="1" applyBorder="1" applyAlignment="1">
      <alignment horizontal="center" vertical="center" wrapText="1"/>
    </xf>
    <xf numFmtId="0" fontId="0" fillId="4" borderId="58" xfId="0" applyFill="1" applyBorder="1" applyAlignment="1">
      <alignment horizontal="center" vertical="center" wrapText="1"/>
    </xf>
    <xf numFmtId="0" fontId="0" fillId="5" borderId="68" xfId="0" applyFill="1" applyBorder="1" applyAlignment="1">
      <alignment horizontal="center" vertical="center"/>
    </xf>
    <xf numFmtId="0" fontId="0" fillId="5" borderId="48" xfId="0" applyFill="1" applyBorder="1" applyAlignment="1">
      <alignment horizontal="center" vertical="center"/>
    </xf>
    <xf numFmtId="0" fontId="0" fillId="5" borderId="79" xfId="0" applyFill="1" applyBorder="1" applyAlignment="1">
      <alignment horizontal="center" vertical="center"/>
    </xf>
    <xf numFmtId="0" fontId="0" fillId="5" borderId="6" xfId="0" applyFill="1" applyBorder="1" applyAlignment="1">
      <alignment horizontal="center"/>
    </xf>
    <xf numFmtId="0" fontId="0" fillId="5" borderId="7" xfId="0" applyFill="1" applyBorder="1" applyAlignment="1">
      <alignment horizontal="center"/>
    </xf>
    <xf numFmtId="0" fontId="0" fillId="5" borderId="8" xfId="0" applyFill="1" applyBorder="1" applyAlignment="1">
      <alignment horizontal="center"/>
    </xf>
    <xf numFmtId="0" fontId="0" fillId="5" borderId="46" xfId="0" applyFill="1" applyBorder="1" applyAlignment="1">
      <alignment horizontal="center"/>
    </xf>
    <xf numFmtId="0" fontId="90" fillId="0" borderId="0" xfId="0" applyFont="1" applyAlignment="1">
      <alignment horizontal="left"/>
    </xf>
    <xf numFmtId="0" fontId="0" fillId="0" borderId="44" xfId="0" applyBorder="1" applyAlignment="1">
      <alignment horizontal="center" vertical="center"/>
    </xf>
    <xf numFmtId="0" fontId="0" fillId="0" borderId="33" xfId="0" applyBorder="1" applyAlignment="1">
      <alignment horizontal="center" vertical="center"/>
    </xf>
    <xf numFmtId="0" fontId="0" fillId="0" borderId="32" xfId="0" applyBorder="1" applyAlignment="1">
      <alignment horizontal="center" vertical="center"/>
    </xf>
    <xf numFmtId="0" fontId="0" fillId="0" borderId="1" xfId="0" applyBorder="1" applyAlignment="1">
      <alignment horizontal="center" vertical="center"/>
    </xf>
    <xf numFmtId="0" fontId="0" fillId="0" borderId="67" xfId="0"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81" xfId="0" applyBorder="1" applyAlignment="1">
      <alignment horizontal="center" vertical="center"/>
    </xf>
    <xf numFmtId="0" fontId="0" fillId="0" borderId="72" xfId="0" applyBorder="1" applyAlignment="1">
      <alignment horizontal="center" vertical="center"/>
    </xf>
    <xf numFmtId="0" fontId="0" fillId="4" borderId="66" xfId="0" applyFill="1" applyBorder="1" applyAlignment="1">
      <alignment horizontal="center" vertical="center" wrapText="1"/>
    </xf>
    <xf numFmtId="0" fontId="0" fillId="4" borderId="1" xfId="0" applyFill="1" applyBorder="1" applyAlignment="1">
      <alignment horizontal="center" vertical="center" wrapText="1"/>
    </xf>
    <xf numFmtId="0" fontId="0" fillId="5" borderId="66" xfId="0" applyFill="1" applyBorder="1" applyAlignment="1">
      <alignment horizontal="center" vertical="center"/>
    </xf>
    <xf numFmtId="0" fontId="0" fillId="5" borderId="62" xfId="0" applyFill="1" applyBorder="1" applyAlignment="1">
      <alignment horizontal="center" vertical="center"/>
    </xf>
    <xf numFmtId="0" fontId="0" fillId="5" borderId="1" xfId="0" applyFill="1" applyBorder="1" applyAlignment="1">
      <alignment horizontal="center"/>
    </xf>
    <xf numFmtId="0" fontId="0" fillId="5" borderId="30" xfId="0" applyFill="1" applyBorder="1" applyAlignment="1">
      <alignment horizontal="center"/>
    </xf>
    <xf numFmtId="0" fontId="0" fillId="0" borderId="193" xfId="0" applyBorder="1" applyAlignment="1">
      <alignment horizontal="center" vertical="center"/>
    </xf>
    <xf numFmtId="0" fontId="0" fillId="0" borderId="194" xfId="0" applyBorder="1" applyAlignment="1">
      <alignment horizontal="center" vertical="center"/>
    </xf>
    <xf numFmtId="0" fontId="0" fillId="5" borderId="78" xfId="0" applyFill="1" applyBorder="1" applyAlignment="1">
      <alignment horizontal="center" vertical="center"/>
    </xf>
    <xf numFmtId="0" fontId="0" fillId="5" borderId="59" xfId="0" applyFill="1" applyBorder="1" applyAlignment="1">
      <alignment horizontal="center" vertical="center"/>
    </xf>
    <xf numFmtId="0" fontId="0" fillId="5" borderId="7" xfId="0" applyFill="1" applyBorder="1" applyAlignment="1">
      <alignment horizontal="center" vertical="center"/>
    </xf>
    <xf numFmtId="0" fontId="0" fillId="5" borderId="8" xfId="0" applyFill="1" applyBorder="1" applyAlignment="1">
      <alignment horizontal="center" vertical="center"/>
    </xf>
    <xf numFmtId="0" fontId="0" fillId="5" borderId="6" xfId="0" applyFill="1" applyBorder="1" applyAlignment="1">
      <alignment horizontal="center" vertical="center"/>
    </xf>
    <xf numFmtId="0" fontId="0" fillId="5" borderId="46" xfId="0" applyFill="1" applyBorder="1" applyAlignment="1">
      <alignment horizontal="center" vertical="center"/>
    </xf>
    <xf numFmtId="0" fontId="74" fillId="0" borderId="65" xfId="0" applyFont="1" applyBorder="1" applyAlignment="1">
      <alignment horizontal="center" vertical="center"/>
    </xf>
    <xf numFmtId="0" fontId="74" fillId="0" borderId="66" xfId="0" applyFont="1" applyBorder="1" applyAlignment="1">
      <alignment horizontal="center" vertical="center"/>
    </xf>
    <xf numFmtId="0" fontId="74" fillId="0" borderId="62" xfId="0" applyFont="1" applyBorder="1" applyAlignment="1">
      <alignment horizontal="center" vertical="center"/>
    </xf>
    <xf numFmtId="0" fontId="74" fillId="0" borderId="33" xfId="0" applyFont="1" applyBorder="1" applyAlignment="1">
      <alignment horizontal="center" vertical="center"/>
    </xf>
    <xf numFmtId="0" fontId="74" fillId="0" borderId="1" xfId="0" applyFont="1" applyBorder="1" applyAlignment="1">
      <alignment horizontal="center" vertical="center"/>
    </xf>
    <xf numFmtId="0" fontId="74" fillId="0" borderId="30" xfId="0" applyFont="1" applyBorder="1" applyAlignment="1">
      <alignment horizontal="center" vertical="center"/>
    </xf>
    <xf numFmtId="0" fontId="0" fillId="3" borderId="153" xfId="0" applyFill="1" applyBorder="1" applyAlignment="1">
      <alignment horizontal="center"/>
    </xf>
    <xf numFmtId="0" fontId="0" fillId="3" borderId="42" xfId="0" applyFill="1" applyBorder="1" applyAlignment="1">
      <alignment horizontal="center"/>
    </xf>
    <xf numFmtId="0" fontId="0" fillId="3" borderId="154" xfId="0" applyFill="1" applyBorder="1" applyAlignment="1">
      <alignment horizontal="center"/>
    </xf>
    <xf numFmtId="0" fontId="0" fillId="0" borderId="0" xfId="0" applyAlignment="1">
      <alignment horizontal="center" vertical="center" wrapText="1"/>
    </xf>
    <xf numFmtId="0" fontId="74" fillId="0" borderId="0" xfId="0" applyFont="1" applyAlignment="1">
      <alignment horizontal="center" vertical="center"/>
    </xf>
    <xf numFmtId="0" fontId="0" fillId="0" borderId="163" xfId="0" applyBorder="1" applyAlignment="1">
      <alignment horizontal="center" vertical="center"/>
    </xf>
    <xf numFmtId="0" fontId="0" fillId="0" borderId="164" xfId="0" applyBorder="1" applyAlignment="1">
      <alignment horizontal="center" vertical="center"/>
    </xf>
    <xf numFmtId="0" fontId="0" fillId="0" borderId="163" xfId="0" applyBorder="1" applyAlignment="1">
      <alignment horizontal="center" vertical="center" wrapText="1"/>
    </xf>
    <xf numFmtId="0" fontId="0" fillId="0" borderId="164" xfId="0" applyBorder="1" applyAlignment="1">
      <alignment horizontal="center" vertical="center" wrapText="1"/>
    </xf>
    <xf numFmtId="0" fontId="0" fillId="3" borderId="163" xfId="0" applyFill="1" applyBorder="1" applyAlignment="1">
      <alignment horizontal="center" vertical="center"/>
    </xf>
    <xf numFmtId="0" fontId="0" fillId="3" borderId="164" xfId="0" applyFill="1" applyBorder="1" applyAlignment="1">
      <alignment horizontal="center" vertical="center"/>
    </xf>
    <xf numFmtId="0" fontId="0" fillId="0" borderId="148" xfId="0" applyBorder="1" applyAlignment="1">
      <alignment horizontal="center" vertical="center" wrapText="1"/>
    </xf>
    <xf numFmtId="0" fontId="0" fillId="0" borderId="154" xfId="0" applyBorder="1" applyAlignment="1">
      <alignment horizontal="center" vertical="center" wrapText="1"/>
    </xf>
    <xf numFmtId="0" fontId="0" fillId="3" borderId="146" xfId="0" applyFill="1" applyBorder="1" applyAlignment="1">
      <alignment horizontal="center"/>
    </xf>
    <xf numFmtId="0" fontId="0" fillId="3" borderId="147" xfId="0" applyFill="1" applyBorder="1" applyAlignment="1">
      <alignment horizontal="center"/>
    </xf>
    <xf numFmtId="0" fontId="0" fillId="3" borderId="148" xfId="0" applyFill="1" applyBorder="1" applyAlignment="1">
      <alignment horizontal="center"/>
    </xf>
    <xf numFmtId="0" fontId="74" fillId="0" borderId="40" xfId="0" applyFont="1" applyBorder="1" applyAlignment="1">
      <alignment horizontal="center" vertical="center"/>
    </xf>
    <xf numFmtId="0" fontId="0" fillId="0" borderId="33" xfId="0" applyBorder="1" applyAlignment="1">
      <alignment horizontal="center"/>
    </xf>
    <xf numFmtId="0" fontId="34" fillId="0" borderId="65" xfId="0" applyFont="1" applyBorder="1" applyAlignment="1">
      <alignment horizontal="center"/>
    </xf>
    <xf numFmtId="0" fontId="34" fillId="0" borderId="66" xfId="0" applyFont="1" applyBorder="1" applyAlignment="1">
      <alignment horizontal="center"/>
    </xf>
    <xf numFmtId="0" fontId="34" fillId="0" borderId="62" xfId="0" applyFont="1" applyBorder="1" applyAlignment="1">
      <alignment horizontal="center"/>
    </xf>
    <xf numFmtId="0" fontId="89" fillId="3" borderId="0" xfId="0" applyFont="1" applyFill="1" applyAlignment="1">
      <alignment horizontal="center" vertical="center"/>
    </xf>
    <xf numFmtId="0" fontId="89" fillId="3" borderId="42" xfId="0" applyFont="1" applyFill="1" applyBorder="1" applyAlignment="1">
      <alignment horizontal="center" vertical="center"/>
    </xf>
    <xf numFmtId="0" fontId="74" fillId="0" borderId="21" xfId="0" applyFont="1" applyBorder="1" applyAlignment="1">
      <alignment horizontal="center"/>
    </xf>
    <xf numFmtId="0" fontId="74" fillId="0" borderId="25" xfId="0" applyFont="1" applyBorder="1" applyAlignment="1">
      <alignment horizontal="center"/>
    </xf>
    <xf numFmtId="0" fontId="74" fillId="0" borderId="45" xfId="0" applyFont="1" applyBorder="1" applyAlignment="1">
      <alignment horizontal="center"/>
    </xf>
    <xf numFmtId="0" fontId="74" fillId="0" borderId="47" xfId="0" applyFont="1" applyBorder="1" applyAlignment="1">
      <alignment horizontal="center"/>
    </xf>
    <xf numFmtId="0" fontId="74" fillId="0" borderId="41" xfId="0" applyFont="1" applyBorder="1" applyAlignment="1">
      <alignment horizontal="center"/>
    </xf>
    <xf numFmtId="0" fontId="25" fillId="3" borderId="0" xfId="0" applyFont="1" applyFill="1" applyAlignment="1">
      <alignment horizontal="left" wrapText="1"/>
    </xf>
    <xf numFmtId="0" fontId="27" fillId="3" borderId="119" xfId="0" applyFont="1" applyFill="1" applyBorder="1" applyAlignment="1">
      <alignment horizontal="center" vertical="center"/>
    </xf>
    <xf numFmtId="0" fontId="27" fillId="3" borderId="117" xfId="0" applyFont="1" applyFill="1" applyBorder="1" applyAlignment="1">
      <alignment horizontal="center" vertical="center"/>
    </xf>
    <xf numFmtId="0" fontId="27" fillId="3" borderId="120" xfId="0" applyFont="1" applyFill="1" applyBorder="1" applyAlignment="1">
      <alignment horizontal="center" vertical="center"/>
    </xf>
    <xf numFmtId="0" fontId="0" fillId="6" borderId="0" xfId="0" applyFill="1" applyAlignment="1">
      <alignment horizontal="right"/>
    </xf>
    <xf numFmtId="0" fontId="0" fillId="0" borderId="6" xfId="0" applyBorder="1" applyAlignment="1">
      <alignment horizontal="center"/>
    </xf>
    <xf numFmtId="0" fontId="2" fillId="0" borderId="163" xfId="0" applyFont="1" applyBorder="1" applyAlignment="1">
      <alignment horizontal="center" vertical="center" textRotation="90" wrapText="1"/>
    </xf>
    <xf numFmtId="0" fontId="2" fillId="0" borderId="122" xfId="0" applyFont="1" applyBorder="1" applyAlignment="1">
      <alignment horizontal="center" vertical="center" textRotation="90" wrapText="1"/>
    </xf>
    <xf numFmtId="0" fontId="2" fillId="0" borderId="164" xfId="0" applyFont="1" applyBorder="1" applyAlignment="1">
      <alignment horizontal="center" vertical="center" textRotation="90" wrapText="1"/>
    </xf>
    <xf numFmtId="0" fontId="26" fillId="0" borderId="1" xfId="0" applyFont="1" applyBorder="1" applyAlignment="1">
      <alignment horizontal="center" vertical="center" wrapText="1"/>
    </xf>
    <xf numFmtId="0" fontId="2" fillId="0" borderId="1" xfId="0" applyFont="1" applyBorder="1" applyAlignment="1">
      <alignment horizontal="center" vertical="center"/>
    </xf>
    <xf numFmtId="0" fontId="2" fillId="0" borderId="1" xfId="0" applyFont="1" applyBorder="1" applyAlignment="1">
      <alignment horizontal="center"/>
    </xf>
    <xf numFmtId="0" fontId="2" fillId="2" borderId="150" xfId="0" applyFont="1" applyFill="1" applyBorder="1" applyAlignment="1">
      <alignment horizontal="center" vertical="center" textRotation="90"/>
    </xf>
    <xf numFmtId="0" fontId="2" fillId="2" borderId="153" xfId="0" applyFont="1" applyFill="1" applyBorder="1" applyAlignment="1">
      <alignment horizontal="center" vertical="center" textRotation="90"/>
    </xf>
    <xf numFmtId="0" fontId="2" fillId="0" borderId="150" xfId="0" applyFont="1" applyBorder="1" applyAlignment="1">
      <alignment horizontal="center" vertical="center" textRotation="90" wrapText="1"/>
    </xf>
    <xf numFmtId="0" fontId="2" fillId="0" borderId="153" xfId="0" applyFont="1" applyBorder="1" applyAlignment="1">
      <alignment horizontal="center" vertical="center" textRotation="90" wrapText="1"/>
    </xf>
    <xf numFmtId="0" fontId="2" fillId="2" borderId="163" xfId="0" applyFont="1" applyFill="1" applyBorder="1" applyAlignment="1">
      <alignment horizontal="center" vertical="center" textRotation="90"/>
    </xf>
    <xf numFmtId="0" fontId="2" fillId="2" borderId="122" xfId="0" applyFont="1" applyFill="1" applyBorder="1" applyAlignment="1">
      <alignment horizontal="center" vertical="center" textRotation="90"/>
    </xf>
    <xf numFmtId="0" fontId="2" fillId="2" borderId="164" xfId="0" applyFont="1" applyFill="1" applyBorder="1" applyAlignment="1">
      <alignment horizontal="center" vertical="center" textRotation="90"/>
    </xf>
    <xf numFmtId="0" fontId="2" fillId="2" borderId="150" xfId="0" applyFont="1" applyFill="1" applyBorder="1" applyAlignment="1">
      <alignment horizontal="center" vertical="center" textRotation="90" wrapText="1"/>
    </xf>
    <xf numFmtId="0" fontId="2" fillId="2" borderId="153" xfId="0" applyFont="1" applyFill="1" applyBorder="1" applyAlignment="1">
      <alignment horizontal="center" vertical="center" textRotation="90" wrapText="1"/>
    </xf>
    <xf numFmtId="0" fontId="0" fillId="0" borderId="122" xfId="0" applyBorder="1" applyAlignment="1">
      <alignment horizontal="center" vertical="center"/>
    </xf>
    <xf numFmtId="0" fontId="0" fillId="0" borderId="146" xfId="0" applyBorder="1" applyAlignment="1">
      <alignment horizontal="center" vertical="center"/>
    </xf>
    <xf numFmtId="0" fontId="0" fillId="0" borderId="153" xfId="0" applyBorder="1" applyAlignment="1">
      <alignment horizontal="center" vertical="center"/>
    </xf>
    <xf numFmtId="0" fontId="0" fillId="0" borderId="89" xfId="0" applyBorder="1" applyAlignment="1">
      <alignment horizontal="center"/>
    </xf>
    <xf numFmtId="0" fontId="0" fillId="0" borderId="163" xfId="0" applyBorder="1" applyAlignment="1">
      <alignment horizontal="center"/>
    </xf>
    <xf numFmtId="0" fontId="0" fillId="0" borderId="117" xfId="0" applyBorder="1" applyAlignment="1">
      <alignment horizontal="center"/>
    </xf>
    <xf numFmtId="0" fontId="0" fillId="0" borderId="120" xfId="0" applyBorder="1" applyAlignment="1">
      <alignment horizontal="center"/>
    </xf>
    <xf numFmtId="0" fontId="0" fillId="0" borderId="119" xfId="0" applyBorder="1" applyAlignment="1">
      <alignment horizontal="center"/>
    </xf>
    <xf numFmtId="0" fontId="0" fillId="2" borderId="53" xfId="0" applyFill="1" applyBorder="1" applyAlignment="1">
      <alignment horizontal="center"/>
    </xf>
    <xf numFmtId="0" fontId="0" fillId="2" borderId="54" xfId="0" applyFill="1" applyBorder="1" applyAlignment="1">
      <alignment horizontal="center"/>
    </xf>
    <xf numFmtId="0" fontId="0" fillId="2" borderId="2" xfId="0" applyFill="1" applyBorder="1" applyAlignment="1" applyProtection="1">
      <alignment horizontal="center"/>
      <protection hidden="1"/>
    </xf>
    <xf numFmtId="0" fontId="0" fillId="2" borderId="52" xfId="0" applyFill="1" applyBorder="1" applyAlignment="1" applyProtection="1">
      <alignment horizontal="center"/>
      <protection hidden="1"/>
    </xf>
    <xf numFmtId="0" fontId="8" fillId="2" borderId="47" xfId="0" applyFont="1" applyFill="1" applyBorder="1" applyAlignment="1" applyProtection="1">
      <alignment horizontal="left" vertical="top" wrapText="1"/>
      <protection hidden="1"/>
    </xf>
    <xf numFmtId="0" fontId="8" fillId="2" borderId="0" xfId="0" applyFont="1" applyFill="1" applyAlignment="1" applyProtection="1">
      <alignment horizontal="left" vertical="top" wrapText="1"/>
      <protection hidden="1"/>
    </xf>
    <xf numFmtId="0" fontId="8" fillId="2" borderId="41" xfId="0" applyFont="1" applyFill="1" applyBorder="1" applyAlignment="1" applyProtection="1">
      <alignment horizontal="left" vertical="top" wrapText="1"/>
      <protection hidden="1"/>
    </xf>
    <xf numFmtId="0" fontId="8" fillId="2" borderId="49" xfId="0" applyFont="1" applyFill="1" applyBorder="1" applyAlignment="1" applyProtection="1">
      <alignment horizontal="left" vertical="top" wrapText="1"/>
      <protection hidden="1"/>
    </xf>
    <xf numFmtId="0" fontId="8" fillId="2" borderId="20" xfId="0" applyFont="1" applyFill="1" applyBorder="1" applyAlignment="1" applyProtection="1">
      <alignment horizontal="left" vertical="top" wrapText="1"/>
      <protection hidden="1"/>
    </xf>
    <xf numFmtId="0" fontId="8" fillId="2" borderId="50" xfId="0" applyFont="1" applyFill="1" applyBorder="1" applyAlignment="1" applyProtection="1">
      <alignment horizontal="left" vertical="top" wrapText="1"/>
      <protection hidden="1"/>
    </xf>
    <xf numFmtId="2" fontId="12" fillId="2" borderId="53" xfId="0" applyNumberFormat="1" applyFont="1" applyFill="1" applyBorder="1" applyAlignment="1" applyProtection="1">
      <alignment horizontal="center"/>
      <protection hidden="1"/>
    </xf>
    <xf numFmtId="2" fontId="12" fillId="2" borderId="54" xfId="0" applyNumberFormat="1" applyFont="1" applyFill="1" applyBorder="1" applyAlignment="1" applyProtection="1">
      <alignment horizontal="center"/>
      <protection hidden="1"/>
    </xf>
    <xf numFmtId="0" fontId="0" fillId="0" borderId="55" xfId="0" applyBorder="1" applyAlignment="1">
      <alignment horizontal="center" vertical="center" textRotation="90"/>
    </xf>
    <xf numFmtId="0" fontId="0" fillId="0" borderId="56" xfId="0" applyBorder="1" applyAlignment="1">
      <alignment horizontal="center" vertical="center" textRotation="90"/>
    </xf>
    <xf numFmtId="0" fontId="0" fillId="0" borderId="57" xfId="0" applyBorder="1" applyAlignment="1">
      <alignment horizontal="center" vertical="center" textRotation="90"/>
    </xf>
    <xf numFmtId="0" fontId="16" fillId="2" borderId="21" xfId="0" applyFont="1" applyFill="1" applyBorder="1" applyAlignment="1" applyProtection="1">
      <alignment horizontal="center" vertical="top" wrapText="1"/>
      <protection hidden="1"/>
    </xf>
    <xf numFmtId="0" fontId="16" fillId="2" borderId="25" xfId="0" applyFont="1" applyFill="1" applyBorder="1" applyAlignment="1" applyProtection="1">
      <alignment horizontal="center" vertical="top" wrapText="1"/>
      <protection hidden="1"/>
    </xf>
    <xf numFmtId="0" fontId="16" fillId="2" borderId="45" xfId="0" applyFont="1" applyFill="1" applyBorder="1" applyAlignment="1" applyProtection="1">
      <alignment horizontal="center" vertical="top" wrapText="1"/>
      <protection hidden="1"/>
    </xf>
    <xf numFmtId="0" fontId="2" fillId="2" borderId="10" xfId="0" applyFont="1" applyFill="1" applyBorder="1" applyAlignment="1" applyProtection="1">
      <alignment horizontal="center"/>
      <protection hidden="1"/>
    </xf>
    <xf numFmtId="0" fontId="2" fillId="2" borderId="11" xfId="0" applyFont="1" applyFill="1" applyBorder="1" applyAlignment="1" applyProtection="1">
      <alignment horizontal="center"/>
      <protection hidden="1"/>
    </xf>
    <xf numFmtId="0" fontId="2" fillId="2" borderId="12" xfId="0" applyFont="1" applyFill="1" applyBorder="1" applyAlignment="1" applyProtection="1">
      <alignment horizontal="center"/>
      <protection hidden="1"/>
    </xf>
    <xf numFmtId="0" fontId="16" fillId="2" borderId="47" xfId="0" applyFont="1" applyFill="1" applyBorder="1" applyAlignment="1" applyProtection="1">
      <alignment horizontal="left" vertical="top" wrapText="1"/>
      <protection hidden="1"/>
    </xf>
    <xf numFmtId="0" fontId="16" fillId="2" borderId="0" xfId="0" applyFont="1" applyFill="1" applyAlignment="1" applyProtection="1">
      <alignment horizontal="left" vertical="top" wrapText="1"/>
      <protection hidden="1"/>
    </xf>
    <xf numFmtId="0" fontId="16" fillId="2" borderId="41" xfId="0" applyFont="1" applyFill="1" applyBorder="1" applyAlignment="1" applyProtection="1">
      <alignment horizontal="left" vertical="top" wrapText="1"/>
      <protection hidden="1"/>
    </xf>
    <xf numFmtId="0" fontId="2" fillId="2" borderId="108" xfId="0" applyFont="1" applyFill="1" applyBorder="1" applyAlignment="1" applyProtection="1">
      <alignment horizontal="center"/>
      <protection hidden="1"/>
    </xf>
    <xf numFmtId="0" fontId="2" fillId="2" borderId="109" xfId="0" applyFont="1" applyFill="1" applyBorder="1" applyAlignment="1" applyProtection="1">
      <alignment horizontal="center"/>
      <protection hidden="1"/>
    </xf>
    <xf numFmtId="0" fontId="2" fillId="2" borderId="110" xfId="0" applyFont="1" applyFill="1" applyBorder="1" applyAlignment="1" applyProtection="1">
      <alignment horizontal="center"/>
      <protection hidden="1"/>
    </xf>
    <xf numFmtId="0" fontId="0" fillId="2" borderId="17" xfId="0" applyFill="1" applyBorder="1" applyAlignment="1" applyProtection="1">
      <alignment horizontal="center" vertical="center"/>
      <protection hidden="1"/>
    </xf>
    <xf numFmtId="0" fontId="0" fillId="2" borderId="111" xfId="0" applyFill="1" applyBorder="1" applyAlignment="1" applyProtection="1">
      <alignment horizontal="center" vertical="center"/>
      <protection hidden="1"/>
    </xf>
    <xf numFmtId="0" fontId="2" fillId="3" borderId="0" xfId="0" applyFont="1" applyFill="1" applyAlignment="1" applyProtection="1">
      <alignment horizontal="center"/>
      <protection hidden="1"/>
    </xf>
    <xf numFmtId="0" fontId="16" fillId="3" borderId="0" xfId="0" applyFont="1" applyFill="1" applyAlignment="1" applyProtection="1">
      <alignment horizontal="center" vertical="top" wrapText="1"/>
      <protection hidden="1"/>
    </xf>
    <xf numFmtId="0" fontId="0" fillId="3" borderId="0" xfId="0" applyFill="1" applyAlignment="1" applyProtection="1">
      <alignment horizontal="center"/>
      <protection hidden="1"/>
    </xf>
    <xf numFmtId="0" fontId="0" fillId="0" borderId="112" xfId="0" applyBorder="1" applyAlignment="1">
      <alignment horizontal="center" vertical="center" textRotation="90"/>
    </xf>
    <xf numFmtId="0" fontId="0" fillId="2" borderId="4" xfId="0" applyFill="1" applyBorder="1" applyAlignment="1" applyProtection="1">
      <alignment horizontal="center"/>
      <protection hidden="1"/>
    </xf>
    <xf numFmtId="0" fontId="0" fillId="2" borderId="0" xfId="0" applyFill="1" applyAlignment="1" applyProtection="1">
      <alignment horizontal="center"/>
      <protection hidden="1"/>
    </xf>
    <xf numFmtId="0" fontId="0" fillId="3" borderId="47" xfId="0" applyFill="1" applyBorder="1" applyAlignment="1">
      <alignment horizontal="center" vertical="center" textRotation="90"/>
    </xf>
    <xf numFmtId="0" fontId="0" fillId="9" borderId="167" xfId="0" applyFill="1" applyBorder="1" applyAlignment="1" applyProtection="1">
      <alignment horizontal="center" vertical="center" textRotation="90"/>
      <protection hidden="1"/>
    </xf>
    <xf numFmtId="0" fontId="16" fillId="3" borderId="0" xfId="0" applyFont="1" applyFill="1" applyAlignment="1" applyProtection="1">
      <alignment horizontal="left" vertical="top" wrapText="1"/>
      <protection hidden="1"/>
    </xf>
    <xf numFmtId="0" fontId="0" fillId="3" borderId="0" xfId="0" applyFill="1" applyAlignment="1" applyProtection="1">
      <alignment horizontal="right"/>
      <protection hidden="1"/>
    </xf>
    <xf numFmtId="0" fontId="0" fillId="3" borderId="0" xfId="0" applyFill="1" applyAlignment="1" applyProtection="1">
      <alignment horizontal="center"/>
      <protection locked="0"/>
    </xf>
    <xf numFmtId="164" fontId="10" fillId="3" borderId="0" xfId="0" applyNumberFormat="1" applyFont="1" applyFill="1" applyAlignment="1" applyProtection="1">
      <alignment horizontal="left"/>
      <protection hidden="1"/>
    </xf>
    <xf numFmtId="0" fontId="0" fillId="3" borderId="0" xfId="0" applyFill="1" applyAlignment="1">
      <alignment horizontal="center" vertical="center" textRotation="90"/>
    </xf>
    <xf numFmtId="2" fontId="12" fillId="3" borderId="0" xfId="0" applyNumberFormat="1" applyFont="1" applyFill="1" applyAlignment="1" applyProtection="1">
      <alignment horizontal="center"/>
      <protection hidden="1"/>
    </xf>
    <xf numFmtId="0" fontId="0" fillId="2" borderId="10" xfId="0" applyFill="1" applyBorder="1" applyAlignment="1" applyProtection="1">
      <alignment horizontal="center"/>
      <protection hidden="1"/>
    </xf>
    <xf numFmtId="0" fontId="0" fillId="2" borderId="11" xfId="0" applyFill="1" applyBorder="1" applyAlignment="1" applyProtection="1">
      <alignment horizontal="center"/>
      <protection hidden="1"/>
    </xf>
    <xf numFmtId="0" fontId="0" fillId="2" borderId="12" xfId="0" applyFill="1" applyBorder="1" applyAlignment="1" applyProtection="1">
      <alignment horizontal="center"/>
      <protection hidden="1"/>
    </xf>
    <xf numFmtId="0" fontId="46" fillId="3" borderId="149" xfId="0" applyFont="1" applyFill="1" applyBorder="1" applyAlignment="1" applyProtection="1">
      <alignment horizontal="center"/>
      <protection hidden="1"/>
    </xf>
    <xf numFmtId="0" fontId="50" fillId="0" borderId="157" xfId="0" applyFont="1" applyBorder="1" applyAlignment="1">
      <alignment horizontal="center"/>
    </xf>
    <xf numFmtId="0" fontId="50" fillId="0" borderId="16" xfId="0" applyFont="1" applyBorder="1" applyAlignment="1">
      <alignment horizontal="center"/>
    </xf>
    <xf numFmtId="0" fontId="50" fillId="0" borderId="63" xfId="0" applyFont="1" applyBorder="1" applyAlignment="1">
      <alignment horizontal="center"/>
    </xf>
    <xf numFmtId="0" fontId="0" fillId="9" borderId="146" xfId="0" applyFill="1" applyBorder="1" applyAlignment="1">
      <alignment horizontal="left"/>
    </xf>
    <xf numFmtId="0" fontId="0" fillId="9" borderId="147" xfId="0" applyFill="1" applyBorder="1" applyAlignment="1">
      <alignment horizontal="left"/>
    </xf>
    <xf numFmtId="0" fontId="0" fillId="9" borderId="150" xfId="0" applyFill="1" applyBorder="1" applyAlignment="1">
      <alignment horizontal="left"/>
    </xf>
    <xf numFmtId="0" fontId="0" fillId="9" borderId="0" xfId="0" applyFill="1" applyAlignment="1">
      <alignment horizontal="left"/>
    </xf>
    <xf numFmtId="0" fontId="32" fillId="5" borderId="148" xfId="0" applyFont="1" applyFill="1" applyBorder="1" applyAlignment="1" applyProtection="1">
      <alignment horizontal="center" vertical="center"/>
      <protection locked="0"/>
    </xf>
    <xf numFmtId="0" fontId="32" fillId="5" borderId="145" xfId="0" applyFont="1" applyFill="1" applyBorder="1" applyAlignment="1" applyProtection="1">
      <alignment horizontal="center" vertical="center"/>
      <protection locked="0"/>
    </xf>
    <xf numFmtId="0" fontId="32" fillId="4" borderId="145" xfId="0" applyFont="1" applyFill="1" applyBorder="1" applyAlignment="1" applyProtection="1">
      <alignment horizontal="center"/>
      <protection locked="0"/>
    </xf>
    <xf numFmtId="0" fontId="0" fillId="9" borderId="150" xfId="0" applyFill="1" applyBorder="1" applyAlignment="1">
      <alignment horizontal="center" vertical="center"/>
    </xf>
    <xf numFmtId="0" fontId="0" fillId="9" borderId="22" xfId="0" applyFill="1" applyBorder="1" applyAlignment="1">
      <alignment horizontal="center" vertical="center"/>
    </xf>
    <xf numFmtId="0" fontId="0" fillId="9" borderId="0" xfId="0" applyFill="1" applyAlignment="1">
      <alignment horizontal="center" vertical="center"/>
    </xf>
    <xf numFmtId="0" fontId="0" fillId="9" borderId="16" xfId="0" applyFill="1" applyBorder="1" applyAlignment="1">
      <alignment horizontal="center" vertical="center"/>
    </xf>
    <xf numFmtId="0" fontId="46" fillId="9" borderId="150" xfId="0" applyFont="1" applyFill="1" applyBorder="1" applyAlignment="1">
      <alignment horizontal="center" vertical="center"/>
    </xf>
    <xf numFmtId="0" fontId="46" fillId="9" borderId="0" xfId="0" applyFont="1" applyFill="1" applyAlignment="1">
      <alignment horizontal="center" vertical="center"/>
    </xf>
    <xf numFmtId="0" fontId="46" fillId="9" borderId="22" xfId="0" applyFont="1" applyFill="1" applyBorder="1" applyAlignment="1">
      <alignment horizontal="center" vertical="center"/>
    </xf>
    <xf numFmtId="0" fontId="46" fillId="9" borderId="16" xfId="0" applyFont="1" applyFill="1" applyBorder="1" applyAlignment="1">
      <alignment horizontal="center" vertical="center"/>
    </xf>
    <xf numFmtId="170" fontId="32" fillId="10" borderId="145" xfId="0" applyNumberFormat="1" applyFont="1" applyFill="1" applyBorder="1" applyAlignment="1" applyProtection="1">
      <alignment horizontal="center"/>
      <protection locked="0"/>
    </xf>
    <xf numFmtId="1" fontId="46" fillId="3" borderId="149" xfId="0" applyNumberFormat="1" applyFont="1" applyFill="1" applyBorder="1" applyAlignment="1" applyProtection="1">
      <alignment horizontal="center"/>
      <protection hidden="1"/>
    </xf>
    <xf numFmtId="0" fontId="0" fillId="0" borderId="0" xfId="0" applyAlignment="1">
      <alignment horizontal="left"/>
    </xf>
    <xf numFmtId="1" fontId="46" fillId="9" borderId="149" xfId="0" applyNumberFormat="1" applyFont="1" applyFill="1" applyBorder="1" applyAlignment="1" applyProtection="1">
      <alignment horizontal="center"/>
      <protection hidden="1"/>
    </xf>
    <xf numFmtId="0" fontId="48" fillId="0" borderId="6" xfId="0" applyFont="1" applyBorder="1" applyAlignment="1">
      <alignment horizontal="center"/>
    </xf>
    <xf numFmtId="0" fontId="48" fillId="0" borderId="7" xfId="0" applyFont="1" applyBorder="1" applyAlignment="1">
      <alignment horizontal="center"/>
    </xf>
    <xf numFmtId="0" fontId="48" fillId="0" borderId="8" xfId="0" applyFont="1" applyBorder="1" applyAlignment="1">
      <alignment horizontal="center"/>
    </xf>
    <xf numFmtId="0" fontId="0" fillId="7" borderId="153" xfId="0" applyFill="1" applyBorder="1" applyAlignment="1">
      <alignment horizontal="left" wrapText="1"/>
    </xf>
    <xf numFmtId="0" fontId="0" fillId="7" borderId="42" xfId="0" applyFill="1" applyBorder="1" applyAlignment="1">
      <alignment horizontal="left" wrapText="1"/>
    </xf>
    <xf numFmtId="0" fontId="2" fillId="0" borderId="155" xfId="0" applyFont="1" applyBorder="1" applyAlignment="1">
      <alignment horizontal="center"/>
    </xf>
    <xf numFmtId="0" fontId="2" fillId="0" borderId="147" xfId="0" applyFont="1" applyBorder="1" applyAlignment="1">
      <alignment horizontal="center"/>
    </xf>
    <xf numFmtId="0" fontId="2" fillId="0" borderId="156" xfId="0" applyFont="1" applyBorder="1" applyAlignment="1">
      <alignment horizontal="center"/>
    </xf>
    <xf numFmtId="0" fontId="48" fillId="7" borderId="6" xfId="0" applyFont="1" applyFill="1" applyBorder="1" applyAlignment="1">
      <alignment horizontal="center" wrapText="1"/>
    </xf>
    <xf numFmtId="0" fontId="48" fillId="7" borderId="7" xfId="0" applyFont="1" applyFill="1" applyBorder="1" applyAlignment="1">
      <alignment horizontal="center" wrapText="1"/>
    </xf>
    <xf numFmtId="0" fontId="48" fillId="7" borderId="8" xfId="0" applyFont="1" applyFill="1" applyBorder="1" applyAlignment="1">
      <alignment horizontal="center" wrapText="1"/>
    </xf>
    <xf numFmtId="0" fontId="0" fillId="7" borderId="7" xfId="0" applyFill="1" applyBorder="1" applyAlignment="1">
      <alignment horizontal="center" wrapText="1"/>
    </xf>
    <xf numFmtId="0" fontId="0" fillId="7" borderId="8" xfId="0" applyFill="1" applyBorder="1" applyAlignment="1">
      <alignment horizontal="center" wrapText="1"/>
    </xf>
    <xf numFmtId="0" fontId="0" fillId="7" borderId="150" xfId="0" applyFill="1" applyBorder="1" applyAlignment="1">
      <alignment horizontal="left" wrapText="1"/>
    </xf>
    <xf numFmtId="0" fontId="0" fillId="7" borderId="0" xfId="0" applyFill="1" applyAlignment="1">
      <alignment horizontal="left" wrapText="1"/>
    </xf>
    <xf numFmtId="0" fontId="32" fillId="7" borderId="145" xfId="0" applyFont="1" applyFill="1" applyBorder="1" applyAlignment="1" applyProtection="1">
      <alignment horizontal="center" vertical="center"/>
      <protection locked="0"/>
    </xf>
    <xf numFmtId="0" fontId="47" fillId="3" borderId="151" xfId="0" applyFont="1" applyFill="1" applyBorder="1" applyAlignment="1" applyProtection="1">
      <alignment horizontal="center" vertical="center"/>
      <protection hidden="1"/>
    </xf>
    <xf numFmtId="0" fontId="47" fillId="3" borderId="152" xfId="0" applyFont="1" applyFill="1" applyBorder="1" applyAlignment="1" applyProtection="1">
      <alignment horizontal="center" vertical="center"/>
      <protection hidden="1"/>
    </xf>
    <xf numFmtId="2" fontId="46" fillId="3" borderId="149" xfId="0" applyNumberFormat="1" applyFont="1" applyFill="1" applyBorder="1" applyAlignment="1" applyProtection="1">
      <alignment horizontal="center"/>
      <protection hidden="1"/>
    </xf>
    <xf numFmtId="0" fontId="0" fillId="0" borderId="145" xfId="0" applyBorder="1" applyAlignment="1">
      <alignment horizontal="center"/>
    </xf>
    <xf numFmtId="0" fontId="0" fillId="7" borderId="150" xfId="0" applyFill="1" applyBorder="1" applyAlignment="1">
      <alignment horizontal="left"/>
    </xf>
    <xf numFmtId="0" fontId="0" fillId="7" borderId="0" xfId="0" applyFill="1" applyAlignment="1">
      <alignment horizontal="left"/>
    </xf>
    <xf numFmtId="0" fontId="0" fillId="7" borderId="145" xfId="0" applyFill="1" applyBorder="1" applyAlignment="1" applyProtection="1">
      <alignment horizontal="center"/>
      <protection locked="0"/>
    </xf>
    <xf numFmtId="0" fontId="32" fillId="7" borderId="145" xfId="0" applyFont="1" applyFill="1" applyBorder="1" applyAlignment="1" applyProtection="1">
      <alignment horizontal="center"/>
      <protection locked="0"/>
    </xf>
    <xf numFmtId="0" fontId="46" fillId="9" borderId="149" xfId="0" applyFont="1" applyFill="1" applyBorder="1" applyAlignment="1" applyProtection="1">
      <alignment horizontal="center"/>
      <protection hidden="1"/>
    </xf>
    <xf numFmtId="0" fontId="1" fillId="0" borderId="0" xfId="0" applyFont="1" applyAlignment="1">
      <alignment horizontal="center"/>
    </xf>
    <xf numFmtId="0" fontId="34" fillId="0" borderId="21" xfId="0" applyFont="1" applyBorder="1" applyAlignment="1">
      <alignment horizontal="left"/>
    </xf>
    <xf numFmtId="0" fontId="34" fillId="0" borderId="25" xfId="0" applyFont="1" applyBorder="1" applyAlignment="1">
      <alignment horizontal="left"/>
    </xf>
    <xf numFmtId="0" fontId="0" fillId="0" borderId="47" xfId="0" applyBorder="1" applyAlignment="1">
      <alignment horizontal="left" vertical="center" wrapText="1"/>
    </xf>
    <xf numFmtId="0" fontId="26" fillId="0" borderId="47" xfId="0" applyFont="1" applyBorder="1" applyAlignment="1">
      <alignment horizontal="center" vertical="center" wrapText="1"/>
    </xf>
    <xf numFmtId="0" fontId="0" fillId="0" borderId="47" xfId="0" applyBorder="1" applyAlignment="1">
      <alignment horizontal="center" vertical="center" wrapText="1"/>
    </xf>
    <xf numFmtId="0" fontId="27" fillId="0" borderId="47" xfId="0" applyFont="1" applyBorder="1" applyAlignment="1">
      <alignment horizontal="right" vertical="center" wrapText="1"/>
    </xf>
    <xf numFmtId="0" fontId="27" fillId="0" borderId="47" xfId="0" applyFont="1" applyBorder="1" applyAlignment="1">
      <alignment horizontal="center" vertical="center" wrapText="1"/>
    </xf>
    <xf numFmtId="0" fontId="0" fillId="0" borderId="0" xfId="0" applyAlignment="1">
      <alignment horizontal="right" vertical="center" wrapText="1"/>
    </xf>
    <xf numFmtId="0" fontId="0" fillId="0" borderId="0" xfId="0" applyAlignment="1">
      <alignment horizontal="right" vertical="center"/>
    </xf>
    <xf numFmtId="0" fontId="0" fillId="0" borderId="103" xfId="0" applyBorder="1" applyAlignment="1">
      <alignment horizontal="center" vertical="center" wrapText="1"/>
    </xf>
    <xf numFmtId="0" fontId="0" fillId="0" borderId="101" xfId="0" applyBorder="1" applyAlignment="1">
      <alignment horizontal="center"/>
    </xf>
    <xf numFmtId="0" fontId="0" fillId="8" borderId="102" xfId="0" applyFill="1" applyBorder="1" applyAlignment="1">
      <alignment horizontal="center" wrapText="1"/>
    </xf>
    <xf numFmtId="0" fontId="0" fillId="8" borderId="0" xfId="0" applyFill="1" applyAlignment="1">
      <alignment horizontal="center" wrapText="1"/>
    </xf>
    <xf numFmtId="0" fontId="0" fillId="8" borderId="103" xfId="0" applyFill="1" applyBorder="1" applyAlignment="1">
      <alignment horizontal="center" wrapText="1"/>
    </xf>
    <xf numFmtId="0" fontId="0" fillId="8" borderId="102" xfId="0" applyFill="1" applyBorder="1" applyAlignment="1">
      <alignment horizontal="center" vertical="center" wrapText="1"/>
    </xf>
    <xf numFmtId="0" fontId="0" fillId="8" borderId="0" xfId="0" applyFill="1" applyAlignment="1">
      <alignment horizontal="center" vertical="center" wrapText="1"/>
    </xf>
    <xf numFmtId="0" fontId="0" fillId="8" borderId="103" xfId="0" applyFill="1" applyBorder="1" applyAlignment="1">
      <alignment horizontal="center" vertical="center" wrapText="1"/>
    </xf>
    <xf numFmtId="0" fontId="0" fillId="0" borderId="102" xfId="0" applyBorder="1" applyAlignment="1">
      <alignment horizontal="center" vertical="center" wrapText="1"/>
    </xf>
    <xf numFmtId="0" fontId="0" fillId="0" borderId="102" xfId="0" applyBorder="1" applyAlignment="1">
      <alignment horizontal="center" wrapText="1"/>
    </xf>
    <xf numFmtId="0" fontId="0" fillId="0" borderId="0" xfId="0" applyAlignment="1">
      <alignment horizontal="center" wrapText="1"/>
    </xf>
    <xf numFmtId="0" fontId="0" fillId="0" borderId="103" xfId="0" applyBorder="1" applyAlignment="1">
      <alignment horizontal="center" wrapText="1"/>
    </xf>
    <xf numFmtId="0" fontId="36" fillId="0" borderId="0" xfId="0" applyFont="1" applyAlignment="1">
      <alignment horizontal="center"/>
    </xf>
    <xf numFmtId="0" fontId="35" fillId="0" borderId="0" xfId="0" applyFont="1" applyAlignment="1">
      <alignment horizontal="center"/>
    </xf>
    <xf numFmtId="0" fontId="0" fillId="5" borderId="0" xfId="0" applyFill="1" applyAlignment="1">
      <alignment horizontal="center" wrapText="1"/>
    </xf>
    <xf numFmtId="0" fontId="0" fillId="6" borderId="0" xfId="0" applyFill="1" applyAlignment="1">
      <alignment horizontal="center" wrapText="1"/>
    </xf>
    <xf numFmtId="0" fontId="0" fillId="4" borderId="0" xfId="0" applyFill="1" applyAlignment="1">
      <alignment horizontal="center" wrapText="1"/>
    </xf>
    <xf numFmtId="0" fontId="44" fillId="0" borderId="0" xfId="0" applyFont="1" applyAlignment="1">
      <alignment horizontal="left"/>
    </xf>
    <xf numFmtId="0" fontId="0" fillId="0" borderId="65" xfId="0" applyBorder="1" applyAlignment="1">
      <alignment horizontal="center"/>
    </xf>
    <xf numFmtId="0" fontId="0" fillId="0" borderId="66" xfId="0" applyBorder="1" applyAlignment="1">
      <alignment horizontal="center"/>
    </xf>
    <xf numFmtId="0" fontId="0" fillId="0" borderId="71" xfId="0" applyBorder="1" applyAlignment="1">
      <alignment horizontal="center"/>
    </xf>
    <xf numFmtId="0" fontId="0" fillId="0" borderId="58" xfId="0" applyBorder="1" applyAlignment="1">
      <alignment horizontal="center"/>
    </xf>
    <xf numFmtId="0" fontId="0" fillId="0" borderId="21" xfId="0" applyBorder="1" applyAlignment="1">
      <alignment horizontal="center"/>
    </xf>
    <xf numFmtId="0" fontId="0" fillId="0" borderId="25" xfId="0" applyBorder="1" applyAlignment="1">
      <alignment horizontal="center"/>
    </xf>
    <xf numFmtId="0" fontId="0" fillId="0" borderId="47"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37" fillId="0" borderId="113" xfId="0" applyFont="1" applyBorder="1" applyAlignment="1">
      <alignment horizontal="center" vertical="center"/>
    </xf>
    <xf numFmtId="0" fontId="37" fillId="0" borderId="114" xfId="0" applyFont="1" applyBorder="1" applyAlignment="1">
      <alignment horizontal="center" vertical="center"/>
    </xf>
    <xf numFmtId="0" fontId="37" fillId="0" borderId="115" xfId="0" applyFont="1" applyBorder="1" applyAlignment="1">
      <alignment horizontal="center" vertical="center"/>
    </xf>
    <xf numFmtId="0" fontId="32" fillId="0" borderId="133" xfId="0" applyFont="1" applyBorder="1" applyAlignment="1">
      <alignment horizontal="center" vertical="center"/>
    </xf>
    <xf numFmtId="0" fontId="32" fillId="0" borderId="134" xfId="0" applyFont="1" applyBorder="1" applyAlignment="1">
      <alignment horizontal="center" vertical="center"/>
    </xf>
    <xf numFmtId="0" fontId="32" fillId="0" borderId="141" xfId="0" applyFont="1" applyBorder="1" applyAlignment="1">
      <alignment horizontal="center" vertical="center"/>
    </xf>
    <xf numFmtId="0" fontId="32" fillId="0" borderId="140" xfId="0" applyFont="1" applyBorder="1" applyAlignment="1">
      <alignment horizontal="center" vertical="center"/>
    </xf>
    <xf numFmtId="0" fontId="32" fillId="0" borderId="135" xfId="0" applyFont="1" applyBorder="1" applyAlignment="1">
      <alignment horizontal="center" vertical="center"/>
    </xf>
    <xf numFmtId="0" fontId="38" fillId="0" borderId="138" xfId="0" applyFont="1" applyBorder="1" applyAlignment="1">
      <alignment horizontal="center" vertical="center"/>
    </xf>
    <xf numFmtId="0" fontId="38" fillId="0" borderId="48" xfId="0" applyFont="1" applyBorder="1" applyAlignment="1">
      <alignment horizontal="center" vertical="center"/>
    </xf>
    <xf numFmtId="0" fontId="38" fillId="0" borderId="139" xfId="0" applyFont="1" applyBorder="1" applyAlignment="1">
      <alignment horizontal="center" vertical="center"/>
    </xf>
    <xf numFmtId="0" fontId="38" fillId="0" borderId="79" xfId="0" applyFont="1" applyBorder="1" applyAlignment="1">
      <alignment horizontal="center" vertical="center"/>
    </xf>
    <xf numFmtId="0" fontId="31" fillId="0" borderId="137" xfId="0" applyFont="1" applyBorder="1" applyAlignment="1">
      <alignment horizontal="center" vertical="center" textRotation="90"/>
    </xf>
    <xf numFmtId="0" fontId="31" fillId="0" borderId="125" xfId="0" applyFont="1" applyBorder="1" applyAlignment="1">
      <alignment horizontal="center" vertical="center" textRotation="90"/>
    </xf>
    <xf numFmtId="0" fontId="31" fillId="0" borderId="126" xfId="0" applyFont="1" applyBorder="1" applyAlignment="1">
      <alignment horizontal="center" vertical="center" textRotation="90"/>
    </xf>
    <xf numFmtId="0" fontId="0" fillId="0" borderId="62"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46" xfId="0" applyBorder="1" applyAlignment="1">
      <alignment horizontal="center" vertical="center"/>
    </xf>
    <xf numFmtId="0" fontId="37" fillId="0" borderId="78" xfId="0" applyFont="1" applyBorder="1" applyAlignment="1">
      <alignment horizontal="center" vertical="center"/>
    </xf>
    <xf numFmtId="0" fontId="37" fillId="0" borderId="48" xfId="0" applyFont="1" applyBorder="1" applyAlignment="1">
      <alignment horizontal="center" vertical="center"/>
    </xf>
    <xf numFmtId="0" fontId="37" fillId="0" borderId="79" xfId="0" applyFont="1" applyBorder="1" applyAlignment="1">
      <alignment horizontal="center" vertical="center"/>
    </xf>
    <xf numFmtId="0" fontId="32" fillId="0" borderId="85" xfId="0" applyFont="1" applyBorder="1" applyAlignment="1">
      <alignment horizontal="center" vertical="center"/>
    </xf>
    <xf numFmtId="0" fontId="32" fillId="0" borderId="86" xfId="0" applyFont="1" applyBorder="1" applyAlignment="1">
      <alignment horizontal="center" vertical="center"/>
    </xf>
    <xf numFmtId="0" fontId="32" fillId="0" borderId="87" xfId="0" applyFont="1" applyBorder="1" applyAlignment="1">
      <alignment horizontal="center" vertical="center"/>
    </xf>
    <xf numFmtId="0" fontId="38" fillId="0" borderId="82" xfId="0" applyFont="1" applyBorder="1" applyAlignment="1">
      <alignment horizontal="center" vertical="center"/>
    </xf>
    <xf numFmtId="0" fontId="38" fillId="0" borderId="16" xfId="0" applyFont="1" applyBorder="1" applyAlignment="1">
      <alignment horizontal="center" vertical="center"/>
    </xf>
    <xf numFmtId="0" fontId="38" fillId="0" borderId="63" xfId="0" applyFont="1" applyBorder="1" applyAlignment="1">
      <alignment horizontal="center" vertical="center"/>
    </xf>
    <xf numFmtId="0" fontId="38" fillId="0" borderId="22" xfId="0" applyFont="1" applyBorder="1" applyAlignment="1">
      <alignment horizontal="center" vertical="center"/>
    </xf>
    <xf numFmtId="0" fontId="38" fillId="0" borderId="75" xfId="0" applyFont="1" applyBorder="1" applyAlignment="1">
      <alignment horizontal="center" vertical="center"/>
    </xf>
    <xf numFmtId="0" fontId="31" fillId="0" borderId="77" xfId="0" applyFont="1" applyBorder="1" applyAlignment="1">
      <alignment horizontal="center" vertical="center" textRotation="90"/>
    </xf>
    <xf numFmtId="0" fontId="31" fillId="0" borderId="47" xfId="0" applyFont="1" applyBorder="1" applyAlignment="1">
      <alignment horizontal="center" vertical="center" textRotation="90"/>
    </xf>
    <xf numFmtId="0" fontId="31" fillId="0" borderId="49" xfId="0" applyFont="1" applyBorder="1" applyAlignment="1">
      <alignment horizontal="center" vertical="center" textRotation="90"/>
    </xf>
    <xf numFmtId="0" fontId="36" fillId="0" borderId="0" xfId="0" applyFont="1" applyAlignment="1">
      <alignment horizontal="left"/>
    </xf>
    <xf numFmtId="0" fontId="35" fillId="0" borderId="0" xfId="0" applyFont="1" applyAlignment="1">
      <alignment horizontal="left"/>
    </xf>
    <xf numFmtId="0" fontId="0" fillId="0" borderId="94" xfId="0" applyBorder="1" applyAlignment="1">
      <alignment horizontal="center" vertical="center"/>
    </xf>
    <xf numFmtId="0" fontId="36" fillId="0" borderId="0" xfId="0" applyFont="1" applyAlignment="1">
      <alignment horizontal="left" vertical="center"/>
    </xf>
    <xf numFmtId="0" fontId="35" fillId="0" borderId="0" xfId="0" applyFont="1" applyAlignment="1">
      <alignment horizontal="left" vertical="center"/>
    </xf>
    <xf numFmtId="0" fontId="0" fillId="0" borderId="45"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43" fillId="0" borderId="0" xfId="0" applyFont="1" applyAlignment="1">
      <alignment horizontal="left"/>
    </xf>
    <xf numFmtId="0" fontId="0" fillId="0" borderId="78" xfId="0" applyBorder="1" applyAlignment="1">
      <alignment horizontal="center"/>
    </xf>
    <xf numFmtId="0" fontId="0" fillId="0" borderId="79" xfId="0" applyBorder="1" applyAlignment="1">
      <alignment horizontal="center"/>
    </xf>
    <xf numFmtId="0" fontId="0" fillId="0" borderId="94" xfId="0" applyBorder="1" applyAlignment="1">
      <alignment horizontal="center"/>
    </xf>
    <xf numFmtId="0" fontId="0" fillId="0" borderId="136" xfId="0" applyBorder="1" applyAlignment="1">
      <alignment horizontal="center"/>
    </xf>
    <xf numFmtId="0" fontId="0" fillId="0" borderId="68" xfId="0" applyBorder="1" applyAlignment="1">
      <alignment horizontal="center"/>
    </xf>
    <xf numFmtId="0" fontId="0" fillId="0" borderId="143" xfId="0" applyBorder="1" applyAlignment="1">
      <alignment horizontal="center"/>
    </xf>
    <xf numFmtId="0" fontId="0" fillId="0" borderId="62" xfId="0" applyBorder="1" applyAlignment="1">
      <alignment horizontal="center"/>
    </xf>
    <xf numFmtId="0" fontId="32" fillId="0" borderId="91" xfId="0" applyFont="1" applyBorder="1" applyAlignment="1">
      <alignment horizontal="center" vertical="center"/>
    </xf>
    <xf numFmtId="0" fontId="32" fillId="0" borderId="92" xfId="0" applyFont="1" applyBorder="1" applyAlignment="1">
      <alignment horizontal="center" vertical="center"/>
    </xf>
    <xf numFmtId="0" fontId="32" fillId="0" borderId="93" xfId="0" applyFont="1" applyBorder="1" applyAlignment="1">
      <alignment horizontal="center" vertical="center"/>
    </xf>
    <xf numFmtId="0" fontId="37" fillId="0" borderId="21" xfId="0" applyFont="1" applyBorder="1" applyAlignment="1">
      <alignment horizontal="center" vertical="center"/>
    </xf>
    <xf numFmtId="0" fontId="37" fillId="0" borderId="25" xfId="0" applyFont="1" applyBorder="1" applyAlignment="1">
      <alignment horizontal="center" vertical="center"/>
    </xf>
    <xf numFmtId="0" fontId="37" fillId="0" borderId="45" xfId="0" applyFont="1" applyBorder="1" applyAlignment="1">
      <alignment horizontal="center" vertical="center"/>
    </xf>
    <xf numFmtId="0" fontId="0" fillId="3" borderId="6" xfId="0" applyFill="1" applyBorder="1" applyAlignment="1"/>
    <xf numFmtId="0" fontId="0" fillId="3" borderId="7" xfId="0" applyFill="1" applyBorder="1" applyAlignment="1"/>
    <xf numFmtId="0" fontId="0" fillId="3" borderId="8" xfId="0" applyFill="1" applyBorder="1" applyAlignment="1"/>
    <xf numFmtId="0" fontId="0" fillId="0" borderId="6" xfId="0" applyBorder="1" applyAlignment="1"/>
    <xf numFmtId="0" fontId="0" fillId="0" borderId="7" xfId="0" applyBorder="1" applyAlignment="1"/>
    <xf numFmtId="0" fontId="0" fillId="0" borderId="46" xfId="0" applyBorder="1" applyAlignment="1"/>
    <xf numFmtId="0" fontId="0" fillId="3" borderId="61" xfId="0" applyFill="1" applyBorder="1" applyAlignment="1"/>
    <xf numFmtId="0" fontId="0" fillId="3" borderId="96" xfId="0" applyFill="1" applyBorder="1" applyAlignment="1"/>
    <xf numFmtId="0" fontId="0" fillId="3" borderId="80" xfId="0" applyFill="1" applyBorder="1" applyAlignment="1"/>
    <xf numFmtId="0" fontId="0" fillId="0" borderId="157" xfId="0" applyBorder="1" applyAlignment="1"/>
    <xf numFmtId="0" fontId="0" fillId="0" borderId="0" xfId="0" applyAlignment="1"/>
    <xf numFmtId="0" fontId="0" fillId="0" borderId="41" xfId="0" applyBorder="1" applyAlignment="1"/>
  </cellXfs>
  <cellStyles count="2">
    <cellStyle name="Hyperlink" xfId="1" builtinId="8"/>
    <cellStyle name="Normal" xfId="0" builtinId="0"/>
  </cellStyles>
  <dxfs count="360">
    <dxf>
      <font>
        <color theme="5"/>
      </font>
    </dxf>
    <dxf>
      <font>
        <color rgb="FF00B050"/>
      </font>
    </dxf>
    <dxf>
      <font>
        <color theme="5"/>
      </font>
    </dxf>
    <dxf>
      <font>
        <color rgb="FF00B050"/>
      </font>
    </dxf>
    <dxf>
      <fill>
        <patternFill>
          <bgColor theme="8"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8"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5" tint="0.3999450666829432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5" tint="0.3999450666829432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5" tint="0.3999450666829432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ont>
        <b/>
        <i val="0"/>
        <color theme="0"/>
      </font>
      <fill>
        <patternFill patternType="solid">
          <bgColor rgb="FFFF0000"/>
        </patternFill>
      </fill>
    </dxf>
    <dxf>
      <font>
        <b/>
        <i val="0"/>
        <color theme="0"/>
      </font>
      <fill>
        <patternFill patternType="solid">
          <bgColor rgb="FFFF0000"/>
        </patternFill>
      </fill>
    </dxf>
    <dxf>
      <font>
        <b/>
        <i val="0"/>
        <color theme="0"/>
      </font>
      <fill>
        <patternFill patternType="solid">
          <bgColor rgb="FFFF0000"/>
        </patternFill>
      </fill>
    </dxf>
    <dxf>
      <fill>
        <patternFill>
          <bgColor rgb="FFFFFF00"/>
        </patternFill>
      </fill>
    </dxf>
    <dxf>
      <font>
        <b/>
        <i val="0"/>
        <color theme="0"/>
      </font>
      <fill>
        <patternFill patternType="solid">
          <bgColor rgb="FFFF0000"/>
        </patternFill>
      </fill>
    </dxf>
    <dxf>
      <font>
        <b/>
        <i val="0"/>
        <color theme="0"/>
      </font>
      <fill>
        <patternFill patternType="solid">
          <bgColor rgb="FFFF0000"/>
        </patternFill>
      </fill>
    </dxf>
    <dxf>
      <font>
        <b/>
        <i val="0"/>
        <color theme="0"/>
      </font>
      <fill>
        <patternFill patternType="solid">
          <bgColor rgb="FFFF0000"/>
        </patternFill>
      </fill>
    </dxf>
    <dxf>
      <font>
        <b/>
        <i val="0"/>
        <color theme="0"/>
      </font>
      <fill>
        <patternFill patternType="solid">
          <bgColor rgb="FFFF0000"/>
        </patternFill>
      </fill>
    </dxf>
    <dxf>
      <font>
        <b/>
        <i val="0"/>
        <color theme="0"/>
      </font>
      <fill>
        <patternFill patternType="solid">
          <bgColor rgb="FFFF0000"/>
        </patternFill>
      </fill>
    </dxf>
    <dxf>
      <font>
        <b/>
        <i val="0"/>
        <color theme="0"/>
      </font>
      <fill>
        <patternFill patternType="solid">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theme="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7" tint="0.7999816888943144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2" tint="-9.9948118533890809E-2"/>
        </patternFill>
      </fill>
    </dxf>
    <dxf>
      <fill>
        <patternFill>
          <bgColor theme="9" tint="0.79998168889431442"/>
        </patternFill>
      </fill>
    </dxf>
    <dxf>
      <fill>
        <patternFill>
          <bgColor theme="2" tint="-9.9948118533890809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2" tint="-9.9948118533890809E-2"/>
        </patternFill>
      </fill>
    </dxf>
    <dxf>
      <fill>
        <patternFill>
          <bgColor theme="0"/>
        </patternFill>
      </fill>
    </dxf>
    <dxf>
      <fill>
        <patternFill>
          <bgColor theme="7" tint="0.79998168889431442"/>
        </patternFill>
      </fill>
    </dxf>
    <dxf>
      <fill>
        <patternFill>
          <bgColor theme="0"/>
        </patternFill>
      </fill>
    </dxf>
    <dxf>
      <border>
        <left style="thin">
          <color auto="1"/>
        </left>
        <right style="thin">
          <color auto="1"/>
        </right>
        <top style="thin">
          <color auto="1"/>
        </top>
        <bottom style="thin">
          <color auto="1"/>
        </bottom>
        <vertical/>
        <horizontal/>
      </border>
    </dxf>
    <dxf>
      <fill>
        <patternFill>
          <bgColor rgb="FFFF9F9F"/>
        </patternFill>
      </fill>
    </dxf>
    <dxf>
      <fill>
        <patternFill>
          <bgColor theme="0"/>
        </patternFill>
      </fill>
    </dxf>
    <dxf>
      <fill>
        <patternFill>
          <bgColor theme="5" tint="0.7999816888943144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2" tint="-9.9948118533890809E-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0"/>
        </patternFill>
      </fill>
    </dxf>
    <dxf>
      <fill>
        <patternFill>
          <bgColor theme="5" tint="0.79998168889431442"/>
        </patternFill>
      </fill>
    </dxf>
    <dxf>
      <fill>
        <patternFill>
          <bgColor them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2" tint="-9.9948118533890809E-2"/>
        </patternFill>
      </fill>
    </dxf>
    <dxf>
      <fill>
        <patternFill>
          <bgColor theme="9" tint="0.79998168889431442"/>
        </patternFill>
      </fill>
    </dxf>
    <dxf>
      <fill>
        <patternFill>
          <bgColor theme="2" tint="-9.9948118533890809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0"/>
        </patternFill>
      </fill>
    </dxf>
    <dxf>
      <fill>
        <patternFill>
          <bgColor theme="7" tint="0.79998168889431442"/>
        </patternFill>
      </fill>
    </dxf>
    <dxf>
      <fill>
        <patternFill>
          <bgColor theme="2"/>
        </patternFill>
      </fill>
    </dxf>
    <dxf>
      <fill>
        <patternFill>
          <bgColor theme="2"/>
        </patternFill>
      </fill>
    </dxf>
    <dxf>
      <fill>
        <patternFill>
          <bgColor theme="0"/>
        </patternFill>
      </fill>
    </dxf>
    <dxf>
      <border>
        <left style="thin">
          <color auto="1"/>
        </left>
        <right style="thin">
          <color auto="1"/>
        </right>
        <top style="thin">
          <color auto="1"/>
        </top>
        <bottom style="thin">
          <color auto="1"/>
        </bottom>
        <vertical/>
        <horizontal/>
      </border>
    </dxf>
    <dxf>
      <fill>
        <patternFill>
          <bgColor rgb="FFFF9F9F"/>
        </patternFill>
      </fill>
    </dxf>
    <dxf>
      <fill>
        <patternFill>
          <bgColor theme="0"/>
        </patternFill>
      </fill>
    </dxf>
    <dxf>
      <fill>
        <patternFill>
          <bgColor theme="5" tint="0.79998168889431442"/>
        </patternFill>
      </fill>
    </dxf>
    <dxf>
      <fill>
        <patternFill>
          <bgColor theme="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right/>
        <top/>
        <bottom/>
        <vertical/>
        <horizontal/>
      </border>
    </dxf>
    <dxf>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border>
        <left/>
        <right/>
        <top/>
        <bottom/>
        <vertical/>
        <horizontal/>
      </border>
    </dxf>
    <dxf>
      <fill>
        <patternFill>
          <bgColor theme="9"/>
        </patternFill>
      </fill>
    </dxf>
    <dxf>
      <fill>
        <patternFill>
          <bgColor theme="9"/>
        </patternFill>
      </fill>
    </dxf>
    <dxf>
      <fill>
        <patternFill>
          <bgColor theme="9"/>
        </patternFill>
      </fill>
    </dxf>
    <dxf>
      <fill>
        <patternFill>
          <bgColor theme="9"/>
        </patternFill>
      </fill>
    </dxf>
    <dxf>
      <fill>
        <patternFill patternType="solid">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00B050"/>
        </patternFill>
      </fill>
    </dxf>
    <dxf>
      <fill>
        <patternFill>
          <bgColor rgb="FFFF0000"/>
        </patternFill>
      </fill>
    </dxf>
    <dxf>
      <font>
        <color theme="9"/>
      </font>
      <fill>
        <patternFill>
          <bgColor theme="9"/>
        </patternFill>
      </fill>
    </dxf>
    <dxf>
      <font>
        <color rgb="FF92D050"/>
      </font>
      <fill>
        <patternFill>
          <bgColor rgb="FF92D050"/>
        </patternFill>
      </fill>
    </dxf>
    <dxf>
      <font>
        <color rgb="FF92D050"/>
      </font>
      <fill>
        <patternFill>
          <bgColor rgb="FF92D050"/>
        </patternFill>
      </fill>
    </dxf>
    <dxf>
      <font>
        <color rgb="FFFF0000"/>
      </font>
      <fill>
        <patternFill>
          <bgColor rgb="FFFF0000"/>
        </patternFill>
      </fill>
    </dxf>
    <dxf>
      <font>
        <color rgb="FFFF0000"/>
      </font>
      <fill>
        <patternFill>
          <bgColor rgb="FFFF0000"/>
        </patternFill>
      </fill>
    </dxf>
    <dxf>
      <fill>
        <patternFill>
          <bgColor rgb="FFFF0000"/>
        </patternFill>
      </fill>
    </dxf>
    <dxf>
      <fill>
        <patternFill>
          <bgColor theme="7"/>
        </patternFill>
      </fill>
    </dxf>
    <dxf>
      <fill>
        <patternFill>
          <bgColor rgb="FFFF0000"/>
        </patternFill>
      </fill>
    </dxf>
    <dxf>
      <fill>
        <patternFill>
          <bgColor theme="1"/>
        </patternFill>
      </fill>
    </dxf>
  </dxfs>
  <tableStyles count="1" defaultTableStyle="TableStyleMedium2" defaultPivotStyle="PivotStyleLight16">
    <tableStyle name="Invisible" pivot="0" table="0" count="0" xr9:uid="{EF45707A-57A9-44A5-9FE6-18B90C9FEE88}"/>
  </tableStyles>
  <colors>
    <mruColors>
      <color rgb="FFFF9F9F"/>
      <color rgb="FFEDDBF3"/>
      <color rgb="FFBC3C3C"/>
      <color rgb="FF689484"/>
      <color rgb="FF2C2C28"/>
      <color rgb="FF081C3C"/>
      <color rgb="FF384C54"/>
      <color rgb="FFCCB48C"/>
      <color rgb="FF908C84"/>
      <color rgb="FFC0BC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baseline="0"/>
              <a:t>Suggested Pannel Lengths (Silkline and Fluted Smooth 22ga)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L - Max. Panel Length'!$F$209</c:f>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70C0"/>
                </a:solidFill>
                <a:prstDash val="solid"/>
              </a:ln>
              <a:effectLst/>
            </c:spPr>
            <c:trendlineType val="poly"/>
            <c:order val="2"/>
            <c:backward val="5"/>
            <c:dispRSqr val="0"/>
            <c:dispEq val="1"/>
            <c:trendlineLbl>
              <c:layout>
                <c:manualLayout>
                  <c:x val="-0.54074394689611682"/>
                  <c:y val="-0.1117362232719569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Length'!$E$210:$E$237</c:f>
            </c:strRef>
          </c:xVal>
          <c:yVal>
            <c:numRef>
              <c:f>'Norex L - Max. Panel Length'!$F$210:$F$237</c:f>
            </c:numRef>
          </c:yVal>
          <c:smooth val="0"/>
          <c:extLst>
            <c:ext xmlns:c16="http://schemas.microsoft.com/office/drawing/2014/chart" uri="{C3380CC4-5D6E-409C-BE32-E72D297353CC}">
              <c16:uniqueId val="{00000001-F345-4A8D-AC86-91AB5AD844B2}"/>
            </c:ext>
          </c:extLst>
        </c:ser>
        <c:ser>
          <c:idx val="1"/>
          <c:order val="1"/>
          <c:tx>
            <c:strRef>
              <c:f>'Norex L - Max. Panel Length'!$C$209</c:f>
              <c:strCache>
                <c:ptCount val="1"/>
                <c:pt idx="0">
                  <c:v>Colors Offered at Norbec</c:v>
                </c:pt>
              </c:strCache>
            </c:strRef>
          </c:tx>
          <c:spPr>
            <a:ln w="25400" cap="rnd">
              <a:noFill/>
              <a:round/>
            </a:ln>
            <a:effectLst/>
          </c:spPr>
          <c:marker>
            <c:symbol val="circle"/>
            <c:size val="5"/>
            <c:spPr>
              <a:solidFill>
                <a:schemeClr val="accent2"/>
              </a:solidFill>
              <a:ln w="0">
                <a:solidFill>
                  <a:schemeClr val="accent2"/>
                </a:solidFill>
              </a:ln>
              <a:effectLst/>
            </c:spPr>
          </c:marker>
          <c:dLbls>
            <c:dLbl>
              <c:idx val="0"/>
              <c:layout>
                <c:manualLayout>
                  <c:x val="3.5896668246496913E-2"/>
                  <c:y val="-8.2937135574099305E-2"/>
                </c:manualLayout>
              </c:layout>
              <c:tx>
                <c:rich>
                  <a:bodyPr/>
                  <a:lstStyle/>
                  <a:p>
                    <a:fld id="{A28295F3-6FF9-4F6C-8FE8-C5F95BF8213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345-4A8D-AC86-91AB5AD844B2}"/>
                </c:ext>
              </c:extLst>
            </c:dLbl>
            <c:dLbl>
              <c:idx val="1"/>
              <c:layout>
                <c:manualLayout>
                  <c:x val="3.3024934786777184E-2"/>
                  <c:y val="-0.12440570336114896"/>
                </c:manualLayout>
              </c:layout>
              <c:tx>
                <c:rich>
                  <a:bodyPr/>
                  <a:lstStyle/>
                  <a:p>
                    <a:fld id="{306CB134-2CF2-4FB5-BF0C-327D9FCA5F0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345-4A8D-AC86-91AB5AD844B2}"/>
                </c:ext>
              </c:extLst>
            </c:dLbl>
            <c:dLbl>
              <c:idx val="2"/>
              <c:tx>
                <c:rich>
                  <a:bodyPr/>
                  <a:lstStyle/>
                  <a:p>
                    <a:fld id="{2124B0DC-118D-41D7-9D50-57B116540AB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345-4A8D-AC86-91AB5AD844B2}"/>
                </c:ext>
              </c:extLst>
            </c:dLbl>
            <c:dLbl>
              <c:idx val="3"/>
              <c:layout>
                <c:manualLayout>
                  <c:x val="1.7230400758318529E-2"/>
                  <c:y val="-5.7595233037568964E-2"/>
                </c:manualLayout>
              </c:layout>
              <c:tx>
                <c:rich>
                  <a:bodyPr/>
                  <a:lstStyle/>
                  <a:p>
                    <a:fld id="{3A6A0C94-F136-41A6-9AC9-BE855B518A1D}"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345-4A8D-AC86-91AB5AD844B2}"/>
                </c:ext>
              </c:extLst>
            </c:dLbl>
            <c:dLbl>
              <c:idx val="4"/>
              <c:tx>
                <c:rich>
                  <a:bodyPr/>
                  <a:lstStyle/>
                  <a:p>
                    <a:fld id="{1125114E-A3B5-4A99-BBF5-CAE594AD633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345-4A8D-AC86-91AB5AD844B2}"/>
                </c:ext>
              </c:extLst>
            </c:dLbl>
            <c:dLbl>
              <c:idx val="5"/>
              <c:layout>
                <c:manualLayout>
                  <c:x val="1.7230400758318529E-2"/>
                  <c:y val="-3.2253330501038617E-2"/>
                </c:manualLayout>
              </c:layout>
              <c:tx>
                <c:rich>
                  <a:bodyPr/>
                  <a:lstStyle/>
                  <a:p>
                    <a:fld id="{8B467060-519E-4CC0-A1D0-78F10E66538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345-4A8D-AC86-91AB5AD844B2}"/>
                </c:ext>
              </c:extLst>
            </c:dLbl>
            <c:dLbl>
              <c:idx val="6"/>
              <c:tx>
                <c:rich>
                  <a:bodyPr/>
                  <a:lstStyle/>
                  <a:p>
                    <a:fld id="{8211CFFF-8F1E-4171-B2FA-BDA13492FD8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345-4A8D-AC86-91AB5AD844B2}"/>
                </c:ext>
              </c:extLst>
            </c:dLbl>
            <c:dLbl>
              <c:idx val="7"/>
              <c:tx>
                <c:rich>
                  <a:bodyPr/>
                  <a:lstStyle/>
                  <a:p>
                    <a:fld id="{708ABF15-4222-4460-A9FE-7D967628B257}"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345-4A8D-AC86-91AB5AD844B2}"/>
                </c:ext>
              </c:extLst>
            </c:dLbl>
            <c:dLbl>
              <c:idx val="8"/>
              <c:layout>
                <c:manualLayout>
                  <c:x val="2.2255877782641886E-2"/>
                  <c:y val="-0.11749427539664069"/>
                </c:manualLayout>
              </c:layout>
              <c:tx>
                <c:rich>
                  <a:bodyPr/>
                  <a:lstStyle/>
                  <a:p>
                    <a:fld id="{A195AF6D-E29E-4626-83FC-C099AAA637D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layout>
                    <c:manualLayout>
                      <c:w val="0.2177779069178476"/>
                      <c:h val="5.7526118757923878E-2"/>
                    </c:manualLayout>
                  </c15:layout>
                  <c15:dlblFieldTable/>
                  <c15:showDataLabelsRange val="1"/>
                </c:ext>
                <c:ext xmlns:c16="http://schemas.microsoft.com/office/drawing/2014/chart" uri="{C3380CC4-5D6E-409C-BE32-E72D297353CC}">
                  <c16:uniqueId val="{0000000A-F345-4A8D-AC86-91AB5AD844B2}"/>
                </c:ext>
              </c:extLst>
            </c:dLbl>
            <c:dLbl>
              <c:idx val="9"/>
              <c:layout>
                <c:manualLayout>
                  <c:x val="3.4460801516637059E-2"/>
                  <c:y val="-7.8329516931093787E-2"/>
                </c:manualLayout>
              </c:layout>
              <c:tx>
                <c:rich>
                  <a:bodyPr/>
                  <a:lstStyle/>
                  <a:p>
                    <a:fld id="{0EEF6B24-D957-460E-86A3-D29A6AEAA906}"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345-4A8D-AC86-91AB5AD844B2}"/>
                </c:ext>
              </c:extLst>
            </c:dLbl>
            <c:dLbl>
              <c:idx val="10"/>
              <c:layout>
                <c:manualLayout>
                  <c:x val="4.4511868625656204E-2"/>
                  <c:y val="-2.3038093215027585E-2"/>
                </c:manualLayout>
              </c:layout>
              <c:tx>
                <c:rich>
                  <a:bodyPr/>
                  <a:lstStyle/>
                  <a:p>
                    <a:fld id="{BF2D41C1-41CA-4484-81B1-3C7E982CBCB6}"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345-4A8D-AC86-91AB5AD844B2}"/>
                </c:ext>
              </c:extLst>
            </c:dLbl>
            <c:dLbl>
              <c:idx val="11"/>
              <c:layout>
                <c:manualLayout>
                  <c:x val="4.0204268436076572E-2"/>
                  <c:y val="-5.7595233037569048E-2"/>
                </c:manualLayout>
              </c:layout>
              <c:tx>
                <c:rich>
                  <a:bodyPr/>
                  <a:lstStyle/>
                  <a:p>
                    <a:fld id="{5FA6CD14-389B-4404-AEE1-44296FBDB50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345-4A8D-AC86-91AB5AD844B2}"/>
                </c:ext>
              </c:extLst>
            </c:dLbl>
            <c:dLbl>
              <c:idx val="12"/>
              <c:layout>
                <c:manualLayout>
                  <c:x val="1.2922800568738898E-2"/>
                  <c:y val="-9.2152372860111187E-3"/>
                </c:manualLayout>
              </c:layout>
              <c:tx>
                <c:rich>
                  <a:bodyPr/>
                  <a:lstStyle/>
                  <a:p>
                    <a:fld id="{051E2681-939F-47B9-9518-E749A1426ABF}"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345-4A8D-AC86-91AB5AD844B2}"/>
                </c:ext>
              </c:extLst>
            </c:dLbl>
            <c:dLbl>
              <c:idx val="13"/>
              <c:tx>
                <c:rich>
                  <a:bodyPr/>
                  <a:lstStyle/>
                  <a:p>
                    <a:fld id="{3184FF91-F386-4938-9A10-9492B282B806}"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345-4A8D-AC86-91AB5AD844B2}"/>
                </c:ext>
              </c:extLst>
            </c:dLbl>
            <c:dLbl>
              <c:idx val="14"/>
              <c:layout>
                <c:manualLayout>
                  <c:x val="0.25845601137477797"/>
                  <c:y val="-0.28106473722333652"/>
                </c:manualLayout>
              </c:layout>
              <c:tx>
                <c:rich>
                  <a:bodyPr/>
                  <a:lstStyle/>
                  <a:p>
                    <a:fld id="{4E098D99-3B87-4544-8454-5553C0CD02FD}"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345-4A8D-AC86-91AB5AD844B2}"/>
                </c:ext>
              </c:extLst>
            </c:dLbl>
            <c:dLbl>
              <c:idx val="15"/>
              <c:tx>
                <c:rich>
                  <a:bodyPr/>
                  <a:lstStyle/>
                  <a:p>
                    <a:fld id="{E3DB4D55-335E-4606-8AF8-480F0E7A714F}"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345-4A8D-AC86-91AB5AD844B2}"/>
                </c:ext>
              </c:extLst>
            </c:dLbl>
            <c:dLbl>
              <c:idx val="16"/>
              <c:layout>
                <c:manualLayout>
                  <c:x val="0.25702014464491807"/>
                  <c:y val="-0.23729236011478413"/>
                </c:manualLayout>
              </c:layout>
              <c:tx>
                <c:rich>
                  <a:bodyPr/>
                  <a:lstStyle/>
                  <a:p>
                    <a:fld id="{14859E56-A6CC-4A88-ABCA-381566AB142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345-4A8D-AC86-91AB5AD844B2}"/>
                </c:ext>
              </c:extLst>
            </c:dLbl>
            <c:dLbl>
              <c:idx val="17"/>
              <c:layout>
                <c:manualLayout>
                  <c:x val="0.25558427791505817"/>
                  <c:y val="-0.20273522029224275"/>
                </c:manualLayout>
              </c:layout>
              <c:tx>
                <c:rich>
                  <a:bodyPr/>
                  <a:lstStyle/>
                  <a:p>
                    <a:fld id="{E56C826B-7EC0-4CD4-AFDC-75ED131656A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345-4A8D-AC86-91AB5AD844B2}"/>
                </c:ext>
              </c:extLst>
            </c:dLbl>
            <c:dLbl>
              <c:idx val="18"/>
              <c:layout>
                <c:manualLayout>
                  <c:x val="0.25414841118519821"/>
                  <c:y val="-0.1497476058976793"/>
                </c:manualLayout>
              </c:layout>
              <c:tx>
                <c:rich>
                  <a:bodyPr/>
                  <a:lstStyle/>
                  <a:p>
                    <a:fld id="{6924B04C-A0D8-4FFC-A459-BAA0E51F63D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F345-4A8D-AC86-91AB5AD844B2}"/>
                </c:ext>
              </c:extLst>
            </c:dLbl>
            <c:dLbl>
              <c:idx val="19"/>
              <c:layout>
                <c:manualLayout>
                  <c:x val="0.24984081099561858"/>
                  <c:y val="-0.11749427539664077"/>
                </c:manualLayout>
              </c:layout>
              <c:tx>
                <c:rich>
                  <a:bodyPr/>
                  <a:lstStyle/>
                  <a:p>
                    <a:fld id="{E90D55B7-6C9D-48DC-AFFF-6C24A807B97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F345-4A8D-AC86-91AB5AD844B2}"/>
                </c:ext>
              </c:extLst>
            </c:dLbl>
            <c:dLbl>
              <c:idx val="20"/>
              <c:layout>
                <c:manualLayout>
                  <c:x val="0.23691801042687968"/>
                  <c:y val="-9.6759991503115858E-2"/>
                </c:manualLayout>
              </c:layout>
              <c:tx>
                <c:rich>
                  <a:bodyPr/>
                  <a:lstStyle/>
                  <a:p>
                    <a:fld id="{FF33E02B-5E88-4B8A-8F60-2981B7B2C64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F345-4A8D-AC86-91AB5AD844B2}"/>
                </c:ext>
              </c:extLst>
            </c:dLbl>
            <c:dLbl>
              <c:idx val="21"/>
              <c:layout>
                <c:manualLayout>
                  <c:x val="0.22973867677758028"/>
                  <c:y val="-6.9114279645082752E-2"/>
                </c:manualLayout>
              </c:layout>
              <c:tx>
                <c:rich>
                  <a:bodyPr/>
                  <a:lstStyle/>
                  <a:p>
                    <a:fld id="{A4BE6820-EE8C-409B-97B1-78914C0162B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345-4A8D-AC86-91AB5AD844B2}"/>
                </c:ext>
              </c:extLst>
            </c:dLbl>
            <c:dLbl>
              <c:idx val="22"/>
              <c:layout>
                <c:manualLayout>
                  <c:x val="0.20963654255954223"/>
                  <c:y val="-4.8379995751558012E-2"/>
                </c:manualLayout>
              </c:layout>
              <c:tx>
                <c:rich>
                  <a:bodyPr/>
                  <a:lstStyle/>
                  <a:p>
                    <a:fld id="{BD98388E-EDE7-4925-8848-D9223BE6434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345-4A8D-AC86-91AB5AD844B2}"/>
                </c:ext>
              </c:extLst>
            </c:dLbl>
            <c:dLbl>
              <c:idx val="23"/>
              <c:layout>
                <c:manualLayout>
                  <c:x val="0.19384200853108335"/>
                  <c:y val="-2.0734283893524909E-2"/>
                </c:manualLayout>
              </c:layout>
              <c:tx>
                <c:rich>
                  <a:bodyPr/>
                  <a:lstStyle/>
                  <a:p>
                    <a:fld id="{77AF5E55-7709-4FF7-A2DD-BB0FB5ECCCDD}"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345-4A8D-AC86-91AB5AD844B2}"/>
                </c:ext>
              </c:extLst>
            </c:dLbl>
            <c:dLbl>
              <c:idx val="24"/>
              <c:layout>
                <c:manualLayout>
                  <c:x val="0.19097027507136372"/>
                  <c:y val="1.1519046607513708E-2"/>
                </c:manualLayout>
              </c:layout>
              <c:tx>
                <c:rich>
                  <a:bodyPr/>
                  <a:lstStyle/>
                  <a:p>
                    <a:fld id="{7AEC2B10-2B47-469A-BF7E-249BFD38BC4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345-4A8D-AC86-91AB5AD844B2}"/>
                </c:ext>
              </c:extLst>
            </c:dLbl>
            <c:dLbl>
              <c:idx val="25"/>
              <c:layout>
                <c:manualLayout>
                  <c:x val="0.1522018733651469"/>
                  <c:y val="2.7645711858033103E-2"/>
                </c:manualLayout>
              </c:layout>
              <c:tx>
                <c:rich>
                  <a:bodyPr/>
                  <a:lstStyle/>
                  <a:p>
                    <a:fld id="{686C5658-6F0C-4ACC-97E5-85031C26A27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345-4A8D-AC86-91AB5AD844B2}"/>
                </c:ext>
              </c:extLst>
            </c:dLbl>
            <c:dLbl>
              <c:idx val="26"/>
              <c:layout>
                <c:manualLayout>
                  <c:x val="0.11056173819921057"/>
                  <c:y val="3.4557139822541376E-2"/>
                </c:manualLayout>
              </c:layout>
              <c:tx>
                <c:rich>
                  <a:bodyPr/>
                  <a:lstStyle/>
                  <a:p>
                    <a:fld id="{C471AD46-9D8D-468A-8EAF-F56BA40C118D}"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345-4A8D-AC86-91AB5AD844B2}"/>
                </c:ext>
              </c:extLst>
            </c:dLbl>
            <c:dLbl>
              <c:idx val="27"/>
              <c:tx>
                <c:rich>
                  <a:bodyPr/>
                  <a:lstStyle/>
                  <a:p>
                    <a:fld id="{B236520F-F259-439E-9CD4-58FAD198282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345-4A8D-AC86-91AB5AD844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Length'!$E$210:$E$237</c:f>
            </c:strRef>
          </c:xVal>
          <c:yVal>
            <c:numRef>
              <c:f>'Norex L - Max. Panel Length'!$G$210:$G$237</c:f>
              <c:numCache>
                <c:formatCode>0.0</c:formatCode>
                <c:ptCount val="28"/>
                <c:pt idx="0">
                  <c:v>64.583487109764235</c:v>
                </c:pt>
                <c:pt idx="1">
                  <c:v>64.425281999213979</c:v>
                </c:pt>
                <c:pt idx="2">
                  <c:v>59.594084563629139</c:v>
                </c:pt>
                <c:pt idx="3">
                  <c:v>59.333065794080511</c:v>
                </c:pt>
                <c:pt idx="4">
                  <c:v>58.044410501041739</c:v>
                </c:pt>
                <c:pt idx="5">
                  <c:v>56.524807427866278</c:v>
                </c:pt>
                <c:pt idx="6">
                  <c:v>53.761145782236042</c:v>
                </c:pt>
                <c:pt idx="7">
                  <c:v>50.246995581812115</c:v>
                </c:pt>
                <c:pt idx="8">
                  <c:v>49.767315475348539</c:v>
                </c:pt>
                <c:pt idx="9">
                  <c:v>49.565903495869719</c:v>
                </c:pt>
                <c:pt idx="10">
                  <c:v>45.706227374111023</c:v>
                </c:pt>
                <c:pt idx="11">
                  <c:v>45.629728974657326</c:v>
                </c:pt>
                <c:pt idx="12">
                  <c:v>43.757359540563414</c:v>
                </c:pt>
                <c:pt idx="13">
                  <c:v>43.147275948383538</c:v>
                </c:pt>
                <c:pt idx="14">
                  <c:v>40.242243068820841</c:v>
                </c:pt>
                <c:pt idx="15">
                  <c:v>40.201207731162441</c:v>
                </c:pt>
                <c:pt idx="16">
                  <c:v>40.201207731162441</c:v>
                </c:pt>
                <c:pt idx="17">
                  <c:v>39.996347523044705</c:v>
                </c:pt>
                <c:pt idx="18">
                  <c:v>39.860864840481355</c:v>
                </c:pt>
                <c:pt idx="19">
                  <c:v>39.632717150165263</c:v>
                </c:pt>
                <c:pt idx="20">
                  <c:v>39.014496831255457</c:v>
                </c:pt>
                <c:pt idx="21">
                  <c:v>38.720787103714002</c:v>
                </c:pt>
                <c:pt idx="22">
                  <c:v>37.76281670821561</c:v>
                </c:pt>
                <c:pt idx="23">
                  <c:v>37.015215344319245</c:v>
                </c:pt>
                <c:pt idx="24">
                  <c:v>36.892729309962732</c:v>
                </c:pt>
                <c:pt idx="25">
                  <c:v>35.1249331858522</c:v>
                </c:pt>
                <c:pt idx="26">
                  <c:v>33.339861396873857</c:v>
                </c:pt>
                <c:pt idx="27">
                  <c:v>28.653322391150198</c:v>
                </c:pt>
              </c:numCache>
            </c:numRef>
          </c:yVal>
          <c:smooth val="0"/>
          <c:extLst xmlns:c15="http://schemas.microsoft.com/office/drawing/2012/chart">
            <c:ext xmlns:c15="http://schemas.microsoft.com/office/drawing/2012/chart" uri="{02D57815-91ED-43cb-92C2-25804820EDAC}">
              <c15:datalabelsRange>
                <c15:f>'Norex L - Max. Panel Length'!$C$210:$C$237</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F345-4A8D-AC86-91AB5AD844B2}"/>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89E398"/>
                </a:solidFill>
                <a:prstDash val="sysDot"/>
              </a:ln>
              <a:effectLst/>
            </c:spPr>
            <c:trendlineType val="linear"/>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xmlns:c15="http://schemas.microsoft.com/office/drawing/2012/chart">
            <c:ext xmlns:c16="http://schemas.microsoft.com/office/drawing/2014/chart" uri="{C3380CC4-5D6E-409C-BE32-E72D297353CC}">
              <c16:uniqueId val="{00000020-F345-4A8D-AC86-91AB5AD844B2}"/>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xmlns:c15="http://schemas.microsoft.com/office/drawing/2012/chart">
            <c:ext xmlns:c16="http://schemas.microsoft.com/office/drawing/2014/chart" uri="{C3380CC4-5D6E-409C-BE32-E72D297353CC}">
              <c16:uniqueId val="{00000022-F345-4A8D-AC86-91AB5AD844B2}"/>
            </c:ext>
          </c:extLst>
        </c:ser>
        <c:dLbls>
          <c:showLegendKey val="0"/>
          <c:showVal val="0"/>
          <c:showCatName val="0"/>
          <c:showSerName val="0"/>
          <c:showPercent val="0"/>
          <c:showBubbleSize val="0"/>
        </c:dLbls>
        <c:axId val="1504000352"/>
        <c:axId val="1504014080"/>
        <c:extLst/>
      </c:scatterChart>
      <c:valAx>
        <c:axId val="1504000352"/>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a:t>T</a:t>
                </a:r>
                <a:r>
                  <a:rPr lang="fr-CA" sz="800"/>
                  <a:t>surf.max. </a:t>
                </a:r>
                <a:r>
                  <a:rPr lang="fr-CA"/>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04014080"/>
        <c:crosses val="autoZero"/>
        <c:crossBetween val="midCat"/>
        <c:majorUnit val="5"/>
      </c:valAx>
      <c:valAx>
        <c:axId val="1504014080"/>
        <c:scaling>
          <c:orientation val="minMax"/>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04000352"/>
        <c:crosses val="autoZero"/>
        <c:crossBetween val="midCat"/>
        <c:majorUnit val="5"/>
      </c:valAx>
      <c:spPr>
        <a:noFill/>
        <a:ln>
          <a:noFill/>
        </a:ln>
        <a:effectLst/>
      </c:spPr>
    </c:plotArea>
    <c:legend>
      <c:legendPos val="b"/>
      <c:layout>
        <c:manualLayout>
          <c:xMode val="edge"/>
          <c:yMode val="edge"/>
          <c:x val="4.2768823252965722E-2"/>
          <c:y val="0.80578675704923475"/>
          <c:w val="0.60862239564790144"/>
          <c:h val="8.705835079794913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100" b="0" i="0" u="none" strike="noStrike" kern="1200" spc="0" baseline="0">
                <a:solidFill>
                  <a:sysClr val="windowText" lastClr="000000">
                    <a:lumMod val="65000"/>
                    <a:lumOff val="35000"/>
                  </a:sysClr>
                </a:solidFill>
              </a:rPr>
              <a:t>Suggested Pannel Lengths  (Silkline and Fluted Embossed 22ga)</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L - Max. Panel Length'!$I$209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70C0"/>
                </a:solidFill>
                <a:prstDash val="sysDash"/>
              </a:ln>
              <a:effectLst/>
            </c:spPr>
            <c:trendlineType val="poly"/>
            <c:order val="2"/>
            <c:dispRSqr val="1"/>
            <c:dispEq val="1"/>
            <c:trendlineLbl>
              <c:layout>
                <c:manualLayout>
                  <c:x val="-0.5358547734451421"/>
                  <c:y val="-9.353921390788436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Length'!$E$210:$E$237</c:f>
            </c:strRef>
          </c:xVal>
          <c:yVal>
            <c:numRef>
              <c:f>'Norex L - Max. Panel Length'!$I$210:$I$237</c:f>
              <c:numCache>
                <c:formatCode>General</c:formatCode>
                <c:ptCount val="28"/>
                <c:pt idx="0">
                  <c:v>65</c:v>
                </c:pt>
                <c:pt idx="1">
                  <c:v>65</c:v>
                </c:pt>
                <c:pt idx="9">
                  <c:v>46</c:v>
                </c:pt>
                <c:pt idx="19">
                  <c:v>42</c:v>
                </c:pt>
                <c:pt idx="20">
                  <c:v>41</c:v>
                </c:pt>
                <c:pt idx="21">
                  <c:v>41</c:v>
                </c:pt>
                <c:pt idx="23">
                  <c:v>41</c:v>
                </c:pt>
                <c:pt idx="26">
                  <c:v>31</c:v>
                </c:pt>
                <c:pt idx="27">
                  <c:v>28</c:v>
                </c:pt>
              </c:numCache>
            </c:numRef>
          </c:yVal>
          <c:smooth val="0"/>
          <c:extLst>
            <c:ext xmlns:c16="http://schemas.microsoft.com/office/drawing/2014/chart" uri="{C3380CC4-5D6E-409C-BE32-E72D297353CC}">
              <c16:uniqueId val="{00000001-4D06-4620-8173-4CD4DC368C18}"/>
            </c:ext>
          </c:extLst>
        </c:ser>
        <c:ser>
          <c:idx val="1"/>
          <c:order val="1"/>
          <c:tx>
            <c:strRef>
              <c:f>'Norex L - Max. Panel Length'!$J$209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5.3947691978030121E-2"/>
                  <c:y val="-4.8469230126161798E-2"/>
                </c:manualLayout>
              </c:layout>
              <c:tx>
                <c:rich>
                  <a:bodyPr/>
                  <a:lstStyle/>
                  <a:p>
                    <a:fld id="{22D9D7C8-90C6-4941-A492-EEFEF1EA82F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D06-4620-8173-4CD4DC368C18}"/>
                </c:ext>
              </c:extLst>
            </c:dLbl>
            <c:dLbl>
              <c:idx val="1"/>
              <c:layout>
                <c:manualLayout>
                  <c:x val="4.7953503980471192E-2"/>
                  <c:y val="-8.7706225942578417E-2"/>
                </c:manualLayout>
              </c:layout>
              <c:tx>
                <c:rich>
                  <a:bodyPr/>
                  <a:lstStyle/>
                  <a:p>
                    <a:fld id="{620536D4-5AE1-4CEB-A946-188B0E08FFC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D06-4620-8173-4CD4DC368C18}"/>
                </c:ext>
              </c:extLst>
            </c:dLbl>
            <c:dLbl>
              <c:idx val="2"/>
              <c:tx>
                <c:rich>
                  <a:bodyPr/>
                  <a:lstStyle/>
                  <a:p>
                    <a:fld id="{16EB8291-70E4-492A-B466-4C664C3231D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D06-4620-8173-4CD4DC368C18}"/>
                </c:ext>
              </c:extLst>
            </c:dLbl>
            <c:dLbl>
              <c:idx val="3"/>
              <c:layout>
                <c:manualLayout>
                  <c:x val="5.5749750312568166E-2"/>
                  <c:y val="-6.9259043882401339E-2"/>
                </c:manualLayout>
              </c:layout>
              <c:tx>
                <c:rich>
                  <a:bodyPr/>
                  <a:lstStyle/>
                  <a:p>
                    <a:fld id="{C234067D-51CC-4A64-B02C-9FA2E74C7EC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D06-4620-8173-4CD4DC368C18}"/>
                </c:ext>
              </c:extLst>
            </c:dLbl>
            <c:dLbl>
              <c:idx val="4"/>
              <c:tx>
                <c:rich>
                  <a:bodyPr/>
                  <a:lstStyle/>
                  <a:p>
                    <a:fld id="{36A24877-61B8-4B3F-891F-CCCE2D7FEC5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06-4620-8173-4CD4DC368C18}"/>
                </c:ext>
              </c:extLst>
            </c:dLbl>
            <c:dLbl>
              <c:idx val="5"/>
              <c:layout>
                <c:manualLayout>
                  <c:x val="2.1197675473364028E-2"/>
                  <c:y val="-6.4467542255039145E-2"/>
                </c:manualLayout>
              </c:layout>
              <c:tx>
                <c:rich>
                  <a:bodyPr/>
                  <a:lstStyle/>
                  <a:p>
                    <a:fld id="{B24D6A42-C4BC-4F36-9393-E7E2CBEBF91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D06-4620-8173-4CD4DC368C18}"/>
                </c:ext>
              </c:extLst>
            </c:dLbl>
            <c:dLbl>
              <c:idx val="6"/>
              <c:tx>
                <c:rich>
                  <a:bodyPr/>
                  <a:lstStyle/>
                  <a:p>
                    <a:fld id="{99E54365-A67C-4C33-AC3D-48DFED7CE1E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06-4620-8173-4CD4DC368C18}"/>
                </c:ext>
              </c:extLst>
            </c:dLbl>
            <c:dLbl>
              <c:idx val="7"/>
              <c:tx>
                <c:rich>
                  <a:bodyPr/>
                  <a:lstStyle/>
                  <a:p>
                    <a:fld id="{9C7C10FA-3B6C-4FC9-94DB-4A1FED7DE7C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06-4620-8173-4CD4DC368C18}"/>
                </c:ext>
              </c:extLst>
            </c:dLbl>
            <c:dLbl>
              <c:idx val="8"/>
              <c:layout>
                <c:manualLayout>
                  <c:x val="4.9841092926355648E-2"/>
                  <c:y val="-0.14363319764591281"/>
                </c:manualLayout>
              </c:layout>
              <c:tx>
                <c:rich>
                  <a:bodyPr/>
                  <a:lstStyle/>
                  <a:p>
                    <a:fld id="{226C8CE9-80F5-4C38-A4CB-8F0FC681D8C4}"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layout>
                    <c:manualLayout>
                      <c:w val="0.22659670287065353"/>
                      <c:h val="5.7395036812248751E-2"/>
                    </c:manualLayout>
                  </c15:layout>
                  <c15:dlblFieldTable/>
                  <c15:showDataLabelsRange val="1"/>
                </c:ext>
                <c:ext xmlns:c16="http://schemas.microsoft.com/office/drawing/2014/chart" uri="{C3380CC4-5D6E-409C-BE32-E72D297353CC}">
                  <c16:uniqueId val="{0000000A-4D06-4620-8173-4CD4DC368C18}"/>
                </c:ext>
              </c:extLst>
            </c:dLbl>
            <c:dLbl>
              <c:idx val="9"/>
              <c:layout>
                <c:manualLayout>
                  <c:x val="5.7381096796303606E-2"/>
                  <c:y val="-0.10616558788199303"/>
                </c:manualLayout>
              </c:layout>
              <c:tx>
                <c:rich>
                  <a:bodyPr/>
                  <a:lstStyle/>
                  <a:p>
                    <a:fld id="{43AC1E2F-365D-4788-840B-630603ADAAF4}"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D06-4620-8173-4CD4DC368C18}"/>
                </c:ext>
              </c:extLst>
            </c:dLbl>
            <c:dLbl>
              <c:idx val="10"/>
              <c:layout>
                <c:manualLayout>
                  <c:x val="6.7690182796785278E-2"/>
                  <c:y val="-0.11858980152644721"/>
                </c:manualLayout>
              </c:layout>
              <c:tx>
                <c:rich>
                  <a:bodyPr/>
                  <a:lstStyle/>
                  <a:p>
                    <a:fld id="{70078509-587E-4463-BAE0-C9AE91E3874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4D06-4620-8173-4CD4DC368C18}"/>
                </c:ext>
              </c:extLst>
            </c:dLbl>
            <c:dLbl>
              <c:idx val="11"/>
              <c:layout>
                <c:manualLayout>
                  <c:x val="6.3218906397563182E-2"/>
                  <c:y val="-8.627794855941498E-2"/>
                </c:manualLayout>
              </c:layout>
              <c:tx>
                <c:rich>
                  <a:bodyPr/>
                  <a:lstStyle/>
                  <a:p>
                    <a:fld id="{16FD2A1E-5A62-4CAE-B177-831622C8B86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4D06-4620-8173-4CD4DC368C18}"/>
                </c:ext>
              </c:extLst>
            </c:dLbl>
            <c:dLbl>
              <c:idx val="12"/>
              <c:layout>
                <c:manualLayout>
                  <c:x val="3.7631906956708511E-2"/>
                  <c:y val="-7.4741242148358811E-2"/>
                </c:manualLayout>
              </c:layout>
              <c:tx>
                <c:rich>
                  <a:bodyPr/>
                  <a:lstStyle/>
                  <a:p>
                    <a:fld id="{8B7C0EA7-97C8-41B3-ABBC-3CF857747B3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4D06-4620-8173-4CD4DC368C18}"/>
                </c:ext>
              </c:extLst>
            </c:dLbl>
            <c:dLbl>
              <c:idx val="13"/>
              <c:tx>
                <c:rich>
                  <a:bodyPr/>
                  <a:lstStyle/>
                  <a:p>
                    <a:fld id="{C31E6A5C-2641-467B-881A-34B91023DF4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06-4620-8173-4CD4DC368C18}"/>
                </c:ext>
              </c:extLst>
            </c:dLbl>
            <c:dLbl>
              <c:idx val="14"/>
              <c:layout>
                <c:manualLayout>
                  <c:x val="0.10330572423112802"/>
                  <c:y val="-0.18974530561592245"/>
                </c:manualLayout>
              </c:layout>
              <c:tx>
                <c:rich>
                  <a:bodyPr/>
                  <a:lstStyle/>
                  <a:p>
                    <a:fld id="{17E9B8C0-EAF0-4C78-9F5E-6E41D5716D0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4D06-4620-8173-4CD4DC368C18}"/>
                </c:ext>
              </c:extLst>
            </c:dLbl>
            <c:dLbl>
              <c:idx val="15"/>
              <c:tx>
                <c:rich>
                  <a:bodyPr/>
                  <a:lstStyle/>
                  <a:p>
                    <a:fld id="{D09AAA78-8AA0-43F5-8097-0158504A7A8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D06-4620-8173-4CD4DC368C18}"/>
                </c:ext>
              </c:extLst>
            </c:dLbl>
            <c:dLbl>
              <c:idx val="16"/>
              <c:layout>
                <c:manualLayout>
                  <c:x val="0.10387889829390531"/>
                  <c:y val="-0.15988776492314458"/>
                </c:manualLayout>
              </c:layout>
              <c:tx>
                <c:rich>
                  <a:bodyPr/>
                  <a:lstStyle/>
                  <a:p>
                    <a:fld id="{B7F6E6B3-6D42-4F73-8495-85CB8890251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4D06-4620-8173-4CD4DC368C18}"/>
                </c:ext>
              </c:extLst>
            </c:dLbl>
            <c:dLbl>
              <c:idx val="17"/>
              <c:layout>
                <c:manualLayout>
                  <c:x val="8.7956047381288788E-2"/>
                  <c:y val="-0.11472000808635578"/>
                </c:manualLayout>
              </c:layout>
              <c:tx>
                <c:rich>
                  <a:bodyPr/>
                  <a:lstStyle/>
                  <a:p>
                    <a:fld id="{1B6D139B-7248-474A-AB27-9B5D3ABE7FC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4D06-4620-8173-4CD4DC368C18}"/>
                </c:ext>
              </c:extLst>
            </c:dLbl>
            <c:dLbl>
              <c:idx val="18"/>
              <c:layout>
                <c:manualLayout>
                  <c:x val="0.25414351679658181"/>
                  <c:y val="-0.11612718893261219"/>
                </c:manualLayout>
              </c:layout>
              <c:tx>
                <c:rich>
                  <a:bodyPr/>
                  <a:lstStyle/>
                  <a:p>
                    <a:fld id="{DF060A6C-2F2D-4F35-BA4D-ACDF6047944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4D06-4620-8173-4CD4DC368C18}"/>
                </c:ext>
              </c:extLst>
            </c:dLbl>
            <c:dLbl>
              <c:idx val="19"/>
              <c:layout>
                <c:manualLayout>
                  <c:x val="0.25113559079663073"/>
                  <c:y val="-8.5058539387229834E-2"/>
                </c:manualLayout>
              </c:layout>
              <c:tx>
                <c:rich>
                  <a:bodyPr/>
                  <a:lstStyle/>
                  <a:p>
                    <a:fld id="{4F2765B7-03CB-4B0A-9BA6-EB2EB7A4CD8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4D06-4620-8173-4CD4DC368C18}"/>
                </c:ext>
              </c:extLst>
            </c:dLbl>
            <c:dLbl>
              <c:idx val="20"/>
              <c:layout>
                <c:manualLayout>
                  <c:x val="0.23461263455115117"/>
                  <c:y val="-6.6658232581306126E-2"/>
                </c:manualLayout>
              </c:layout>
              <c:tx>
                <c:rich>
                  <a:bodyPr/>
                  <a:lstStyle/>
                  <a:p>
                    <a:fld id="{C9E289D0-3B73-4620-B026-02E5766E6C8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4D06-4620-8173-4CD4DC368C18}"/>
                </c:ext>
              </c:extLst>
            </c:dLbl>
            <c:dLbl>
              <c:idx val="21"/>
              <c:layout>
                <c:manualLayout>
                  <c:x val="0.22258121739468187"/>
                  <c:y val="-4.3672635139476508E-2"/>
                </c:manualLayout>
              </c:layout>
              <c:tx>
                <c:rich>
                  <a:bodyPr/>
                  <a:lstStyle/>
                  <a:p>
                    <a:fld id="{29F356D9-1BED-4504-BE25-70A65F402B9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4D06-4620-8173-4CD4DC368C18}"/>
                </c:ext>
              </c:extLst>
            </c:dLbl>
            <c:dLbl>
              <c:idx val="22"/>
              <c:layout>
                <c:manualLayout>
                  <c:x val="0.20453409165997782"/>
                  <c:y val="-2.2985597441829698E-2"/>
                </c:manualLayout>
              </c:layout>
              <c:tx>
                <c:rich>
                  <a:bodyPr/>
                  <a:lstStyle/>
                  <a:p>
                    <a:fld id="{7BA7DC6D-0370-4048-A259-C7F499E6B31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4D06-4620-8173-4CD4DC368C18}"/>
                </c:ext>
              </c:extLst>
            </c:dLbl>
            <c:dLbl>
              <c:idx val="23"/>
              <c:layout>
                <c:manualLayout>
                  <c:x val="0.18799089306983277"/>
                  <c:y val="-2.2985597441829695E-3"/>
                </c:manualLayout>
              </c:layout>
              <c:tx>
                <c:rich>
                  <a:bodyPr/>
                  <a:lstStyle/>
                  <a:p>
                    <a:fld id="{D5CA35A6-03F4-496C-B8A2-E93287D224C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4D06-4620-8173-4CD4DC368C18}"/>
                </c:ext>
              </c:extLst>
            </c:dLbl>
            <c:dLbl>
              <c:idx val="24"/>
              <c:layout>
                <c:manualLayout>
                  <c:x val="0.18498303878071534"/>
                  <c:y val="2.5284157186012665E-2"/>
                </c:manualLayout>
              </c:layout>
              <c:tx>
                <c:rich>
                  <a:bodyPr/>
                  <a:lstStyle/>
                  <a:p>
                    <a:fld id="{8FFC2092-7C0E-4EB9-82BE-F024C6C2A18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4D06-4620-8173-4CD4DC368C18}"/>
                </c:ext>
              </c:extLst>
            </c:dLbl>
            <c:dLbl>
              <c:idx val="25"/>
              <c:layout>
                <c:manualLayout>
                  <c:x val="0.14613056124429485"/>
                  <c:y val="3.2417293929141736E-2"/>
                </c:manualLayout>
              </c:layout>
              <c:tx>
                <c:rich>
                  <a:bodyPr/>
                  <a:lstStyle/>
                  <a:p>
                    <a:fld id="{16515011-79D8-4534-82B4-554DFE08728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4D06-4620-8173-4CD4DC368C18}"/>
                </c:ext>
              </c:extLst>
            </c:dLbl>
            <c:dLbl>
              <c:idx val="26"/>
              <c:layout>
                <c:manualLayout>
                  <c:x val="0.12783380728748622"/>
                  <c:y val="4.3672635139476508E-2"/>
                </c:manualLayout>
              </c:layout>
              <c:tx>
                <c:rich>
                  <a:bodyPr/>
                  <a:lstStyle/>
                  <a:p>
                    <a:fld id="{013E7D02-AA18-42DA-8BE0-4CED937B710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4D06-4620-8173-4CD4DC368C18}"/>
                </c:ext>
              </c:extLst>
            </c:dLbl>
            <c:dLbl>
              <c:idx val="27"/>
              <c:layout>
                <c:manualLayout>
                  <c:x val="5.1133522914994484E-2"/>
                  <c:y val="4.597119488365939E-3"/>
                </c:manualLayout>
              </c:layout>
              <c:tx>
                <c:rich>
                  <a:bodyPr/>
                  <a:lstStyle/>
                  <a:p>
                    <a:fld id="{1D68B2CE-58D4-4199-953F-456DCDFF9218}"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4D06-4620-8173-4CD4DC368C18}"/>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Length'!$E$210:$E$237</c:f>
            </c:strRef>
          </c:xVal>
          <c:yVal>
            <c:numRef>
              <c:f>'Norex L - Max. Panel Length'!$J$210:$J$237</c:f>
              <c:numCache>
                <c:formatCode>0.0</c:formatCode>
                <c:ptCount val="28"/>
                <c:pt idx="0">
                  <c:v>64.488774531990998</c:v>
                </c:pt>
                <c:pt idx="1">
                  <c:v>64.34864027202137</c:v>
                </c:pt>
                <c:pt idx="2">
                  <c:v>60.021870540726823</c:v>
                </c:pt>
                <c:pt idx="3">
                  <c:v>59.785343347928347</c:v>
                </c:pt>
                <c:pt idx="4">
                  <c:v>58.613161426951393</c:v>
                </c:pt>
                <c:pt idx="5">
                  <c:v>57.221077954987564</c:v>
                </c:pt>
                <c:pt idx="6">
                  <c:v>54.660233651982111</c:v>
                </c:pt>
                <c:pt idx="7">
                  <c:v>51.344239390280819</c:v>
                </c:pt>
                <c:pt idx="8">
                  <c:v>50.885947896995859</c:v>
                </c:pt>
                <c:pt idx="9">
                  <c:v>50.693087990177204</c:v>
                </c:pt>
                <c:pt idx="10">
                  <c:v>46.944960377287401</c:v>
                </c:pt>
                <c:pt idx="11">
                  <c:v>46.869603724961706</c:v>
                </c:pt>
                <c:pt idx="12">
                  <c:v>45.011006953639182</c:v>
                </c:pt>
                <c:pt idx="13">
                  <c:v>44.399276532290642</c:v>
                </c:pt>
                <c:pt idx="14">
                  <c:v>41.441017109604672</c:v>
                </c:pt>
                <c:pt idx="15">
                  <c:v>41.398657228555081</c:v>
                </c:pt>
                <c:pt idx="16">
                  <c:v>41.398657228555081</c:v>
                </c:pt>
                <c:pt idx="17">
                  <c:v>41.186931669061792</c:v>
                </c:pt>
                <c:pt idx="18">
                  <c:v>41.046675492626775</c:v>
                </c:pt>
                <c:pt idx="19">
                  <c:v>40.810065319500907</c:v>
                </c:pt>
                <c:pt idx="20">
                  <c:v>40.166187221554253</c:v>
                </c:pt>
                <c:pt idx="21">
                  <c:v>39.858860202357022</c:v>
                </c:pt>
                <c:pt idx="22">
                  <c:v>38.849838316422762</c:v>
                </c:pt>
                <c:pt idx="23">
                  <c:v>38.055039221734347</c:v>
                </c:pt>
                <c:pt idx="24">
                  <c:v>37.924181280020889</c:v>
                </c:pt>
                <c:pt idx="25">
                  <c:v>36.01431120658205</c:v>
                </c:pt>
                <c:pt idx="26">
                  <c:v>34.041831425370077</c:v>
                </c:pt>
                <c:pt idx="27">
                  <c:v>28.602048998489863</c:v>
                </c:pt>
              </c:numCache>
            </c:numRef>
          </c:yVal>
          <c:smooth val="0"/>
          <c:extLst>
            <c:ext xmlns:c15="http://schemas.microsoft.com/office/drawing/2012/chart" uri="{02D57815-91ED-43cb-92C2-25804820EDAC}">
              <c15:datalabelsRange>
                <c15:f>'Norex L - Max. Panel Length'!$C$210:$C$237</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4D06-4620-8173-4CD4DC368C18}"/>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20-4D06-4620-8173-4CD4DC368C18}"/>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22-4D06-4620-8173-4CD4DC368C18}"/>
            </c:ext>
          </c:extLst>
        </c:ser>
        <c:dLbls>
          <c:showLegendKey val="0"/>
          <c:showVal val="0"/>
          <c:showCatName val="0"/>
          <c:showSerName val="0"/>
          <c:showPercent val="0"/>
          <c:showBubbleSize val="0"/>
        </c:dLbls>
        <c:axId val="2023672767"/>
        <c:axId val="2023670367"/>
      </c:scatterChart>
      <c:valAx>
        <c:axId val="2023672767"/>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23670367"/>
        <c:crosses val="autoZero"/>
        <c:crossBetween val="midCat"/>
      </c:valAx>
      <c:valAx>
        <c:axId val="2023670367"/>
        <c:scaling>
          <c:orientation val="minMax"/>
          <c:max val="8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23672767"/>
        <c:crosses val="autoZero"/>
        <c:crossBetween val="midCat"/>
      </c:valAx>
      <c:spPr>
        <a:noFill/>
        <a:ln>
          <a:noFill/>
        </a:ln>
        <a:effectLst/>
      </c:spPr>
    </c:plotArea>
    <c:legend>
      <c:legendPos val="b"/>
      <c:layout>
        <c:manualLayout>
          <c:xMode val="edge"/>
          <c:yMode val="edge"/>
          <c:x val="6.7761826880588558E-2"/>
          <c:y val="0.77303817543522257"/>
          <c:w val="0.61232512601350597"/>
          <c:h val="0.1136258832117107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100" b="0" i="0" u="none" strike="noStrike" kern="1200" spc="0" baseline="0">
                <a:solidFill>
                  <a:sysClr val="windowText" lastClr="000000">
                    <a:lumMod val="65000"/>
                    <a:lumOff val="35000"/>
                  </a:sysClr>
                </a:solidFill>
              </a:rPr>
              <a:t>Suggested Pannel Lengths (Microribbed Smooth 22ga)</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L - Max. Panel Length'!$L$209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B0F0"/>
                </a:solidFill>
                <a:prstDash val="solid"/>
              </a:ln>
              <a:effectLst/>
            </c:spPr>
            <c:trendlineType val="poly"/>
            <c:order val="2"/>
            <c:dispRSqr val="1"/>
            <c:dispEq val="1"/>
            <c:trendlineLbl>
              <c:layout>
                <c:manualLayout>
                  <c:x val="-0.53111861095889779"/>
                  <c:y val="-0.1705197899852823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Length'!$E$210:$E$237</c:f>
            </c:strRef>
          </c:xVal>
          <c:yVal>
            <c:numRef>
              <c:f>'Norex L - Max. Panel Length'!$L$210:$L$237</c:f>
              <c:numCache>
                <c:formatCode>General</c:formatCode>
                <c:ptCount val="28"/>
                <c:pt idx="0">
                  <c:v>65</c:v>
                </c:pt>
                <c:pt idx="1">
                  <c:v>65</c:v>
                </c:pt>
                <c:pt idx="9">
                  <c:v>42</c:v>
                </c:pt>
                <c:pt idx="19">
                  <c:v>38</c:v>
                </c:pt>
                <c:pt idx="20">
                  <c:v>38</c:v>
                </c:pt>
                <c:pt idx="21">
                  <c:v>38</c:v>
                </c:pt>
                <c:pt idx="23">
                  <c:v>37</c:v>
                </c:pt>
                <c:pt idx="26">
                  <c:v>27</c:v>
                </c:pt>
              </c:numCache>
            </c:numRef>
          </c:yVal>
          <c:smooth val="0"/>
          <c:extLst>
            <c:ext xmlns:c16="http://schemas.microsoft.com/office/drawing/2014/chart" uri="{C3380CC4-5D6E-409C-BE32-E72D297353CC}">
              <c16:uniqueId val="{00000001-C4A6-4D37-80BD-FD1618B84589}"/>
            </c:ext>
          </c:extLst>
        </c:ser>
        <c:ser>
          <c:idx val="1"/>
          <c:order val="1"/>
          <c:tx>
            <c:strRef>
              <c:f>'Norex L - Max. Panel Length'!$M$209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7.5434783750954637E-2"/>
                  <c:y val="-8.6424557324857307E-2"/>
                </c:manualLayout>
              </c:layout>
              <c:tx>
                <c:rich>
                  <a:bodyPr/>
                  <a:lstStyle/>
                  <a:p>
                    <a:fld id="{8B6CC6B4-DCCE-4351-B16B-0D43BE923E1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C4A6-4D37-80BD-FD1618B84589}"/>
                </c:ext>
              </c:extLst>
            </c:dLbl>
            <c:dLbl>
              <c:idx val="1"/>
              <c:layout>
                <c:manualLayout>
                  <c:x val="7.2533445914379463E-2"/>
                  <c:y val="-5.0035270030180545E-2"/>
                </c:manualLayout>
              </c:layout>
              <c:tx>
                <c:rich>
                  <a:bodyPr/>
                  <a:lstStyle/>
                  <a:p>
                    <a:fld id="{A73EA0AA-382D-40AD-8FF0-C57F6080B1D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4A6-4D37-80BD-FD1618B84589}"/>
                </c:ext>
              </c:extLst>
            </c:dLbl>
            <c:dLbl>
              <c:idx val="2"/>
              <c:tx>
                <c:rich>
                  <a:bodyPr/>
                  <a:lstStyle/>
                  <a:p>
                    <a:fld id="{4F442C9E-1A87-4D9E-BB33-7E0E22B1907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4A6-4D37-80BD-FD1618B84589}"/>
                </c:ext>
              </c:extLst>
            </c:dLbl>
            <c:dLbl>
              <c:idx val="3"/>
              <c:layout>
                <c:manualLayout>
                  <c:x val="3.1914716202326963E-2"/>
                  <c:y val="-5.685826139793252E-2"/>
                </c:manualLayout>
              </c:layout>
              <c:tx>
                <c:rich>
                  <a:bodyPr/>
                  <a:lstStyle/>
                  <a:p>
                    <a:fld id="{088DE8CE-30EC-421A-89C0-5AD66C716B1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C4A6-4D37-80BD-FD1618B84589}"/>
                </c:ext>
              </c:extLst>
            </c:dLbl>
            <c:dLbl>
              <c:idx val="4"/>
              <c:tx>
                <c:rich>
                  <a:bodyPr/>
                  <a:lstStyle/>
                  <a:p>
                    <a:fld id="{6DBAA86D-320E-4F6B-8A53-709A6F3557C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4A6-4D37-80BD-FD1618B84589}"/>
                </c:ext>
              </c:extLst>
            </c:dLbl>
            <c:dLbl>
              <c:idx val="5"/>
              <c:layout>
                <c:manualLayout>
                  <c:x val="2.176003377431384E-2"/>
                  <c:y val="-3.8663617750594056E-2"/>
                </c:manualLayout>
              </c:layout>
              <c:tx>
                <c:rich>
                  <a:bodyPr/>
                  <a:lstStyle/>
                  <a:p>
                    <a:fld id="{5FF79B7C-4D0D-4E27-A613-4476E044106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4A6-4D37-80BD-FD1618B84589}"/>
                </c:ext>
              </c:extLst>
            </c:dLbl>
            <c:dLbl>
              <c:idx val="6"/>
              <c:tx>
                <c:rich>
                  <a:bodyPr/>
                  <a:lstStyle/>
                  <a:p>
                    <a:fld id="{6DFDE590-1227-425C-80A7-3742189A30D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4A6-4D37-80BD-FD1618B84589}"/>
                </c:ext>
              </c:extLst>
            </c:dLbl>
            <c:dLbl>
              <c:idx val="7"/>
              <c:tx>
                <c:rich>
                  <a:bodyPr/>
                  <a:lstStyle/>
                  <a:p>
                    <a:fld id="{D7AB7D3E-1ED0-432F-8F7D-451F637BFFF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4A6-4D37-80BD-FD1618B84589}"/>
                </c:ext>
              </c:extLst>
            </c:dLbl>
            <c:dLbl>
              <c:idx val="8"/>
              <c:layout>
                <c:manualLayout>
                  <c:x val="3.3365385120614502E-2"/>
                  <c:y val="-0.12053951416361676"/>
                </c:manualLayout>
              </c:layout>
              <c:tx>
                <c:rich>
                  <a:bodyPr/>
                  <a:lstStyle/>
                  <a:p>
                    <a:fld id="{A6297375-620D-473D-A936-CA197FDC845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layout>
                    <c:manualLayout>
                      <c:w val="0.21567094808181592"/>
                      <c:h val="5.6790031484254919E-2"/>
                    </c:manualLayout>
                  </c15:layout>
                  <c15:dlblFieldTable/>
                  <c15:showDataLabelsRange val="1"/>
                </c:ext>
                <c:ext xmlns:c16="http://schemas.microsoft.com/office/drawing/2014/chart" uri="{C3380CC4-5D6E-409C-BE32-E72D297353CC}">
                  <c16:uniqueId val="{0000000A-C4A6-4D37-80BD-FD1618B84589}"/>
                </c:ext>
              </c:extLst>
            </c:dLbl>
            <c:dLbl>
              <c:idx val="9"/>
              <c:layout>
                <c:manualLayout>
                  <c:x val="3.4816054038902089E-2"/>
                  <c:y val="-9.097321823669198E-2"/>
                </c:manualLayout>
              </c:layout>
              <c:tx>
                <c:rich>
                  <a:bodyPr/>
                  <a:lstStyle/>
                  <a:p>
                    <a:fld id="{498CA1D1-7BD2-4C20-BB74-08AF3443D02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C4A6-4D37-80BD-FD1618B84589}"/>
                </c:ext>
              </c:extLst>
            </c:dLbl>
            <c:dLbl>
              <c:idx val="10"/>
              <c:layout>
                <c:manualLayout>
                  <c:x val="3.0464047284039376E-2"/>
                  <c:y val="-0.10007054006036117"/>
                </c:manualLayout>
              </c:layout>
              <c:tx>
                <c:rich>
                  <a:bodyPr/>
                  <a:lstStyle/>
                  <a:p>
                    <a:fld id="{999503AB-C37A-4195-99AF-C6EF314A198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C4A6-4D37-80BD-FD1618B84589}"/>
                </c:ext>
              </c:extLst>
            </c:dLbl>
            <c:dLbl>
              <c:idx val="11"/>
              <c:layout>
                <c:manualLayout>
                  <c:x val="3.1914716202326963E-2"/>
                  <c:y val="-6.8229913677518919E-2"/>
                </c:manualLayout>
              </c:layout>
              <c:tx>
                <c:rich>
                  <a:bodyPr/>
                  <a:lstStyle/>
                  <a:p>
                    <a:fld id="{467AE452-A64A-4A04-A8EB-EAEC7F4EF57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4A6-4D37-80BD-FD1618B84589}"/>
                </c:ext>
              </c:extLst>
            </c:dLbl>
            <c:dLbl>
              <c:idx val="12"/>
              <c:layout>
                <c:manualLayout>
                  <c:x val="2.176003377431384E-2"/>
                  <c:y val="-5.0035270030180629E-2"/>
                </c:manualLayout>
              </c:layout>
              <c:tx>
                <c:rich>
                  <a:bodyPr/>
                  <a:lstStyle/>
                  <a:p>
                    <a:fld id="{B4646B34-033E-41F7-865B-A84936DF51D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4A6-4D37-80BD-FD1618B84589}"/>
                </c:ext>
              </c:extLst>
            </c:dLbl>
            <c:dLbl>
              <c:idx val="13"/>
              <c:tx>
                <c:rich>
                  <a:bodyPr/>
                  <a:lstStyle/>
                  <a:p>
                    <a:fld id="{802A4288-DCF8-4DA0-896B-E8AA82A84AC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4A6-4D37-80BD-FD1618B84589}"/>
                </c:ext>
              </c:extLst>
            </c:dLbl>
            <c:dLbl>
              <c:idx val="14"/>
              <c:layout>
                <c:manualLayout>
                  <c:x val="0.1610242499299224"/>
                  <c:y val="-0.22970737604764704"/>
                </c:manualLayout>
              </c:layout>
              <c:tx>
                <c:rich>
                  <a:bodyPr/>
                  <a:lstStyle/>
                  <a:p>
                    <a:fld id="{B18648C6-4AEA-4BB3-81F0-2238E086DF2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4A6-4D37-80BD-FD1618B84589}"/>
                </c:ext>
              </c:extLst>
            </c:dLbl>
            <c:dLbl>
              <c:idx val="15"/>
              <c:tx>
                <c:rich>
                  <a:bodyPr/>
                  <a:lstStyle/>
                  <a:p>
                    <a:fld id="{DB5A58BE-22F0-4B21-A27C-3EAB9EE1C3B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4A6-4D37-80BD-FD1618B84589}"/>
                </c:ext>
              </c:extLst>
            </c:dLbl>
            <c:dLbl>
              <c:idx val="16"/>
              <c:layout>
                <c:manualLayout>
                  <c:x val="0.1610242499299224"/>
                  <c:y val="-0.18422076692930109"/>
                </c:manualLayout>
              </c:layout>
              <c:tx>
                <c:rich>
                  <a:bodyPr/>
                  <a:lstStyle/>
                  <a:p>
                    <a:fld id="{E58BAD17-5059-461A-9CF5-1BEFFA39D85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4A6-4D37-80BD-FD1618B84589}"/>
                </c:ext>
              </c:extLst>
            </c:dLbl>
            <c:dLbl>
              <c:idx val="17"/>
              <c:layout>
                <c:manualLayout>
                  <c:x val="0.15377090533848448"/>
                  <c:y val="-0.15920313191421082"/>
                </c:manualLayout>
              </c:layout>
              <c:tx>
                <c:rich>
                  <a:bodyPr/>
                  <a:lstStyle/>
                  <a:p>
                    <a:fld id="{347F5A3F-0A1C-433F-8383-F6DA0D44A5F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4A6-4D37-80BD-FD1618B84589}"/>
                </c:ext>
              </c:extLst>
            </c:dLbl>
            <c:dLbl>
              <c:idx val="18"/>
              <c:layout>
                <c:manualLayout>
                  <c:x val="0.1479682296653341"/>
                  <c:y val="-0.12963683598728587"/>
                </c:manualLayout>
              </c:layout>
              <c:tx>
                <c:rich>
                  <a:bodyPr/>
                  <a:lstStyle/>
                  <a:p>
                    <a:fld id="{27831750-ADE8-4B87-87DD-6BFD59124A5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4A6-4D37-80BD-FD1618B84589}"/>
                </c:ext>
              </c:extLst>
            </c:dLbl>
            <c:dLbl>
              <c:idx val="19"/>
              <c:layout>
                <c:manualLayout>
                  <c:x val="0.25531772961861549"/>
                  <c:y val="-0.12053951416361684"/>
                </c:manualLayout>
              </c:layout>
              <c:tx>
                <c:rich>
                  <a:bodyPr/>
                  <a:lstStyle/>
                  <a:p>
                    <a:fld id="{7663F5AD-CDDB-4D93-8F30-84DEF6BFEE9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4A6-4D37-80BD-FD1618B84589}"/>
                </c:ext>
              </c:extLst>
            </c:dLbl>
            <c:dLbl>
              <c:idx val="20"/>
              <c:layout>
                <c:manualLayout>
                  <c:x val="0.23936037151745224"/>
                  <c:y val="-9.0973218236691814E-2"/>
                </c:manualLayout>
              </c:layout>
              <c:tx>
                <c:rich>
                  <a:bodyPr/>
                  <a:lstStyle/>
                  <a:p>
                    <a:fld id="{0DF02ED9-BC01-47C4-8834-57AE7218FEE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C4A6-4D37-80BD-FD1618B84589}"/>
                </c:ext>
              </c:extLst>
            </c:dLbl>
            <c:dLbl>
              <c:idx val="21"/>
              <c:layout>
                <c:manualLayout>
                  <c:x val="0.22920568908943911"/>
                  <c:y val="-6.3681252765684329E-2"/>
                </c:manualLayout>
              </c:layout>
              <c:tx>
                <c:rich>
                  <a:bodyPr/>
                  <a:lstStyle/>
                  <a:p>
                    <a:fld id="{43F35DB4-AD78-428C-97E4-7623C059A27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C4A6-4D37-80BD-FD1618B84589}"/>
                </c:ext>
              </c:extLst>
            </c:dLbl>
            <c:dLbl>
              <c:idx val="22"/>
              <c:layout>
                <c:manualLayout>
                  <c:x val="0.20744565531512538"/>
                  <c:y val="-4.5486609118345948E-2"/>
                </c:manualLayout>
              </c:layout>
              <c:tx>
                <c:rich>
                  <a:bodyPr/>
                  <a:lstStyle/>
                  <a:p>
                    <a:fld id="{5E8E84BA-7045-4ABA-8A03-FC58830C6CF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C4A6-4D37-80BD-FD1618B84589}"/>
                </c:ext>
              </c:extLst>
            </c:dLbl>
            <c:dLbl>
              <c:idx val="23"/>
              <c:layout>
                <c:manualLayout>
                  <c:x val="0.19003762829567419"/>
                  <c:y val="-2.5017635015090189E-2"/>
                </c:manualLayout>
              </c:layout>
              <c:tx>
                <c:rich>
                  <a:bodyPr/>
                  <a:lstStyle/>
                  <a:p>
                    <a:fld id="{6A630F34-C41A-4B5E-83BF-54E320BB471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C4A6-4D37-80BD-FD1618B84589}"/>
                </c:ext>
              </c:extLst>
            </c:dLbl>
            <c:dLbl>
              <c:idx val="24"/>
              <c:layout>
                <c:manualLayout>
                  <c:x val="0.18713629045909902"/>
                  <c:y val="2.2743304559171306E-3"/>
                </c:manualLayout>
              </c:layout>
              <c:tx>
                <c:rich>
                  <a:bodyPr/>
                  <a:lstStyle/>
                  <a:p>
                    <a:fld id="{8DEF19AE-1721-4DB3-8D72-B3B37F70558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C4A6-4D37-80BD-FD1618B84589}"/>
                </c:ext>
              </c:extLst>
            </c:dLbl>
            <c:dLbl>
              <c:idx val="25"/>
              <c:layout>
                <c:manualLayout>
                  <c:x val="0.14651756074704653"/>
                  <c:y val="9.0973218236691904E-3"/>
                </c:manualLayout>
              </c:layout>
              <c:tx>
                <c:rich>
                  <a:bodyPr/>
                  <a:lstStyle/>
                  <a:p>
                    <a:fld id="{45EE42AE-2BDD-44A7-881B-C75D7B3542D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C4A6-4D37-80BD-FD1618B84589}"/>
                </c:ext>
              </c:extLst>
            </c:dLbl>
            <c:dLbl>
              <c:idx val="26"/>
              <c:layout>
                <c:manualLayout>
                  <c:x val="0.12620819589102017"/>
                  <c:y val="1.3645982735503617E-2"/>
                </c:manualLayout>
              </c:layout>
              <c:tx>
                <c:rich>
                  <a:bodyPr/>
                  <a:lstStyle/>
                  <a:p>
                    <a:fld id="{D8F4096E-FF9F-4BCD-95CC-4080793B40C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C4A6-4D37-80BD-FD1618B84589}"/>
                </c:ext>
              </c:extLst>
            </c:dLbl>
            <c:dLbl>
              <c:idx val="27"/>
              <c:layout>
                <c:manualLayout>
                  <c:x val="6.6730770241229212E-2"/>
                  <c:y val="0"/>
                </c:manualLayout>
              </c:layout>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D-C4A6-4D37-80BD-FD1618B845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Length'!$E$210:$E$237</c:f>
            </c:strRef>
          </c:xVal>
          <c:yVal>
            <c:numRef>
              <c:f>'Norex L - Max. Panel Length'!$M$210:$M$237</c:f>
              <c:numCache>
                <c:formatCode>0.0</c:formatCode>
                <c:ptCount val="28"/>
                <c:pt idx="0">
                  <c:v>64.440461710773889</c:v>
                </c:pt>
                <c:pt idx="1">
                  <c:v>64.248692101983721</c:v>
                </c:pt>
                <c:pt idx="2">
                  <c:v>58.471458912454949</c:v>
                </c:pt>
                <c:pt idx="3">
                  <c:v>58.163925952701447</c:v>
                </c:pt>
                <c:pt idx="4">
                  <c:v>56.653025256153654</c:v>
                </c:pt>
                <c:pt idx="5">
                  <c:v>54.887710144251002</c:v>
                </c:pt>
                <c:pt idx="6">
                  <c:v>51.725629374060361</c:v>
                </c:pt>
                <c:pt idx="7">
                  <c:v>47.804331642060504</c:v>
                </c:pt>
                <c:pt idx="8">
                  <c:v>47.27849942195553</c:v>
                </c:pt>
                <c:pt idx="9">
                  <c:v>47.058422600695224</c:v>
                </c:pt>
                <c:pt idx="10">
                  <c:v>42.928210539911703</c:v>
                </c:pt>
                <c:pt idx="11">
                  <c:v>42.848130278091247</c:v>
                </c:pt>
                <c:pt idx="12">
                  <c:v>40.911689259495063</c:v>
                </c:pt>
                <c:pt idx="13">
                  <c:v>40.290942901707069</c:v>
                </c:pt>
                <c:pt idx="14">
                  <c:v>37.410704047192439</c:v>
                </c:pt>
                <c:pt idx="15">
                  <c:v>37.370972477054067</c:v>
                </c:pt>
                <c:pt idx="16">
                  <c:v>37.370972477054067</c:v>
                </c:pt>
                <c:pt idx="17">
                  <c:v>37.173042052521424</c:v>
                </c:pt>
                <c:pt idx="18">
                  <c:v>37.04253052464594</c:v>
                </c:pt>
                <c:pt idx="19">
                  <c:v>36.823460207687361</c:v>
                </c:pt>
                <c:pt idx="20">
                  <c:v>36.234377164431123</c:v>
                </c:pt>
                <c:pt idx="21">
                  <c:v>35.95688716244689</c:v>
                </c:pt>
                <c:pt idx="22">
                  <c:v>35.062870196424399</c:v>
                </c:pt>
                <c:pt idx="23">
                  <c:v>34.377427892723091</c:v>
                </c:pt>
                <c:pt idx="24">
                  <c:v>34.266190022731195</c:v>
                </c:pt>
                <c:pt idx="25">
                  <c:v>32.696108441954209</c:v>
                </c:pt>
                <c:pt idx="26">
                  <c:v>31.18385391052314</c:v>
                </c:pt>
                <c:pt idx="27">
                  <c:v>27.64851092635115</c:v>
                </c:pt>
              </c:numCache>
            </c:numRef>
          </c:yVal>
          <c:smooth val="0"/>
          <c:extLst>
            <c:ext xmlns:c15="http://schemas.microsoft.com/office/drawing/2012/chart" uri="{02D57815-91ED-43cb-92C2-25804820EDAC}">
              <c15:datalabelsRange>
                <c15:f>'[1]Analyse des données 22ga'!$S$124:$S$150</c15:f>
                <c15:dlblRangeCache>
                  <c:ptCount val="27"/>
                  <c:pt idx="0">
                    <c:v>Blanc Régal/Regal White</c:v>
                  </c:pt>
                  <c:pt idx="1">
                    <c:v>Blanc Brillant/Bright White</c:v>
                  </c:pt>
                  <c:pt idx="2">
                    <c:v>Electric Yellow</c:v>
                  </c:pt>
                  <c:pt idx="3">
                    <c:v>Blanc Pur/White white</c:v>
                  </c:pt>
                  <c:pt idx="4">
                    <c:v>Sable/Sandstone</c:v>
                  </c:pt>
                  <c:pt idx="5">
                    <c:v>Blanc os/Bone White</c:v>
                  </c:pt>
                  <c:pt idx="6">
                    <c:v>Gris Pierre/Stone Grey</c:v>
                  </c:pt>
                  <c:pt idx="7">
                    <c:v>Argent Brillant/Bright Silver perspectra</c:v>
                  </c:pt>
                  <c:pt idx="8">
                    <c:v>Gris Élément/Element Grey</c:v>
                  </c:pt>
                  <c:pt idx="9">
                    <c:v>Riesling/Riesling</c:v>
                  </c:pt>
                  <c:pt idx="10">
                    <c:v>Vibrant Red</c:v>
                  </c:pt>
                  <c:pt idx="11">
                    <c:v>Beige Surrey </c:v>
                  </c:pt>
                  <c:pt idx="12">
                    <c:v>Fauve/Tan</c:v>
                  </c:pt>
                  <c:pt idx="13">
                    <c:v>Pacific Turquoise</c:v>
                  </c:pt>
                  <c:pt idx="14">
                    <c:v>Bleu Ardoise/Slate Blue</c:v>
                  </c:pt>
                  <c:pt idx="15">
                    <c:v>Étain/Pewter perspectra</c:v>
                  </c:pt>
                  <c:pt idx="16">
                    <c:v>Acier Satiné/Satin Steel</c:v>
                  </c:pt>
                  <c:pt idx="17">
                    <c:v>Cuivre/Copper</c:v>
                  </c:pt>
                  <c:pt idx="18">
                    <c:v>Fusain/Charcoal</c:v>
                  </c:pt>
                  <c:pt idx="19">
                    <c:v>Gris Tempête/Storm Grey</c:v>
                  </c:pt>
                  <c:pt idx="20">
                    <c:v>Gris Régent/Regent Gray</c:v>
                  </c:pt>
                  <c:pt idx="21">
                    <c:v>Bleu royal/Royal Blue</c:v>
                  </c:pt>
                  <c:pt idx="22">
                    <c:v>Gris Rigel /Grey Rigel</c:v>
                  </c:pt>
                  <c:pt idx="23">
                    <c:v>Bleu Héron/Heron Blue</c:v>
                  </c:pt>
                  <c:pt idx="24">
                    <c:v>Rouge Colonial/Colonial Red</c:v>
                  </c:pt>
                  <c:pt idx="25">
                    <c:v>Brun Foncé /Dark Brown</c:v>
                  </c:pt>
                  <c:pt idx="26">
                    <c:v> Noir/Black </c:v>
                  </c:pt>
                </c15:dlblRangeCache>
              </c15:datalabelsRange>
            </c:ext>
            <c:ext xmlns:c16="http://schemas.microsoft.com/office/drawing/2014/chart" uri="{C3380CC4-5D6E-409C-BE32-E72D297353CC}">
              <c16:uniqueId val="{0000001E-C4A6-4D37-80BD-FD1618B84589}"/>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20-C4A6-4D37-80BD-FD1618B84589}"/>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22-C4A6-4D37-80BD-FD1618B84589}"/>
            </c:ext>
          </c:extLst>
        </c:ser>
        <c:dLbls>
          <c:showLegendKey val="0"/>
          <c:showVal val="0"/>
          <c:showCatName val="0"/>
          <c:showSerName val="0"/>
          <c:showPercent val="0"/>
          <c:showBubbleSize val="0"/>
        </c:dLbls>
        <c:axId val="1199952912"/>
        <c:axId val="1199946672"/>
      </c:scatterChart>
      <c:valAx>
        <c:axId val="1199952912"/>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99946672"/>
        <c:crosses val="autoZero"/>
        <c:crossBetween val="midCat"/>
      </c:valAx>
      <c:valAx>
        <c:axId val="1199946672"/>
        <c:scaling>
          <c:orientation val="minMax"/>
          <c:max val="8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99952912"/>
        <c:crosses val="autoZero"/>
        <c:crossBetween val="midCat"/>
      </c:valAx>
      <c:spPr>
        <a:noFill/>
        <a:ln>
          <a:noFill/>
        </a:ln>
        <a:effectLst/>
      </c:spPr>
    </c:plotArea>
    <c:legend>
      <c:legendPos val="b"/>
      <c:layout>
        <c:manualLayout>
          <c:xMode val="edge"/>
          <c:yMode val="edge"/>
          <c:x val="6.0339166859639977E-2"/>
          <c:y val="0.74991172585919996"/>
          <c:w val="0.49205286169888368"/>
          <c:h val="0.1358985314742034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100" b="0" i="0" u="none" strike="noStrike" kern="1200" spc="0" baseline="0">
                <a:solidFill>
                  <a:sysClr val="windowText" lastClr="000000">
                    <a:lumMod val="65000"/>
                    <a:lumOff val="35000"/>
                  </a:sysClr>
                </a:solidFill>
              </a:rPr>
              <a:t>Suggested Pannel Lengths (Microribbed Embossed 22ga)</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L - Max. Panel Length'!$O$209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B0F0"/>
                </a:solidFill>
                <a:prstDash val="sysDash"/>
              </a:ln>
              <a:effectLst/>
            </c:spPr>
            <c:trendlineType val="poly"/>
            <c:order val="2"/>
            <c:dispRSqr val="1"/>
            <c:dispEq val="1"/>
            <c:trendlineLbl>
              <c:layout>
                <c:manualLayout>
                  <c:x val="-0.53668987988358585"/>
                  <c:y val="-0.142923709433906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Length'!$E$210:$E$237</c:f>
            </c:strRef>
          </c:xVal>
          <c:yVal>
            <c:numRef>
              <c:f>'Norex L - Max. Panel Length'!$O$210:$O$237</c:f>
              <c:numCache>
                <c:formatCode>General</c:formatCode>
                <c:ptCount val="28"/>
                <c:pt idx="0">
                  <c:v>65</c:v>
                </c:pt>
                <c:pt idx="1">
                  <c:v>65</c:v>
                </c:pt>
                <c:pt idx="9">
                  <c:v>43</c:v>
                </c:pt>
                <c:pt idx="20">
                  <c:v>39</c:v>
                </c:pt>
                <c:pt idx="21">
                  <c:v>39</c:v>
                </c:pt>
                <c:pt idx="23">
                  <c:v>38</c:v>
                </c:pt>
                <c:pt idx="26">
                  <c:v>28</c:v>
                </c:pt>
              </c:numCache>
            </c:numRef>
          </c:yVal>
          <c:smooth val="0"/>
          <c:extLst>
            <c:ext xmlns:c16="http://schemas.microsoft.com/office/drawing/2014/chart" uri="{C3380CC4-5D6E-409C-BE32-E72D297353CC}">
              <c16:uniqueId val="{00000001-E0BA-4E6A-9D54-26F74264DD13}"/>
            </c:ext>
          </c:extLst>
        </c:ser>
        <c:ser>
          <c:idx val="1"/>
          <c:order val="1"/>
          <c:tx>
            <c:strRef>
              <c:f>'Norex L - Max. Panel Length'!$P$209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5.4505606018410785E-2"/>
                  <c:y val="-0.1122628643176193"/>
                </c:manualLayout>
              </c:layout>
              <c:tx>
                <c:rich>
                  <a:bodyPr/>
                  <a:lstStyle/>
                  <a:p>
                    <a:fld id="{E9E78C6A-396C-4CEE-BE07-9322608A450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0BA-4E6A-9D54-26F74264DD13}"/>
                </c:ext>
              </c:extLst>
            </c:dLbl>
            <c:dLbl>
              <c:idx val="1"/>
              <c:layout>
                <c:manualLayout>
                  <c:x val="5.2991561406788262E-2"/>
                  <c:y val="-7.789668136324604E-2"/>
                </c:manualLayout>
              </c:layout>
              <c:tx>
                <c:rich>
                  <a:bodyPr/>
                  <a:lstStyle/>
                  <a:p>
                    <a:fld id="{91D8056F-1CA9-4263-A882-DA70EA0303C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0BA-4E6A-9D54-26F74264DD13}"/>
                </c:ext>
              </c:extLst>
            </c:dLbl>
            <c:dLbl>
              <c:idx val="2"/>
              <c:tx>
                <c:rich>
                  <a:bodyPr/>
                  <a:lstStyle/>
                  <a:p>
                    <a:fld id="{8225678E-251B-49A4-A71A-D1A7F394561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0BA-4E6A-9D54-26F74264DD13}"/>
                </c:ext>
              </c:extLst>
            </c:dLbl>
            <c:dLbl>
              <c:idx val="3"/>
              <c:layout>
                <c:manualLayout>
                  <c:x val="1.3626401504602668E-2"/>
                  <c:y val="-4.8112656136122638E-2"/>
                </c:manualLayout>
              </c:layout>
              <c:tx>
                <c:rich>
                  <a:bodyPr/>
                  <a:lstStyle/>
                  <a:p>
                    <a:fld id="{2D8AE950-D0C4-46BF-A1E3-0521461E00B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0BA-4E6A-9D54-26F74264DD13}"/>
                </c:ext>
              </c:extLst>
            </c:dLbl>
            <c:dLbl>
              <c:idx val="4"/>
              <c:tx>
                <c:rich>
                  <a:bodyPr/>
                  <a:lstStyle/>
                  <a:p>
                    <a:fld id="{5777F395-4DC7-4179-B95A-7BF14E8661E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0BA-4E6A-9D54-26F74264DD13}"/>
                </c:ext>
              </c:extLst>
            </c:dLbl>
            <c:dLbl>
              <c:idx val="5"/>
              <c:layout>
                <c:manualLayout>
                  <c:x val="4.5421338348675651E-3"/>
                  <c:y val="-3.4366182954373256E-2"/>
                </c:manualLayout>
              </c:layout>
              <c:tx>
                <c:rich>
                  <a:bodyPr/>
                  <a:lstStyle/>
                  <a:p>
                    <a:fld id="{FFF795B9-9CD2-4327-A026-54A8072F3E9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E0BA-4E6A-9D54-26F74264DD13}"/>
                </c:ext>
              </c:extLst>
            </c:dLbl>
            <c:dLbl>
              <c:idx val="6"/>
              <c:tx>
                <c:rich>
                  <a:bodyPr/>
                  <a:lstStyle/>
                  <a:p>
                    <a:fld id="{27FB8ACD-1079-448F-A2A1-BDDD98AE50E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0BA-4E6A-9D54-26F74264DD13}"/>
                </c:ext>
              </c:extLst>
            </c:dLbl>
            <c:dLbl>
              <c:idx val="7"/>
              <c:tx>
                <c:rich>
                  <a:bodyPr/>
                  <a:lstStyle/>
                  <a:p>
                    <a:fld id="{286E8D73-4089-455E-AE10-264DEFF35F8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0BA-4E6A-9D54-26F74264DD13}"/>
                </c:ext>
              </c:extLst>
            </c:dLbl>
            <c:dLbl>
              <c:idx val="8"/>
              <c:layout>
                <c:manualLayout>
                  <c:x val="5.4505606018410729E-2"/>
                  <c:y val="-0.17412199363549116"/>
                </c:manualLayout>
              </c:layout>
              <c:tx>
                <c:rich>
                  <a:bodyPr/>
                  <a:lstStyle/>
                  <a:p>
                    <a:fld id="{7626EF3C-304F-4D12-88C2-A0E77C8DBD0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layout>
                    <c:manualLayout>
                      <c:w val="0.2250930124099203"/>
                      <c:h val="5.7208239224713346E-2"/>
                    </c:manualLayout>
                  </c15:layout>
                  <c15:dlblFieldTable/>
                  <c15:showDataLabelsRange val="1"/>
                </c:ext>
                <c:ext xmlns:c16="http://schemas.microsoft.com/office/drawing/2014/chart" uri="{C3380CC4-5D6E-409C-BE32-E72D297353CC}">
                  <c16:uniqueId val="{0000000A-E0BA-4E6A-9D54-26F74264DD13}"/>
                </c:ext>
              </c:extLst>
            </c:dLbl>
            <c:dLbl>
              <c:idx val="9"/>
              <c:layout>
                <c:manualLayout>
                  <c:x val="4.9963472183543162E-2"/>
                  <c:y val="-0.13288257409024326"/>
                </c:manualLayout>
              </c:layout>
              <c:tx>
                <c:rich>
                  <a:bodyPr/>
                  <a:lstStyle/>
                  <a:p>
                    <a:fld id="{14B19704-EF8C-4CDD-8F5C-9D53199F6444}"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E0BA-4E6A-9D54-26F74264DD13}"/>
                </c:ext>
              </c:extLst>
            </c:dLbl>
            <c:dLbl>
              <c:idx val="10"/>
              <c:layout>
                <c:manualLayout>
                  <c:x val="1.8168535339470205E-2"/>
                  <c:y val="-7.3314523635996276E-2"/>
                </c:manualLayout>
              </c:layout>
              <c:tx>
                <c:rich>
                  <a:bodyPr/>
                  <a:lstStyle/>
                  <a:p>
                    <a:fld id="{C6934970-CC0C-45FE-8744-EA272D2B9F6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E0BA-4E6A-9D54-26F74264DD13}"/>
                </c:ext>
              </c:extLst>
            </c:dLbl>
            <c:dLbl>
              <c:idx val="11"/>
              <c:layout>
                <c:manualLayout>
                  <c:x val="1.5140446116225162E-2"/>
                  <c:y val="-4.3530498408872874E-2"/>
                </c:manualLayout>
              </c:layout>
              <c:tx>
                <c:rich>
                  <a:bodyPr/>
                  <a:lstStyle/>
                  <a:p>
                    <a:fld id="{50855524-FA27-4735-B690-D83A2D24FE8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E0BA-4E6A-9D54-26F74264DD13}"/>
                </c:ext>
              </c:extLst>
            </c:dLbl>
            <c:dLbl>
              <c:idx val="12"/>
              <c:layout>
                <c:manualLayout>
                  <c:x val="4.5421338348675096E-3"/>
                  <c:y val="-3.8948340681623103E-2"/>
                </c:manualLayout>
              </c:layout>
              <c:tx>
                <c:rich>
                  <a:bodyPr/>
                  <a:lstStyle/>
                  <a:p>
                    <a:fld id="{A576E077-9A75-4DF7-91E7-E5E9DC4EAAE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E0BA-4E6A-9D54-26F74264DD13}"/>
                </c:ext>
              </c:extLst>
            </c:dLbl>
            <c:dLbl>
              <c:idx val="13"/>
              <c:tx>
                <c:rich>
                  <a:bodyPr/>
                  <a:lstStyle/>
                  <a:p>
                    <a:fld id="{25DD48CE-7042-4DFF-8659-0525B85D4BF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0BA-4E6A-9D54-26F74264DD13}"/>
                </c:ext>
              </c:extLst>
            </c:dLbl>
            <c:dLbl>
              <c:idx val="14"/>
              <c:layout>
                <c:manualLayout>
                  <c:x val="7.721627519274861E-2"/>
                  <c:y val="-0.21536141318073906"/>
                </c:manualLayout>
              </c:layout>
              <c:tx>
                <c:rich>
                  <a:bodyPr/>
                  <a:lstStyle/>
                  <a:p>
                    <a:fld id="{F6C0CAC0-14E7-49C5-A227-9213F888C4F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E0BA-4E6A-9D54-26F74264DD13}"/>
                </c:ext>
              </c:extLst>
            </c:dLbl>
            <c:dLbl>
              <c:idx val="15"/>
              <c:tx>
                <c:rich>
                  <a:bodyPr/>
                  <a:lstStyle/>
                  <a:p>
                    <a:fld id="{9CA0983C-E632-4252-8146-553A474F9AF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0BA-4E6A-9D54-26F74264DD13}"/>
                </c:ext>
              </c:extLst>
            </c:dLbl>
            <c:dLbl>
              <c:idx val="16"/>
              <c:layout>
                <c:manualLayout>
                  <c:x val="7.1160096746258408E-2"/>
                  <c:y val="-0.1672487570446165"/>
                </c:manualLayout>
              </c:layout>
              <c:tx>
                <c:rich>
                  <a:bodyPr/>
                  <a:lstStyle/>
                  <a:p>
                    <a:fld id="{B264A26A-A042-4906-A656-6280CD371E2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E0BA-4E6A-9D54-26F74264DD13}"/>
                </c:ext>
              </c:extLst>
            </c:dLbl>
            <c:dLbl>
              <c:idx val="17"/>
              <c:layout>
                <c:manualLayout>
                  <c:x val="0.24224713785960347"/>
                  <c:y val="-0.1672487570446165"/>
                </c:manualLayout>
              </c:layout>
              <c:tx>
                <c:rich>
                  <a:bodyPr/>
                  <a:lstStyle/>
                  <a:p>
                    <a:fld id="{E8AD15CA-5397-4242-8D64-6CEFE6684F6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E0BA-4E6A-9D54-26F74264DD13}"/>
                </c:ext>
              </c:extLst>
            </c:dLbl>
            <c:dLbl>
              <c:idx val="18"/>
              <c:layout>
                <c:manualLayout>
                  <c:x val="0.24073309324798095"/>
                  <c:y val="-0.13975581068111789"/>
                </c:manualLayout>
              </c:layout>
              <c:tx>
                <c:rich>
                  <a:bodyPr/>
                  <a:lstStyle/>
                  <a:p>
                    <a:fld id="{F88269D7-7FED-4730-8FE8-262F5B86283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E0BA-4E6A-9D54-26F74264DD13}"/>
                </c:ext>
              </c:extLst>
            </c:dLbl>
            <c:dLbl>
              <c:idx val="19"/>
              <c:layout>
                <c:manualLayout>
                  <c:x val="0.23619095941311338"/>
                  <c:y val="-0.11455394318124426"/>
                </c:manualLayout>
              </c:layout>
              <c:tx>
                <c:rich>
                  <a:bodyPr/>
                  <a:lstStyle/>
                  <a:p>
                    <a:fld id="{F3E7CE69-E1C0-4701-A5F4-2113ADED92F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E0BA-4E6A-9D54-26F74264DD13}"/>
                </c:ext>
              </c:extLst>
            </c:dLbl>
            <c:dLbl>
              <c:idx val="20"/>
              <c:layout>
                <c:manualLayout>
                  <c:x val="0.21650837946202051"/>
                  <c:y val="-8.9352075681370463E-2"/>
                </c:manualLayout>
              </c:layout>
              <c:tx>
                <c:rich>
                  <a:bodyPr/>
                  <a:lstStyle/>
                  <a:p>
                    <a:fld id="{F80116A6-13BA-4788-B56F-366D18C13B1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E0BA-4E6A-9D54-26F74264DD13}"/>
                </c:ext>
              </c:extLst>
            </c:dLbl>
            <c:dLbl>
              <c:idx val="21"/>
              <c:layout>
                <c:manualLayout>
                  <c:x val="0.21045220101553042"/>
                  <c:y val="-6.4150208181496748E-2"/>
                </c:manualLayout>
              </c:layout>
              <c:tx>
                <c:rich>
                  <a:bodyPr/>
                  <a:lstStyle/>
                  <a:p>
                    <a:fld id="{53A78FF5-B691-4A7F-9F2D-719F2435DB0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E0BA-4E6A-9D54-26F74264DD13}"/>
                </c:ext>
              </c:extLst>
            </c:dLbl>
            <c:dLbl>
              <c:idx val="22"/>
              <c:layout>
                <c:manualLayout>
                  <c:x val="0.19076962106443773"/>
                  <c:y val="-4.8112656136122554E-2"/>
                </c:manualLayout>
              </c:layout>
              <c:tx>
                <c:rich>
                  <a:bodyPr/>
                  <a:lstStyle/>
                  <a:p>
                    <a:fld id="{9E9C759B-43DE-4D6F-8B8D-E677EB1AA09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E0BA-4E6A-9D54-26F74264DD13}"/>
                </c:ext>
              </c:extLst>
            </c:dLbl>
            <c:dLbl>
              <c:idx val="23"/>
              <c:layout>
                <c:manualLayout>
                  <c:x val="0.17714321955983492"/>
                  <c:y val="-2.9784025227123489E-2"/>
                </c:manualLayout>
              </c:layout>
              <c:tx>
                <c:rich>
                  <a:bodyPr/>
                  <a:lstStyle/>
                  <a:p>
                    <a:fld id="{967AD8FC-17D4-4F88-832F-B901882A95B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E0BA-4E6A-9D54-26F74264DD13}"/>
                </c:ext>
              </c:extLst>
            </c:dLbl>
            <c:dLbl>
              <c:idx val="24"/>
              <c:layout>
                <c:manualLayout>
                  <c:x val="0.17411513033659001"/>
                  <c:y val="-2.2910788636248836E-3"/>
                </c:manualLayout>
              </c:layout>
              <c:tx>
                <c:rich>
                  <a:bodyPr/>
                  <a:lstStyle/>
                  <a:p>
                    <a:fld id="{AFF0351D-3C36-4A85-AC59-6280FA42C35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E0BA-4E6A-9D54-26F74264DD13}"/>
                </c:ext>
              </c:extLst>
            </c:dLbl>
            <c:dLbl>
              <c:idx val="25"/>
              <c:layout>
                <c:manualLayout>
                  <c:x val="0.13777805965764936"/>
                  <c:y val="6.8732365908746509E-3"/>
                </c:manualLayout>
              </c:layout>
              <c:tx>
                <c:rich>
                  <a:bodyPr/>
                  <a:lstStyle/>
                  <a:p>
                    <a:fld id="{A9A74267-5570-4401-A158-0EFFCA06357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E0BA-4E6A-9D54-26F74264DD13}"/>
                </c:ext>
              </c:extLst>
            </c:dLbl>
            <c:dLbl>
              <c:idx val="26"/>
              <c:layout>
                <c:manualLayout>
                  <c:x val="0.1196095243181791"/>
                  <c:y val="1.6037552045374017E-2"/>
                </c:manualLayout>
              </c:layout>
              <c:tx>
                <c:rich>
                  <a:bodyPr/>
                  <a:lstStyle/>
                  <a:p>
                    <a:fld id="{ED837C20-20C3-4683-8C66-4E941E77B68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E0BA-4E6A-9D54-26F74264DD13}"/>
                </c:ext>
              </c:extLst>
            </c:dLbl>
            <c:dLbl>
              <c:idx val="27"/>
              <c:layout>
                <c:manualLayout>
                  <c:x val="5.2991561406788151E-2"/>
                  <c:y val="0"/>
                </c:manualLayout>
              </c:layout>
              <c:tx>
                <c:rich>
                  <a:bodyPr/>
                  <a:lstStyle/>
                  <a:p>
                    <a:fld id="{F81968E0-EA6B-4887-9E89-C49BF1CE6EC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E0BA-4E6A-9D54-26F74264DD1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Length'!$E$210:$E$237</c:f>
            </c:strRef>
          </c:xVal>
          <c:yVal>
            <c:numRef>
              <c:f>'Norex L - Max. Panel Length'!$P$210:$P$237</c:f>
              <c:numCache>
                <c:formatCode>0.0</c:formatCode>
                <c:ptCount val="28"/>
                <c:pt idx="0">
                  <c:v>64.532256338599808</c:v>
                </c:pt>
                <c:pt idx="1">
                  <c:v>64.346019140506513</c:v>
                </c:pt>
                <c:pt idx="2">
                  <c:v>58.733157352796582</c:v>
                </c:pt>
                <c:pt idx="3">
                  <c:v>58.434238544988915</c:v>
                </c:pt>
                <c:pt idx="4">
                  <c:v>56.965437475238161</c:v>
                </c:pt>
                <c:pt idx="5">
                  <c:v>55.248818622948477</c:v>
                </c:pt>
                <c:pt idx="6">
                  <c:v>52.172492588712572</c:v>
                </c:pt>
                <c:pt idx="7">
                  <c:v>48.354472552111787</c:v>
                </c:pt>
                <c:pt idx="8">
                  <c:v>47.842191587280269</c:v>
                </c:pt>
                <c:pt idx="9">
                  <c:v>47.627763405750244</c:v>
                </c:pt>
                <c:pt idx="10">
                  <c:v>43.60074673918237</c:v>
                </c:pt>
                <c:pt idx="11">
                  <c:v>43.522608636389862</c:v>
                </c:pt>
                <c:pt idx="12">
                  <c:v>41.632336208010742</c:v>
                </c:pt>
                <c:pt idx="13">
                  <c:v>41.026041266404661</c:v>
                </c:pt>
                <c:pt idx="14">
                  <c:v>38.210236365996735</c:v>
                </c:pt>
                <c:pt idx="15">
                  <c:v>38.171359704211653</c:v>
                </c:pt>
                <c:pt idx="16">
                  <c:v>38.171359704211653</c:v>
                </c:pt>
                <c:pt idx="17">
                  <c:v>37.977672829921715</c:v>
                </c:pt>
                <c:pt idx="18">
                  <c:v>37.849945243467715</c:v>
                </c:pt>
                <c:pt idx="19">
                  <c:v>37.635522055524831</c:v>
                </c:pt>
                <c:pt idx="20">
                  <c:v>37.058768407463617</c:v>
                </c:pt>
                <c:pt idx="21">
                  <c:v>36.78699821749214</c:v>
                </c:pt>
                <c:pt idx="22">
                  <c:v>35.910996698271475</c:v>
                </c:pt>
                <c:pt idx="23">
                  <c:v>35.238903769024745</c:v>
                </c:pt>
                <c:pt idx="24">
                  <c:v>35.129791375439396</c:v>
                </c:pt>
                <c:pt idx="25">
                  <c:v>33.588336005630453</c:v>
                </c:pt>
                <c:pt idx="26">
                  <c:v>32.100747002613616</c:v>
                </c:pt>
                <c:pt idx="27">
                  <c:v>28.604955127122338</c:v>
                </c:pt>
              </c:numCache>
            </c:numRef>
          </c:yVal>
          <c:smooth val="0"/>
          <c:extLst xmlns:c15="http://schemas.microsoft.com/office/drawing/2012/chart">
            <c:ext xmlns:c15="http://schemas.microsoft.com/office/drawing/2012/chart" uri="{02D57815-91ED-43cb-92C2-25804820EDAC}">
              <c15:datalabelsRange>
                <c15:f>'Norex L - Max. Panel Length'!$C$210:$C$237</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E0BA-4E6A-9D54-26F74264DD13}"/>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20-E0BA-4E6A-9D54-26F74264DD13}"/>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23-E0BA-4E6A-9D54-26F74264DD13}"/>
            </c:ext>
          </c:extLst>
        </c:ser>
        <c:dLbls>
          <c:showLegendKey val="0"/>
          <c:showVal val="0"/>
          <c:showCatName val="0"/>
          <c:showSerName val="0"/>
          <c:showPercent val="0"/>
          <c:showBubbleSize val="0"/>
        </c:dLbls>
        <c:axId val="1177308767"/>
        <c:axId val="1180099215"/>
        <c:extLst/>
      </c:scatterChart>
      <c:valAx>
        <c:axId val="1177308767"/>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80099215"/>
        <c:crosses val="autoZero"/>
        <c:crossBetween val="midCat"/>
      </c:valAx>
      <c:valAx>
        <c:axId val="1180099215"/>
        <c:scaling>
          <c:orientation val="minMax"/>
          <c:max val="8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77308767"/>
        <c:crosses val="autoZero"/>
        <c:crossBetween val="midCat"/>
      </c:valAx>
      <c:spPr>
        <a:noFill/>
        <a:ln>
          <a:noFill/>
        </a:ln>
        <a:effectLst/>
      </c:spPr>
    </c:plotArea>
    <c:legend>
      <c:legendPos val="b"/>
      <c:layout>
        <c:manualLayout>
          <c:xMode val="edge"/>
          <c:yMode val="edge"/>
          <c:x val="7.2529021410472017E-2"/>
          <c:y val="0.78485460456925948"/>
          <c:w val="0.60205830582497644"/>
          <c:h val="0.1143400516752288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(Silkline and Fluted Smooth 26ga)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L - Max. Panel Length'!$F$279</c:f>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B050"/>
                </a:solidFill>
                <a:prstDash val="solid"/>
              </a:ln>
              <a:effectLst/>
            </c:spPr>
            <c:trendlineType val="poly"/>
            <c:order val="2"/>
            <c:dispRSqr val="1"/>
            <c:dispEq val="1"/>
            <c:trendlineLbl>
              <c:layout>
                <c:manualLayout>
                  <c:x val="-0.30371232257890768"/>
                  <c:y val="0.121383853663497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Length'!$E$280:$E$307</c:f>
            </c:strRef>
          </c:xVal>
          <c:yVal>
            <c:numRef>
              <c:f>'Norex L - Max. Panel Length'!$F$280:$F$307</c:f>
            </c:numRef>
          </c:yVal>
          <c:smooth val="0"/>
          <c:extLst>
            <c:ext xmlns:c16="http://schemas.microsoft.com/office/drawing/2014/chart" uri="{C3380CC4-5D6E-409C-BE32-E72D297353CC}">
              <c16:uniqueId val="{00000001-B929-4865-A721-27E80AED3557}"/>
            </c:ext>
          </c:extLst>
        </c:ser>
        <c:ser>
          <c:idx val="1"/>
          <c:order val="1"/>
          <c:tx>
            <c:strRef>
              <c:f>'Norex L - Max. Panel Length'!$G$279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0.1600300618901413"/>
                  <c:y val="-0.10221025306566223"/>
                </c:manualLayout>
              </c:layout>
              <c:tx>
                <c:rich>
                  <a:bodyPr/>
                  <a:lstStyle/>
                  <a:p>
                    <a:fld id="{2230549F-F0B5-4385-9BD7-150B0B81D10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B929-4865-A721-27E80AED3557}"/>
                </c:ext>
              </c:extLst>
            </c:dLbl>
            <c:dLbl>
              <c:idx val="1"/>
              <c:layout>
                <c:manualLayout>
                  <c:x val="0.16288774156675101"/>
                  <c:y val="-0.1562081226097857"/>
                </c:manualLayout>
              </c:layout>
              <c:tx>
                <c:rich>
                  <a:bodyPr/>
                  <a:lstStyle/>
                  <a:p>
                    <a:fld id="{B4364930-7E31-43D3-8D1B-FBDFE96BEE3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929-4865-A721-27E80AED3557}"/>
                </c:ext>
              </c:extLst>
            </c:dLbl>
            <c:dLbl>
              <c:idx val="2"/>
              <c:layout>
                <c:manualLayout>
                  <c:x val="8.5730390298289952E-2"/>
                  <c:y val="-0.10799573908824692"/>
                </c:manualLayout>
              </c:layout>
              <c:tx>
                <c:rich>
                  <a:bodyPr/>
                  <a:lstStyle/>
                  <a:p>
                    <a:fld id="{4F80314F-F2D6-4591-B580-10B41F3DB0B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B929-4865-A721-27E80AED3557}"/>
                </c:ext>
              </c:extLst>
            </c:dLbl>
            <c:dLbl>
              <c:idx val="3"/>
              <c:tx>
                <c:rich>
                  <a:bodyPr/>
                  <a:lstStyle/>
                  <a:p>
                    <a:fld id="{E13359B2-282B-4322-B59A-72DF805F542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929-4865-A721-27E80AED3557}"/>
                </c:ext>
              </c:extLst>
            </c:dLbl>
            <c:dLbl>
              <c:idx val="4"/>
              <c:layout>
                <c:manualLayout>
                  <c:x val="0.17146078059657996"/>
                  <c:y val="-5.2069374203261888E-2"/>
                </c:manualLayout>
              </c:layout>
              <c:tx>
                <c:rich>
                  <a:bodyPr/>
                  <a:lstStyle/>
                  <a:p>
                    <a:fld id="{5F0651EF-8C82-47C8-86AC-67BF340968A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B929-4865-A721-27E80AED3557}"/>
                </c:ext>
              </c:extLst>
            </c:dLbl>
            <c:dLbl>
              <c:idx val="5"/>
              <c:tx>
                <c:rich>
                  <a:bodyPr/>
                  <a:lstStyle/>
                  <a:p>
                    <a:fld id="{85343674-66AA-44E7-8025-3516F62A809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929-4865-A721-27E80AED3557}"/>
                </c:ext>
              </c:extLst>
            </c:dLbl>
            <c:dLbl>
              <c:idx val="6"/>
              <c:layout>
                <c:manualLayout>
                  <c:x val="0.10287646835794806"/>
                  <c:y val="-6.3640346248431193E-2"/>
                </c:manualLayout>
              </c:layout>
              <c:tx>
                <c:rich>
                  <a:bodyPr/>
                  <a:lstStyle/>
                  <a:p>
                    <a:fld id="{E0D42CAE-8673-41BF-B4CE-EC147394C3A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B929-4865-A721-27E80AED3557}"/>
                </c:ext>
              </c:extLst>
            </c:dLbl>
            <c:dLbl>
              <c:idx val="7"/>
              <c:layout>
                <c:manualLayout>
                  <c:x val="6.0011273208802951E-2"/>
                  <c:y val="-2.8927430112923345E-2"/>
                </c:manualLayout>
              </c:layout>
              <c:tx>
                <c:rich>
                  <a:bodyPr/>
                  <a:lstStyle/>
                  <a:p>
                    <a:fld id="{E75054E7-F3C9-40E7-8D68-24A7FF8B691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929-4865-A721-27E80AED3557}"/>
                </c:ext>
              </c:extLst>
            </c:dLbl>
            <c:dLbl>
              <c:idx val="8"/>
              <c:tx>
                <c:rich>
                  <a:bodyPr/>
                  <a:lstStyle/>
                  <a:p>
                    <a:fld id="{AABF3C89-3D22-4D62-986B-538061F394E7}"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929-4865-A721-27E80AED3557}"/>
                </c:ext>
              </c:extLst>
            </c:dLbl>
            <c:dLbl>
              <c:idx val="9"/>
              <c:tx>
                <c:rich>
                  <a:bodyPr/>
                  <a:lstStyle/>
                  <a:p>
                    <a:fld id="{7F7B53FA-7FB5-42D5-960D-42F35287E0F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929-4865-A721-27E80AED3557}"/>
                </c:ext>
              </c:extLst>
            </c:dLbl>
            <c:dLbl>
              <c:idx val="10"/>
              <c:tx>
                <c:rich>
                  <a:bodyPr/>
                  <a:lstStyle/>
                  <a:p>
                    <a:fld id="{629072D3-9CE4-48A6-BBCD-C7D8AFEC191F}"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929-4865-A721-27E80AED3557}"/>
                </c:ext>
              </c:extLst>
            </c:dLbl>
            <c:dLbl>
              <c:idx val="11"/>
              <c:tx>
                <c:rich>
                  <a:bodyPr/>
                  <a:lstStyle/>
                  <a:p>
                    <a:fld id="{0244AED3-265C-40AA-998A-AC67881178D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929-4865-A721-27E80AED3557}"/>
                </c:ext>
              </c:extLst>
            </c:dLbl>
            <c:dLbl>
              <c:idx val="12"/>
              <c:tx>
                <c:rich>
                  <a:bodyPr/>
                  <a:lstStyle/>
                  <a:p>
                    <a:fld id="{83C943A4-B4E0-4BA2-A918-50F36C93096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B929-4865-A721-27E80AED3557}"/>
                </c:ext>
              </c:extLst>
            </c:dLbl>
            <c:dLbl>
              <c:idx val="13"/>
              <c:tx>
                <c:rich>
                  <a:bodyPr/>
                  <a:lstStyle/>
                  <a:p>
                    <a:fld id="{C0BD290B-3873-4043-9D9A-CDF7FDBB6C9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929-4865-A721-27E80AED3557}"/>
                </c:ext>
              </c:extLst>
            </c:dLbl>
            <c:dLbl>
              <c:idx val="14"/>
              <c:tx>
                <c:rich>
                  <a:bodyPr/>
                  <a:lstStyle/>
                  <a:p>
                    <a:fld id="{5EE86D7A-3C4C-4110-942C-9B14A736273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B929-4865-A721-27E80AED3557}"/>
                </c:ext>
              </c:extLst>
            </c:dLbl>
            <c:dLbl>
              <c:idx val="15"/>
              <c:tx>
                <c:rich>
                  <a:bodyPr/>
                  <a:lstStyle/>
                  <a:p>
                    <a:fld id="{C39E05FC-6346-4CA9-B53B-B5DC37239B3B}"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929-4865-A721-27E80AED3557}"/>
                </c:ext>
              </c:extLst>
            </c:dLbl>
            <c:dLbl>
              <c:idx val="16"/>
              <c:tx>
                <c:rich>
                  <a:bodyPr/>
                  <a:lstStyle/>
                  <a:p>
                    <a:fld id="{5C0FC0EA-CDB9-4BB9-AF88-08BDCEA9084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B929-4865-A721-27E80AED3557}"/>
                </c:ext>
              </c:extLst>
            </c:dLbl>
            <c:dLbl>
              <c:idx val="17"/>
              <c:tx>
                <c:rich>
                  <a:bodyPr/>
                  <a:lstStyle/>
                  <a:p>
                    <a:fld id="{2C6B3E04-4F73-4343-A5E2-BF635F17471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B929-4865-A721-27E80AED3557}"/>
                </c:ext>
              </c:extLst>
            </c:dLbl>
            <c:dLbl>
              <c:idx val="18"/>
              <c:tx>
                <c:rich>
                  <a:bodyPr/>
                  <a:lstStyle/>
                  <a:p>
                    <a:fld id="{B1DB30B6-254B-40CD-9BFA-ED5EA7BBBBF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B929-4865-A721-27E80AED3557}"/>
                </c:ext>
              </c:extLst>
            </c:dLbl>
            <c:dLbl>
              <c:idx val="19"/>
              <c:layout>
                <c:manualLayout>
                  <c:x val="2.8576796766096667E-2"/>
                  <c:y val="-6.5568841589292756E-2"/>
                </c:manualLayout>
              </c:layout>
              <c:tx>
                <c:rich>
                  <a:bodyPr/>
                  <a:lstStyle/>
                  <a:p>
                    <a:fld id="{1F4B2A9E-4F90-433D-9428-2F54A28133D6}"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B929-4865-A721-27E80AED3557}"/>
                </c:ext>
              </c:extLst>
            </c:dLbl>
            <c:dLbl>
              <c:idx val="20"/>
              <c:tx>
                <c:rich>
                  <a:bodyPr/>
                  <a:lstStyle/>
                  <a:p>
                    <a:fld id="{AA2DCE4B-B12B-474C-BC61-15FA96AB410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B929-4865-A721-27E80AED3557}"/>
                </c:ext>
              </c:extLst>
            </c:dLbl>
            <c:dLbl>
              <c:idx val="21"/>
              <c:layout>
                <c:manualLayout>
                  <c:x val="4.8580554502364336E-2"/>
                  <c:y val="-2.6998934772061792E-2"/>
                </c:manualLayout>
              </c:layout>
              <c:tx>
                <c:rich>
                  <a:bodyPr/>
                  <a:lstStyle/>
                  <a:p>
                    <a:fld id="{507DCAB9-4422-40D1-A7E7-BC7C3020ED6F}"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B929-4865-A721-27E80AED3557}"/>
                </c:ext>
              </c:extLst>
            </c:dLbl>
            <c:dLbl>
              <c:idx val="22"/>
              <c:tx>
                <c:rich>
                  <a:bodyPr/>
                  <a:lstStyle/>
                  <a:p>
                    <a:fld id="{39094706-1198-4A7C-B6EA-4BEA4CB8CD87}"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B929-4865-A721-27E80AED3557}"/>
                </c:ext>
              </c:extLst>
            </c:dLbl>
            <c:dLbl>
              <c:idx val="23"/>
              <c:tx>
                <c:rich>
                  <a:bodyPr/>
                  <a:lstStyle/>
                  <a:p>
                    <a:fld id="{FB310724-D215-4423-8813-AA56E435D77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B929-4865-A721-27E80AED3557}"/>
                </c:ext>
              </c:extLst>
            </c:dLbl>
            <c:dLbl>
              <c:idx val="24"/>
              <c:tx>
                <c:rich>
                  <a:bodyPr/>
                  <a:lstStyle/>
                  <a:p>
                    <a:fld id="{643102B5-2C05-425B-9708-A3B66B410EF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B929-4865-A721-27E80AED3557}"/>
                </c:ext>
              </c:extLst>
            </c:dLbl>
            <c:dLbl>
              <c:idx val="25"/>
              <c:tx>
                <c:rich>
                  <a:bodyPr/>
                  <a:lstStyle/>
                  <a:p>
                    <a:fld id="{C13ECC04-3979-4F1E-814B-4759F15ABF8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B929-4865-A721-27E80AED3557}"/>
                </c:ext>
              </c:extLst>
            </c:dLbl>
            <c:dLbl>
              <c:idx val="26"/>
              <c:tx>
                <c:rich>
                  <a:bodyPr/>
                  <a:lstStyle/>
                  <a:p>
                    <a:fld id="{7FAF89AA-96B4-4CAD-9E1C-E7CE3FCD368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B929-4865-A721-27E80AED3557}"/>
                </c:ext>
              </c:extLst>
            </c:dLbl>
            <c:dLbl>
              <c:idx val="27"/>
              <c:tx>
                <c:rich>
                  <a:bodyPr/>
                  <a:lstStyle/>
                  <a:p>
                    <a:fld id="{A8C4CDFE-E0DF-4AA5-AF6E-2904EBF29097}"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B929-4865-A721-27E80AED355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Length'!$E$280:$E$307</c:f>
            </c:strRef>
          </c:xVal>
          <c:yVal>
            <c:numRef>
              <c:f>'Norex L - Max. Panel Length'!$G$280:$G$307</c:f>
              <c:numCache>
                <c:formatCode>0.00</c:formatCode>
                <c:ptCount val="28"/>
                <c:pt idx="0">
                  <c:v>59.119158783083293</c:v>
                </c:pt>
                <c:pt idx="1">
                  <c:v>58.972861691199981</c:v>
                </c:pt>
                <c:pt idx="2">
                  <c:v>54.359392720761747</c:v>
                </c:pt>
                <c:pt idx="3">
                  <c:v>54.101638564734444</c:v>
                </c:pt>
                <c:pt idx="4">
                  <c:v>52.815429970009305</c:v>
                </c:pt>
                <c:pt idx="5">
                  <c:v>51.268466756070865</c:v>
                </c:pt>
                <c:pt idx="6">
                  <c:v>48.36549133660823</c:v>
                </c:pt>
                <c:pt idx="7">
                  <c:v>44.490349288410485</c:v>
                </c:pt>
                <c:pt idx="8">
                  <c:v>43.943976159535509</c:v>
                </c:pt>
                <c:pt idx="9">
                  <c:v>43.713241059156445</c:v>
                </c:pt>
                <c:pt idx="10">
                  <c:v>39.130576866398656</c:v>
                </c:pt>
                <c:pt idx="11">
                  <c:v>39.036458585508669</c:v>
                </c:pt>
                <c:pt idx="12">
                  <c:v>36.689208866877934</c:v>
                </c:pt>
                <c:pt idx="13">
                  <c:v>35.905513465903368</c:v>
                </c:pt>
                <c:pt idx="14">
                  <c:v>32.034118960745062</c:v>
                </c:pt>
                <c:pt idx="15">
                  <c:v>31.977670702726641</c:v>
                </c:pt>
                <c:pt idx="16">
                  <c:v>31.977670702726641</c:v>
                </c:pt>
                <c:pt idx="17">
                  <c:v>31.695086600934019</c:v>
                </c:pt>
                <c:pt idx="18">
                  <c:v>31.507484306165082</c:v>
                </c:pt>
                <c:pt idx="19">
                  <c:v>31.190263971356543</c:v>
                </c:pt>
                <c:pt idx="20">
                  <c:v>30.322288660911738</c:v>
                </c:pt>
                <c:pt idx="21">
                  <c:v>29.905529648247466</c:v>
                </c:pt>
                <c:pt idx="22">
                  <c:v>28.525793006707104</c:v>
                </c:pt>
                <c:pt idx="23">
                  <c:v>27.426402799933442</c:v>
                </c:pt>
                <c:pt idx="24">
                  <c:v>27.244313289272753</c:v>
                </c:pt>
                <c:pt idx="25">
                  <c:v>24.550898246423131</c:v>
                </c:pt>
                <c:pt idx="26">
                  <c:v>21.695916358512093</c:v>
                </c:pt>
                <c:pt idx="27">
                  <c:v>13.396502531082177</c:v>
                </c:pt>
              </c:numCache>
            </c:numRef>
          </c:yVal>
          <c:smooth val="0"/>
          <c:extLst>
            <c:ext xmlns:c15="http://schemas.microsoft.com/office/drawing/2012/chart" uri="{02D57815-91ED-43cb-92C2-25804820EDAC}">
              <c15:datalabelsRange>
                <c15:f>'Norex L - Max. Panel Length'!$C$280:$C$307</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B929-4865-A721-27E80AED3557}"/>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20-B929-4865-A721-27E80AED3557}"/>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22-B929-4865-A721-27E80AED3557}"/>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7.9845703103211957E-2"/>
          <c:y val="0.79055206691412028"/>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(Silkline and Fluted Embossed 26ga)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L - Max. Panel Length'!$I$279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dLbls>
            <c:delete val="1"/>
          </c:dLbls>
          <c:trendline>
            <c:spPr>
              <a:ln w="19050" cap="rnd">
                <a:solidFill>
                  <a:srgbClr val="00B050"/>
                </a:solidFill>
                <a:prstDash val="sysDash"/>
              </a:ln>
              <a:effectLst/>
            </c:spPr>
            <c:trendlineType val="poly"/>
            <c:order val="2"/>
            <c:dispRSqr val="0"/>
            <c:dispEq val="1"/>
            <c:trendlineLbl>
              <c:layout>
                <c:manualLayout>
                  <c:x val="-0.32080657061393075"/>
                  <c:y val="-5.74500277956123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Length'!$E$280:$E$307</c:f>
            </c:strRef>
          </c:xVal>
          <c:yVal>
            <c:numRef>
              <c:f>'Norex L - Max. Panel Length'!$I$280:$I$307</c:f>
              <c:numCache>
                <c:formatCode>General</c:formatCode>
                <c:ptCount val="28"/>
                <c:pt idx="0">
                  <c:v>60</c:v>
                </c:pt>
                <c:pt idx="1">
                  <c:v>60</c:v>
                </c:pt>
                <c:pt idx="4">
                  <c:v>48</c:v>
                </c:pt>
                <c:pt idx="7">
                  <c:v>50</c:v>
                </c:pt>
                <c:pt idx="19">
                  <c:v>31</c:v>
                </c:pt>
                <c:pt idx="21">
                  <c:v>31</c:v>
                </c:pt>
              </c:numCache>
            </c:numRef>
          </c:yVal>
          <c:smooth val="0"/>
          <c:extLst>
            <c:ext xmlns:c16="http://schemas.microsoft.com/office/drawing/2014/chart" uri="{C3380CC4-5D6E-409C-BE32-E72D297353CC}">
              <c16:uniqueId val="{00000001-5E8F-46E6-B0B1-20400C82E075}"/>
            </c:ext>
          </c:extLst>
        </c:ser>
        <c:ser>
          <c:idx val="1"/>
          <c:order val="1"/>
          <c:tx>
            <c:strRef>
              <c:f>'Norex L - Max. Panel Length'!$J$279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9.6033579908629069E-2"/>
                  <c:y val="-8.4413694173174056E-2"/>
                </c:manualLayout>
              </c:layout>
              <c:tx>
                <c:rich>
                  <a:bodyPr/>
                  <a:lstStyle/>
                  <a:p>
                    <a:fld id="{2A3B7C8C-6065-40B3-A772-5E86F3DD4924}"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E8F-46E6-B0B1-20400C82E075}"/>
                </c:ext>
              </c:extLst>
            </c:dLbl>
            <c:dLbl>
              <c:idx val="1"/>
              <c:layout>
                <c:manualLayout>
                  <c:x val="8.9270651746049548E-2"/>
                  <c:y val="-0.12853903430915145"/>
                </c:manualLayout>
              </c:layout>
              <c:tx>
                <c:rich>
                  <a:bodyPr/>
                  <a:lstStyle/>
                  <a:p>
                    <a:fld id="{5B665412-D69D-4617-BCE7-A45E7D487C1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E8F-46E6-B0B1-20400C82E075}"/>
                </c:ext>
              </c:extLst>
            </c:dLbl>
            <c:dLbl>
              <c:idx val="2"/>
              <c:layout>
                <c:manualLayout>
                  <c:x val="0.22452921499763989"/>
                  <c:y val="-6.9065749778051508E-2"/>
                </c:manualLayout>
              </c:layout>
              <c:tx>
                <c:rich>
                  <a:bodyPr/>
                  <a:lstStyle/>
                  <a:p>
                    <a:fld id="{F19FF28E-720B-4A41-9F74-3AC158B56FC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E8F-46E6-B0B1-20400C82E075}"/>
                </c:ext>
              </c:extLst>
            </c:dLbl>
            <c:dLbl>
              <c:idx val="3"/>
              <c:tx>
                <c:rich>
                  <a:bodyPr/>
                  <a:lstStyle/>
                  <a:p>
                    <a:fld id="{7D3CB5F1-3ADC-4163-ACB0-CB91646CD12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E8F-46E6-B0B1-20400C82E075}"/>
                </c:ext>
              </c:extLst>
            </c:dLbl>
            <c:dLbl>
              <c:idx val="4"/>
              <c:layout>
                <c:manualLayout>
                  <c:x val="0.2001826736123537"/>
                  <c:y val="-4.988081928414824E-2"/>
                </c:manualLayout>
              </c:layout>
              <c:tx>
                <c:rich>
                  <a:bodyPr/>
                  <a:lstStyle/>
                  <a:p>
                    <a:fld id="{9060F706-21E8-411A-8EA2-E1E1F14C67B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E8F-46E6-B0B1-20400C82E075}"/>
                </c:ext>
              </c:extLst>
            </c:dLbl>
            <c:dLbl>
              <c:idx val="5"/>
              <c:tx>
                <c:rich>
                  <a:bodyPr/>
                  <a:lstStyle/>
                  <a:p>
                    <a:fld id="{112173C8-56FF-47F2-8143-1D28F5B9802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E8F-46E6-B0B1-20400C82E075}"/>
                </c:ext>
              </c:extLst>
            </c:dLbl>
            <c:dLbl>
              <c:idx val="6"/>
              <c:layout>
                <c:manualLayout>
                  <c:x val="0.13120080635404255"/>
                  <c:y val="-6.7147256728661189E-2"/>
                </c:manualLayout>
              </c:layout>
              <c:tx>
                <c:rich>
                  <a:bodyPr/>
                  <a:lstStyle/>
                  <a:p>
                    <a:fld id="{1763D799-ECF5-4BAC-99B2-1950314A461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5E8F-46E6-B0B1-20400C82E075}"/>
                </c:ext>
              </c:extLst>
            </c:dLbl>
            <c:dLbl>
              <c:idx val="7"/>
              <c:layout>
                <c:manualLayout>
                  <c:x val="7.033445289082696E-2"/>
                  <c:y val="-2.4940409642074154E-2"/>
                </c:manualLayout>
              </c:layout>
              <c:tx>
                <c:rich>
                  <a:bodyPr/>
                  <a:lstStyle/>
                  <a:p>
                    <a:fld id="{AD4ACBFC-49F9-497A-94A2-4A43FCE0D41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5E8F-46E6-B0B1-20400C82E075}"/>
                </c:ext>
              </c:extLst>
            </c:dLbl>
            <c:dLbl>
              <c:idx val="8"/>
              <c:tx>
                <c:rich>
                  <a:bodyPr/>
                  <a:lstStyle/>
                  <a:p>
                    <a:fld id="{94E757B1-F1BB-4214-9241-C00288B04A6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E8F-46E6-B0B1-20400C82E075}"/>
                </c:ext>
              </c:extLst>
            </c:dLbl>
            <c:dLbl>
              <c:idx val="9"/>
              <c:tx>
                <c:rich>
                  <a:bodyPr/>
                  <a:lstStyle/>
                  <a:p>
                    <a:fld id="{31A36DC2-CDC1-490A-8A2B-B51CB34F9A3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E8F-46E6-B0B1-20400C82E075}"/>
                </c:ext>
              </c:extLst>
            </c:dLbl>
            <c:dLbl>
              <c:idx val="10"/>
              <c:tx>
                <c:rich>
                  <a:bodyPr/>
                  <a:lstStyle/>
                  <a:p>
                    <a:fld id="{0FA2491D-6436-4FFD-862D-410DC12B9A1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E8F-46E6-B0B1-20400C82E075}"/>
                </c:ext>
              </c:extLst>
            </c:dLbl>
            <c:dLbl>
              <c:idx val="11"/>
              <c:tx>
                <c:rich>
                  <a:bodyPr/>
                  <a:lstStyle/>
                  <a:p>
                    <a:fld id="{B462AFB9-191F-4952-8AD5-7A5E1B313B58}"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E8F-46E6-B0B1-20400C82E075}"/>
                </c:ext>
              </c:extLst>
            </c:dLbl>
            <c:dLbl>
              <c:idx val="12"/>
              <c:tx>
                <c:rich>
                  <a:bodyPr/>
                  <a:lstStyle/>
                  <a:p>
                    <a:fld id="{B2BE5AD5-47C5-42BF-87EC-FD0EC92FF0B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E8F-46E6-B0B1-20400C82E075}"/>
                </c:ext>
              </c:extLst>
            </c:dLbl>
            <c:dLbl>
              <c:idx val="13"/>
              <c:tx>
                <c:rich>
                  <a:bodyPr/>
                  <a:lstStyle/>
                  <a:p>
                    <a:fld id="{6844097E-42E6-49EB-8784-55CC61309C2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E8F-46E6-B0B1-20400C82E075}"/>
                </c:ext>
              </c:extLst>
            </c:dLbl>
            <c:dLbl>
              <c:idx val="14"/>
              <c:tx>
                <c:rich>
                  <a:bodyPr/>
                  <a:lstStyle/>
                  <a:p>
                    <a:fld id="{6DC5898A-46FA-4FA2-8C05-CD548738292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E8F-46E6-B0B1-20400C82E075}"/>
                </c:ext>
              </c:extLst>
            </c:dLbl>
            <c:dLbl>
              <c:idx val="15"/>
              <c:tx>
                <c:rich>
                  <a:bodyPr/>
                  <a:lstStyle/>
                  <a:p>
                    <a:fld id="{1339EEC2-2267-4438-8159-1892A6AA554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5E8F-46E6-B0B1-20400C82E075}"/>
                </c:ext>
              </c:extLst>
            </c:dLbl>
            <c:dLbl>
              <c:idx val="16"/>
              <c:tx>
                <c:rich>
                  <a:bodyPr/>
                  <a:lstStyle/>
                  <a:p>
                    <a:fld id="{47FCF8E4-45D8-4095-AED5-8F566C0AFCE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E8F-46E6-B0B1-20400C82E075}"/>
                </c:ext>
              </c:extLst>
            </c:dLbl>
            <c:dLbl>
              <c:idx val="17"/>
              <c:tx>
                <c:rich>
                  <a:bodyPr/>
                  <a:lstStyle/>
                  <a:p>
                    <a:fld id="{DE1423F8-FFFB-4746-84B3-6A4192EB574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E8F-46E6-B0B1-20400C82E075}"/>
                </c:ext>
              </c:extLst>
            </c:dLbl>
            <c:dLbl>
              <c:idx val="18"/>
              <c:tx>
                <c:rich>
                  <a:bodyPr/>
                  <a:lstStyle/>
                  <a:p>
                    <a:fld id="{14B8723C-C472-423E-9E84-9C4EB3EA957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5E8F-46E6-B0B1-20400C82E075}"/>
                </c:ext>
              </c:extLst>
            </c:dLbl>
            <c:dLbl>
              <c:idx val="19"/>
              <c:layout>
                <c:manualLayout>
                  <c:x val="3.2462055180381671E-2"/>
                  <c:y val="-5.3717805382928946E-2"/>
                </c:manualLayout>
              </c:layout>
              <c:tx>
                <c:rich>
                  <a:bodyPr/>
                  <a:lstStyle/>
                  <a:p>
                    <a:fld id="{9B72A2FB-D8C4-43FC-9327-B9BEA51193F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5E8F-46E6-B0B1-20400C82E075}"/>
                </c:ext>
              </c:extLst>
            </c:dLbl>
            <c:dLbl>
              <c:idx val="20"/>
              <c:tx>
                <c:rich>
                  <a:bodyPr/>
                  <a:lstStyle/>
                  <a:p>
                    <a:fld id="{891CD34E-E9E8-4E27-B207-742F73F56A0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5E8F-46E6-B0B1-20400C82E075}"/>
                </c:ext>
              </c:extLst>
            </c:dLbl>
            <c:dLbl>
              <c:idx val="21"/>
              <c:layout>
                <c:manualLayout>
                  <c:x val="1.4878441957674834E-2"/>
                  <c:y val="-3.4532874889025893E-2"/>
                </c:manualLayout>
              </c:layout>
              <c:tx>
                <c:rich>
                  <a:bodyPr/>
                  <a:lstStyle/>
                  <a:p>
                    <a:fld id="{F87E6F40-80EB-4B05-81E1-FF3ACCD752A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5E8F-46E6-B0B1-20400C82E075}"/>
                </c:ext>
              </c:extLst>
            </c:dLbl>
            <c:dLbl>
              <c:idx val="22"/>
              <c:tx>
                <c:rich>
                  <a:bodyPr/>
                  <a:lstStyle/>
                  <a:p>
                    <a:fld id="{E5A162DC-6C14-4D3E-94E9-EE6AE04DCBE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5E8F-46E6-B0B1-20400C82E075}"/>
                </c:ext>
              </c:extLst>
            </c:dLbl>
            <c:dLbl>
              <c:idx val="23"/>
              <c:tx>
                <c:rich>
                  <a:bodyPr/>
                  <a:lstStyle/>
                  <a:p>
                    <a:fld id="{4D9B248A-EBFC-4741-80BE-C29E11F49E6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5E8F-46E6-B0B1-20400C82E075}"/>
                </c:ext>
              </c:extLst>
            </c:dLbl>
            <c:dLbl>
              <c:idx val="24"/>
              <c:tx>
                <c:rich>
                  <a:bodyPr/>
                  <a:lstStyle/>
                  <a:p>
                    <a:fld id="{8458294D-89EE-4E40-9355-DED3186436D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5E8F-46E6-B0B1-20400C82E075}"/>
                </c:ext>
              </c:extLst>
            </c:dLbl>
            <c:dLbl>
              <c:idx val="25"/>
              <c:tx>
                <c:rich>
                  <a:bodyPr/>
                  <a:lstStyle/>
                  <a:p>
                    <a:fld id="{46F05B2F-2DDF-44A9-A575-200F7AD922E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5E8F-46E6-B0B1-20400C82E075}"/>
                </c:ext>
              </c:extLst>
            </c:dLbl>
            <c:dLbl>
              <c:idx val="26"/>
              <c:tx>
                <c:rich>
                  <a:bodyPr/>
                  <a:lstStyle/>
                  <a:p>
                    <a:fld id="{CC63D587-CEE9-40CA-A6B2-DA7DE53516B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5E8F-46E6-B0B1-20400C82E075}"/>
                </c:ext>
              </c:extLst>
            </c:dLbl>
            <c:dLbl>
              <c:idx val="27"/>
              <c:tx>
                <c:rich>
                  <a:bodyPr/>
                  <a:lstStyle/>
                  <a:p>
                    <a:fld id="{633BA994-EF41-40D1-8B7D-84D76C199CE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5E8F-46E6-B0B1-20400C82E0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Length'!$E$280:$E$307</c:f>
            </c:strRef>
          </c:xVal>
          <c:yVal>
            <c:numRef>
              <c:f>'Norex L - Max. Panel Length'!$J$280:$J$307</c:f>
              <c:numCache>
                <c:formatCode>0.00</c:formatCode>
                <c:ptCount val="28"/>
                <c:pt idx="0">
                  <c:v>58.702659439267272</c:v>
                </c:pt>
                <c:pt idx="1">
                  <c:v>58.586264671102548</c:v>
                </c:pt>
                <c:pt idx="2">
                  <c:v>54.778199866997106</c:v>
                </c:pt>
                <c:pt idx="3">
                  <c:v>54.557684558954477</c:v>
                </c:pt>
                <c:pt idx="4">
                  <c:v>53.445230714526822</c:v>
                </c:pt>
                <c:pt idx="5">
                  <c:v>52.080829305604745</c:v>
                </c:pt>
                <c:pt idx="6">
                  <c:v>49.443748695079407</c:v>
                </c:pt>
                <c:pt idx="7">
                  <c:v>45.770957795627311</c:v>
                </c:pt>
                <c:pt idx="8">
                  <c:v>45.239344549947312</c:v>
                </c:pt>
                <c:pt idx="9">
                  <c:v>45.013832645085117</c:v>
                </c:pt>
                <c:pt idx="10">
                  <c:v>40.412332524747292</c:v>
                </c:pt>
                <c:pt idx="11">
                  <c:v>40.315411398836822</c:v>
                </c:pt>
                <c:pt idx="12">
                  <c:v>37.867353222657748</c:v>
                </c:pt>
                <c:pt idx="13">
                  <c:v>37.036870862381505</c:v>
                </c:pt>
                <c:pt idx="14">
                  <c:v>32.839557681476045</c:v>
                </c:pt>
                <c:pt idx="15">
                  <c:v>32.77720424249646</c:v>
                </c:pt>
                <c:pt idx="16">
                  <c:v>32.77720424249646</c:v>
                </c:pt>
                <c:pt idx="17">
                  <c:v>32.464565198214082</c:v>
                </c:pt>
                <c:pt idx="18">
                  <c:v>32.256556494615253</c:v>
                </c:pt>
                <c:pt idx="19">
                  <c:v>31.904008808618663</c:v>
                </c:pt>
                <c:pt idx="20">
                  <c:v>30.934109510965193</c:v>
                </c:pt>
                <c:pt idx="21">
                  <c:v>30.46568350788646</c:v>
                </c:pt>
                <c:pt idx="22">
                  <c:v>28.902346535161719</c:v>
                </c:pt>
                <c:pt idx="23">
                  <c:v>27.642956018568306</c:v>
                </c:pt>
                <c:pt idx="24">
                  <c:v>27.433199979305854</c:v>
                </c:pt>
                <c:pt idx="25">
                  <c:v>24.292205888579247</c:v>
                </c:pt>
                <c:pt idx="26">
                  <c:v>20.885408122452084</c:v>
                </c:pt>
                <c:pt idx="27">
                  <c:v>10.543649157690581</c:v>
                </c:pt>
              </c:numCache>
            </c:numRef>
          </c:yVal>
          <c:smooth val="0"/>
          <c:extLst>
            <c:ext xmlns:c15="http://schemas.microsoft.com/office/drawing/2012/chart" uri="{02D57815-91ED-43cb-92C2-25804820EDAC}">
              <c15:datalabelsRange>
                <c15:f>'Norex L - Max. Panel Length'!$C$280:$C$307</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5E8F-46E6-B0B1-20400C82E075}"/>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dLbls>
            <c:delete val="1"/>
          </c:dLbls>
          <c:trendline>
            <c:spPr>
              <a:ln w="19050" cap="rnd">
                <a:solidFill>
                  <a:srgbClr val="92D050"/>
                </a:solidFill>
                <a:prstDash val="sysDot"/>
              </a:ln>
              <a:effectLst/>
            </c:spPr>
            <c:trendlineType val="linear"/>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20-5E8F-46E6-B0B1-20400C82E075}"/>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dLbls>
            <c:delete val="1"/>
          </c:dLbls>
          <c:trendline>
            <c:spPr>
              <a:ln w="19050" cap="rnd">
                <a:solidFill>
                  <a:schemeClr val="accent4"/>
                </a:solidFill>
                <a:prstDash val="sysDot"/>
              </a:ln>
              <a:effectLst/>
            </c:spPr>
            <c:trendlineType val="linear"/>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22-5E8F-46E6-B0B1-20400C82E075}"/>
            </c:ext>
          </c:extLst>
        </c:ser>
        <c:dLbls>
          <c:dLblPos val="r"/>
          <c:showLegendKey val="0"/>
          <c:showVal val="1"/>
          <c:showCatName val="0"/>
          <c:showSerName val="0"/>
          <c:showPercent val="0"/>
          <c:showBubbleSize val="0"/>
        </c:dLbls>
        <c:axId val="1035718495"/>
        <c:axId val="1035723775"/>
      </c:scatterChart>
      <c:valAx>
        <c:axId val="1035718495"/>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5723775"/>
        <c:crosses val="autoZero"/>
        <c:crossBetween val="midCat"/>
      </c:valAx>
      <c:valAx>
        <c:axId val="1035723775"/>
        <c:scaling>
          <c:orientation val="minMax"/>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5718495"/>
        <c:crosses val="autoZero"/>
        <c:crossBetween val="midCat"/>
      </c:valAx>
      <c:spPr>
        <a:noFill/>
        <a:ln>
          <a:noFill/>
        </a:ln>
        <a:effectLst/>
      </c:spPr>
    </c:plotArea>
    <c:legend>
      <c:legendPos val="r"/>
      <c:layout>
        <c:manualLayout>
          <c:xMode val="edge"/>
          <c:yMode val="edge"/>
          <c:x val="6.5249427682908756E-2"/>
          <c:y val="0.77863137619670497"/>
          <c:w val="0.49131148961037618"/>
          <c:h val="0.12833644456100837"/>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(Microribbed Smooth 26ga)</a:t>
            </a:r>
            <a:endParaRPr lang="fr-CA" sz="18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L - Max. Panel Length'!$L$279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92D050"/>
                </a:solidFill>
                <a:prstDash val="solid"/>
              </a:ln>
              <a:effectLst/>
            </c:spPr>
            <c:trendlineType val="poly"/>
            <c:order val="2"/>
            <c:dispRSqr val="1"/>
            <c:dispEq val="1"/>
            <c:trendlineLbl>
              <c:layout>
                <c:manualLayout>
                  <c:x val="0.27635746794215255"/>
                  <c:y val="-9.4817584363089819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Length'!$E$280:$E$307</c:f>
            </c:strRef>
          </c:xVal>
          <c:yVal>
            <c:numRef>
              <c:f>'Norex L - Max. Panel Length'!$L$281:$L$307</c:f>
              <c:numCache>
                <c:formatCode>General</c:formatCode>
                <c:ptCount val="27"/>
                <c:pt idx="0">
                  <c:v>52.25</c:v>
                </c:pt>
                <c:pt idx="6">
                  <c:v>46</c:v>
                </c:pt>
                <c:pt idx="18">
                  <c:v>28</c:v>
                </c:pt>
                <c:pt idx="20">
                  <c:v>27</c:v>
                </c:pt>
              </c:numCache>
            </c:numRef>
          </c:yVal>
          <c:smooth val="0"/>
          <c:extLst>
            <c:ext xmlns:c16="http://schemas.microsoft.com/office/drawing/2014/chart" uri="{C3380CC4-5D6E-409C-BE32-E72D297353CC}">
              <c16:uniqueId val="{00000001-62A6-4BBC-8DD2-ABEA1EA722D6}"/>
            </c:ext>
          </c:extLst>
        </c:ser>
        <c:ser>
          <c:idx val="1"/>
          <c:order val="1"/>
          <c:tx>
            <c:strRef>
              <c:f>'Norex L - Max. Panel Length'!$M$279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2.2813089578095157E-2"/>
                  <c:y val="-0.13548648640410635"/>
                </c:manualLayout>
              </c:layout>
              <c:tx>
                <c:rich>
                  <a:bodyPr/>
                  <a:lstStyle/>
                  <a:p>
                    <a:fld id="{C000A8EB-E1A7-47A4-A04E-2009A85A19E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2A6-4BBC-8DD2-ABEA1EA722D6}"/>
                </c:ext>
              </c:extLst>
            </c:dLbl>
            <c:dLbl>
              <c:idx val="1"/>
              <c:layout>
                <c:manualLayout>
                  <c:x val="4.831007204773103E-2"/>
                  <c:y val="-9.6776061717218864E-2"/>
                </c:manualLayout>
              </c:layout>
              <c:tx>
                <c:rich>
                  <a:bodyPr/>
                  <a:lstStyle/>
                  <a:p>
                    <a:fld id="{18EB0F30-9A0E-4C85-AF23-B561BD37432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2A6-4BBC-8DD2-ABEA1EA722D6}"/>
                </c:ext>
              </c:extLst>
            </c:dLbl>
            <c:dLbl>
              <c:idx val="2"/>
              <c:layout>
                <c:manualLayout>
                  <c:x val="0.166401359275518"/>
                  <c:y val="-0.10451814665459637"/>
                </c:manualLayout>
              </c:layout>
              <c:tx>
                <c:rich>
                  <a:bodyPr/>
                  <a:lstStyle/>
                  <a:p>
                    <a:fld id="{861393D0-2A21-45B3-8D70-44676424740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2A6-4BBC-8DD2-ABEA1EA722D6}"/>
                </c:ext>
              </c:extLst>
            </c:dLbl>
            <c:dLbl>
              <c:idx val="3"/>
              <c:tx>
                <c:rich>
                  <a:bodyPr/>
                  <a:lstStyle/>
                  <a:p>
                    <a:fld id="{5D4E1F16-2F63-4328-8A5B-44D9AD4F42BF}"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A6-4BBC-8DD2-ABEA1EA722D6}"/>
                </c:ext>
              </c:extLst>
            </c:dLbl>
            <c:dLbl>
              <c:idx val="4"/>
              <c:layout>
                <c:manualLayout>
                  <c:x val="0.17042719861282896"/>
                  <c:y val="-6.1936679499020049E-2"/>
                </c:manualLayout>
              </c:layout>
              <c:tx>
                <c:rich>
                  <a:bodyPr/>
                  <a:lstStyle/>
                  <a:p>
                    <a:fld id="{695CD9C6-944E-427B-A119-1A58A2FB139B}"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2A6-4BBC-8DD2-ABEA1EA722D6}"/>
                </c:ext>
              </c:extLst>
            </c:dLbl>
            <c:dLbl>
              <c:idx val="5"/>
              <c:tx>
                <c:rich>
                  <a:bodyPr/>
                  <a:lstStyle/>
                  <a:p>
                    <a:fld id="{54EC3A47-AE6A-4A89-9ABF-F327FA3D5377}"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A6-4BBC-8DD2-ABEA1EA722D6}"/>
                </c:ext>
              </c:extLst>
            </c:dLbl>
            <c:dLbl>
              <c:idx val="6"/>
              <c:layout>
                <c:manualLayout>
                  <c:x val="0.13419464457703062"/>
                  <c:y val="-4.8388030858609411E-2"/>
                </c:manualLayout>
              </c:layout>
              <c:tx>
                <c:rich>
                  <a:bodyPr/>
                  <a:lstStyle/>
                  <a:p>
                    <a:fld id="{302A8DC9-717A-4E0A-BF8B-6E6935BE53E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2A6-4BBC-8DD2-ABEA1EA722D6}"/>
                </c:ext>
              </c:extLst>
            </c:dLbl>
            <c:dLbl>
              <c:idx val="7"/>
              <c:layout>
                <c:manualLayout>
                  <c:x val="0.10198792987854328"/>
                  <c:y val="-1.5484169874755083E-2"/>
                </c:manualLayout>
              </c:layout>
              <c:tx>
                <c:rich>
                  <a:bodyPr/>
                  <a:lstStyle/>
                  <a:p>
                    <a:fld id="{7DA5511C-1A9F-4568-A603-367391D47C7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2A6-4BBC-8DD2-ABEA1EA722D6}"/>
                </c:ext>
              </c:extLst>
            </c:dLbl>
            <c:dLbl>
              <c:idx val="8"/>
              <c:tx>
                <c:rich>
                  <a:bodyPr/>
                  <a:lstStyle/>
                  <a:p>
                    <a:fld id="{07B1D4B3-74CD-459B-831B-DEDD525046DD}"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A6-4BBC-8DD2-ABEA1EA722D6}"/>
                </c:ext>
              </c:extLst>
            </c:dLbl>
            <c:dLbl>
              <c:idx val="9"/>
              <c:tx>
                <c:rich>
                  <a:bodyPr/>
                  <a:lstStyle/>
                  <a:p>
                    <a:fld id="{341207C8-102E-434F-9194-44A2C029EC0D}"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2A6-4BBC-8DD2-ABEA1EA722D6}"/>
                </c:ext>
              </c:extLst>
            </c:dLbl>
            <c:dLbl>
              <c:idx val="10"/>
              <c:tx>
                <c:rich>
                  <a:bodyPr/>
                  <a:lstStyle/>
                  <a:p>
                    <a:fld id="{54B6905F-5FFD-4AC2-92D0-A34EB8B2638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2A6-4BBC-8DD2-ABEA1EA722D6}"/>
                </c:ext>
              </c:extLst>
            </c:dLbl>
            <c:dLbl>
              <c:idx val="11"/>
              <c:tx>
                <c:rich>
                  <a:bodyPr/>
                  <a:lstStyle/>
                  <a:p>
                    <a:fld id="{5C73C9D4-B3C3-4EA9-8BF5-B8EA3FC929E6}"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2A6-4BBC-8DD2-ABEA1EA722D6}"/>
                </c:ext>
              </c:extLst>
            </c:dLbl>
            <c:dLbl>
              <c:idx val="12"/>
              <c:tx>
                <c:rich>
                  <a:bodyPr/>
                  <a:lstStyle/>
                  <a:p>
                    <a:fld id="{33539731-D274-46B7-B1C3-DAB430AB8B0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2A6-4BBC-8DD2-ABEA1EA722D6}"/>
                </c:ext>
              </c:extLst>
            </c:dLbl>
            <c:dLbl>
              <c:idx val="13"/>
              <c:tx>
                <c:rich>
                  <a:bodyPr/>
                  <a:lstStyle/>
                  <a:p>
                    <a:fld id="{D6B1746B-6367-423C-B4B4-2ACBC4AE9EC6}"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2A6-4BBC-8DD2-ABEA1EA722D6}"/>
                </c:ext>
              </c:extLst>
            </c:dLbl>
            <c:dLbl>
              <c:idx val="14"/>
              <c:tx>
                <c:rich>
                  <a:bodyPr/>
                  <a:lstStyle/>
                  <a:p>
                    <a:fld id="{2547F56A-3C2F-4BD5-961F-23911FC1707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2A6-4BBC-8DD2-ABEA1EA722D6}"/>
                </c:ext>
              </c:extLst>
            </c:dLbl>
            <c:dLbl>
              <c:idx val="15"/>
              <c:tx>
                <c:rich>
                  <a:bodyPr/>
                  <a:lstStyle/>
                  <a:p>
                    <a:fld id="{C07D67AE-562C-4B70-946E-6D6CAD6E4BD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2A6-4BBC-8DD2-ABEA1EA722D6}"/>
                </c:ext>
              </c:extLst>
            </c:dLbl>
            <c:dLbl>
              <c:idx val="16"/>
              <c:tx>
                <c:rich>
                  <a:bodyPr/>
                  <a:lstStyle/>
                  <a:p>
                    <a:fld id="{B17A18C1-B71F-4E51-9E65-9A843CF6639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2A6-4BBC-8DD2-ABEA1EA722D6}"/>
                </c:ext>
              </c:extLst>
            </c:dLbl>
            <c:dLbl>
              <c:idx val="17"/>
              <c:tx>
                <c:rich>
                  <a:bodyPr/>
                  <a:lstStyle/>
                  <a:p>
                    <a:fld id="{AD54DF95-6C67-4DBC-AB19-4DB3822ECAE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2A6-4BBC-8DD2-ABEA1EA722D6}"/>
                </c:ext>
              </c:extLst>
            </c:dLbl>
            <c:dLbl>
              <c:idx val="18"/>
              <c:tx>
                <c:rich>
                  <a:bodyPr/>
                  <a:lstStyle/>
                  <a:p>
                    <a:fld id="{636B64FB-3FF8-41BC-9725-1DF47CC4BDB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2A6-4BBC-8DD2-ABEA1EA722D6}"/>
                </c:ext>
              </c:extLst>
            </c:dLbl>
            <c:dLbl>
              <c:idx val="19"/>
              <c:layout>
                <c:manualLayout>
                  <c:x val="0.11003960855316502"/>
                  <c:y val="-4.0645945921231975E-2"/>
                </c:manualLayout>
              </c:layout>
              <c:tx>
                <c:rich>
                  <a:bodyPr/>
                  <a:lstStyle/>
                  <a:p>
                    <a:fld id="{8AC7CC6F-B4BB-448B-A1B3-0BF908FC8AF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62A6-4BBC-8DD2-ABEA1EA722D6}"/>
                </c:ext>
              </c:extLst>
            </c:dLbl>
            <c:dLbl>
              <c:idx val="20"/>
              <c:tx>
                <c:rich>
                  <a:bodyPr/>
                  <a:lstStyle/>
                  <a:p>
                    <a:fld id="{B0B15605-C906-4363-91E0-FDE446BA49CF}"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2A6-4BBC-8DD2-ABEA1EA722D6}"/>
                </c:ext>
              </c:extLst>
            </c:dLbl>
            <c:dLbl>
              <c:idx val="21"/>
              <c:layout>
                <c:manualLayout>
                  <c:x val="8.8568465420840223E-2"/>
                  <c:y val="-1.7419691109099387E-2"/>
                </c:manualLayout>
              </c:layout>
              <c:tx>
                <c:rich>
                  <a:bodyPr/>
                  <a:lstStyle/>
                  <a:p>
                    <a:fld id="{A4C4D86A-371A-498A-B5AE-749D09C0499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62A6-4BBC-8DD2-ABEA1EA722D6}"/>
                </c:ext>
              </c:extLst>
            </c:dLbl>
            <c:dLbl>
              <c:idx val="22"/>
              <c:tx>
                <c:rich>
                  <a:bodyPr/>
                  <a:lstStyle/>
                  <a:p>
                    <a:fld id="{089869E7-B113-4E24-9667-D768458F94C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2A6-4BBC-8DD2-ABEA1EA722D6}"/>
                </c:ext>
              </c:extLst>
            </c:dLbl>
            <c:dLbl>
              <c:idx val="23"/>
              <c:tx>
                <c:rich>
                  <a:bodyPr/>
                  <a:lstStyle/>
                  <a:p>
                    <a:fld id="{B40D4F74-9D94-4EF0-9FA2-AEAE8188F52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2A6-4BBC-8DD2-ABEA1EA722D6}"/>
                </c:ext>
              </c:extLst>
            </c:dLbl>
            <c:dLbl>
              <c:idx val="24"/>
              <c:tx>
                <c:rich>
                  <a:bodyPr/>
                  <a:lstStyle/>
                  <a:p>
                    <a:fld id="{F3BAC2DE-97FB-41AB-AA21-02444CE7332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2A6-4BBC-8DD2-ABEA1EA722D6}"/>
                </c:ext>
              </c:extLst>
            </c:dLbl>
            <c:dLbl>
              <c:idx val="25"/>
              <c:tx>
                <c:rich>
                  <a:bodyPr/>
                  <a:lstStyle/>
                  <a:p>
                    <a:fld id="{385D0D3B-C972-4AEC-A367-BA85392D18D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2A6-4BBC-8DD2-ABEA1EA722D6}"/>
                </c:ext>
              </c:extLst>
            </c:dLbl>
            <c:dLbl>
              <c:idx val="26"/>
              <c:tx>
                <c:rich>
                  <a:bodyPr/>
                  <a:lstStyle/>
                  <a:p>
                    <a:fld id="{CADE003B-2347-4BC7-8574-4B75AAD37877}"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2A6-4BBC-8DD2-ABEA1EA722D6}"/>
                </c:ext>
              </c:extLst>
            </c:dLbl>
            <c:dLbl>
              <c:idx val="27"/>
              <c:tx>
                <c:rich>
                  <a:bodyPr/>
                  <a:lstStyle/>
                  <a:p>
                    <a:fld id="{01C6FF9A-9E92-4CA6-AF9A-2544C8908C0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2A6-4BBC-8DD2-ABEA1EA722D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Length'!$E$280:$E$307</c:f>
            </c:strRef>
          </c:xVal>
          <c:yVal>
            <c:numRef>
              <c:f>'Norex L - Max. Panel Length'!$M$280:$M$307</c:f>
              <c:numCache>
                <c:formatCode>0.00</c:formatCode>
                <c:ptCount val="28"/>
                <c:pt idx="0">
                  <c:v>52.377115162879065</c:v>
                </c:pt>
                <c:pt idx="1">
                  <c:v>52.319324803519677</c:v>
                </c:pt>
                <c:pt idx="2">
                  <c:v>50.098406406870524</c:v>
                </c:pt>
                <c:pt idx="3">
                  <c:v>49.951847025660285</c:v>
                </c:pt>
                <c:pt idx="4">
                  <c:v>49.185543783010345</c:v>
                </c:pt>
                <c:pt idx="5">
                  <c:v>48.187356241736566</c:v>
                </c:pt>
                <c:pt idx="6">
                  <c:v>46.092020975402207</c:v>
                </c:pt>
                <c:pt idx="7">
                  <c:v>42.852959203964403</c:v>
                </c:pt>
                <c:pt idx="8">
                  <c:v>42.356378552429206</c:v>
                </c:pt>
                <c:pt idx="9">
                  <c:v>42.143745283618657</c:v>
                </c:pt>
                <c:pt idx="10">
                  <c:v>37.56552212749331</c:v>
                </c:pt>
                <c:pt idx="11">
                  <c:v>37.464496243865526</c:v>
                </c:pt>
                <c:pt idx="12">
                  <c:v>34.855441045430197</c:v>
                </c:pt>
                <c:pt idx="13">
                  <c:v>33.946300933397268</c:v>
                </c:pt>
                <c:pt idx="14">
                  <c:v>29.180611691544257</c:v>
                </c:pt>
                <c:pt idx="15">
                  <c:v>29.107783742443658</c:v>
                </c:pt>
                <c:pt idx="16">
                  <c:v>29.107783742443658</c:v>
                </c:pt>
                <c:pt idx="17">
                  <c:v>28.741773048123108</c:v>
                </c:pt>
                <c:pt idx="18">
                  <c:v>28.497471685778592</c:v>
                </c:pt>
                <c:pt idx="19">
                  <c:v>28.081997272944321</c:v>
                </c:pt>
                <c:pt idx="20">
                  <c:v>26.929937868398625</c:v>
                </c:pt>
                <c:pt idx="21">
                  <c:v>26.368872692300371</c:v>
                </c:pt>
                <c:pt idx="22">
                  <c:v>24.475035970604111</c:v>
                </c:pt>
                <c:pt idx="23">
                  <c:v>22.9263020483953</c:v>
                </c:pt>
                <c:pt idx="24">
                  <c:v>22.666410895491211</c:v>
                </c:pt>
                <c:pt idx="25">
                  <c:v>18.711099737371896</c:v>
                </c:pt>
                <c:pt idx="26">
                  <c:v>14.29434195856139</c:v>
                </c:pt>
                <c:pt idx="27">
                  <c:v>0.18539135826328845</c:v>
                </c:pt>
              </c:numCache>
            </c:numRef>
          </c:yVal>
          <c:smooth val="0"/>
          <c:extLst>
            <c:ext xmlns:c15="http://schemas.microsoft.com/office/drawing/2012/chart" uri="{02D57815-91ED-43cb-92C2-25804820EDAC}">
              <c15:datalabelsRange>
                <c15:f>'Norex L - Max. Panel Length'!$C$280:$C$307</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62A6-4BBC-8DD2-ABEA1EA722D6}"/>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20-62A6-4BBC-8DD2-ABEA1EA722D6}"/>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22-62A6-4BBC-8DD2-ABEA1EA722D6}"/>
            </c:ext>
          </c:extLst>
        </c:ser>
        <c:dLbls>
          <c:showLegendKey val="0"/>
          <c:showVal val="0"/>
          <c:showCatName val="0"/>
          <c:showSerName val="0"/>
          <c:showPercent val="0"/>
          <c:showBubbleSize val="0"/>
        </c:dLbls>
        <c:axId val="1919441247"/>
        <c:axId val="1919442207"/>
      </c:scatterChart>
      <c:valAx>
        <c:axId val="1919441247"/>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19442207"/>
        <c:crosses val="autoZero"/>
        <c:crossBetween val="midCat"/>
      </c:valAx>
      <c:valAx>
        <c:axId val="19194422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19441247"/>
        <c:crosses val="autoZero"/>
        <c:crossBetween val="midCat"/>
      </c:valAx>
      <c:spPr>
        <a:noFill/>
        <a:ln>
          <a:noFill/>
        </a:ln>
        <a:effectLst/>
      </c:spPr>
    </c:plotArea>
    <c:legend>
      <c:legendPos val="r"/>
      <c:layout>
        <c:manualLayout>
          <c:xMode val="edge"/>
          <c:yMode val="edge"/>
          <c:x val="8.7241292283390129E-2"/>
          <c:y val="0.79153996048391684"/>
          <c:w val="0.50386688383119727"/>
          <c:h val="0.146937614594583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(Microribbed Embossed 26ga)</a:t>
            </a:r>
            <a:endParaRPr lang="fr-CA" sz="18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L - Max. Panel Length'!$O$279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92D050"/>
                </a:solidFill>
                <a:prstDash val="sysDash"/>
              </a:ln>
              <a:effectLst/>
            </c:spPr>
            <c:trendlineType val="poly"/>
            <c:order val="2"/>
            <c:dispRSqr val="1"/>
            <c:dispEq val="1"/>
            <c:trendlineLbl>
              <c:layout>
                <c:manualLayout>
                  <c:x val="0.28133809963272055"/>
                  <c:y val="-9.6556135288522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Length'!$E$280:$E$307</c:f>
            </c:strRef>
          </c:xVal>
          <c:yVal>
            <c:numRef>
              <c:f>'Norex L - Max. Panel Length'!$O$281:$O$307</c:f>
              <c:numCache>
                <c:formatCode>General</c:formatCode>
                <c:ptCount val="27"/>
                <c:pt idx="0">
                  <c:v>52.25</c:v>
                </c:pt>
                <c:pt idx="6">
                  <c:v>46</c:v>
                </c:pt>
                <c:pt idx="18">
                  <c:v>29</c:v>
                </c:pt>
                <c:pt idx="20">
                  <c:v>28</c:v>
                </c:pt>
              </c:numCache>
            </c:numRef>
          </c:yVal>
          <c:smooth val="0"/>
          <c:extLst>
            <c:ext xmlns:c16="http://schemas.microsoft.com/office/drawing/2014/chart" uri="{C3380CC4-5D6E-409C-BE32-E72D297353CC}">
              <c16:uniqueId val="{00000001-6190-4EB4-B436-480963FBCB1B}"/>
            </c:ext>
          </c:extLst>
        </c:ser>
        <c:ser>
          <c:idx val="1"/>
          <c:order val="1"/>
          <c:tx>
            <c:strRef>
              <c:f>'Norex L - Max. Panel Length'!$P$279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3.7360616789026593E-2"/>
                  <c:y val="-0.13806438237510249"/>
                </c:manualLayout>
              </c:layout>
              <c:tx>
                <c:rich>
                  <a:bodyPr/>
                  <a:lstStyle/>
                  <a:p>
                    <a:fld id="{DFDBDF2A-2B80-484E-8062-9D215530280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190-4EB4-B436-480963FBCB1B}"/>
                </c:ext>
              </c:extLst>
            </c:dLbl>
            <c:dLbl>
              <c:idx val="1"/>
              <c:layout>
                <c:manualLayout>
                  <c:x val="4.1511796432251745E-2"/>
                  <c:y val="-9.9173007058172225E-2"/>
                </c:manualLayout>
              </c:layout>
              <c:tx>
                <c:rich>
                  <a:bodyPr/>
                  <a:lstStyle/>
                  <a:p>
                    <a:fld id="{3B1370D7-DD6B-413E-8014-B3D01E601F7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190-4EB4-B436-480963FBCB1B}"/>
                </c:ext>
              </c:extLst>
            </c:dLbl>
            <c:dLbl>
              <c:idx val="2"/>
              <c:layout>
                <c:manualLayout>
                  <c:x val="5.534906190966897E-2"/>
                  <c:y val="-9.1394731994786108E-2"/>
                </c:manualLayout>
              </c:layout>
              <c:tx>
                <c:rich>
                  <a:bodyPr/>
                  <a:lstStyle/>
                  <a:p>
                    <a:fld id="{C6722558-2138-4E41-B8BF-0B5F17E3E0A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190-4EB4-B436-480963FBCB1B}"/>
                </c:ext>
              </c:extLst>
            </c:dLbl>
            <c:dLbl>
              <c:idx val="3"/>
              <c:tx>
                <c:rich>
                  <a:bodyPr/>
                  <a:lstStyle/>
                  <a:p>
                    <a:fld id="{1E80BB75-C7C0-4AFD-A28C-8AA0C52F953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190-4EB4-B436-480963FBCB1B}"/>
                </c:ext>
              </c:extLst>
            </c:dLbl>
            <c:dLbl>
              <c:idx val="4"/>
              <c:layout>
                <c:manualLayout>
                  <c:x val="7.8872413221278359E-2"/>
                  <c:y val="-3.5002237785237235E-2"/>
                </c:manualLayout>
              </c:layout>
              <c:tx>
                <c:rich>
                  <a:bodyPr/>
                  <a:lstStyle/>
                  <a:p>
                    <a:fld id="{B7A52480-4BE0-4CA5-9961-D700C4B7E6B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190-4EB4-B436-480963FBCB1B}"/>
                </c:ext>
              </c:extLst>
            </c:dLbl>
            <c:dLbl>
              <c:idx val="5"/>
              <c:tx>
                <c:rich>
                  <a:bodyPr/>
                  <a:lstStyle/>
                  <a:p>
                    <a:fld id="{CBDA20F7-3771-4BB7-BB7B-FCE3CD0248F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190-4EB4-B436-480963FBCB1B}"/>
                </c:ext>
              </c:extLst>
            </c:dLbl>
            <c:dLbl>
              <c:idx val="6"/>
              <c:layout>
                <c:manualLayout>
                  <c:x val="0.16604718572900698"/>
                  <c:y val="-3.5002237785237235E-2"/>
                </c:manualLayout>
              </c:layout>
              <c:tx>
                <c:rich>
                  <a:bodyPr/>
                  <a:lstStyle/>
                  <a:p>
                    <a:fld id="{D46E058F-8C50-4219-A436-9BCC182132AB}"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190-4EB4-B436-480963FBCB1B}"/>
                </c:ext>
              </c:extLst>
            </c:dLbl>
            <c:dLbl>
              <c:idx val="7"/>
              <c:layout>
                <c:manualLayout>
                  <c:x val="0.10377949108062942"/>
                  <c:y val="-2.9168531487697765E-2"/>
                </c:manualLayout>
              </c:layout>
              <c:tx>
                <c:rich>
                  <a:bodyPr/>
                  <a:lstStyle/>
                  <a:p>
                    <a:fld id="{6F7E6285-7D85-4EA0-97C6-C71FEB7200D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190-4EB4-B436-480963FBCB1B}"/>
                </c:ext>
              </c:extLst>
            </c:dLbl>
            <c:dLbl>
              <c:idx val="8"/>
              <c:tx>
                <c:rich>
                  <a:bodyPr/>
                  <a:lstStyle/>
                  <a:p>
                    <a:fld id="{7760C51F-70E6-4197-ACA9-7C07E83D1BB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190-4EB4-B436-480963FBCB1B}"/>
                </c:ext>
              </c:extLst>
            </c:dLbl>
            <c:dLbl>
              <c:idx val="9"/>
              <c:tx>
                <c:rich>
                  <a:bodyPr/>
                  <a:lstStyle/>
                  <a:p>
                    <a:fld id="{4F52F04C-953B-4CB4-ABB2-09B39EF0578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190-4EB4-B436-480963FBCB1B}"/>
                </c:ext>
              </c:extLst>
            </c:dLbl>
            <c:dLbl>
              <c:idx val="10"/>
              <c:tx>
                <c:rich>
                  <a:bodyPr/>
                  <a:lstStyle/>
                  <a:p>
                    <a:fld id="{C6D87C32-A5E5-45DE-B5AC-3C3992D0E6D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190-4EB4-B436-480963FBCB1B}"/>
                </c:ext>
              </c:extLst>
            </c:dLbl>
            <c:dLbl>
              <c:idx val="11"/>
              <c:tx>
                <c:rich>
                  <a:bodyPr/>
                  <a:lstStyle/>
                  <a:p>
                    <a:fld id="{3BEDE107-69E7-48E9-9020-835C38ECC53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190-4EB4-B436-480963FBCB1B}"/>
                </c:ext>
              </c:extLst>
            </c:dLbl>
            <c:dLbl>
              <c:idx val="12"/>
              <c:tx>
                <c:rich>
                  <a:bodyPr/>
                  <a:lstStyle/>
                  <a:p>
                    <a:fld id="{FE56640A-ABC7-4C60-9AD9-54AF1618BB7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190-4EB4-B436-480963FBCB1B}"/>
                </c:ext>
              </c:extLst>
            </c:dLbl>
            <c:dLbl>
              <c:idx val="13"/>
              <c:tx>
                <c:rich>
                  <a:bodyPr/>
                  <a:lstStyle/>
                  <a:p>
                    <a:fld id="{E5D33FD7-23E8-489D-B479-B0F2B1CB07F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190-4EB4-B436-480963FBCB1B}"/>
                </c:ext>
              </c:extLst>
            </c:dLbl>
            <c:dLbl>
              <c:idx val="14"/>
              <c:tx>
                <c:rich>
                  <a:bodyPr/>
                  <a:lstStyle/>
                  <a:p>
                    <a:fld id="{F1442D89-8B92-4381-B366-802E1E920787}"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190-4EB4-B436-480963FBCB1B}"/>
                </c:ext>
              </c:extLst>
            </c:dLbl>
            <c:dLbl>
              <c:idx val="15"/>
              <c:tx>
                <c:rich>
                  <a:bodyPr/>
                  <a:lstStyle/>
                  <a:p>
                    <a:fld id="{8BEDCAC5-C7FA-4719-87B2-172056BC09A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190-4EB4-B436-480963FBCB1B}"/>
                </c:ext>
              </c:extLst>
            </c:dLbl>
            <c:dLbl>
              <c:idx val="16"/>
              <c:tx>
                <c:rich>
                  <a:bodyPr/>
                  <a:lstStyle/>
                  <a:p>
                    <a:fld id="{DAC097A8-F023-4448-B73E-C60B907BEFE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190-4EB4-B436-480963FBCB1B}"/>
                </c:ext>
              </c:extLst>
            </c:dLbl>
            <c:dLbl>
              <c:idx val="17"/>
              <c:tx>
                <c:rich>
                  <a:bodyPr/>
                  <a:lstStyle/>
                  <a:p>
                    <a:fld id="{DF2686DA-C470-4183-A0C4-9009981AF4F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190-4EB4-B436-480963FBCB1B}"/>
                </c:ext>
              </c:extLst>
            </c:dLbl>
            <c:dLbl>
              <c:idx val="18"/>
              <c:tx>
                <c:rich>
                  <a:bodyPr/>
                  <a:lstStyle/>
                  <a:p>
                    <a:fld id="{A7430D6A-1C07-49B7-900C-63E65680340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190-4EB4-B436-480963FBCB1B}"/>
                </c:ext>
              </c:extLst>
            </c:dLbl>
            <c:dLbl>
              <c:idx val="19"/>
              <c:layout>
                <c:manualLayout>
                  <c:x val="2.0755898216125782E-2"/>
                  <c:y val="-4.2780512848623352E-2"/>
                </c:manualLayout>
              </c:layout>
              <c:tx>
                <c:rich>
                  <a:bodyPr/>
                  <a:lstStyle/>
                  <a:p>
                    <a:fld id="{88F88C2E-3B08-4CA3-9C89-4B44C89D29B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6190-4EB4-B436-480963FBCB1B}"/>
                </c:ext>
              </c:extLst>
            </c:dLbl>
            <c:dLbl>
              <c:idx val="20"/>
              <c:tx>
                <c:rich>
                  <a:bodyPr/>
                  <a:lstStyle/>
                  <a:p>
                    <a:fld id="{CFDB7952-9CB2-4862-8158-BD4D106ADC5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190-4EB4-B436-480963FBCB1B}"/>
                </c:ext>
              </c:extLst>
            </c:dLbl>
            <c:dLbl>
              <c:idx val="21"/>
              <c:layout>
                <c:manualLayout>
                  <c:x val="2.6290804407092788E-2"/>
                  <c:y val="-2.722396272185118E-2"/>
                </c:manualLayout>
              </c:layout>
              <c:tx>
                <c:rich>
                  <a:bodyPr/>
                  <a:lstStyle/>
                  <a:p>
                    <a:fld id="{F3C682C2-463F-4164-BA39-C5355362123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6190-4EB4-B436-480963FBCB1B}"/>
                </c:ext>
              </c:extLst>
            </c:dLbl>
            <c:dLbl>
              <c:idx val="22"/>
              <c:tx>
                <c:rich>
                  <a:bodyPr/>
                  <a:lstStyle/>
                  <a:p>
                    <a:fld id="{5C7028A7-413C-4C71-BC10-31BEBAD38CE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190-4EB4-B436-480963FBCB1B}"/>
                </c:ext>
              </c:extLst>
            </c:dLbl>
            <c:dLbl>
              <c:idx val="23"/>
              <c:tx>
                <c:rich>
                  <a:bodyPr/>
                  <a:lstStyle/>
                  <a:p>
                    <a:fld id="{B381C2A6-B0F3-429C-907F-C35189378B5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190-4EB4-B436-480963FBCB1B}"/>
                </c:ext>
              </c:extLst>
            </c:dLbl>
            <c:dLbl>
              <c:idx val="24"/>
              <c:tx>
                <c:rich>
                  <a:bodyPr/>
                  <a:lstStyle/>
                  <a:p>
                    <a:fld id="{FBB285C6-D64D-463C-B72A-53D09532630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190-4EB4-B436-480963FBCB1B}"/>
                </c:ext>
              </c:extLst>
            </c:dLbl>
            <c:dLbl>
              <c:idx val="25"/>
              <c:tx>
                <c:rich>
                  <a:bodyPr/>
                  <a:lstStyle/>
                  <a:p>
                    <a:fld id="{86A0EF36-DDE1-4DA5-B5E2-E8D92537C90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190-4EB4-B436-480963FBCB1B}"/>
                </c:ext>
              </c:extLst>
            </c:dLbl>
            <c:dLbl>
              <c:idx val="26"/>
              <c:tx>
                <c:rich>
                  <a:bodyPr/>
                  <a:lstStyle/>
                  <a:p>
                    <a:fld id="{7FE70BB7-1961-4FB0-B8DD-69C24E2FC86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190-4EB4-B436-480963FBCB1B}"/>
                </c:ext>
              </c:extLst>
            </c:dLbl>
            <c:dLbl>
              <c:idx val="27"/>
              <c:tx>
                <c:rich>
                  <a:bodyPr/>
                  <a:lstStyle/>
                  <a:p>
                    <a:fld id="{1799D5C3-405A-43A4-9D6F-34C7B4AAD69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190-4EB4-B436-480963FBCB1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Length'!$E$280:$E$307</c:f>
            </c:strRef>
          </c:xVal>
          <c:yVal>
            <c:numRef>
              <c:f>'Norex L - Max. Panel Length'!$P$280:$P$307</c:f>
              <c:numCache>
                <c:formatCode>0.00</c:formatCode>
                <c:ptCount val="28"/>
                <c:pt idx="0">
                  <c:v>52.168231992147362</c:v>
                </c:pt>
                <c:pt idx="1">
                  <c:v>52.106554651238433</c:v>
                </c:pt>
                <c:pt idx="2">
                  <c:v>49.809665116812134</c:v>
                </c:pt>
                <c:pt idx="3">
                  <c:v>49.661489878267965</c:v>
                </c:pt>
                <c:pt idx="4">
                  <c:v>48.891212322634964</c:v>
                </c:pt>
                <c:pt idx="5">
                  <c:v>47.897194942602404</c:v>
                </c:pt>
                <c:pt idx="6">
                  <c:v>45.835668103531908</c:v>
                </c:pt>
                <c:pt idx="7">
                  <c:v>42.693431412390176</c:v>
                </c:pt>
                <c:pt idx="8">
                  <c:v>42.215167791687783</c:v>
                </c:pt>
                <c:pt idx="9">
                  <c:v>42.010612019364096</c:v>
                </c:pt>
                <c:pt idx="10">
                  <c:v>37.63434372708992</c:v>
                </c:pt>
                <c:pt idx="11">
                  <c:v>37.538284075610626</c:v>
                </c:pt>
                <c:pt idx="12">
                  <c:v>35.063554475943512</c:v>
                </c:pt>
                <c:pt idx="13">
                  <c:v>34.203710736261918</c:v>
                </c:pt>
                <c:pt idx="14">
                  <c:v>29.713656836041373</c:v>
                </c:pt>
                <c:pt idx="15">
                  <c:v>29.64523850905406</c:v>
                </c:pt>
                <c:pt idx="16">
                  <c:v>29.64523850905406</c:v>
                </c:pt>
                <c:pt idx="17">
                  <c:v>29.301469785746555</c:v>
                </c:pt>
                <c:pt idx="18">
                  <c:v>29.072088089179438</c:v>
                </c:pt>
                <c:pt idx="19">
                  <c:v>28.682120027548599</c:v>
                </c:pt>
                <c:pt idx="20">
                  <c:v>27.601633423194421</c:v>
                </c:pt>
                <c:pt idx="21">
                  <c:v>27.075858226305293</c:v>
                </c:pt>
                <c:pt idx="22">
                  <c:v>25.30310541661931</c:v>
                </c:pt>
                <c:pt idx="23">
                  <c:v>23.855495766059143</c:v>
                </c:pt>
                <c:pt idx="24">
                  <c:v>23.612748634679328</c:v>
                </c:pt>
                <c:pt idx="25">
                  <c:v>19.924017182412094</c:v>
                </c:pt>
                <c:pt idx="26">
                  <c:v>15.816048202379598</c:v>
                </c:pt>
                <c:pt idx="27">
                  <c:v>2.7532072363688727</c:v>
                </c:pt>
              </c:numCache>
            </c:numRef>
          </c:yVal>
          <c:smooth val="0"/>
          <c:extLst>
            <c:ext xmlns:c15="http://schemas.microsoft.com/office/drawing/2012/chart" uri="{02D57815-91ED-43cb-92C2-25804820EDAC}">
              <c15:datalabelsRange>
                <c15:f>'Norex L - Max. Panel Length'!$C$280:$C$307</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6190-4EB4-B436-480963FBCB1B}"/>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20-6190-4EB4-B436-480963FBCB1B}"/>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22-6190-4EB4-B436-480963FBCB1B}"/>
            </c:ext>
          </c:extLst>
        </c:ser>
        <c:dLbls>
          <c:showLegendKey val="0"/>
          <c:showVal val="0"/>
          <c:showCatName val="0"/>
          <c:showSerName val="0"/>
          <c:showPercent val="0"/>
          <c:showBubbleSize val="0"/>
        </c:dLbls>
        <c:axId val="1526394015"/>
        <c:axId val="1526398335"/>
      </c:scatterChart>
      <c:valAx>
        <c:axId val="1526394015"/>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26398335"/>
        <c:crosses val="autoZero"/>
        <c:crossBetween val="midCat"/>
      </c:valAx>
      <c:valAx>
        <c:axId val="1526398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26394015"/>
        <c:crosses val="autoZero"/>
        <c:crossBetween val="midCat"/>
      </c:valAx>
      <c:spPr>
        <a:noFill/>
        <a:ln>
          <a:noFill/>
        </a:ln>
        <a:effectLst/>
      </c:spPr>
    </c:plotArea>
    <c:legend>
      <c:legendPos val="r"/>
      <c:layout>
        <c:manualLayout>
          <c:xMode val="edge"/>
          <c:yMode val="edge"/>
          <c:x val="7.4897042787849769E-2"/>
          <c:y val="0.75437137796505471"/>
          <c:w val="0.7044168639056404"/>
          <c:h val="0.148947621128306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baseline="0"/>
              <a:t>Suggested Pannel Lengths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v>Silkline and Fluted Embossed 22ga</c:v>
          </c:tx>
          <c:spPr>
            <a:ln w="25400" cap="rnd">
              <a:noFill/>
              <a:round/>
            </a:ln>
            <a:effectLst/>
          </c:spPr>
          <c:marker>
            <c:symbol val="none"/>
          </c:marker>
          <c:trendline>
            <c:spPr>
              <a:ln w="25400" cap="rnd">
                <a:solidFill>
                  <a:srgbClr val="0070C0"/>
                </a:solidFill>
                <a:prstDash val="sysDash"/>
              </a:ln>
              <a:effectLst/>
            </c:spPr>
            <c:trendlineType val="poly"/>
            <c:order val="2"/>
            <c:backward val="5"/>
            <c:dispRSqr val="0"/>
            <c:dispEq val="0"/>
          </c:trendline>
          <c:xVal>
            <c:strRef>
              <c:f>'Norex L - Max. Panel Length'!$E$210:$E$237</c:f>
            </c:strRef>
          </c:xVal>
          <c:yVal>
            <c:numRef>
              <c:f>'Norex L - Max. Panel Length'!$I$210:$I$237</c:f>
              <c:numCache>
                <c:formatCode>General</c:formatCode>
                <c:ptCount val="28"/>
                <c:pt idx="0">
                  <c:v>65</c:v>
                </c:pt>
                <c:pt idx="1">
                  <c:v>65</c:v>
                </c:pt>
                <c:pt idx="9">
                  <c:v>46</c:v>
                </c:pt>
                <c:pt idx="19">
                  <c:v>42</c:v>
                </c:pt>
                <c:pt idx="20">
                  <c:v>41</c:v>
                </c:pt>
                <c:pt idx="21">
                  <c:v>41</c:v>
                </c:pt>
                <c:pt idx="23">
                  <c:v>41</c:v>
                </c:pt>
                <c:pt idx="26">
                  <c:v>31</c:v>
                </c:pt>
                <c:pt idx="27">
                  <c:v>28</c:v>
                </c:pt>
              </c:numCache>
            </c:numRef>
          </c:yVal>
          <c:smooth val="0"/>
          <c:extLst>
            <c:ext xmlns:c16="http://schemas.microsoft.com/office/drawing/2014/chart" uri="{C3380CC4-5D6E-409C-BE32-E72D297353CC}">
              <c16:uniqueId val="{00000001-452C-4791-A5D0-2AFFD07FB3B3}"/>
            </c:ext>
          </c:extLst>
        </c:ser>
        <c:ser>
          <c:idx val="2"/>
          <c:order val="1"/>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89E398"/>
                </a:solidFill>
                <a:prstDash val="sysDot"/>
              </a:ln>
              <a:effectLst/>
            </c:spPr>
            <c:trendlineType val="linear"/>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xmlns:c15="http://schemas.microsoft.com/office/drawing/2012/chart">
            <c:ext xmlns:c16="http://schemas.microsoft.com/office/drawing/2014/chart" uri="{C3380CC4-5D6E-409C-BE32-E72D297353CC}">
              <c16:uniqueId val="{00000003-452C-4791-A5D0-2AFFD07FB3B3}"/>
            </c:ext>
          </c:extLst>
        </c:ser>
        <c:ser>
          <c:idx val="3"/>
          <c:order val="2"/>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xmlns:c15="http://schemas.microsoft.com/office/drawing/2012/chart">
            <c:ext xmlns:c16="http://schemas.microsoft.com/office/drawing/2014/chart" uri="{C3380CC4-5D6E-409C-BE32-E72D297353CC}">
              <c16:uniqueId val="{00000005-452C-4791-A5D0-2AFFD07FB3B3}"/>
            </c:ext>
          </c:extLst>
        </c:ser>
        <c:ser>
          <c:idx val="1"/>
          <c:order val="3"/>
          <c:tx>
            <c:v>Silkine and Fluted Smooth 22ga</c:v>
          </c:tx>
          <c:spPr>
            <a:ln w="25400" cap="rnd">
              <a:noFill/>
              <a:round/>
            </a:ln>
            <a:effectLst/>
          </c:spPr>
          <c:marker>
            <c:symbol val="none"/>
          </c:marker>
          <c:trendline>
            <c:spPr>
              <a:ln w="25400" cap="rnd" cmpd="sng">
                <a:solidFill>
                  <a:srgbClr val="0070C0"/>
                </a:solidFill>
                <a:prstDash val="solid"/>
              </a:ln>
              <a:effectLst/>
            </c:spPr>
            <c:trendlineType val="poly"/>
            <c:order val="2"/>
            <c:dispRSqr val="0"/>
            <c:dispEq val="0"/>
          </c:trendline>
          <c:xVal>
            <c:strRef>
              <c:f>'Norex L - Max. Panel Length'!$E$210:$E$237</c:f>
            </c:strRef>
          </c:xVal>
          <c:yVal>
            <c:numRef>
              <c:f>'Norex L - Max. Panel Length'!$F$210:$F$237</c:f>
            </c:numRef>
          </c:yVal>
          <c:smooth val="0"/>
          <c:extLst>
            <c:ext xmlns:c16="http://schemas.microsoft.com/office/drawing/2014/chart" uri="{C3380CC4-5D6E-409C-BE32-E72D297353CC}">
              <c16:uniqueId val="{00000007-452C-4791-A5D0-2AFFD07FB3B3}"/>
            </c:ext>
          </c:extLst>
        </c:ser>
        <c:ser>
          <c:idx val="4"/>
          <c:order val="4"/>
          <c:tx>
            <c:v>Microribbed Smooth 22ga</c:v>
          </c:tx>
          <c:spPr>
            <a:ln w="25400" cap="rnd">
              <a:noFill/>
              <a:round/>
            </a:ln>
            <a:effectLst/>
          </c:spPr>
          <c:marker>
            <c:symbol val="none"/>
          </c:marker>
          <c:trendline>
            <c:spPr>
              <a:ln w="25400" cap="rnd">
                <a:solidFill>
                  <a:srgbClr val="00B0F0"/>
                </a:solidFill>
                <a:prstDash val="solid"/>
              </a:ln>
              <a:effectLst/>
            </c:spPr>
            <c:trendlineType val="poly"/>
            <c:order val="2"/>
            <c:dispRSqr val="0"/>
            <c:dispEq val="0"/>
          </c:trendline>
          <c:xVal>
            <c:strRef>
              <c:f>'Norex L - Max. Panel Length'!$E$210:$E$237</c:f>
            </c:strRef>
          </c:xVal>
          <c:yVal>
            <c:numRef>
              <c:f>'Norex L - Max. Panel Length'!$L$210:$L$237</c:f>
              <c:numCache>
                <c:formatCode>General</c:formatCode>
                <c:ptCount val="28"/>
                <c:pt idx="0">
                  <c:v>65</c:v>
                </c:pt>
                <c:pt idx="1">
                  <c:v>65</c:v>
                </c:pt>
                <c:pt idx="9">
                  <c:v>42</c:v>
                </c:pt>
                <c:pt idx="19">
                  <c:v>38</c:v>
                </c:pt>
                <c:pt idx="20">
                  <c:v>38</c:v>
                </c:pt>
                <c:pt idx="21">
                  <c:v>38</c:v>
                </c:pt>
                <c:pt idx="23">
                  <c:v>37</c:v>
                </c:pt>
                <c:pt idx="26">
                  <c:v>27</c:v>
                </c:pt>
              </c:numCache>
            </c:numRef>
          </c:yVal>
          <c:smooth val="0"/>
          <c:extLst>
            <c:ext xmlns:c16="http://schemas.microsoft.com/office/drawing/2014/chart" uri="{C3380CC4-5D6E-409C-BE32-E72D297353CC}">
              <c16:uniqueId val="{00000009-452C-4791-A5D0-2AFFD07FB3B3}"/>
            </c:ext>
          </c:extLst>
        </c:ser>
        <c:ser>
          <c:idx val="5"/>
          <c:order val="5"/>
          <c:tx>
            <c:v>Microribbed Embossed 22ga</c:v>
          </c:tx>
          <c:spPr>
            <a:ln w="25400" cap="rnd">
              <a:noFill/>
              <a:round/>
            </a:ln>
            <a:effectLst/>
          </c:spPr>
          <c:marker>
            <c:symbol val="none"/>
          </c:marker>
          <c:trendline>
            <c:spPr>
              <a:ln w="25400" cap="rnd">
                <a:solidFill>
                  <a:srgbClr val="00B0F0"/>
                </a:solidFill>
                <a:prstDash val="sysDash"/>
              </a:ln>
              <a:effectLst/>
            </c:spPr>
            <c:trendlineType val="poly"/>
            <c:order val="2"/>
            <c:dispRSqr val="0"/>
            <c:dispEq val="0"/>
          </c:trendline>
          <c:xVal>
            <c:strRef>
              <c:f>'Norex L - Max. Panel Length'!$E$210:$E$237</c:f>
            </c:strRef>
          </c:xVal>
          <c:yVal>
            <c:numRef>
              <c:f>'Norex L - Max. Panel Length'!$O$210:$O$237</c:f>
              <c:numCache>
                <c:formatCode>General</c:formatCode>
                <c:ptCount val="28"/>
                <c:pt idx="0">
                  <c:v>65</c:v>
                </c:pt>
                <c:pt idx="1">
                  <c:v>65</c:v>
                </c:pt>
                <c:pt idx="9">
                  <c:v>43</c:v>
                </c:pt>
                <c:pt idx="20">
                  <c:v>39</c:v>
                </c:pt>
                <c:pt idx="21">
                  <c:v>39</c:v>
                </c:pt>
                <c:pt idx="23">
                  <c:v>38</c:v>
                </c:pt>
                <c:pt idx="26">
                  <c:v>28</c:v>
                </c:pt>
              </c:numCache>
            </c:numRef>
          </c:yVal>
          <c:smooth val="0"/>
          <c:extLst>
            <c:ext xmlns:c16="http://schemas.microsoft.com/office/drawing/2014/chart" uri="{C3380CC4-5D6E-409C-BE32-E72D297353CC}">
              <c16:uniqueId val="{0000000B-452C-4791-A5D0-2AFFD07FB3B3}"/>
            </c:ext>
          </c:extLst>
        </c:ser>
        <c:ser>
          <c:idx val="6"/>
          <c:order val="6"/>
          <c:tx>
            <c:v>Silkline and Fluted Smooth 26ga</c:v>
          </c:tx>
          <c:spPr>
            <a:ln w="25400" cap="rnd">
              <a:noFill/>
              <a:round/>
            </a:ln>
            <a:effectLst/>
          </c:spPr>
          <c:marker>
            <c:symbol val="none"/>
          </c:marker>
          <c:trendline>
            <c:spPr>
              <a:ln w="25400" cap="rnd" cmpd="sng">
                <a:solidFill>
                  <a:srgbClr val="00B050"/>
                </a:solidFill>
                <a:prstDash val="solid"/>
              </a:ln>
              <a:effectLst/>
            </c:spPr>
            <c:trendlineType val="poly"/>
            <c:order val="2"/>
            <c:dispRSqr val="0"/>
            <c:dispEq val="0"/>
          </c:trendline>
          <c:xVal>
            <c:strRef>
              <c:f>'Norex L - Max. Panel Length'!$E$280:$E$307</c:f>
            </c:strRef>
          </c:xVal>
          <c:yVal>
            <c:numRef>
              <c:f>'Norex L - Max. Panel Length'!$F$280:$F$307</c:f>
            </c:numRef>
          </c:yVal>
          <c:smooth val="0"/>
          <c:extLst>
            <c:ext xmlns:c16="http://schemas.microsoft.com/office/drawing/2014/chart" uri="{C3380CC4-5D6E-409C-BE32-E72D297353CC}">
              <c16:uniqueId val="{0000000D-452C-4791-A5D0-2AFFD07FB3B3}"/>
            </c:ext>
          </c:extLst>
        </c:ser>
        <c:ser>
          <c:idx val="7"/>
          <c:order val="7"/>
          <c:tx>
            <c:v>Silkline and Fluted Embossed 26ga</c:v>
          </c:tx>
          <c:spPr>
            <a:ln w="25400" cap="rnd">
              <a:noFill/>
              <a:round/>
            </a:ln>
            <a:effectLst/>
          </c:spPr>
          <c:marker>
            <c:symbol val="none"/>
          </c:marker>
          <c:trendline>
            <c:spPr>
              <a:ln w="25400" cap="rnd">
                <a:solidFill>
                  <a:srgbClr val="00B050"/>
                </a:solidFill>
                <a:prstDash val="sysDash"/>
              </a:ln>
              <a:effectLst/>
            </c:spPr>
            <c:trendlineType val="poly"/>
            <c:order val="2"/>
            <c:dispRSqr val="0"/>
            <c:dispEq val="0"/>
          </c:trendline>
          <c:xVal>
            <c:strRef>
              <c:f>'Norex L - Max. Panel Length'!$E$280:$E$307</c:f>
            </c:strRef>
          </c:xVal>
          <c:yVal>
            <c:numRef>
              <c:f>'Norex L - Max. Panel Length'!$I$280:$I$307</c:f>
              <c:numCache>
                <c:formatCode>General</c:formatCode>
                <c:ptCount val="28"/>
                <c:pt idx="0">
                  <c:v>60</c:v>
                </c:pt>
                <c:pt idx="1">
                  <c:v>60</c:v>
                </c:pt>
                <c:pt idx="4">
                  <c:v>48</c:v>
                </c:pt>
                <c:pt idx="7">
                  <c:v>50</c:v>
                </c:pt>
                <c:pt idx="19">
                  <c:v>31</c:v>
                </c:pt>
                <c:pt idx="21">
                  <c:v>31</c:v>
                </c:pt>
              </c:numCache>
            </c:numRef>
          </c:yVal>
          <c:smooth val="0"/>
          <c:extLst>
            <c:ext xmlns:c16="http://schemas.microsoft.com/office/drawing/2014/chart" uri="{C3380CC4-5D6E-409C-BE32-E72D297353CC}">
              <c16:uniqueId val="{0000000F-452C-4791-A5D0-2AFFD07FB3B3}"/>
            </c:ext>
          </c:extLst>
        </c:ser>
        <c:ser>
          <c:idx val="8"/>
          <c:order val="8"/>
          <c:tx>
            <c:v>Microribbed Smooth 26ga</c:v>
          </c:tx>
          <c:spPr>
            <a:ln w="25400" cap="rnd">
              <a:noFill/>
              <a:round/>
            </a:ln>
            <a:effectLst/>
          </c:spPr>
          <c:marker>
            <c:symbol val="none"/>
          </c:marker>
          <c:trendline>
            <c:spPr>
              <a:ln w="25400" cap="rnd" cmpd="sng">
                <a:solidFill>
                  <a:srgbClr val="92D050"/>
                </a:solidFill>
                <a:prstDash val="solid"/>
              </a:ln>
              <a:effectLst/>
            </c:spPr>
            <c:trendlineType val="poly"/>
            <c:order val="2"/>
            <c:dispRSqr val="0"/>
            <c:dispEq val="0"/>
          </c:trendline>
          <c:xVal>
            <c:strRef>
              <c:f>'Norex L - Max. Panel Length'!$E$280:$E$307</c:f>
            </c:strRef>
          </c:xVal>
          <c:yVal>
            <c:numRef>
              <c:f>'Norex L - Max. Panel Length'!$L$281:$L$307</c:f>
              <c:numCache>
                <c:formatCode>General</c:formatCode>
                <c:ptCount val="27"/>
                <c:pt idx="0">
                  <c:v>52.25</c:v>
                </c:pt>
                <c:pt idx="6">
                  <c:v>46</c:v>
                </c:pt>
                <c:pt idx="18">
                  <c:v>28</c:v>
                </c:pt>
                <c:pt idx="20">
                  <c:v>27</c:v>
                </c:pt>
              </c:numCache>
            </c:numRef>
          </c:yVal>
          <c:smooth val="0"/>
          <c:extLst>
            <c:ext xmlns:c16="http://schemas.microsoft.com/office/drawing/2014/chart" uri="{C3380CC4-5D6E-409C-BE32-E72D297353CC}">
              <c16:uniqueId val="{00000011-452C-4791-A5D0-2AFFD07FB3B3}"/>
            </c:ext>
          </c:extLst>
        </c:ser>
        <c:ser>
          <c:idx val="9"/>
          <c:order val="9"/>
          <c:tx>
            <c:v>Microribbed Embossed 26ga</c:v>
          </c:tx>
          <c:spPr>
            <a:ln w="25400" cap="rnd">
              <a:noFill/>
              <a:round/>
            </a:ln>
            <a:effectLst/>
          </c:spPr>
          <c:marker>
            <c:symbol val="none"/>
          </c:marker>
          <c:trendline>
            <c:spPr>
              <a:ln w="25400" cap="rnd">
                <a:solidFill>
                  <a:srgbClr val="92D050"/>
                </a:solidFill>
                <a:prstDash val="sysDash"/>
              </a:ln>
              <a:effectLst/>
            </c:spPr>
            <c:trendlineType val="poly"/>
            <c:order val="2"/>
            <c:dispRSqr val="0"/>
            <c:dispEq val="0"/>
          </c:trendline>
          <c:xVal>
            <c:strRef>
              <c:f>'Norex L - Max. Panel Length'!$E$280:$E$307</c:f>
            </c:strRef>
          </c:xVal>
          <c:yVal>
            <c:numRef>
              <c:f>'Norex L - Max. Panel Length'!$O$281:$O$307</c:f>
              <c:numCache>
                <c:formatCode>General</c:formatCode>
                <c:ptCount val="27"/>
                <c:pt idx="0">
                  <c:v>52.25</c:v>
                </c:pt>
                <c:pt idx="6">
                  <c:v>46</c:v>
                </c:pt>
                <c:pt idx="18">
                  <c:v>29</c:v>
                </c:pt>
                <c:pt idx="20">
                  <c:v>28</c:v>
                </c:pt>
              </c:numCache>
            </c:numRef>
          </c:yVal>
          <c:smooth val="0"/>
          <c:extLst>
            <c:ext xmlns:c16="http://schemas.microsoft.com/office/drawing/2014/chart" uri="{C3380CC4-5D6E-409C-BE32-E72D297353CC}">
              <c16:uniqueId val="{00000013-452C-4791-A5D0-2AFFD07FB3B3}"/>
            </c:ext>
          </c:extLst>
        </c:ser>
        <c:ser>
          <c:idx val="10"/>
          <c:order val="10"/>
          <c:tx>
            <c:v>Silkline and Fluted Smooth 24ga</c:v>
          </c:tx>
          <c:spPr>
            <a:ln w="25400" cap="rnd">
              <a:noFill/>
              <a:round/>
            </a:ln>
            <a:effectLst/>
          </c:spPr>
          <c:marker>
            <c:symbol val="none"/>
          </c:marker>
          <c:trendline>
            <c:spPr>
              <a:ln w="25400" cap="rnd">
                <a:solidFill>
                  <a:srgbClr val="CC00CC"/>
                </a:solidFill>
                <a:prstDash val="solid"/>
              </a:ln>
              <a:effectLst/>
            </c:spPr>
            <c:trendlineType val="poly"/>
            <c:order val="2"/>
            <c:dispRSqr val="0"/>
            <c:dispEq val="0"/>
          </c:trendline>
          <c:xVal>
            <c:strRef>
              <c:f>'Norex L - Max. Panel Length'!$E$361:$E$388</c:f>
            </c:strRef>
          </c:xVal>
          <c:yVal>
            <c:numRef>
              <c:f>'Norex L - Max. Panel Length'!$H$361:$H$388</c:f>
              <c:numCache>
                <c:formatCode>0.00</c:formatCode>
                <c:ptCount val="28"/>
                <c:pt idx="0">
                  <c:v>52.25</c:v>
                </c:pt>
                <c:pt idx="1">
                  <c:v>52.25</c:v>
                </c:pt>
                <c:pt idx="2">
                  <c:v>52.25</c:v>
                </c:pt>
                <c:pt idx="3">
                  <c:v>52.25</c:v>
                </c:pt>
                <c:pt idx="4">
                  <c:v>52.25</c:v>
                </c:pt>
                <c:pt idx="5">
                  <c:v>52.25</c:v>
                </c:pt>
                <c:pt idx="6">
                  <c:v>50.119289705502354</c:v>
                </c:pt>
                <c:pt idx="7">
                  <c:v>46.563676313410483</c:v>
                </c:pt>
                <c:pt idx="8">
                  <c:v>46.06519283668969</c:v>
                </c:pt>
                <c:pt idx="9">
                  <c:v>45.854889825370577</c:v>
                </c:pt>
                <c:pt idx="10">
                  <c:v>41.703291421303305</c:v>
                </c:pt>
                <c:pt idx="11">
                  <c:v>41.618524229778842</c:v>
                </c:pt>
                <c:pt idx="12">
                  <c:v>39.510854288685394</c:v>
                </c:pt>
                <c:pt idx="13">
                  <c:v>38.809855101906606</c:v>
                </c:pt>
                <c:pt idx="14">
                  <c:v>35.366509438414809</c:v>
                </c:pt>
                <c:pt idx="15">
                  <c:v>35.316540119903834</c:v>
                </c:pt>
                <c:pt idx="16">
                  <c:v>35.316540119903834</c:v>
                </c:pt>
                <c:pt idx="17">
                  <c:v>35.066491699424503</c:v>
                </c:pt>
                <c:pt idx="18">
                  <c:v>34.900582693805035</c:v>
                </c:pt>
                <c:pt idx="19">
                  <c:v>34.620213313881635</c:v>
                </c:pt>
                <c:pt idx="20">
                  <c:v>33.854153592397608</c:v>
                </c:pt>
                <c:pt idx="21">
                  <c:v>33.486891655941562</c:v>
                </c:pt>
                <c:pt idx="22">
                  <c:v>32.273608083211599</c:v>
                </c:pt>
                <c:pt idx="23">
                  <c:v>31.309674128458411</c:v>
                </c:pt>
                <c:pt idx="24">
                  <c:v>31.15026023566223</c:v>
                </c:pt>
                <c:pt idx="25">
                  <c:v>28.800158491394242</c:v>
                </c:pt>
                <c:pt idx="26">
                  <c:v>26.325032591451773</c:v>
                </c:pt>
                <c:pt idx="27">
                  <c:v>19.220169075634374</c:v>
                </c:pt>
              </c:numCache>
            </c:numRef>
          </c:yVal>
          <c:smooth val="0"/>
          <c:extLst>
            <c:ext xmlns:c16="http://schemas.microsoft.com/office/drawing/2014/chart" uri="{C3380CC4-5D6E-409C-BE32-E72D297353CC}">
              <c16:uniqueId val="{00000015-452C-4791-A5D0-2AFFD07FB3B3}"/>
            </c:ext>
          </c:extLst>
        </c:ser>
        <c:ser>
          <c:idx val="11"/>
          <c:order val="11"/>
          <c:tx>
            <c:v>Silkline and Flutted Embossed 24ga</c:v>
          </c:tx>
          <c:spPr>
            <a:ln w="25400" cap="rnd">
              <a:noFill/>
              <a:round/>
            </a:ln>
            <a:effectLst/>
          </c:spPr>
          <c:marker>
            <c:symbol val="none"/>
          </c:marker>
          <c:trendline>
            <c:spPr>
              <a:ln w="25400" cap="rnd">
                <a:solidFill>
                  <a:srgbClr val="CC00CC"/>
                </a:solidFill>
                <a:prstDash val="sysDash"/>
              </a:ln>
              <a:effectLst/>
            </c:spPr>
            <c:trendlineType val="poly"/>
            <c:order val="2"/>
            <c:dispRSqr val="0"/>
            <c:dispEq val="0"/>
          </c:trendline>
          <c:xVal>
            <c:strRef>
              <c:f>'Norex L - Max. Panel Length'!$E$361:$E$388</c:f>
            </c:strRef>
          </c:xVal>
          <c:yVal>
            <c:numRef>
              <c:f>'Norex L - Max. Panel Length'!$K$361:$K$388</c:f>
              <c:numCache>
                <c:formatCode>0.00</c:formatCode>
                <c:ptCount val="28"/>
                <c:pt idx="0">
                  <c:v>52.25</c:v>
                </c:pt>
                <c:pt idx="1">
                  <c:v>52.25</c:v>
                </c:pt>
                <c:pt idx="2">
                  <c:v>52.25</c:v>
                </c:pt>
                <c:pt idx="3">
                  <c:v>52.25</c:v>
                </c:pt>
                <c:pt idx="4">
                  <c:v>52.25</c:v>
                </c:pt>
                <c:pt idx="5">
                  <c:v>52.25</c:v>
                </c:pt>
                <c:pt idx="6">
                  <c:v>50.708968805465489</c:v>
                </c:pt>
                <c:pt idx="7">
                  <c:v>47.076557455445496</c:v>
                </c:pt>
                <c:pt idx="8">
                  <c:v>46.567307197061027</c:v>
                </c:pt>
                <c:pt idx="9">
                  <c:v>46.352461835369567</c:v>
                </c:pt>
                <c:pt idx="10">
                  <c:v>42.111192748803703</c:v>
                </c:pt>
                <c:pt idx="11">
                  <c:v>42.02459466440915</c:v>
                </c:pt>
                <c:pt idx="12">
                  <c:v>39.871401003604646</c:v>
                </c:pt>
                <c:pt idx="13">
                  <c:v>39.155260883288591</c:v>
                </c:pt>
                <c:pt idx="14">
                  <c:v>35.637542140883042</c:v>
                </c:pt>
                <c:pt idx="15">
                  <c:v>35.586493531347543</c:v>
                </c:pt>
                <c:pt idx="16">
                  <c:v>35.586493531347543</c:v>
                </c:pt>
                <c:pt idx="17">
                  <c:v>35.331044296449335</c:v>
                </c:pt>
                <c:pt idx="18">
                  <c:v>35.161551809886248</c:v>
                </c:pt>
                <c:pt idx="19">
                  <c:v>34.875126710887329</c:v>
                </c:pt>
                <c:pt idx="20">
                  <c:v>34.092520808541281</c:v>
                </c:pt>
                <c:pt idx="21">
                  <c:v>33.717326354222834</c:v>
                </c:pt>
                <c:pt idx="22">
                  <c:v>32.477836979427707</c:v>
                </c:pt>
                <c:pt idx="23">
                  <c:v>31.49308294354104</c:v>
                </c:pt>
                <c:pt idx="24">
                  <c:v>31.330225858225859</c:v>
                </c:pt>
                <c:pt idx="25">
                  <c:v>28.929364091711193</c:v>
                </c:pt>
                <c:pt idx="26">
                  <c:v>26.400777763491178</c:v>
                </c:pt>
                <c:pt idx="27">
                  <c:v>19.142455772523931</c:v>
                </c:pt>
              </c:numCache>
            </c:numRef>
          </c:yVal>
          <c:smooth val="0"/>
          <c:extLst>
            <c:ext xmlns:c16="http://schemas.microsoft.com/office/drawing/2014/chart" uri="{C3380CC4-5D6E-409C-BE32-E72D297353CC}">
              <c16:uniqueId val="{00000017-452C-4791-A5D0-2AFFD07FB3B3}"/>
            </c:ext>
          </c:extLst>
        </c:ser>
        <c:ser>
          <c:idx val="12"/>
          <c:order val="12"/>
          <c:tx>
            <c:v>Microribbed Smooth 24ga</c:v>
          </c:tx>
          <c:spPr>
            <a:ln w="25400" cap="rnd">
              <a:noFill/>
              <a:round/>
            </a:ln>
            <a:effectLst/>
          </c:spPr>
          <c:marker>
            <c:symbol val="none"/>
          </c:marker>
          <c:trendline>
            <c:spPr>
              <a:ln w="25400" cap="rnd">
                <a:solidFill>
                  <a:srgbClr val="FF99FF"/>
                </a:solidFill>
                <a:prstDash val="solid"/>
              </a:ln>
              <a:effectLst/>
            </c:spPr>
            <c:trendlineType val="poly"/>
            <c:order val="2"/>
            <c:dispRSqr val="0"/>
            <c:dispEq val="0"/>
          </c:trendline>
          <c:xVal>
            <c:strRef>
              <c:f>'Norex L - Max. Panel Length'!$E$361:$E$388</c:f>
            </c:strRef>
          </c:xVal>
          <c:yVal>
            <c:numRef>
              <c:f>'Norex L - Max. Panel Length'!$N$361:$N$388</c:f>
              <c:numCache>
                <c:formatCode>0.00</c:formatCode>
                <c:ptCount val="28"/>
                <c:pt idx="0">
                  <c:v>52.25</c:v>
                </c:pt>
                <c:pt idx="1">
                  <c:v>52.25</c:v>
                </c:pt>
                <c:pt idx="2">
                  <c:v>52.25</c:v>
                </c:pt>
                <c:pt idx="3">
                  <c:v>52.25</c:v>
                </c:pt>
                <c:pt idx="4">
                  <c:v>51.588544707216457</c:v>
                </c:pt>
                <c:pt idx="5">
                  <c:v>50.056351553118262</c:v>
                </c:pt>
                <c:pt idx="6">
                  <c:v>47.197906202880333</c:v>
                </c:pt>
                <c:pt idx="7">
                  <c:v>43.415657567220137</c:v>
                </c:pt>
                <c:pt idx="8">
                  <c:v>42.885400691171753</c:v>
                </c:pt>
                <c:pt idx="9">
                  <c:v>42.661692939534291</c:v>
                </c:pt>
                <c:pt idx="10">
                  <c:v>38.245471132485036</c:v>
                </c:pt>
                <c:pt idx="11">
                  <c:v>38.155300869541037</c:v>
                </c:pt>
                <c:pt idx="12">
                  <c:v>35.913287782051597</c:v>
                </c:pt>
                <c:pt idx="13">
                  <c:v>35.167606819185963</c:v>
                </c:pt>
                <c:pt idx="14">
                  <c:v>31.504781871227777</c:v>
                </c:pt>
                <c:pt idx="15">
                  <c:v>31.451627502087604</c:v>
                </c:pt>
                <c:pt idx="16">
                  <c:v>31.451627502087604</c:v>
                </c:pt>
                <c:pt idx="17">
                  <c:v>31.185640963925039</c:v>
                </c:pt>
                <c:pt idx="18">
                  <c:v>31.009156897478547</c:v>
                </c:pt>
                <c:pt idx="19">
                  <c:v>30.710916738114008</c:v>
                </c:pt>
                <c:pt idx="20">
                  <c:v>29.896028273900939</c:v>
                </c:pt>
                <c:pt idx="21">
                  <c:v>29.505357015552022</c:v>
                </c:pt>
                <c:pt idx="22">
                  <c:v>28.214738595722338</c:v>
                </c:pt>
                <c:pt idx="23">
                  <c:v>27.189363369793512</c:v>
                </c:pt>
                <c:pt idx="24">
                  <c:v>27.019788415476299</c:v>
                </c:pt>
                <c:pt idx="25">
                  <c:v>24.519890891271388</c:v>
                </c:pt>
                <c:pt idx="26">
                  <c:v>21.887000156028392</c:v>
                </c:pt>
                <c:pt idx="27">
                  <c:v>14.329271748598103</c:v>
                </c:pt>
              </c:numCache>
            </c:numRef>
          </c:yVal>
          <c:smooth val="0"/>
          <c:extLst>
            <c:ext xmlns:c16="http://schemas.microsoft.com/office/drawing/2014/chart" uri="{C3380CC4-5D6E-409C-BE32-E72D297353CC}">
              <c16:uniqueId val="{00000019-452C-4791-A5D0-2AFFD07FB3B3}"/>
            </c:ext>
          </c:extLst>
        </c:ser>
        <c:ser>
          <c:idx val="13"/>
          <c:order val="13"/>
          <c:tx>
            <c:v>Microribbed Embossed 24ga</c:v>
          </c:tx>
          <c:spPr>
            <a:ln w="25400" cap="rnd">
              <a:noFill/>
              <a:round/>
            </a:ln>
            <a:effectLst/>
          </c:spPr>
          <c:marker>
            <c:symbol val="none"/>
          </c:marker>
          <c:trendline>
            <c:spPr>
              <a:ln w="25400" cap="rnd">
                <a:solidFill>
                  <a:srgbClr val="FF99FF"/>
                </a:solidFill>
                <a:prstDash val="sysDash"/>
              </a:ln>
              <a:effectLst/>
            </c:spPr>
            <c:trendlineType val="poly"/>
            <c:order val="2"/>
            <c:dispRSqr val="0"/>
            <c:dispEq val="0"/>
          </c:trendline>
          <c:xVal>
            <c:strRef>
              <c:f>'Norex L - Max. Panel Length'!$E$361:$E$388</c:f>
            </c:strRef>
          </c:xVal>
          <c:yVal>
            <c:numRef>
              <c:f>'Norex L - Max. Panel Length'!$Q$361:$Q$388</c:f>
              <c:numCache>
                <c:formatCode>0.00</c:formatCode>
                <c:ptCount val="28"/>
                <c:pt idx="0">
                  <c:v>52.25</c:v>
                </c:pt>
                <c:pt idx="1">
                  <c:v>52.25</c:v>
                </c:pt>
                <c:pt idx="2">
                  <c:v>52.25</c:v>
                </c:pt>
                <c:pt idx="3">
                  <c:v>52.25</c:v>
                </c:pt>
                <c:pt idx="4">
                  <c:v>51.800502774242915</c:v>
                </c:pt>
                <c:pt idx="5">
                  <c:v>50.323556227527419</c:v>
                </c:pt>
                <c:pt idx="6">
                  <c:v>47.568178436080714</c:v>
                </c:pt>
                <c:pt idx="7">
                  <c:v>43.922307126503213</c:v>
                </c:pt>
                <c:pt idx="8">
                  <c:v>43.411169832972661</c:v>
                </c:pt>
                <c:pt idx="9">
                  <c:v>43.195528358286069</c:v>
                </c:pt>
                <c:pt idx="10">
                  <c:v>38.93854317988017</c:v>
                </c:pt>
                <c:pt idx="11">
                  <c:v>38.851624204870149</c:v>
                </c:pt>
                <c:pt idx="12">
                  <c:v>36.69045184980412</c:v>
                </c:pt>
                <c:pt idx="13">
                  <c:v>35.971658060581063</c:v>
                </c:pt>
                <c:pt idx="14">
                  <c:v>32.4409043539479</c:v>
                </c:pt>
                <c:pt idx="15">
                  <c:v>32.389666582956409</c:v>
                </c:pt>
                <c:pt idx="16">
                  <c:v>32.389666582956409</c:v>
                </c:pt>
                <c:pt idx="17">
                  <c:v>32.133270776748006</c:v>
                </c:pt>
                <c:pt idx="18">
                  <c:v>31.963150233008946</c:v>
                </c:pt>
                <c:pt idx="19">
                  <c:v>31.675663781129728</c:v>
                </c:pt>
                <c:pt idx="20">
                  <c:v>30.890157919836312</c:v>
                </c:pt>
                <c:pt idx="21">
                  <c:v>30.513573176342234</c:v>
                </c:pt>
                <c:pt idx="22">
                  <c:v>29.269490853433837</c:v>
                </c:pt>
                <c:pt idx="23">
                  <c:v>28.281087795390832</c:v>
                </c:pt>
                <c:pt idx="24">
                  <c:v>28.117627240487337</c:v>
                </c:pt>
                <c:pt idx="25">
                  <c:v>25.707869041502207</c:v>
                </c:pt>
                <c:pt idx="26">
                  <c:v>23.169912995363177</c:v>
                </c:pt>
                <c:pt idx="27">
                  <c:v>15.884695173764484</c:v>
                </c:pt>
              </c:numCache>
            </c:numRef>
          </c:yVal>
          <c:smooth val="0"/>
          <c:extLst>
            <c:ext xmlns:c16="http://schemas.microsoft.com/office/drawing/2014/chart" uri="{C3380CC4-5D6E-409C-BE32-E72D297353CC}">
              <c16:uniqueId val="{0000001B-452C-4791-A5D0-2AFFD07FB3B3}"/>
            </c:ext>
          </c:extLst>
        </c:ser>
        <c:dLbls>
          <c:showLegendKey val="0"/>
          <c:showVal val="0"/>
          <c:showCatName val="0"/>
          <c:showSerName val="0"/>
          <c:showPercent val="0"/>
          <c:showBubbleSize val="0"/>
        </c:dLbls>
        <c:axId val="1504000352"/>
        <c:axId val="1504014080"/>
        <c:extLst/>
      </c:scatterChart>
      <c:valAx>
        <c:axId val="1504000352"/>
        <c:scaling>
          <c:orientation val="minMax"/>
          <c:max val="85"/>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a:t>T</a:t>
                </a:r>
                <a:r>
                  <a:rPr lang="fr-CA" sz="800"/>
                  <a:t>surf.max. </a:t>
                </a:r>
                <a:r>
                  <a:rPr lang="fr-CA"/>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04014080"/>
        <c:crosses val="autoZero"/>
        <c:crossBetween val="midCat"/>
        <c:majorUnit val="5"/>
      </c:valAx>
      <c:valAx>
        <c:axId val="1504014080"/>
        <c:scaling>
          <c:orientation val="minMax"/>
          <c:min val="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04000352"/>
        <c:crosses val="autoZero"/>
        <c:crossBetween val="midCat"/>
        <c:majorUnit val="5"/>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ayout>
        <c:manualLayout>
          <c:xMode val="edge"/>
          <c:yMode val="edge"/>
          <c:x val="0.17033037909241144"/>
          <c:y val="0.15247577530837902"/>
          <c:w val="0.80561879705969885"/>
          <c:h val="0.1337349838479162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(Silkline and Fluted Smooth 24ga)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L - Max. Panel Length'!$F$360</c:f>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CC00CC"/>
                </a:solidFill>
                <a:prstDash val="solid"/>
              </a:ln>
              <a:effectLst/>
            </c:spPr>
            <c:trendlineType val="linear"/>
            <c:dispRSqr val="1"/>
            <c:dispEq val="1"/>
            <c:trendlineLbl>
              <c:layout>
                <c:manualLayout>
                  <c:x val="-0.59234409388612241"/>
                  <c:y val="2.919842242348767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Length'!$E$361:$E$388</c:f>
            </c:strRef>
          </c:xVal>
          <c:yVal>
            <c:numRef>
              <c:f>'Norex L - Max. Panel Length'!$F$361:$F$388</c:f>
            </c:numRef>
          </c:yVal>
          <c:smooth val="0"/>
          <c:extLst>
            <c:ext xmlns:c16="http://schemas.microsoft.com/office/drawing/2014/chart" uri="{C3380CC4-5D6E-409C-BE32-E72D297353CC}">
              <c16:uniqueId val="{00000001-B4CD-405C-A828-D18F577ECF37}"/>
            </c:ext>
          </c:extLst>
        </c:ser>
        <c:ser>
          <c:idx val="1"/>
          <c:order val="1"/>
          <c:tx>
            <c:strRef>
              <c:f>'Norex L - Max. Panel Length'!$G$360</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517A9472-8391-4B96-98E6-E7BE1C6471B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4CD-405C-A828-D18F577ECF37}"/>
                </c:ext>
              </c:extLst>
            </c:dLbl>
            <c:dLbl>
              <c:idx val="1"/>
              <c:layout>
                <c:manualLayout>
                  <c:x val="2.1432597574572502E-2"/>
                  <c:y val="-5.5894027473515594E-2"/>
                </c:manualLayout>
              </c:layout>
              <c:tx>
                <c:rich>
                  <a:bodyPr/>
                  <a:lstStyle/>
                  <a:p>
                    <a:fld id="{5C838C09-1CD4-4CCC-A792-F2994094802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4CD-405C-A828-D18F577ECF37}"/>
                </c:ext>
              </c:extLst>
            </c:dLbl>
            <c:dLbl>
              <c:idx val="2"/>
              <c:tx>
                <c:rich>
                  <a:bodyPr/>
                  <a:lstStyle/>
                  <a:p>
                    <a:fld id="{8DA2B6A5-2432-4196-9D5B-38E6880DA4E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4CD-405C-A828-D18F577ECF37}"/>
                </c:ext>
              </c:extLst>
            </c:dLbl>
            <c:dLbl>
              <c:idx val="3"/>
              <c:tx>
                <c:rich>
                  <a:bodyPr/>
                  <a:lstStyle/>
                  <a:p>
                    <a:fld id="{D13D8253-FC7C-49D1-BE41-05C91377146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4CD-405C-A828-D18F577ECF37}"/>
                </c:ext>
              </c:extLst>
            </c:dLbl>
            <c:dLbl>
              <c:idx val="4"/>
              <c:tx>
                <c:rich>
                  <a:bodyPr/>
                  <a:lstStyle/>
                  <a:p>
                    <a:fld id="{7A6E8C43-C070-4216-8F7C-EE103C38DA9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4CD-405C-A828-D18F577ECF37}"/>
                </c:ext>
              </c:extLst>
            </c:dLbl>
            <c:dLbl>
              <c:idx val="5"/>
              <c:tx>
                <c:rich>
                  <a:bodyPr/>
                  <a:lstStyle/>
                  <a:p>
                    <a:fld id="{5693F643-4215-4C46-8A71-D701449D00E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4CD-405C-A828-D18F577ECF37}"/>
                </c:ext>
              </c:extLst>
            </c:dLbl>
            <c:dLbl>
              <c:idx val="6"/>
              <c:tx>
                <c:rich>
                  <a:bodyPr/>
                  <a:lstStyle/>
                  <a:p>
                    <a:fld id="{E1EC0893-67F1-4A73-93DD-6A776CF0438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4CD-405C-A828-D18F577ECF37}"/>
                </c:ext>
              </c:extLst>
            </c:dLbl>
            <c:dLbl>
              <c:idx val="7"/>
              <c:tx>
                <c:rich>
                  <a:bodyPr/>
                  <a:lstStyle/>
                  <a:p>
                    <a:fld id="{BAFDB874-9B87-45E3-80C1-23A91D99DC74}"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4CD-405C-A828-D18F577ECF37}"/>
                </c:ext>
              </c:extLst>
            </c:dLbl>
            <c:dLbl>
              <c:idx val="8"/>
              <c:tx>
                <c:rich>
                  <a:bodyPr/>
                  <a:lstStyle/>
                  <a:p>
                    <a:fld id="{153D003E-AD96-4FCE-A66B-A72250DCCEF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4CD-405C-A828-D18F577ECF37}"/>
                </c:ext>
              </c:extLst>
            </c:dLbl>
            <c:dLbl>
              <c:idx val="9"/>
              <c:tx>
                <c:rich>
                  <a:bodyPr/>
                  <a:lstStyle/>
                  <a:p>
                    <a:fld id="{21A297CC-5CC2-4F96-B843-1CA20547381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4CD-405C-A828-D18F577ECF37}"/>
                </c:ext>
              </c:extLst>
            </c:dLbl>
            <c:dLbl>
              <c:idx val="10"/>
              <c:tx>
                <c:rich>
                  <a:bodyPr/>
                  <a:lstStyle/>
                  <a:p>
                    <a:fld id="{6272B55E-0CDE-4046-A319-F921D477BC2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4CD-405C-A828-D18F577ECF37}"/>
                </c:ext>
              </c:extLst>
            </c:dLbl>
            <c:dLbl>
              <c:idx val="11"/>
              <c:tx>
                <c:rich>
                  <a:bodyPr/>
                  <a:lstStyle/>
                  <a:p>
                    <a:fld id="{47E9D71D-EE52-4F18-B0AE-03E26737BD9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4CD-405C-A828-D18F577ECF37}"/>
                </c:ext>
              </c:extLst>
            </c:dLbl>
            <c:dLbl>
              <c:idx val="12"/>
              <c:tx>
                <c:rich>
                  <a:bodyPr/>
                  <a:lstStyle/>
                  <a:p>
                    <a:fld id="{A765365A-2A7F-47CC-8651-DC35F3C9D70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B4CD-405C-A828-D18F577ECF37}"/>
                </c:ext>
              </c:extLst>
            </c:dLbl>
            <c:dLbl>
              <c:idx val="13"/>
              <c:tx>
                <c:rich>
                  <a:bodyPr/>
                  <a:lstStyle/>
                  <a:p>
                    <a:fld id="{BA3A7C95-26D5-423D-8DCF-9A92F6422D7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4CD-405C-A828-D18F577ECF37}"/>
                </c:ext>
              </c:extLst>
            </c:dLbl>
            <c:dLbl>
              <c:idx val="14"/>
              <c:tx>
                <c:rich>
                  <a:bodyPr/>
                  <a:lstStyle/>
                  <a:p>
                    <a:fld id="{558CCE94-9FE9-4773-869D-F62642547B6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B4CD-405C-A828-D18F577ECF37}"/>
                </c:ext>
              </c:extLst>
            </c:dLbl>
            <c:dLbl>
              <c:idx val="15"/>
              <c:tx>
                <c:rich>
                  <a:bodyPr/>
                  <a:lstStyle/>
                  <a:p>
                    <a:fld id="{E1712EA8-5CD3-4C68-9490-E83866E4EAA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4CD-405C-A828-D18F577ECF37}"/>
                </c:ext>
              </c:extLst>
            </c:dLbl>
            <c:dLbl>
              <c:idx val="16"/>
              <c:tx>
                <c:rich>
                  <a:bodyPr/>
                  <a:lstStyle/>
                  <a:p>
                    <a:fld id="{2619FAC5-DEAC-4C17-A254-41791723463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B4CD-405C-A828-D18F577ECF37}"/>
                </c:ext>
              </c:extLst>
            </c:dLbl>
            <c:dLbl>
              <c:idx val="17"/>
              <c:tx>
                <c:rich>
                  <a:bodyPr/>
                  <a:lstStyle/>
                  <a:p>
                    <a:fld id="{502863A9-CBC0-4BCC-A0A1-93A77A6075F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B4CD-405C-A828-D18F577ECF37}"/>
                </c:ext>
              </c:extLst>
            </c:dLbl>
            <c:dLbl>
              <c:idx val="18"/>
              <c:tx>
                <c:rich>
                  <a:bodyPr/>
                  <a:lstStyle/>
                  <a:p>
                    <a:fld id="{A06449B3-F147-4F48-BB8D-E8ED80FA21E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B4CD-405C-A828-D18F577ECF37}"/>
                </c:ext>
              </c:extLst>
            </c:dLbl>
            <c:dLbl>
              <c:idx val="19"/>
              <c:layout>
                <c:manualLayout>
                  <c:x val="0.10430530819625283"/>
                  <c:y val="-5.0111886700393293E-2"/>
                </c:manualLayout>
              </c:layout>
              <c:tx>
                <c:rich>
                  <a:bodyPr/>
                  <a:lstStyle/>
                  <a:p>
                    <a:fld id="{0ABBB7F0-153F-4C3B-B69B-ABB0BAD5368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B4CD-405C-A828-D18F577ECF37}"/>
                </c:ext>
              </c:extLst>
            </c:dLbl>
            <c:dLbl>
              <c:idx val="20"/>
              <c:tx>
                <c:rich>
                  <a:bodyPr/>
                  <a:lstStyle/>
                  <a:p>
                    <a:fld id="{B608EA68-FFFB-464B-99CE-A34D9208057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B4CD-405C-A828-D18F577ECF37}"/>
                </c:ext>
              </c:extLst>
            </c:dLbl>
            <c:dLbl>
              <c:idx val="21"/>
              <c:layout>
                <c:manualLayout>
                  <c:x val="8.1443870783375505E-2"/>
                  <c:y val="-2.8910703865611516E-2"/>
                </c:manualLayout>
              </c:layout>
              <c:tx>
                <c:rich>
                  <a:bodyPr/>
                  <a:lstStyle/>
                  <a:p>
                    <a:fld id="{58058922-3F12-410A-84A7-68FCCACAE4A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B4CD-405C-A828-D18F577ECF37}"/>
                </c:ext>
              </c:extLst>
            </c:dLbl>
            <c:dLbl>
              <c:idx val="22"/>
              <c:tx>
                <c:rich>
                  <a:bodyPr/>
                  <a:lstStyle/>
                  <a:p>
                    <a:fld id="{243B7A1F-8398-43F7-93A5-2CBDC620BE6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B4CD-405C-A828-D18F577ECF37}"/>
                </c:ext>
              </c:extLst>
            </c:dLbl>
            <c:dLbl>
              <c:idx val="23"/>
              <c:tx>
                <c:rich>
                  <a:bodyPr/>
                  <a:lstStyle/>
                  <a:p>
                    <a:fld id="{6DA6C0AE-F8D9-405E-9210-421233D3284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B4CD-405C-A828-D18F577ECF37}"/>
                </c:ext>
              </c:extLst>
            </c:dLbl>
            <c:dLbl>
              <c:idx val="24"/>
              <c:tx>
                <c:rich>
                  <a:bodyPr/>
                  <a:lstStyle/>
                  <a:p>
                    <a:fld id="{21A3CEF7-1E1B-4966-9F78-0E934D11A68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B4CD-405C-A828-D18F577ECF37}"/>
                </c:ext>
              </c:extLst>
            </c:dLbl>
            <c:dLbl>
              <c:idx val="25"/>
              <c:tx>
                <c:rich>
                  <a:bodyPr/>
                  <a:lstStyle/>
                  <a:p>
                    <a:fld id="{AC9E01AA-77BA-4B73-938F-BE79E7C0133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B4CD-405C-A828-D18F577ECF37}"/>
                </c:ext>
              </c:extLst>
            </c:dLbl>
            <c:dLbl>
              <c:idx val="26"/>
              <c:tx>
                <c:rich>
                  <a:bodyPr/>
                  <a:lstStyle/>
                  <a:p>
                    <a:fld id="{84B490AD-7E82-488D-A245-F63DDB7AE478}"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B4CD-405C-A828-D18F577ECF37}"/>
                </c:ext>
              </c:extLst>
            </c:dLbl>
            <c:dLbl>
              <c:idx val="27"/>
              <c:tx>
                <c:rich>
                  <a:bodyPr/>
                  <a:lstStyle/>
                  <a:p>
                    <a:fld id="{17E67017-2CEB-4840-ACFE-2A071939E1D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B4CD-405C-A828-D18F577ECF3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'Norex L - Max. Panel Length'!$E$361:$E$388</c:f>
            </c:strRef>
          </c:xVal>
          <c:yVal>
            <c:numRef>
              <c:f>'Norex L - Max. Panel Length'!$G$361:$G$388</c:f>
              <c:numCache>
                <c:formatCode>0.00</c:formatCode>
                <c:ptCount val="28"/>
                <c:pt idx="0">
                  <c:v>60.17857831013211</c:v>
                </c:pt>
                <c:pt idx="1">
                  <c:v>60.03975617089705</c:v>
                </c:pt>
                <c:pt idx="2">
                  <c:v>55.690359395309713</c:v>
                </c:pt>
                <c:pt idx="3">
                  <c:v>55.448957965460949</c:v>
                </c:pt>
                <c:pt idx="4">
                  <c:v>54.246837778006778</c:v>
                </c:pt>
                <c:pt idx="5">
                  <c:v>52.806454814650351</c:v>
                </c:pt>
                <c:pt idx="6">
                  <c:v>50.119289705502354</c:v>
                </c:pt>
                <c:pt idx="7">
                  <c:v>46.563676313410483</c:v>
                </c:pt>
                <c:pt idx="8">
                  <c:v>46.06519283668969</c:v>
                </c:pt>
                <c:pt idx="9">
                  <c:v>45.854889825370577</c:v>
                </c:pt>
                <c:pt idx="10">
                  <c:v>41.703291421303305</c:v>
                </c:pt>
                <c:pt idx="11">
                  <c:v>41.618524229778842</c:v>
                </c:pt>
                <c:pt idx="12">
                  <c:v>39.510854288685394</c:v>
                </c:pt>
                <c:pt idx="13">
                  <c:v>38.809855101906606</c:v>
                </c:pt>
                <c:pt idx="14">
                  <c:v>35.366509438414809</c:v>
                </c:pt>
                <c:pt idx="15">
                  <c:v>35.316540119903834</c:v>
                </c:pt>
                <c:pt idx="16">
                  <c:v>35.316540119903834</c:v>
                </c:pt>
                <c:pt idx="17">
                  <c:v>35.066491699424503</c:v>
                </c:pt>
                <c:pt idx="18">
                  <c:v>34.900582693805035</c:v>
                </c:pt>
                <c:pt idx="19">
                  <c:v>34.620213313881635</c:v>
                </c:pt>
                <c:pt idx="20">
                  <c:v>33.854153592397608</c:v>
                </c:pt>
                <c:pt idx="21">
                  <c:v>33.486891655941562</c:v>
                </c:pt>
                <c:pt idx="22">
                  <c:v>32.273608083211599</c:v>
                </c:pt>
                <c:pt idx="23">
                  <c:v>31.309674128458411</c:v>
                </c:pt>
                <c:pt idx="24">
                  <c:v>31.15026023566223</c:v>
                </c:pt>
                <c:pt idx="25">
                  <c:v>28.800158491394242</c:v>
                </c:pt>
                <c:pt idx="26">
                  <c:v>26.325032591451773</c:v>
                </c:pt>
                <c:pt idx="27">
                  <c:v>19.220169075634374</c:v>
                </c:pt>
              </c:numCache>
            </c:numRef>
          </c:yVal>
          <c:smooth val="0"/>
          <c:extLst>
            <c:ext xmlns:c15="http://schemas.microsoft.com/office/drawing/2012/chart" uri="{02D57815-91ED-43cb-92C2-25804820EDAC}">
              <c15:datalabelsRange>
                <c15:f>'Norex L - Max. Panel Length'!$C$280:$C$307</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B4CD-405C-A828-D18F577ECF37}"/>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20-B4CD-405C-A828-D18F577ECF37}"/>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22-B4CD-405C-A828-D18F577ECF37}"/>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8.4135498542304246E-2"/>
          <c:y val="0.80016183764267301"/>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(Silkline and Fluted Embossed 24ga)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L - Max. Panel Length'!$I$360</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CC00CC"/>
                </a:solidFill>
                <a:prstDash val="sysDash"/>
              </a:ln>
              <a:effectLst/>
            </c:spPr>
            <c:trendlineType val="linear"/>
            <c:dispRSqr val="1"/>
            <c:dispEq val="1"/>
            <c:trendlineLbl>
              <c:layout>
                <c:manualLayout>
                  <c:x val="-0.30371232257890768"/>
                  <c:y val="0.121383853663497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Length'!$E$361:$E$388</c:f>
            </c:strRef>
          </c:xVal>
          <c:yVal>
            <c:numRef>
              <c:f>'Norex L - Max. Panel Length'!$I$361:$I$388</c:f>
              <c:numCache>
                <c:formatCode>0.00</c:formatCode>
                <c:ptCount val="28"/>
                <c:pt idx="1">
                  <c:v>62.5</c:v>
                </c:pt>
                <c:pt idx="13">
                  <c:v>34</c:v>
                </c:pt>
                <c:pt idx="15">
                  <c:v>34</c:v>
                </c:pt>
                <c:pt idx="23">
                  <c:v>34.321478009284149</c:v>
                </c:pt>
                <c:pt idx="24">
                  <c:v>32.678690629663372</c:v>
                </c:pt>
                <c:pt idx="25">
                  <c:v>30.153258547580648</c:v>
                </c:pt>
                <c:pt idx="26">
                  <c:v>25.942704061226042</c:v>
                </c:pt>
                <c:pt idx="27">
                  <c:v>19.27182457884529</c:v>
                </c:pt>
              </c:numCache>
            </c:numRef>
          </c:yVal>
          <c:smooth val="0"/>
          <c:extLst>
            <c:ext xmlns:c16="http://schemas.microsoft.com/office/drawing/2014/chart" uri="{C3380CC4-5D6E-409C-BE32-E72D297353CC}">
              <c16:uniqueId val="{00000001-5ECC-436F-BBC7-2DEB21650F7F}"/>
            </c:ext>
          </c:extLst>
        </c:ser>
        <c:ser>
          <c:idx val="1"/>
          <c:order val="1"/>
          <c:tx>
            <c:strRef>
              <c:f>'Norex L - Max. Panel Length'!$J$360</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xVal>
            <c:strRef>
              <c:f>'Norex L - Max. Panel Length'!$E$361:$E$388</c:f>
            </c:strRef>
          </c:xVal>
          <c:yVal>
            <c:numRef>
              <c:f>'Norex L - Max. Panel Length'!$J$361:$J$388</c:f>
              <c:numCache>
                <c:formatCode>0.00</c:formatCode>
                <c:ptCount val="28"/>
                <c:pt idx="0">
                  <c:v>60.98552873232714</c:v>
                </c:pt>
                <c:pt idx="1">
                  <c:v>60.84370816338874</c:v>
                </c:pt>
                <c:pt idx="2">
                  <c:v>56.400368443574905</c:v>
                </c:pt>
                <c:pt idx="3">
                  <c:v>56.153752966300587</c:v>
                </c:pt>
                <c:pt idx="4">
                  <c:v>54.925668095569534</c:v>
                </c:pt>
                <c:pt idx="5">
                  <c:v>53.454174193530562</c:v>
                </c:pt>
                <c:pt idx="6">
                  <c:v>50.708968805465489</c:v>
                </c:pt>
                <c:pt idx="7">
                  <c:v>47.076557455445496</c:v>
                </c:pt>
                <c:pt idx="8">
                  <c:v>46.567307197061027</c:v>
                </c:pt>
                <c:pt idx="9">
                  <c:v>46.352461835369567</c:v>
                </c:pt>
                <c:pt idx="10">
                  <c:v>42.111192748803703</c:v>
                </c:pt>
                <c:pt idx="11">
                  <c:v>42.02459466440915</c:v>
                </c:pt>
                <c:pt idx="12">
                  <c:v>39.871401003604646</c:v>
                </c:pt>
                <c:pt idx="13">
                  <c:v>39.155260883288591</c:v>
                </c:pt>
                <c:pt idx="14">
                  <c:v>35.637542140883042</c:v>
                </c:pt>
                <c:pt idx="15">
                  <c:v>35.586493531347543</c:v>
                </c:pt>
                <c:pt idx="16">
                  <c:v>35.586493531347543</c:v>
                </c:pt>
                <c:pt idx="17">
                  <c:v>35.331044296449335</c:v>
                </c:pt>
                <c:pt idx="18">
                  <c:v>35.161551809886248</c:v>
                </c:pt>
                <c:pt idx="19">
                  <c:v>34.875126710887329</c:v>
                </c:pt>
                <c:pt idx="20">
                  <c:v>34.092520808541281</c:v>
                </c:pt>
                <c:pt idx="21">
                  <c:v>33.717326354222834</c:v>
                </c:pt>
                <c:pt idx="22">
                  <c:v>32.477836979427707</c:v>
                </c:pt>
                <c:pt idx="23">
                  <c:v>31.49308294354104</c:v>
                </c:pt>
                <c:pt idx="24">
                  <c:v>31.330225858225859</c:v>
                </c:pt>
                <c:pt idx="25">
                  <c:v>28.929364091711193</c:v>
                </c:pt>
                <c:pt idx="26">
                  <c:v>26.400777763491178</c:v>
                </c:pt>
                <c:pt idx="27">
                  <c:v>19.142455772523931</c:v>
                </c:pt>
              </c:numCache>
            </c:numRef>
          </c:yVal>
          <c:smooth val="0"/>
          <c:extLst>
            <c:ext xmlns:c16="http://schemas.microsoft.com/office/drawing/2014/chart" uri="{C3380CC4-5D6E-409C-BE32-E72D297353CC}">
              <c16:uniqueId val="{00000002-5ECC-436F-BBC7-2DEB21650F7F}"/>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04-5ECC-436F-BBC7-2DEB21650F7F}"/>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06-5ECC-436F-BBC7-2DEB21650F7F}"/>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7.9845703103211957E-2"/>
          <c:y val="0.79055206691412028"/>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(Microribbed Smooth 24ga)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L - Max. Panel Length'!$L$360</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FF99FF"/>
                </a:solidFill>
                <a:prstDash val="solid"/>
              </a:ln>
              <a:effectLst/>
            </c:spPr>
            <c:trendlineType val="linear"/>
            <c:dispRSqr val="1"/>
            <c:dispEq val="1"/>
            <c:trendlineLbl>
              <c:layout>
                <c:manualLayout>
                  <c:x val="-0.30371232257890768"/>
                  <c:y val="0.121383853663497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Length'!$E$361:$E$388</c:f>
            </c:strRef>
          </c:xVal>
          <c:yVal>
            <c:numRef>
              <c:f>'Norex L - Max. Panel Length'!$L$361:$L$388</c:f>
              <c:numCache>
                <c:formatCode>0.00</c:formatCode>
                <c:ptCount val="28"/>
                <c:pt idx="1">
                  <c:v>58.625</c:v>
                </c:pt>
                <c:pt idx="13">
                  <c:v>31</c:v>
                </c:pt>
                <c:pt idx="15">
                  <c:v>31</c:v>
                </c:pt>
                <c:pt idx="23">
                  <c:v>29.96315102419765</c:v>
                </c:pt>
                <c:pt idx="24">
                  <c:v>28.466300459111203</c:v>
                </c:pt>
                <c:pt idx="25">
                  <c:v>25.703604089663052</c:v>
                </c:pt>
                <c:pt idx="26">
                  <c:v>20.647170979280695</c:v>
                </c:pt>
                <c:pt idx="27">
                  <c:v>13.916951142307219</c:v>
                </c:pt>
              </c:numCache>
            </c:numRef>
          </c:yVal>
          <c:smooth val="0"/>
          <c:extLst>
            <c:ext xmlns:c16="http://schemas.microsoft.com/office/drawing/2014/chart" uri="{C3380CC4-5D6E-409C-BE32-E72D297353CC}">
              <c16:uniqueId val="{00000001-B7D6-43F1-9FE6-DBBE4D5672BC}"/>
            </c:ext>
          </c:extLst>
        </c:ser>
        <c:ser>
          <c:idx val="1"/>
          <c:order val="1"/>
          <c:tx>
            <c:strRef>
              <c:f>'Norex L - Max. Panel Length'!$M$360</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xVal>
            <c:strRef>
              <c:f>'Norex L - Max. Panel Length'!$E$361:$E$388</c:f>
            </c:strRef>
          </c:xVal>
          <c:yVal>
            <c:numRef>
              <c:f>'Norex L - Max. Panel Length'!$M$361:$M$388</c:f>
              <c:numCache>
                <c:formatCode>0.00</c:formatCode>
                <c:ptCount val="28"/>
                <c:pt idx="0">
                  <c:v>57.898375124837315</c:v>
                </c:pt>
                <c:pt idx="1">
                  <c:v>57.750704445035893</c:v>
                </c:pt>
                <c:pt idx="2">
                  <c:v>53.124076573457373</c:v>
                </c:pt>
                <c:pt idx="3">
                  <c:v>52.867288186192724</c:v>
                </c:pt>
                <c:pt idx="4">
                  <c:v>51.588544707216457</c:v>
                </c:pt>
                <c:pt idx="5">
                  <c:v>50.056351553118262</c:v>
                </c:pt>
                <c:pt idx="6">
                  <c:v>47.197906202880333</c:v>
                </c:pt>
                <c:pt idx="7">
                  <c:v>43.415657567220137</c:v>
                </c:pt>
                <c:pt idx="8">
                  <c:v>42.885400691171753</c:v>
                </c:pt>
                <c:pt idx="9">
                  <c:v>42.661692939534291</c:v>
                </c:pt>
                <c:pt idx="10">
                  <c:v>38.245471132485036</c:v>
                </c:pt>
                <c:pt idx="11">
                  <c:v>38.155300869541037</c:v>
                </c:pt>
                <c:pt idx="12">
                  <c:v>35.913287782051597</c:v>
                </c:pt>
                <c:pt idx="13">
                  <c:v>35.167606819185963</c:v>
                </c:pt>
                <c:pt idx="14">
                  <c:v>31.504781871227777</c:v>
                </c:pt>
                <c:pt idx="15">
                  <c:v>31.451627502087604</c:v>
                </c:pt>
                <c:pt idx="16">
                  <c:v>31.451627502087604</c:v>
                </c:pt>
                <c:pt idx="17">
                  <c:v>31.185640963925039</c:v>
                </c:pt>
                <c:pt idx="18">
                  <c:v>31.009156897478547</c:v>
                </c:pt>
                <c:pt idx="19">
                  <c:v>30.710916738114008</c:v>
                </c:pt>
                <c:pt idx="20">
                  <c:v>29.896028273900939</c:v>
                </c:pt>
                <c:pt idx="21">
                  <c:v>29.505357015552022</c:v>
                </c:pt>
                <c:pt idx="22">
                  <c:v>28.214738595722338</c:v>
                </c:pt>
                <c:pt idx="23">
                  <c:v>27.189363369793512</c:v>
                </c:pt>
                <c:pt idx="24">
                  <c:v>27.019788415476299</c:v>
                </c:pt>
                <c:pt idx="25">
                  <c:v>24.519890891271388</c:v>
                </c:pt>
                <c:pt idx="26">
                  <c:v>21.887000156028392</c:v>
                </c:pt>
                <c:pt idx="27">
                  <c:v>14.329271748598103</c:v>
                </c:pt>
              </c:numCache>
            </c:numRef>
          </c:yVal>
          <c:smooth val="0"/>
          <c:extLst>
            <c:ext xmlns:c16="http://schemas.microsoft.com/office/drawing/2014/chart" uri="{C3380CC4-5D6E-409C-BE32-E72D297353CC}">
              <c16:uniqueId val="{00000002-B7D6-43F1-9FE6-DBBE4D5672BC}"/>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04-B7D6-43F1-9FE6-DBBE4D5672BC}"/>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06-B7D6-43F1-9FE6-DBBE4D5672BC}"/>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7.9845703103211957E-2"/>
          <c:y val="0.79055206691412028"/>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(Microribbed Embossed 24ga)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L - Max. Panel Length'!$O$360</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FF99FF"/>
                </a:solidFill>
                <a:prstDash val="sysDash"/>
              </a:ln>
              <a:effectLst/>
            </c:spPr>
            <c:trendlineType val="linear"/>
            <c:dispRSqr val="1"/>
            <c:dispEq val="1"/>
            <c:trendlineLbl>
              <c:layout>
                <c:manualLayout>
                  <c:x val="-0.30371232257890768"/>
                  <c:y val="0.121383853663497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strRef>
              <c:f>'Norex L - Max. Panel Length'!$E$361:$E$388</c:f>
            </c:strRef>
          </c:xVal>
          <c:yVal>
            <c:numRef>
              <c:f>'Norex L - Max. Panel Length'!$O$361:$O$388</c:f>
              <c:numCache>
                <c:formatCode>0.00</c:formatCode>
                <c:ptCount val="28"/>
                <c:pt idx="1">
                  <c:v>58.625</c:v>
                </c:pt>
                <c:pt idx="13">
                  <c:v>32</c:v>
                </c:pt>
                <c:pt idx="15">
                  <c:v>32</c:v>
                </c:pt>
                <c:pt idx="23">
                  <c:v>30.927747883029571</c:v>
                </c:pt>
                <c:pt idx="24">
                  <c:v>29.371270005059362</c:v>
                </c:pt>
                <c:pt idx="25">
                  <c:v>26.756176594021273</c:v>
                </c:pt>
                <c:pt idx="26">
                  <c:v>21.908024101189799</c:v>
                </c:pt>
                <c:pt idx="27">
                  <c:v>15.679081181745605</c:v>
                </c:pt>
              </c:numCache>
            </c:numRef>
          </c:yVal>
          <c:smooth val="0"/>
          <c:extLst>
            <c:ext xmlns:c16="http://schemas.microsoft.com/office/drawing/2014/chart" uri="{C3380CC4-5D6E-409C-BE32-E72D297353CC}">
              <c16:uniqueId val="{00000001-80C5-465C-B5B4-C3C5AD46B730}"/>
            </c:ext>
          </c:extLst>
        </c:ser>
        <c:ser>
          <c:idx val="1"/>
          <c:order val="1"/>
          <c:tx>
            <c:strRef>
              <c:f>'Norex L - Max. Panel Length'!$P$360</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xVal>
            <c:strRef>
              <c:f>'Norex L - Max. Panel Length'!$E$361:$E$388</c:f>
            </c:strRef>
          </c:xVal>
          <c:yVal>
            <c:numRef>
              <c:f>'Norex L - Max. Panel Length'!$P$361:$P$388</c:f>
              <c:numCache>
                <c:formatCode>0.00</c:formatCode>
                <c:ptCount val="28"/>
                <c:pt idx="0">
                  <c:v>57.882818323518734</c:v>
                </c:pt>
                <c:pt idx="1">
                  <c:v>57.740472236146886</c:v>
                </c:pt>
                <c:pt idx="2">
                  <c:v>53.280667648462654</c:v>
                </c:pt>
                <c:pt idx="3">
                  <c:v>53.033138333511232</c:v>
                </c:pt>
                <c:pt idx="4">
                  <c:v>51.800502774242915</c:v>
                </c:pt>
                <c:pt idx="5">
                  <c:v>50.323556227527419</c:v>
                </c:pt>
                <c:pt idx="6">
                  <c:v>47.568178436080714</c:v>
                </c:pt>
                <c:pt idx="7">
                  <c:v>43.922307126503213</c:v>
                </c:pt>
                <c:pt idx="8">
                  <c:v>43.411169832972661</c:v>
                </c:pt>
                <c:pt idx="9">
                  <c:v>43.195528358286069</c:v>
                </c:pt>
                <c:pt idx="10">
                  <c:v>38.93854317988017</c:v>
                </c:pt>
                <c:pt idx="11">
                  <c:v>38.851624204870149</c:v>
                </c:pt>
                <c:pt idx="12">
                  <c:v>36.69045184980412</c:v>
                </c:pt>
                <c:pt idx="13">
                  <c:v>35.971658060581063</c:v>
                </c:pt>
                <c:pt idx="14">
                  <c:v>32.4409043539479</c:v>
                </c:pt>
                <c:pt idx="15">
                  <c:v>32.389666582956409</c:v>
                </c:pt>
                <c:pt idx="16">
                  <c:v>32.389666582956409</c:v>
                </c:pt>
                <c:pt idx="17">
                  <c:v>32.133270776748006</c:v>
                </c:pt>
                <c:pt idx="18">
                  <c:v>31.963150233008946</c:v>
                </c:pt>
                <c:pt idx="19">
                  <c:v>31.675663781129728</c:v>
                </c:pt>
                <c:pt idx="20">
                  <c:v>30.890157919836312</c:v>
                </c:pt>
                <c:pt idx="21">
                  <c:v>30.513573176342234</c:v>
                </c:pt>
                <c:pt idx="22">
                  <c:v>29.269490853433837</c:v>
                </c:pt>
                <c:pt idx="23">
                  <c:v>28.281087795390832</c:v>
                </c:pt>
                <c:pt idx="24">
                  <c:v>28.117627240487337</c:v>
                </c:pt>
                <c:pt idx="25">
                  <c:v>25.707869041502207</c:v>
                </c:pt>
                <c:pt idx="26">
                  <c:v>23.169912995363177</c:v>
                </c:pt>
                <c:pt idx="27">
                  <c:v>15.884695173764484</c:v>
                </c:pt>
              </c:numCache>
            </c:numRef>
          </c:yVal>
          <c:smooth val="0"/>
          <c:extLst>
            <c:ext xmlns:c16="http://schemas.microsoft.com/office/drawing/2014/chart" uri="{C3380CC4-5D6E-409C-BE32-E72D297353CC}">
              <c16:uniqueId val="{00000002-80C5-465C-B5B4-C3C5AD46B730}"/>
            </c:ext>
          </c:extLst>
        </c:ser>
        <c:ser>
          <c:idx val="2"/>
          <c:order val="2"/>
          <c:tx>
            <c:strRef>
              <c:f>'Norex L - Max. Panel Length'!$Q$74</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L - Max. Panel Length'!$Q$77:$Q$78</c:f>
              <c:numCache>
                <c:formatCode>General</c:formatCode>
                <c:ptCount val="2"/>
                <c:pt idx="0">
                  <c:v>50</c:v>
                </c:pt>
                <c:pt idx="1">
                  <c:v>85</c:v>
                </c:pt>
              </c:numCache>
            </c:numRef>
          </c:xVal>
          <c:yVal>
            <c:numRef>
              <c:f>'Norex L - Max. Panel Length'!$R$77:$R$78</c:f>
              <c:numCache>
                <c:formatCode>General</c:formatCode>
                <c:ptCount val="2"/>
                <c:pt idx="0">
                  <c:v>52.25</c:v>
                </c:pt>
                <c:pt idx="1">
                  <c:v>52.25</c:v>
                </c:pt>
              </c:numCache>
            </c:numRef>
          </c:yVal>
          <c:smooth val="0"/>
          <c:extLst>
            <c:ext xmlns:c16="http://schemas.microsoft.com/office/drawing/2014/chart" uri="{C3380CC4-5D6E-409C-BE32-E72D297353CC}">
              <c16:uniqueId val="{00000004-80C5-465C-B5B4-C3C5AD46B730}"/>
            </c:ext>
          </c:extLst>
        </c:ser>
        <c:ser>
          <c:idx val="3"/>
          <c:order val="3"/>
          <c:tx>
            <c:strRef>
              <c:f>'Norex L - Max. Panel Length'!$Q$87</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L - Max. Panel Length'!$Q$90:$Q$93</c:f>
              <c:numCache>
                <c:formatCode>General</c:formatCode>
                <c:ptCount val="4"/>
                <c:pt idx="0">
                  <c:v>50</c:v>
                </c:pt>
                <c:pt idx="3">
                  <c:v>85</c:v>
                </c:pt>
              </c:numCache>
            </c:numRef>
          </c:xVal>
          <c:yVal>
            <c:numRef>
              <c:f>'Norex L - Max. Panel Length'!$R$90:$R$93</c:f>
              <c:numCache>
                <c:formatCode>General</c:formatCode>
                <c:ptCount val="4"/>
                <c:pt idx="0">
                  <c:v>82</c:v>
                </c:pt>
                <c:pt idx="3">
                  <c:v>82</c:v>
                </c:pt>
              </c:numCache>
            </c:numRef>
          </c:yVal>
          <c:smooth val="0"/>
          <c:extLst>
            <c:ext xmlns:c16="http://schemas.microsoft.com/office/drawing/2014/chart" uri="{C3380CC4-5D6E-409C-BE32-E72D297353CC}">
              <c16:uniqueId val="{00000006-80C5-465C-B5B4-C3C5AD46B730}"/>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7.9845703103211957E-2"/>
          <c:y val="0.79055206691412028"/>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baseline="0"/>
              <a:t>Suggested Pannel Lengths (Silkline and Fluted Smooth 22ga)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M - Max. Panel Length SRY'!$F$158</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70C0"/>
                </a:solidFill>
                <a:prstDash val="solid"/>
              </a:ln>
              <a:effectLst/>
            </c:spPr>
            <c:trendlineType val="poly"/>
            <c:order val="2"/>
            <c:backward val="5"/>
            <c:dispRSqr val="0"/>
            <c:dispEq val="1"/>
            <c:trendlineLbl>
              <c:layout>
                <c:manualLayout>
                  <c:x val="-0.54074394689611682"/>
                  <c:y val="-0.1117362232719569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SRY'!$F$159:$F$186</c:f>
              <c:numCache>
                <c:formatCode>General</c:formatCode>
                <c:ptCount val="28"/>
                <c:pt idx="0">
                  <c:v>65</c:v>
                </c:pt>
                <c:pt idx="1">
                  <c:v>65</c:v>
                </c:pt>
                <c:pt idx="9">
                  <c:v>45</c:v>
                </c:pt>
                <c:pt idx="20">
                  <c:v>40</c:v>
                </c:pt>
                <c:pt idx="21">
                  <c:v>40</c:v>
                </c:pt>
                <c:pt idx="23">
                  <c:v>40</c:v>
                </c:pt>
                <c:pt idx="26">
                  <c:v>30</c:v>
                </c:pt>
                <c:pt idx="27">
                  <c:v>28</c:v>
                </c:pt>
              </c:numCache>
            </c:numRef>
          </c:yVal>
          <c:smooth val="0"/>
          <c:extLst>
            <c:ext xmlns:c16="http://schemas.microsoft.com/office/drawing/2014/chart" uri="{C3380CC4-5D6E-409C-BE32-E72D297353CC}">
              <c16:uniqueId val="{00000001-F766-4871-9820-8BE52E1733E7}"/>
            </c:ext>
          </c:extLst>
        </c:ser>
        <c:ser>
          <c:idx val="1"/>
          <c:order val="1"/>
          <c:tx>
            <c:strRef>
              <c:f>'Norex M - Max. Panel Length SRY'!$C$158</c:f>
              <c:strCache>
                <c:ptCount val="1"/>
                <c:pt idx="0">
                  <c:v>Colors Offered at Norbec</c:v>
                </c:pt>
              </c:strCache>
            </c:strRef>
          </c:tx>
          <c:spPr>
            <a:ln w="25400" cap="rnd">
              <a:noFill/>
              <a:round/>
            </a:ln>
            <a:effectLst/>
          </c:spPr>
          <c:marker>
            <c:symbol val="circle"/>
            <c:size val="5"/>
            <c:spPr>
              <a:solidFill>
                <a:schemeClr val="accent2"/>
              </a:solidFill>
              <a:ln w="0">
                <a:solidFill>
                  <a:schemeClr val="accent2"/>
                </a:solidFill>
              </a:ln>
              <a:effectLst/>
            </c:spPr>
          </c:marker>
          <c:dLbls>
            <c:dLbl>
              <c:idx val="0"/>
              <c:layout>
                <c:manualLayout>
                  <c:x val="3.5896668246496913E-2"/>
                  <c:y val="-8.2937135574099305E-2"/>
                </c:manualLayout>
              </c:layout>
              <c:tx>
                <c:rich>
                  <a:bodyPr/>
                  <a:lstStyle/>
                  <a:p>
                    <a:fld id="{BEA918F9-5398-4508-A041-957068F5887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766-4871-9820-8BE52E1733E7}"/>
                </c:ext>
              </c:extLst>
            </c:dLbl>
            <c:dLbl>
              <c:idx val="1"/>
              <c:layout>
                <c:manualLayout>
                  <c:x val="3.3024934786777184E-2"/>
                  <c:y val="-0.12440570336114896"/>
                </c:manualLayout>
              </c:layout>
              <c:tx>
                <c:rich>
                  <a:bodyPr/>
                  <a:lstStyle/>
                  <a:p>
                    <a:fld id="{73443A59-FB45-4C71-8F59-5C6548052F0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766-4871-9820-8BE52E1733E7}"/>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F766-4871-9820-8BE52E1733E7}"/>
                </c:ext>
              </c:extLst>
            </c:dLbl>
            <c:dLbl>
              <c:idx val="3"/>
              <c:layout>
                <c:manualLayout>
                  <c:x val="1.7230400758318529E-2"/>
                  <c:y val="-5.7595233037568964E-2"/>
                </c:manualLayout>
              </c:layout>
              <c:tx>
                <c:rich>
                  <a:bodyPr/>
                  <a:lstStyle/>
                  <a:p>
                    <a:fld id="{7268818E-8409-4A0D-8184-2DCD50D65E1F}"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766-4871-9820-8BE52E1733E7}"/>
                </c:ext>
              </c:extLst>
            </c:dLbl>
            <c:dLbl>
              <c:idx val="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F766-4871-9820-8BE52E1733E7}"/>
                </c:ext>
              </c:extLst>
            </c:dLbl>
            <c:dLbl>
              <c:idx val="5"/>
              <c:layout>
                <c:manualLayout>
                  <c:x val="1.7230400758318529E-2"/>
                  <c:y val="-3.2253330501038617E-2"/>
                </c:manualLayout>
              </c:layout>
              <c:tx>
                <c:rich>
                  <a:bodyPr/>
                  <a:lstStyle/>
                  <a:p>
                    <a:fld id="{FA604B78-12EA-46D8-AAA7-E547EFA0002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766-4871-9820-8BE52E1733E7}"/>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F766-4871-9820-8BE52E1733E7}"/>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F766-4871-9820-8BE52E1733E7}"/>
                </c:ext>
              </c:extLst>
            </c:dLbl>
            <c:dLbl>
              <c:idx val="8"/>
              <c:layout>
                <c:manualLayout>
                  <c:x val="2.2255877782641886E-2"/>
                  <c:y val="-0.11749427539664069"/>
                </c:manualLayout>
              </c:layout>
              <c:tx>
                <c:rich>
                  <a:bodyPr/>
                  <a:lstStyle/>
                  <a:p>
                    <a:fld id="{6E62AC42-ED1C-4FC1-83EF-D0597FB0EE8F}"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layout>
                    <c:manualLayout>
                      <c:w val="0.2177779069178476"/>
                      <c:h val="5.7526118757923878E-2"/>
                    </c:manualLayout>
                  </c15:layout>
                  <c15:dlblFieldTable/>
                  <c15:showDataLabelsRange val="1"/>
                </c:ext>
                <c:ext xmlns:c16="http://schemas.microsoft.com/office/drawing/2014/chart" uri="{C3380CC4-5D6E-409C-BE32-E72D297353CC}">
                  <c16:uniqueId val="{0000000A-F766-4871-9820-8BE52E1733E7}"/>
                </c:ext>
              </c:extLst>
            </c:dLbl>
            <c:dLbl>
              <c:idx val="9"/>
              <c:layout>
                <c:manualLayout>
                  <c:x val="3.4460801516637059E-2"/>
                  <c:y val="-7.8329516931093787E-2"/>
                </c:manualLayout>
              </c:layout>
              <c:tx>
                <c:rich>
                  <a:bodyPr/>
                  <a:lstStyle/>
                  <a:p>
                    <a:fld id="{E806D7F7-9E12-4619-8555-B54901660D1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766-4871-9820-8BE52E1733E7}"/>
                </c:ext>
              </c:extLst>
            </c:dLbl>
            <c:dLbl>
              <c:idx val="10"/>
              <c:layout>
                <c:manualLayout>
                  <c:x val="4.4511868625656204E-2"/>
                  <c:y val="-2.3038093215027585E-2"/>
                </c:manualLayout>
              </c:layout>
              <c:tx>
                <c:rich>
                  <a:bodyPr/>
                  <a:lstStyle/>
                  <a:p>
                    <a:fld id="{D0E31B63-EC2C-49B8-B94B-AC615067C29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766-4871-9820-8BE52E1733E7}"/>
                </c:ext>
              </c:extLst>
            </c:dLbl>
            <c:dLbl>
              <c:idx val="11"/>
              <c:layout>
                <c:manualLayout>
                  <c:x val="4.0204268436076572E-2"/>
                  <c:y val="-5.7595233037569048E-2"/>
                </c:manualLayout>
              </c:layout>
              <c:tx>
                <c:rich>
                  <a:bodyPr/>
                  <a:lstStyle/>
                  <a:p>
                    <a:fld id="{97956D4E-55EB-40CD-8BD4-4063818CEAB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766-4871-9820-8BE52E1733E7}"/>
                </c:ext>
              </c:extLst>
            </c:dLbl>
            <c:dLbl>
              <c:idx val="12"/>
              <c:layout>
                <c:manualLayout>
                  <c:x val="1.2922800568738898E-2"/>
                  <c:y val="-9.2152372860111187E-3"/>
                </c:manualLayout>
              </c:layout>
              <c:tx>
                <c:rich>
                  <a:bodyPr/>
                  <a:lstStyle/>
                  <a:p>
                    <a:fld id="{46D86F8E-1616-4B5F-A476-93ED6078E45B}"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766-4871-9820-8BE52E1733E7}"/>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F766-4871-9820-8BE52E1733E7}"/>
                </c:ext>
              </c:extLst>
            </c:dLbl>
            <c:dLbl>
              <c:idx val="14"/>
              <c:layout>
                <c:manualLayout>
                  <c:x val="0.25845601137477797"/>
                  <c:y val="-0.28106473722333652"/>
                </c:manualLayout>
              </c:layout>
              <c:tx>
                <c:rich>
                  <a:bodyPr/>
                  <a:lstStyle/>
                  <a:p>
                    <a:fld id="{041E13F4-3C2B-4964-B6D9-A39E91988ED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766-4871-9820-8BE52E1733E7}"/>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F766-4871-9820-8BE52E1733E7}"/>
                </c:ext>
              </c:extLst>
            </c:dLbl>
            <c:dLbl>
              <c:idx val="16"/>
              <c:layout>
                <c:manualLayout>
                  <c:x val="0.25702014464491807"/>
                  <c:y val="-0.23729236011478413"/>
                </c:manualLayout>
              </c:layout>
              <c:tx>
                <c:rich>
                  <a:bodyPr/>
                  <a:lstStyle/>
                  <a:p>
                    <a:fld id="{316C899C-B579-4CEE-991D-5B6670A3269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766-4871-9820-8BE52E1733E7}"/>
                </c:ext>
              </c:extLst>
            </c:dLbl>
            <c:dLbl>
              <c:idx val="17"/>
              <c:layout>
                <c:manualLayout>
                  <c:x val="0.25558427791505817"/>
                  <c:y val="-0.20273522029224275"/>
                </c:manualLayout>
              </c:layout>
              <c:tx>
                <c:rich>
                  <a:bodyPr/>
                  <a:lstStyle/>
                  <a:p>
                    <a:fld id="{B0AB2728-4102-43FE-97B2-6537D78B8F47}"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766-4871-9820-8BE52E1733E7}"/>
                </c:ext>
              </c:extLst>
            </c:dLbl>
            <c:dLbl>
              <c:idx val="18"/>
              <c:layout>
                <c:manualLayout>
                  <c:x val="0.25414841118519821"/>
                  <c:y val="-0.1497476058976793"/>
                </c:manualLayout>
              </c:layout>
              <c:tx>
                <c:rich>
                  <a:bodyPr/>
                  <a:lstStyle/>
                  <a:p>
                    <a:fld id="{D1D13868-5B2C-4EFB-9B49-23B66CEDB74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F766-4871-9820-8BE52E1733E7}"/>
                </c:ext>
              </c:extLst>
            </c:dLbl>
            <c:dLbl>
              <c:idx val="19"/>
              <c:layout>
                <c:manualLayout>
                  <c:x val="0.24984081099561858"/>
                  <c:y val="-0.11749427539664077"/>
                </c:manualLayout>
              </c:layout>
              <c:tx>
                <c:rich>
                  <a:bodyPr/>
                  <a:lstStyle/>
                  <a:p>
                    <a:fld id="{820ACFC3-D20A-42A8-8FEB-0502F8C9447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F766-4871-9820-8BE52E1733E7}"/>
                </c:ext>
              </c:extLst>
            </c:dLbl>
            <c:dLbl>
              <c:idx val="20"/>
              <c:layout>
                <c:manualLayout>
                  <c:x val="0.23691801042687968"/>
                  <c:y val="-9.6759991503115858E-2"/>
                </c:manualLayout>
              </c:layout>
              <c:tx>
                <c:rich>
                  <a:bodyPr/>
                  <a:lstStyle/>
                  <a:p>
                    <a:fld id="{325FE303-7694-484D-979A-AADEE5038216}"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F766-4871-9820-8BE52E1733E7}"/>
                </c:ext>
              </c:extLst>
            </c:dLbl>
            <c:dLbl>
              <c:idx val="21"/>
              <c:layout>
                <c:manualLayout>
                  <c:x val="0.22973867677758028"/>
                  <c:y val="-6.9114279645082752E-2"/>
                </c:manualLayout>
              </c:layout>
              <c:tx>
                <c:rich>
                  <a:bodyPr/>
                  <a:lstStyle/>
                  <a:p>
                    <a:fld id="{8CAC3A0C-1102-444E-961E-9D7761F8F3C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766-4871-9820-8BE52E1733E7}"/>
                </c:ext>
              </c:extLst>
            </c:dLbl>
            <c:dLbl>
              <c:idx val="22"/>
              <c:layout>
                <c:manualLayout>
                  <c:x val="0.20963654255954223"/>
                  <c:y val="-4.8379995751558012E-2"/>
                </c:manualLayout>
              </c:layout>
              <c:tx>
                <c:rich>
                  <a:bodyPr/>
                  <a:lstStyle/>
                  <a:p>
                    <a:fld id="{9FBED018-4AC1-44EB-8E7F-F5A1C03D345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766-4871-9820-8BE52E1733E7}"/>
                </c:ext>
              </c:extLst>
            </c:dLbl>
            <c:dLbl>
              <c:idx val="23"/>
              <c:layout>
                <c:manualLayout>
                  <c:x val="0.19384200853108335"/>
                  <c:y val="-2.0734283893524909E-2"/>
                </c:manualLayout>
              </c:layout>
              <c:tx>
                <c:rich>
                  <a:bodyPr/>
                  <a:lstStyle/>
                  <a:p>
                    <a:fld id="{FA5A52B2-5AF9-4DB6-9190-FF3463FB261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766-4871-9820-8BE52E1733E7}"/>
                </c:ext>
              </c:extLst>
            </c:dLbl>
            <c:dLbl>
              <c:idx val="24"/>
              <c:layout>
                <c:manualLayout>
                  <c:x val="0.19097027507136372"/>
                  <c:y val="1.1519046607513708E-2"/>
                </c:manualLayout>
              </c:layout>
              <c:tx>
                <c:rich>
                  <a:bodyPr/>
                  <a:lstStyle/>
                  <a:p>
                    <a:fld id="{4F0A7107-63D9-4C9D-A67D-6E0431203AD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766-4871-9820-8BE52E1733E7}"/>
                </c:ext>
              </c:extLst>
            </c:dLbl>
            <c:dLbl>
              <c:idx val="25"/>
              <c:layout>
                <c:manualLayout>
                  <c:x val="0.1522018733651469"/>
                  <c:y val="2.7645711858033103E-2"/>
                </c:manualLayout>
              </c:layout>
              <c:tx>
                <c:rich>
                  <a:bodyPr/>
                  <a:lstStyle/>
                  <a:p>
                    <a:fld id="{6B1529B7-CD40-4065-A16E-7524204BAC2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766-4871-9820-8BE52E1733E7}"/>
                </c:ext>
              </c:extLst>
            </c:dLbl>
            <c:dLbl>
              <c:idx val="26"/>
              <c:layout>
                <c:manualLayout>
                  <c:x val="0.11056173819921057"/>
                  <c:y val="3.4557139822541376E-2"/>
                </c:manualLayout>
              </c:layout>
              <c:tx>
                <c:rich>
                  <a:bodyPr/>
                  <a:lstStyle/>
                  <a:p>
                    <a:fld id="{189EB49D-01E5-4463-8D94-B7C4849F4EF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766-4871-9820-8BE52E1733E7}"/>
                </c:ext>
              </c:extLst>
            </c:dLbl>
            <c:dLbl>
              <c:idx val="27"/>
              <c:tx>
                <c:rich>
                  <a:bodyPr/>
                  <a:lstStyle/>
                  <a:p>
                    <a:fld id="{EE8F7E5B-37C8-4FA9-B76F-8678C9A3A4C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766-4871-9820-8BE52E1733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SRY'!$G$159:$G$186</c:f>
              <c:numCache>
                <c:formatCode>0.0</c:formatCode>
                <c:ptCount val="28"/>
                <c:pt idx="0">
                  <c:v>64.38276651157156</c:v>
                </c:pt>
                <c:pt idx="1">
                  <c:v>64.22125220768244</c:v>
                </c:pt>
                <c:pt idx="3">
                  <c:v>59.02846374951568</c:v>
                </c:pt>
                <c:pt idx="5">
                  <c:v>56.170116097461346</c:v>
                </c:pt>
                <c:pt idx="8">
                  <c:v>49.310659444890064</c:v>
                </c:pt>
                <c:pt idx="9">
                  <c:v>49.106663192302818</c:v>
                </c:pt>
                <c:pt idx="10">
                  <c:v>45.203361592428877</c:v>
                </c:pt>
                <c:pt idx="11">
                  <c:v>45.126119010314227</c:v>
                </c:pt>
                <c:pt idx="12">
                  <c:v>43.237131989993401</c:v>
                </c:pt>
                <c:pt idx="14">
                  <c:v>39.69991490477949</c:v>
                </c:pt>
                <c:pt idx="16">
                  <c:v>39.658698633334922</c:v>
                </c:pt>
                <c:pt idx="17">
                  <c:v>39.452963642848118</c:v>
                </c:pt>
                <c:pt idx="18">
                  <c:v>39.316928700985414</c:v>
                </c:pt>
                <c:pt idx="19">
                  <c:v>39.08789881465799</c:v>
                </c:pt>
                <c:pt idx="20">
                  <c:v>38.467595217971336</c:v>
                </c:pt>
                <c:pt idx="21">
                  <c:v>38.173056605530491</c:v>
                </c:pt>
                <c:pt idx="22">
                  <c:v>37.213130559720611</c:v>
                </c:pt>
                <c:pt idx="23">
                  <c:v>36.464831999974109</c:v>
                </c:pt>
                <c:pt idx="24">
                  <c:v>36.342303750947934</c:v>
                </c:pt>
                <c:pt idx="25">
                  <c:v>34.576292276641311</c:v>
                </c:pt>
                <c:pt idx="26">
                  <c:v>32.797974374694633</c:v>
                </c:pt>
                <c:pt idx="27">
                  <c:v>28.158601496101568</c:v>
                </c:pt>
              </c:numCache>
            </c:numRef>
          </c:yVal>
          <c:smooth val="0"/>
          <c:extLst xmlns:c15="http://schemas.microsoft.com/office/drawing/2012/chart">
            <c:ext xmlns:c15="http://schemas.microsoft.com/office/drawing/2012/chart" uri="{02D57815-91ED-43cb-92C2-25804820EDAC}">
              <c15:datalabelsRange>
                <c15:f>'Norex M - Max. Panel Length SRY'!$C$159:$C$186</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F766-4871-9820-8BE52E1733E7}"/>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89E398"/>
                </a:solidFill>
                <a:prstDash val="sysDot"/>
              </a:ln>
              <a:effectLst/>
            </c:spPr>
            <c:trendlineType val="linear"/>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xmlns:c15="http://schemas.microsoft.com/office/drawing/2012/chart">
            <c:ext xmlns:c16="http://schemas.microsoft.com/office/drawing/2014/chart" uri="{C3380CC4-5D6E-409C-BE32-E72D297353CC}">
              <c16:uniqueId val="{00000020-F766-4871-9820-8BE52E1733E7}"/>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xmlns:c15="http://schemas.microsoft.com/office/drawing/2012/chart">
            <c:ext xmlns:c16="http://schemas.microsoft.com/office/drawing/2014/chart" uri="{C3380CC4-5D6E-409C-BE32-E72D297353CC}">
              <c16:uniqueId val="{00000022-F766-4871-9820-8BE52E1733E7}"/>
            </c:ext>
          </c:extLst>
        </c:ser>
        <c:dLbls>
          <c:showLegendKey val="0"/>
          <c:showVal val="0"/>
          <c:showCatName val="0"/>
          <c:showSerName val="0"/>
          <c:showPercent val="0"/>
          <c:showBubbleSize val="0"/>
        </c:dLbls>
        <c:axId val="1504000352"/>
        <c:axId val="1504014080"/>
        <c:extLst/>
      </c:scatterChart>
      <c:valAx>
        <c:axId val="1504000352"/>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a:t>T</a:t>
                </a:r>
                <a:r>
                  <a:rPr lang="fr-CA" sz="800"/>
                  <a:t>surf.max. </a:t>
                </a:r>
                <a:r>
                  <a:rPr lang="fr-CA"/>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04014080"/>
        <c:crosses val="autoZero"/>
        <c:crossBetween val="midCat"/>
        <c:majorUnit val="5"/>
      </c:valAx>
      <c:valAx>
        <c:axId val="1504014080"/>
        <c:scaling>
          <c:orientation val="minMax"/>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04000352"/>
        <c:crosses val="autoZero"/>
        <c:crossBetween val="midCat"/>
        <c:majorUnit val="5"/>
      </c:valAx>
      <c:spPr>
        <a:noFill/>
        <a:ln>
          <a:noFill/>
        </a:ln>
        <a:effectLst/>
      </c:spPr>
    </c:plotArea>
    <c:legend>
      <c:legendPos val="b"/>
      <c:layout>
        <c:manualLayout>
          <c:xMode val="edge"/>
          <c:yMode val="edge"/>
          <c:x val="4.2768823252965722E-2"/>
          <c:y val="0.80578675704923475"/>
          <c:w val="0.60862239564790144"/>
          <c:h val="8.705835079794913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100" b="0" i="0" u="none" strike="noStrike" kern="1200" spc="0" baseline="0">
                <a:solidFill>
                  <a:sysClr val="windowText" lastClr="000000">
                    <a:lumMod val="65000"/>
                    <a:lumOff val="35000"/>
                  </a:sysClr>
                </a:solidFill>
              </a:rPr>
              <a:t>Suggested Pannel Lengths  (Silkline and Fluted Embossed 22ga)</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M - Max. Panel Length SRY'!$I$158</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70C0"/>
                </a:solidFill>
                <a:prstDash val="sysDash"/>
              </a:ln>
              <a:effectLst/>
            </c:spPr>
            <c:trendlineType val="poly"/>
            <c:order val="2"/>
            <c:dispRSqr val="1"/>
            <c:dispEq val="1"/>
            <c:trendlineLbl>
              <c:layout>
                <c:manualLayout>
                  <c:x val="-0.5358547734451421"/>
                  <c:y val="-9.353921390788436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SRY'!$I$159:$I$186</c:f>
              <c:numCache>
                <c:formatCode>General</c:formatCode>
                <c:ptCount val="28"/>
                <c:pt idx="0">
                  <c:v>65</c:v>
                </c:pt>
                <c:pt idx="1">
                  <c:v>65</c:v>
                </c:pt>
                <c:pt idx="9">
                  <c:v>46</c:v>
                </c:pt>
                <c:pt idx="19">
                  <c:v>42</c:v>
                </c:pt>
                <c:pt idx="20">
                  <c:v>41</c:v>
                </c:pt>
                <c:pt idx="21">
                  <c:v>41</c:v>
                </c:pt>
                <c:pt idx="23">
                  <c:v>41</c:v>
                </c:pt>
                <c:pt idx="26">
                  <c:v>31</c:v>
                </c:pt>
                <c:pt idx="27">
                  <c:v>28</c:v>
                </c:pt>
              </c:numCache>
            </c:numRef>
          </c:yVal>
          <c:smooth val="0"/>
          <c:extLst>
            <c:ext xmlns:c16="http://schemas.microsoft.com/office/drawing/2014/chart" uri="{C3380CC4-5D6E-409C-BE32-E72D297353CC}">
              <c16:uniqueId val="{00000001-55D0-4EDE-B6D0-F778408C51B0}"/>
            </c:ext>
          </c:extLst>
        </c:ser>
        <c:ser>
          <c:idx val="1"/>
          <c:order val="1"/>
          <c:tx>
            <c:strRef>
              <c:f>'Norex M - Max. Panel Length SRY'!$J$158</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5.3947691978030121E-2"/>
                  <c:y val="-4.8469230126161798E-2"/>
                </c:manualLayout>
              </c:layout>
              <c:tx>
                <c:rich>
                  <a:bodyPr/>
                  <a:lstStyle/>
                  <a:p>
                    <a:fld id="{BAD68472-00CF-4738-A851-D5A39BBCBD5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5D0-4EDE-B6D0-F778408C51B0}"/>
                </c:ext>
              </c:extLst>
            </c:dLbl>
            <c:dLbl>
              <c:idx val="1"/>
              <c:layout>
                <c:manualLayout>
                  <c:x val="4.7953503980471192E-2"/>
                  <c:y val="-8.7706225942578417E-2"/>
                </c:manualLayout>
              </c:layout>
              <c:tx>
                <c:rich>
                  <a:bodyPr/>
                  <a:lstStyle/>
                  <a:p>
                    <a:fld id="{315E838A-3835-4F50-87A3-D89CD438ADB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5D0-4EDE-B6D0-F778408C51B0}"/>
                </c:ext>
              </c:extLst>
            </c:dLbl>
            <c:dLbl>
              <c:idx val="2"/>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55D0-4EDE-B6D0-F778408C51B0}"/>
                </c:ext>
              </c:extLst>
            </c:dLbl>
            <c:dLbl>
              <c:idx val="3"/>
              <c:layout>
                <c:manualLayout>
                  <c:x val="5.5749750312568166E-2"/>
                  <c:y val="-6.9259043882401339E-2"/>
                </c:manualLayout>
              </c:layout>
              <c:tx>
                <c:rich>
                  <a:bodyPr/>
                  <a:lstStyle/>
                  <a:p>
                    <a:fld id="{2E026DBB-33DE-40B1-BCA4-98626E9A604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5D0-4EDE-B6D0-F778408C51B0}"/>
                </c:ext>
              </c:extLst>
            </c:dLbl>
            <c:dLbl>
              <c:idx val="4"/>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55D0-4EDE-B6D0-F778408C51B0}"/>
                </c:ext>
              </c:extLst>
            </c:dLbl>
            <c:dLbl>
              <c:idx val="5"/>
              <c:layout>
                <c:manualLayout>
                  <c:x val="2.1197675473364028E-2"/>
                  <c:y val="-6.4467542255039145E-2"/>
                </c:manualLayout>
              </c:layout>
              <c:tx>
                <c:rich>
                  <a:bodyPr/>
                  <a:lstStyle/>
                  <a:p>
                    <a:fld id="{8049C344-9A47-4C1F-B398-0B6C8E2587A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55D0-4EDE-B6D0-F778408C51B0}"/>
                </c:ext>
              </c:extLst>
            </c:dLbl>
            <c:dLbl>
              <c:idx val="6"/>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55D0-4EDE-B6D0-F778408C51B0}"/>
                </c:ext>
              </c:extLst>
            </c:dLbl>
            <c:dLbl>
              <c:idx val="7"/>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55D0-4EDE-B6D0-F778408C51B0}"/>
                </c:ext>
              </c:extLst>
            </c:dLbl>
            <c:dLbl>
              <c:idx val="8"/>
              <c:layout>
                <c:manualLayout>
                  <c:x val="4.9841092926355648E-2"/>
                  <c:y val="-0.14363319764591281"/>
                </c:manualLayout>
              </c:layout>
              <c:tx>
                <c:rich>
                  <a:bodyPr/>
                  <a:lstStyle/>
                  <a:p>
                    <a:fld id="{381494B3-6223-4AD4-B56B-792183B4B8C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layout>
                    <c:manualLayout>
                      <c:w val="0.22659670287065353"/>
                      <c:h val="5.7395036812248751E-2"/>
                    </c:manualLayout>
                  </c15:layout>
                  <c15:dlblFieldTable/>
                  <c15:showDataLabelsRange val="1"/>
                </c:ext>
                <c:ext xmlns:c16="http://schemas.microsoft.com/office/drawing/2014/chart" uri="{C3380CC4-5D6E-409C-BE32-E72D297353CC}">
                  <c16:uniqueId val="{0000000A-55D0-4EDE-B6D0-F778408C51B0}"/>
                </c:ext>
              </c:extLst>
            </c:dLbl>
            <c:dLbl>
              <c:idx val="9"/>
              <c:layout>
                <c:manualLayout>
                  <c:x val="5.7381096796303606E-2"/>
                  <c:y val="-0.10616558788199303"/>
                </c:manualLayout>
              </c:layout>
              <c:tx>
                <c:rich>
                  <a:bodyPr/>
                  <a:lstStyle/>
                  <a:p>
                    <a:fld id="{013DA774-C672-4F66-9B16-92ABC82C839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55D0-4EDE-B6D0-F778408C51B0}"/>
                </c:ext>
              </c:extLst>
            </c:dLbl>
            <c:dLbl>
              <c:idx val="10"/>
              <c:layout>
                <c:manualLayout>
                  <c:x val="6.7690182796785278E-2"/>
                  <c:y val="-0.11858980152644721"/>
                </c:manualLayout>
              </c:layout>
              <c:tx>
                <c:rich>
                  <a:bodyPr/>
                  <a:lstStyle/>
                  <a:p>
                    <a:fld id="{86693B0A-F7D6-445D-BF86-2419C09AE1F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55D0-4EDE-B6D0-F778408C51B0}"/>
                </c:ext>
              </c:extLst>
            </c:dLbl>
            <c:dLbl>
              <c:idx val="11"/>
              <c:layout>
                <c:manualLayout>
                  <c:x val="6.3218906397563182E-2"/>
                  <c:y val="-8.627794855941498E-2"/>
                </c:manualLayout>
              </c:layout>
              <c:tx>
                <c:rich>
                  <a:bodyPr/>
                  <a:lstStyle/>
                  <a:p>
                    <a:fld id="{B4D790C3-2D6F-46AD-8C9C-E5921FCE1A0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55D0-4EDE-B6D0-F778408C51B0}"/>
                </c:ext>
              </c:extLst>
            </c:dLbl>
            <c:dLbl>
              <c:idx val="12"/>
              <c:layout>
                <c:manualLayout>
                  <c:x val="3.7631906956708511E-2"/>
                  <c:y val="-7.4741242148358811E-2"/>
                </c:manualLayout>
              </c:layout>
              <c:tx>
                <c:rich>
                  <a:bodyPr/>
                  <a:lstStyle/>
                  <a:p>
                    <a:fld id="{27BC8BF7-9D11-4D13-9272-B41B99CA546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55D0-4EDE-B6D0-F778408C51B0}"/>
                </c:ext>
              </c:extLst>
            </c:dLbl>
            <c:dLbl>
              <c:idx val="13"/>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55D0-4EDE-B6D0-F778408C51B0}"/>
                </c:ext>
              </c:extLst>
            </c:dLbl>
            <c:dLbl>
              <c:idx val="14"/>
              <c:layout>
                <c:manualLayout>
                  <c:x val="0.10330572423112802"/>
                  <c:y val="-0.18974530561592245"/>
                </c:manualLayout>
              </c:layout>
              <c:tx>
                <c:rich>
                  <a:bodyPr/>
                  <a:lstStyle/>
                  <a:p>
                    <a:fld id="{7D5E3E38-F11D-4FCD-91EB-CAD5980EBC2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55D0-4EDE-B6D0-F778408C51B0}"/>
                </c:ext>
              </c:extLst>
            </c:dLbl>
            <c:dLbl>
              <c:idx val="15"/>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55D0-4EDE-B6D0-F778408C51B0}"/>
                </c:ext>
              </c:extLst>
            </c:dLbl>
            <c:dLbl>
              <c:idx val="16"/>
              <c:layout>
                <c:manualLayout>
                  <c:x val="0.10387889829390531"/>
                  <c:y val="-0.15988776492314458"/>
                </c:manualLayout>
              </c:layout>
              <c:tx>
                <c:rich>
                  <a:bodyPr/>
                  <a:lstStyle/>
                  <a:p>
                    <a:fld id="{F4730EA9-97CB-4BA8-BE2C-4038F3508D2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55D0-4EDE-B6D0-F778408C51B0}"/>
                </c:ext>
              </c:extLst>
            </c:dLbl>
            <c:dLbl>
              <c:idx val="17"/>
              <c:layout>
                <c:manualLayout>
                  <c:x val="8.7956047381288788E-2"/>
                  <c:y val="-0.11472000808635578"/>
                </c:manualLayout>
              </c:layout>
              <c:tx>
                <c:rich>
                  <a:bodyPr/>
                  <a:lstStyle/>
                  <a:p>
                    <a:fld id="{885B4DD5-E181-41D1-BE1B-D956064CE50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55D0-4EDE-B6D0-F778408C51B0}"/>
                </c:ext>
              </c:extLst>
            </c:dLbl>
            <c:dLbl>
              <c:idx val="18"/>
              <c:layout>
                <c:manualLayout>
                  <c:x val="0.25414351679658181"/>
                  <c:y val="-0.11612718893261219"/>
                </c:manualLayout>
              </c:layout>
              <c:tx>
                <c:rich>
                  <a:bodyPr/>
                  <a:lstStyle/>
                  <a:p>
                    <a:fld id="{6A6EF802-7A29-402C-9E58-EBDA1C5B635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55D0-4EDE-B6D0-F778408C51B0}"/>
                </c:ext>
              </c:extLst>
            </c:dLbl>
            <c:dLbl>
              <c:idx val="19"/>
              <c:layout>
                <c:manualLayout>
                  <c:x val="0.25113559079663073"/>
                  <c:y val="-8.5058539387229834E-2"/>
                </c:manualLayout>
              </c:layout>
              <c:tx>
                <c:rich>
                  <a:bodyPr/>
                  <a:lstStyle/>
                  <a:p>
                    <a:fld id="{1A08E5ED-3E60-4E41-94EB-89E10A83E518}"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55D0-4EDE-B6D0-F778408C51B0}"/>
                </c:ext>
              </c:extLst>
            </c:dLbl>
            <c:dLbl>
              <c:idx val="20"/>
              <c:layout>
                <c:manualLayout>
                  <c:x val="0.23461263455115117"/>
                  <c:y val="-6.6658232581306126E-2"/>
                </c:manualLayout>
              </c:layout>
              <c:tx>
                <c:rich>
                  <a:bodyPr/>
                  <a:lstStyle/>
                  <a:p>
                    <a:fld id="{ADE39C7C-E1DB-45C0-AF66-90BA06D0C03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55D0-4EDE-B6D0-F778408C51B0}"/>
                </c:ext>
              </c:extLst>
            </c:dLbl>
            <c:dLbl>
              <c:idx val="21"/>
              <c:layout>
                <c:manualLayout>
                  <c:x val="0.22258121739468187"/>
                  <c:y val="-4.3672635139476508E-2"/>
                </c:manualLayout>
              </c:layout>
              <c:tx>
                <c:rich>
                  <a:bodyPr/>
                  <a:lstStyle/>
                  <a:p>
                    <a:fld id="{1EF24F3E-F8D1-4363-8F97-00175CD539F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55D0-4EDE-B6D0-F778408C51B0}"/>
                </c:ext>
              </c:extLst>
            </c:dLbl>
            <c:dLbl>
              <c:idx val="22"/>
              <c:layout>
                <c:manualLayout>
                  <c:x val="0.20453409165997782"/>
                  <c:y val="-2.2985597441829698E-2"/>
                </c:manualLayout>
              </c:layout>
              <c:tx>
                <c:rich>
                  <a:bodyPr/>
                  <a:lstStyle/>
                  <a:p>
                    <a:fld id="{2ACC00DE-2331-4592-872E-25F821DC244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55D0-4EDE-B6D0-F778408C51B0}"/>
                </c:ext>
              </c:extLst>
            </c:dLbl>
            <c:dLbl>
              <c:idx val="23"/>
              <c:layout>
                <c:manualLayout>
                  <c:x val="0.18799089306983277"/>
                  <c:y val="-2.2985597441829695E-3"/>
                </c:manualLayout>
              </c:layout>
              <c:tx>
                <c:rich>
                  <a:bodyPr/>
                  <a:lstStyle/>
                  <a:p>
                    <a:fld id="{38A7FA91-60A1-458B-9B9F-47D52941D2B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55D0-4EDE-B6D0-F778408C51B0}"/>
                </c:ext>
              </c:extLst>
            </c:dLbl>
            <c:dLbl>
              <c:idx val="24"/>
              <c:layout>
                <c:manualLayout>
                  <c:x val="0.18498303878071534"/>
                  <c:y val="2.5284157186012665E-2"/>
                </c:manualLayout>
              </c:layout>
              <c:tx>
                <c:rich>
                  <a:bodyPr/>
                  <a:lstStyle/>
                  <a:p>
                    <a:fld id="{A84628B1-308B-4D6C-AE15-A0872D6FAAA8}"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55D0-4EDE-B6D0-F778408C51B0}"/>
                </c:ext>
              </c:extLst>
            </c:dLbl>
            <c:dLbl>
              <c:idx val="25"/>
              <c:layout>
                <c:manualLayout>
                  <c:x val="0.14613056124429485"/>
                  <c:y val="3.2417293929141736E-2"/>
                </c:manualLayout>
              </c:layout>
              <c:tx>
                <c:rich>
                  <a:bodyPr/>
                  <a:lstStyle/>
                  <a:p>
                    <a:fld id="{17993AC1-4950-429A-A676-1A3BC934E7F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55D0-4EDE-B6D0-F778408C51B0}"/>
                </c:ext>
              </c:extLst>
            </c:dLbl>
            <c:dLbl>
              <c:idx val="26"/>
              <c:layout>
                <c:manualLayout>
                  <c:x val="0.12783380728748622"/>
                  <c:y val="4.3672635139476508E-2"/>
                </c:manualLayout>
              </c:layout>
              <c:tx>
                <c:rich>
                  <a:bodyPr/>
                  <a:lstStyle/>
                  <a:p>
                    <a:fld id="{67446B20-511E-4CD9-86CC-B1073CCCD3B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55D0-4EDE-B6D0-F778408C51B0}"/>
                </c:ext>
              </c:extLst>
            </c:dLbl>
            <c:dLbl>
              <c:idx val="27"/>
              <c:layout>
                <c:manualLayout>
                  <c:x val="5.1133522914994484E-2"/>
                  <c:y val="4.597119488365939E-3"/>
                </c:manualLayout>
              </c:layout>
              <c:tx>
                <c:rich>
                  <a:bodyPr/>
                  <a:lstStyle/>
                  <a:p>
                    <a:fld id="{B0B16EDC-1230-41FF-A455-953F306FDF4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55D0-4EDE-B6D0-F778408C51B0}"/>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SRY'!$J$159:$J$186</c:f>
              <c:numCache>
                <c:formatCode>0.0</c:formatCode>
                <c:ptCount val="28"/>
                <c:pt idx="0">
                  <c:v>64.488774531990998</c:v>
                </c:pt>
                <c:pt idx="1">
                  <c:v>64.34864027202137</c:v>
                </c:pt>
                <c:pt idx="3">
                  <c:v>59.785343347928347</c:v>
                </c:pt>
                <c:pt idx="5">
                  <c:v>57.221077954987564</c:v>
                </c:pt>
                <c:pt idx="8">
                  <c:v>50.885947896995859</c:v>
                </c:pt>
                <c:pt idx="9">
                  <c:v>50.693087990177204</c:v>
                </c:pt>
                <c:pt idx="10">
                  <c:v>46.944960377287401</c:v>
                </c:pt>
                <c:pt idx="11">
                  <c:v>46.869603724961706</c:v>
                </c:pt>
                <c:pt idx="12">
                  <c:v>45.011006953639182</c:v>
                </c:pt>
                <c:pt idx="14">
                  <c:v>41.441017109604672</c:v>
                </c:pt>
                <c:pt idx="16">
                  <c:v>41.398657228555081</c:v>
                </c:pt>
                <c:pt idx="17">
                  <c:v>41.186931669061792</c:v>
                </c:pt>
                <c:pt idx="18">
                  <c:v>41.046675492626775</c:v>
                </c:pt>
                <c:pt idx="19">
                  <c:v>40.810065319500907</c:v>
                </c:pt>
                <c:pt idx="20">
                  <c:v>40.166187221554253</c:v>
                </c:pt>
                <c:pt idx="21">
                  <c:v>39.858860202357022</c:v>
                </c:pt>
                <c:pt idx="22">
                  <c:v>38.849838316422762</c:v>
                </c:pt>
                <c:pt idx="23">
                  <c:v>38.055039221734347</c:v>
                </c:pt>
                <c:pt idx="24">
                  <c:v>37.924181280020889</c:v>
                </c:pt>
                <c:pt idx="25">
                  <c:v>36.01431120658205</c:v>
                </c:pt>
                <c:pt idx="26">
                  <c:v>34.041831425370077</c:v>
                </c:pt>
                <c:pt idx="27">
                  <c:v>28.602048998489863</c:v>
                </c:pt>
              </c:numCache>
            </c:numRef>
          </c:yVal>
          <c:smooth val="0"/>
          <c:extLst>
            <c:ext xmlns:c15="http://schemas.microsoft.com/office/drawing/2012/chart" uri="{02D57815-91ED-43cb-92C2-25804820EDAC}">
              <c15:datalabelsRange>
                <c15:f>'Norex M - Max. Panel Length SRY'!$C$159:$C$186</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55D0-4EDE-B6D0-F778408C51B0}"/>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20-55D0-4EDE-B6D0-F778408C51B0}"/>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22-55D0-4EDE-B6D0-F778408C51B0}"/>
            </c:ext>
          </c:extLst>
        </c:ser>
        <c:dLbls>
          <c:showLegendKey val="0"/>
          <c:showVal val="0"/>
          <c:showCatName val="0"/>
          <c:showSerName val="0"/>
          <c:showPercent val="0"/>
          <c:showBubbleSize val="0"/>
        </c:dLbls>
        <c:axId val="2023672767"/>
        <c:axId val="2023670367"/>
      </c:scatterChart>
      <c:valAx>
        <c:axId val="2023672767"/>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23670367"/>
        <c:crosses val="autoZero"/>
        <c:crossBetween val="midCat"/>
      </c:valAx>
      <c:valAx>
        <c:axId val="2023670367"/>
        <c:scaling>
          <c:orientation val="minMax"/>
          <c:max val="8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23672767"/>
        <c:crosses val="autoZero"/>
        <c:crossBetween val="midCat"/>
      </c:valAx>
      <c:spPr>
        <a:noFill/>
        <a:ln>
          <a:noFill/>
        </a:ln>
        <a:effectLst/>
      </c:spPr>
    </c:plotArea>
    <c:legend>
      <c:legendPos val="b"/>
      <c:layout>
        <c:manualLayout>
          <c:xMode val="edge"/>
          <c:yMode val="edge"/>
          <c:x val="6.7761826880588558E-2"/>
          <c:y val="0.77303817543522257"/>
          <c:w val="0.61232512601350597"/>
          <c:h val="0.1136258832117107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100" b="0" i="0" u="none" strike="noStrike" kern="1200" spc="0" baseline="0">
                <a:solidFill>
                  <a:sysClr val="windowText" lastClr="000000">
                    <a:lumMod val="65000"/>
                    <a:lumOff val="35000"/>
                  </a:sysClr>
                </a:solidFill>
              </a:rPr>
              <a:t>Suggested Pannel Lengths (Microribbed Smooth 22ga)</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M - Max. Panel Length SRY'!$L$158</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B0F0"/>
                </a:solidFill>
                <a:prstDash val="solid"/>
              </a:ln>
              <a:effectLst/>
            </c:spPr>
            <c:trendlineType val="poly"/>
            <c:order val="2"/>
            <c:dispRSqr val="1"/>
            <c:dispEq val="1"/>
            <c:trendlineLbl>
              <c:layout>
                <c:manualLayout>
                  <c:x val="-0.53111861095889779"/>
                  <c:y val="-0.1705197899852823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SRY'!$L$159:$L$186</c:f>
              <c:numCache>
                <c:formatCode>General</c:formatCode>
                <c:ptCount val="28"/>
                <c:pt idx="0">
                  <c:v>65</c:v>
                </c:pt>
                <c:pt idx="1">
                  <c:v>65</c:v>
                </c:pt>
                <c:pt idx="9">
                  <c:v>42</c:v>
                </c:pt>
                <c:pt idx="19">
                  <c:v>38</c:v>
                </c:pt>
                <c:pt idx="20">
                  <c:v>38</c:v>
                </c:pt>
                <c:pt idx="21">
                  <c:v>38</c:v>
                </c:pt>
                <c:pt idx="23">
                  <c:v>37</c:v>
                </c:pt>
                <c:pt idx="26">
                  <c:v>27</c:v>
                </c:pt>
              </c:numCache>
            </c:numRef>
          </c:yVal>
          <c:smooth val="0"/>
          <c:extLst>
            <c:ext xmlns:c16="http://schemas.microsoft.com/office/drawing/2014/chart" uri="{C3380CC4-5D6E-409C-BE32-E72D297353CC}">
              <c16:uniqueId val="{00000001-EFF4-4F5F-A7E3-24CD0470EE84}"/>
            </c:ext>
          </c:extLst>
        </c:ser>
        <c:ser>
          <c:idx val="1"/>
          <c:order val="1"/>
          <c:tx>
            <c:strRef>
              <c:f>'Norex M - Max. Panel Length SRY'!$M$158</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7.5434783750954637E-2"/>
                  <c:y val="-8.6424557324857307E-2"/>
                </c:manualLayout>
              </c:layout>
              <c:tx>
                <c:rich>
                  <a:bodyPr/>
                  <a:lstStyle/>
                  <a:p>
                    <a:fld id="{1A15B686-0F7E-45E1-912E-D2CDE973837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FF4-4F5F-A7E3-24CD0470EE84}"/>
                </c:ext>
              </c:extLst>
            </c:dLbl>
            <c:dLbl>
              <c:idx val="1"/>
              <c:layout>
                <c:manualLayout>
                  <c:x val="7.2533445914379463E-2"/>
                  <c:y val="-5.0035270030180545E-2"/>
                </c:manualLayout>
              </c:layout>
              <c:tx>
                <c:rich>
                  <a:bodyPr/>
                  <a:lstStyle/>
                  <a:p>
                    <a:fld id="{4561A1E2-3661-4274-A335-BB48B034691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FF4-4F5F-A7E3-24CD0470EE84}"/>
                </c:ext>
              </c:extLst>
            </c:dLbl>
            <c:dLbl>
              <c:idx val="2"/>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EFF4-4F5F-A7E3-24CD0470EE84}"/>
                </c:ext>
              </c:extLst>
            </c:dLbl>
            <c:dLbl>
              <c:idx val="3"/>
              <c:layout>
                <c:manualLayout>
                  <c:x val="3.1914716202326963E-2"/>
                  <c:y val="-5.685826139793252E-2"/>
                </c:manualLayout>
              </c:layout>
              <c:tx>
                <c:rich>
                  <a:bodyPr/>
                  <a:lstStyle/>
                  <a:p>
                    <a:fld id="{65F023A3-E077-406D-8C6C-35B198A91A6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FF4-4F5F-A7E3-24CD0470EE84}"/>
                </c:ext>
              </c:extLst>
            </c:dLbl>
            <c:dLbl>
              <c:idx val="4"/>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EFF4-4F5F-A7E3-24CD0470EE84}"/>
                </c:ext>
              </c:extLst>
            </c:dLbl>
            <c:dLbl>
              <c:idx val="5"/>
              <c:layout>
                <c:manualLayout>
                  <c:x val="2.176003377431384E-2"/>
                  <c:y val="-3.8663617750594056E-2"/>
                </c:manualLayout>
              </c:layout>
              <c:tx>
                <c:rich>
                  <a:bodyPr/>
                  <a:lstStyle/>
                  <a:p>
                    <a:fld id="{C5F86464-787D-4A7F-9003-9FBB522307B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EFF4-4F5F-A7E3-24CD0470EE84}"/>
                </c:ext>
              </c:extLst>
            </c:dLbl>
            <c:dLbl>
              <c:idx val="6"/>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EFF4-4F5F-A7E3-24CD0470EE84}"/>
                </c:ext>
              </c:extLst>
            </c:dLbl>
            <c:dLbl>
              <c:idx val="7"/>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EFF4-4F5F-A7E3-24CD0470EE84}"/>
                </c:ext>
              </c:extLst>
            </c:dLbl>
            <c:dLbl>
              <c:idx val="8"/>
              <c:layout>
                <c:manualLayout>
                  <c:x val="3.3365385120614502E-2"/>
                  <c:y val="-0.12053951416361676"/>
                </c:manualLayout>
              </c:layout>
              <c:tx>
                <c:rich>
                  <a:bodyPr/>
                  <a:lstStyle/>
                  <a:p>
                    <a:fld id="{59FC995D-108B-4001-8B48-888783120EC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layout>
                    <c:manualLayout>
                      <c:w val="0.21567094808181592"/>
                      <c:h val="5.6790031484254919E-2"/>
                    </c:manualLayout>
                  </c15:layout>
                  <c15:dlblFieldTable/>
                  <c15:showDataLabelsRange val="1"/>
                </c:ext>
                <c:ext xmlns:c16="http://schemas.microsoft.com/office/drawing/2014/chart" uri="{C3380CC4-5D6E-409C-BE32-E72D297353CC}">
                  <c16:uniqueId val="{0000000A-EFF4-4F5F-A7E3-24CD0470EE84}"/>
                </c:ext>
              </c:extLst>
            </c:dLbl>
            <c:dLbl>
              <c:idx val="9"/>
              <c:layout>
                <c:manualLayout>
                  <c:x val="3.4816054038902089E-2"/>
                  <c:y val="-9.097321823669198E-2"/>
                </c:manualLayout>
              </c:layout>
              <c:tx>
                <c:rich>
                  <a:bodyPr/>
                  <a:lstStyle/>
                  <a:p>
                    <a:fld id="{BEDED5B2-0A95-40FC-BF86-680E7C43D2E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EFF4-4F5F-A7E3-24CD0470EE84}"/>
                </c:ext>
              </c:extLst>
            </c:dLbl>
            <c:dLbl>
              <c:idx val="10"/>
              <c:layout>
                <c:manualLayout>
                  <c:x val="3.0464047284039376E-2"/>
                  <c:y val="-0.10007054006036117"/>
                </c:manualLayout>
              </c:layout>
              <c:tx>
                <c:rich>
                  <a:bodyPr/>
                  <a:lstStyle/>
                  <a:p>
                    <a:fld id="{987435E5-37CF-45B8-A613-D12E269AB4F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EFF4-4F5F-A7E3-24CD0470EE84}"/>
                </c:ext>
              </c:extLst>
            </c:dLbl>
            <c:dLbl>
              <c:idx val="11"/>
              <c:layout>
                <c:manualLayout>
                  <c:x val="3.1914716202326963E-2"/>
                  <c:y val="-6.8229913677518919E-2"/>
                </c:manualLayout>
              </c:layout>
              <c:tx>
                <c:rich>
                  <a:bodyPr/>
                  <a:lstStyle/>
                  <a:p>
                    <a:fld id="{47B95766-34A7-43D2-A182-B15C735290F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EFF4-4F5F-A7E3-24CD0470EE84}"/>
                </c:ext>
              </c:extLst>
            </c:dLbl>
            <c:dLbl>
              <c:idx val="12"/>
              <c:layout>
                <c:manualLayout>
                  <c:x val="2.176003377431384E-2"/>
                  <c:y val="-5.0035270030180629E-2"/>
                </c:manualLayout>
              </c:layout>
              <c:tx>
                <c:rich>
                  <a:bodyPr/>
                  <a:lstStyle/>
                  <a:p>
                    <a:fld id="{DFD7F151-2BA1-4567-B78F-9AAAA886A8C8}"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EFF4-4F5F-A7E3-24CD0470EE84}"/>
                </c:ext>
              </c:extLst>
            </c:dLbl>
            <c:dLbl>
              <c:idx val="13"/>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EFF4-4F5F-A7E3-24CD0470EE84}"/>
                </c:ext>
              </c:extLst>
            </c:dLbl>
            <c:dLbl>
              <c:idx val="14"/>
              <c:layout>
                <c:manualLayout>
                  <c:x val="0.1610242499299224"/>
                  <c:y val="-0.22970737604764704"/>
                </c:manualLayout>
              </c:layout>
              <c:tx>
                <c:rich>
                  <a:bodyPr/>
                  <a:lstStyle/>
                  <a:p>
                    <a:fld id="{017DBEFB-4FA9-43AC-9D55-969D5D4A278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EFF4-4F5F-A7E3-24CD0470EE84}"/>
                </c:ext>
              </c:extLst>
            </c:dLbl>
            <c:dLbl>
              <c:idx val="15"/>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EFF4-4F5F-A7E3-24CD0470EE84}"/>
                </c:ext>
              </c:extLst>
            </c:dLbl>
            <c:dLbl>
              <c:idx val="16"/>
              <c:layout>
                <c:manualLayout>
                  <c:x val="0.1610242499299224"/>
                  <c:y val="-0.18422076692930109"/>
                </c:manualLayout>
              </c:layout>
              <c:tx>
                <c:rich>
                  <a:bodyPr/>
                  <a:lstStyle/>
                  <a:p>
                    <a:fld id="{C89AD6C5-3738-4206-8354-D32C9228F7B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EFF4-4F5F-A7E3-24CD0470EE84}"/>
                </c:ext>
              </c:extLst>
            </c:dLbl>
            <c:dLbl>
              <c:idx val="17"/>
              <c:layout>
                <c:manualLayout>
                  <c:x val="0.15377090533848448"/>
                  <c:y val="-0.15920313191421082"/>
                </c:manualLayout>
              </c:layout>
              <c:tx>
                <c:rich>
                  <a:bodyPr/>
                  <a:lstStyle/>
                  <a:p>
                    <a:fld id="{2D6E5AA2-DE6D-4CCF-AE9E-E9EF185AF26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EFF4-4F5F-A7E3-24CD0470EE84}"/>
                </c:ext>
              </c:extLst>
            </c:dLbl>
            <c:dLbl>
              <c:idx val="18"/>
              <c:layout>
                <c:manualLayout>
                  <c:x val="0.1479682296653341"/>
                  <c:y val="-0.12963683598728587"/>
                </c:manualLayout>
              </c:layout>
              <c:tx>
                <c:rich>
                  <a:bodyPr/>
                  <a:lstStyle/>
                  <a:p>
                    <a:fld id="{4D65E40B-1F76-4111-BEC8-83F57F3E77A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EFF4-4F5F-A7E3-24CD0470EE84}"/>
                </c:ext>
              </c:extLst>
            </c:dLbl>
            <c:dLbl>
              <c:idx val="19"/>
              <c:layout>
                <c:manualLayout>
                  <c:x val="0.25531772961861549"/>
                  <c:y val="-0.12053951416361684"/>
                </c:manualLayout>
              </c:layout>
              <c:tx>
                <c:rich>
                  <a:bodyPr/>
                  <a:lstStyle/>
                  <a:p>
                    <a:fld id="{D2A9EDE2-1031-483C-96C3-166BB795625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EFF4-4F5F-A7E3-24CD0470EE84}"/>
                </c:ext>
              </c:extLst>
            </c:dLbl>
            <c:dLbl>
              <c:idx val="20"/>
              <c:layout>
                <c:manualLayout>
                  <c:x val="0.23936037151745224"/>
                  <c:y val="-9.0973218236691814E-2"/>
                </c:manualLayout>
              </c:layout>
              <c:tx>
                <c:rich>
                  <a:bodyPr/>
                  <a:lstStyle/>
                  <a:p>
                    <a:fld id="{1365C862-E288-4AAE-A82F-69617311C30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EFF4-4F5F-A7E3-24CD0470EE84}"/>
                </c:ext>
              </c:extLst>
            </c:dLbl>
            <c:dLbl>
              <c:idx val="21"/>
              <c:layout>
                <c:manualLayout>
                  <c:x val="0.22920568908943911"/>
                  <c:y val="-6.3681252765684329E-2"/>
                </c:manualLayout>
              </c:layout>
              <c:tx>
                <c:rich>
                  <a:bodyPr/>
                  <a:lstStyle/>
                  <a:p>
                    <a:fld id="{9A74611B-1961-4648-92EB-398340735F1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EFF4-4F5F-A7E3-24CD0470EE84}"/>
                </c:ext>
              </c:extLst>
            </c:dLbl>
            <c:dLbl>
              <c:idx val="22"/>
              <c:layout>
                <c:manualLayout>
                  <c:x val="0.20744565531512538"/>
                  <c:y val="-4.5486609118345948E-2"/>
                </c:manualLayout>
              </c:layout>
              <c:tx>
                <c:rich>
                  <a:bodyPr/>
                  <a:lstStyle/>
                  <a:p>
                    <a:fld id="{0967E614-1003-4833-9E64-147CD11BB36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EFF4-4F5F-A7E3-24CD0470EE84}"/>
                </c:ext>
              </c:extLst>
            </c:dLbl>
            <c:dLbl>
              <c:idx val="23"/>
              <c:layout>
                <c:manualLayout>
                  <c:x val="0.19003762829567419"/>
                  <c:y val="-2.5017635015090189E-2"/>
                </c:manualLayout>
              </c:layout>
              <c:tx>
                <c:rich>
                  <a:bodyPr/>
                  <a:lstStyle/>
                  <a:p>
                    <a:fld id="{90238169-50A6-4AD9-AF49-F5FC0E9EA3F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EFF4-4F5F-A7E3-24CD0470EE84}"/>
                </c:ext>
              </c:extLst>
            </c:dLbl>
            <c:dLbl>
              <c:idx val="24"/>
              <c:layout>
                <c:manualLayout>
                  <c:x val="0.18713629045909902"/>
                  <c:y val="2.2743304559171306E-3"/>
                </c:manualLayout>
              </c:layout>
              <c:tx>
                <c:rich>
                  <a:bodyPr/>
                  <a:lstStyle/>
                  <a:p>
                    <a:fld id="{952B0F14-B96E-40C5-B730-8673834C410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EFF4-4F5F-A7E3-24CD0470EE84}"/>
                </c:ext>
              </c:extLst>
            </c:dLbl>
            <c:dLbl>
              <c:idx val="25"/>
              <c:layout>
                <c:manualLayout>
                  <c:x val="0.14651756074704653"/>
                  <c:y val="9.0973218236691904E-3"/>
                </c:manualLayout>
              </c:layout>
              <c:tx>
                <c:rich>
                  <a:bodyPr/>
                  <a:lstStyle/>
                  <a:p>
                    <a:fld id="{7278EC5F-E0D2-4B79-9811-F12F4CB1792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EFF4-4F5F-A7E3-24CD0470EE84}"/>
                </c:ext>
              </c:extLst>
            </c:dLbl>
            <c:dLbl>
              <c:idx val="26"/>
              <c:layout>
                <c:manualLayout>
                  <c:x val="0.12620819589102017"/>
                  <c:y val="1.3645982735503617E-2"/>
                </c:manualLayout>
              </c:layout>
              <c:tx>
                <c:rich>
                  <a:bodyPr/>
                  <a:lstStyle/>
                  <a:p>
                    <a:fld id="{FB6E7134-48AA-41A8-802F-BA98F90073C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EFF4-4F5F-A7E3-24CD0470EE84}"/>
                </c:ext>
              </c:extLst>
            </c:dLbl>
            <c:dLbl>
              <c:idx val="27"/>
              <c:layout>
                <c:manualLayout>
                  <c:x val="6.6730770241229212E-2"/>
                  <c:y val="0"/>
                </c:manualLayout>
              </c:layout>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D-EFF4-4F5F-A7E3-24CD0470EE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SRY'!$M$159:$M$186</c:f>
              <c:numCache>
                <c:formatCode>0.0</c:formatCode>
                <c:ptCount val="28"/>
                <c:pt idx="0">
                  <c:v>64.440461710773889</c:v>
                </c:pt>
                <c:pt idx="1">
                  <c:v>64.248692101983721</c:v>
                </c:pt>
                <c:pt idx="3">
                  <c:v>58.163925952701447</c:v>
                </c:pt>
                <c:pt idx="5">
                  <c:v>54.887710144251002</c:v>
                </c:pt>
                <c:pt idx="8">
                  <c:v>47.27849942195553</c:v>
                </c:pt>
                <c:pt idx="9">
                  <c:v>47.058422600695224</c:v>
                </c:pt>
                <c:pt idx="10">
                  <c:v>42.928210539911703</c:v>
                </c:pt>
                <c:pt idx="11">
                  <c:v>42.848130278091247</c:v>
                </c:pt>
                <c:pt idx="12">
                  <c:v>40.911689259495063</c:v>
                </c:pt>
                <c:pt idx="14">
                  <c:v>37.410704047192439</c:v>
                </c:pt>
                <c:pt idx="16">
                  <c:v>37.370972477054067</c:v>
                </c:pt>
                <c:pt idx="17">
                  <c:v>37.173042052521424</c:v>
                </c:pt>
                <c:pt idx="18">
                  <c:v>37.04253052464594</c:v>
                </c:pt>
                <c:pt idx="19">
                  <c:v>36.823460207687361</c:v>
                </c:pt>
                <c:pt idx="20">
                  <c:v>36.234377164431123</c:v>
                </c:pt>
                <c:pt idx="21">
                  <c:v>35.95688716244689</c:v>
                </c:pt>
                <c:pt idx="22">
                  <c:v>35.062870196424399</c:v>
                </c:pt>
                <c:pt idx="23">
                  <c:v>34.377427892723091</c:v>
                </c:pt>
                <c:pt idx="24">
                  <c:v>34.266190022731195</c:v>
                </c:pt>
                <c:pt idx="25">
                  <c:v>32.696108441954209</c:v>
                </c:pt>
                <c:pt idx="26">
                  <c:v>31.18385391052314</c:v>
                </c:pt>
                <c:pt idx="27">
                  <c:v>27.64851092635115</c:v>
                </c:pt>
              </c:numCache>
            </c:numRef>
          </c:yVal>
          <c:smooth val="0"/>
          <c:extLst>
            <c:ext xmlns:c15="http://schemas.microsoft.com/office/drawing/2012/chart" uri="{02D57815-91ED-43cb-92C2-25804820EDAC}">
              <c15:datalabelsRange>
                <c15:f>'[1]Analyse des données 22ga'!$S$124:$S$150</c15:f>
                <c15:dlblRangeCache>
                  <c:ptCount val="27"/>
                  <c:pt idx="0">
                    <c:v>Blanc Régal/Regal White</c:v>
                  </c:pt>
                  <c:pt idx="1">
                    <c:v>Blanc Brillant/Bright White</c:v>
                  </c:pt>
                  <c:pt idx="2">
                    <c:v>Electric Yellow</c:v>
                  </c:pt>
                  <c:pt idx="3">
                    <c:v>Blanc Pur/White white</c:v>
                  </c:pt>
                  <c:pt idx="4">
                    <c:v>Sable/Sandstone</c:v>
                  </c:pt>
                  <c:pt idx="5">
                    <c:v>Blanc os/Bone White</c:v>
                  </c:pt>
                  <c:pt idx="6">
                    <c:v>Gris Pierre/Stone Grey</c:v>
                  </c:pt>
                  <c:pt idx="7">
                    <c:v>Argent Brillant/Bright Silver perspectra</c:v>
                  </c:pt>
                  <c:pt idx="8">
                    <c:v>Gris Élément/Element Grey</c:v>
                  </c:pt>
                  <c:pt idx="9">
                    <c:v>Riesling/Riesling</c:v>
                  </c:pt>
                  <c:pt idx="10">
                    <c:v>Vibrant Red</c:v>
                  </c:pt>
                  <c:pt idx="11">
                    <c:v>Beige Surrey </c:v>
                  </c:pt>
                  <c:pt idx="12">
                    <c:v>Fauve/Tan</c:v>
                  </c:pt>
                  <c:pt idx="13">
                    <c:v>Pacific Turquoise</c:v>
                  </c:pt>
                  <c:pt idx="14">
                    <c:v>Bleu Ardoise/Slate Blue</c:v>
                  </c:pt>
                  <c:pt idx="15">
                    <c:v>Étain/Pewter perspectra</c:v>
                  </c:pt>
                  <c:pt idx="16">
                    <c:v>Acier Satiné/Satin Steel</c:v>
                  </c:pt>
                  <c:pt idx="17">
                    <c:v>Cuivre/Copper</c:v>
                  </c:pt>
                  <c:pt idx="18">
                    <c:v>Fusain/Charcoal</c:v>
                  </c:pt>
                  <c:pt idx="19">
                    <c:v>Gris Tempête/Storm Grey</c:v>
                  </c:pt>
                  <c:pt idx="20">
                    <c:v>Gris Régent/Regent Gray</c:v>
                  </c:pt>
                  <c:pt idx="21">
                    <c:v>Bleu royal/Royal Blue</c:v>
                  </c:pt>
                  <c:pt idx="22">
                    <c:v>Gris Rigel /Grey Rigel</c:v>
                  </c:pt>
                  <c:pt idx="23">
                    <c:v>Bleu Héron/Heron Blue</c:v>
                  </c:pt>
                  <c:pt idx="24">
                    <c:v>Rouge Colonial/Colonial Red</c:v>
                  </c:pt>
                  <c:pt idx="25">
                    <c:v>Brun Foncé /Dark Brown</c:v>
                  </c:pt>
                  <c:pt idx="26">
                    <c:v> Noir/Black </c:v>
                  </c:pt>
                </c15:dlblRangeCache>
              </c15:datalabelsRange>
            </c:ext>
            <c:ext xmlns:c16="http://schemas.microsoft.com/office/drawing/2014/chart" uri="{C3380CC4-5D6E-409C-BE32-E72D297353CC}">
              <c16:uniqueId val="{0000001E-EFF4-4F5F-A7E3-24CD0470EE84}"/>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20-EFF4-4F5F-A7E3-24CD0470EE84}"/>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22-EFF4-4F5F-A7E3-24CD0470EE84}"/>
            </c:ext>
          </c:extLst>
        </c:ser>
        <c:dLbls>
          <c:showLegendKey val="0"/>
          <c:showVal val="0"/>
          <c:showCatName val="0"/>
          <c:showSerName val="0"/>
          <c:showPercent val="0"/>
          <c:showBubbleSize val="0"/>
        </c:dLbls>
        <c:axId val="1199952912"/>
        <c:axId val="1199946672"/>
      </c:scatterChart>
      <c:valAx>
        <c:axId val="1199952912"/>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99946672"/>
        <c:crosses val="autoZero"/>
        <c:crossBetween val="midCat"/>
      </c:valAx>
      <c:valAx>
        <c:axId val="1199946672"/>
        <c:scaling>
          <c:orientation val="minMax"/>
          <c:max val="8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99952912"/>
        <c:crosses val="autoZero"/>
        <c:crossBetween val="midCat"/>
      </c:valAx>
      <c:spPr>
        <a:noFill/>
        <a:ln>
          <a:noFill/>
        </a:ln>
        <a:effectLst/>
      </c:spPr>
    </c:plotArea>
    <c:legend>
      <c:legendPos val="b"/>
      <c:layout>
        <c:manualLayout>
          <c:xMode val="edge"/>
          <c:yMode val="edge"/>
          <c:x val="6.0339166859639977E-2"/>
          <c:y val="0.74991172585919996"/>
          <c:w val="0.49205286169888368"/>
          <c:h val="0.1358985314742034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100" b="0" i="0" u="none" strike="noStrike" kern="1200" spc="0" baseline="0">
                <a:solidFill>
                  <a:sysClr val="windowText" lastClr="000000">
                    <a:lumMod val="65000"/>
                    <a:lumOff val="35000"/>
                  </a:sysClr>
                </a:solidFill>
              </a:rPr>
              <a:t>Suggested Pannel Lengths (Microribbed Embossed 22ga)</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M - Max. Panel Length SRY'!$O$158</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B0F0"/>
                </a:solidFill>
                <a:prstDash val="sysDash"/>
              </a:ln>
              <a:effectLst/>
            </c:spPr>
            <c:trendlineType val="poly"/>
            <c:order val="2"/>
            <c:dispRSqr val="1"/>
            <c:dispEq val="1"/>
            <c:trendlineLbl>
              <c:layout>
                <c:manualLayout>
                  <c:x val="-0.53668987988358585"/>
                  <c:y val="-0.142923709433906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SRY'!$O$159:$O$186</c:f>
              <c:numCache>
                <c:formatCode>General</c:formatCode>
                <c:ptCount val="28"/>
                <c:pt idx="0">
                  <c:v>65</c:v>
                </c:pt>
                <c:pt idx="1">
                  <c:v>65</c:v>
                </c:pt>
                <c:pt idx="9">
                  <c:v>43</c:v>
                </c:pt>
                <c:pt idx="20">
                  <c:v>39</c:v>
                </c:pt>
                <c:pt idx="21">
                  <c:v>39</c:v>
                </c:pt>
                <c:pt idx="23">
                  <c:v>38</c:v>
                </c:pt>
                <c:pt idx="26">
                  <c:v>28</c:v>
                </c:pt>
              </c:numCache>
            </c:numRef>
          </c:yVal>
          <c:smooth val="0"/>
          <c:extLst>
            <c:ext xmlns:c16="http://schemas.microsoft.com/office/drawing/2014/chart" uri="{C3380CC4-5D6E-409C-BE32-E72D297353CC}">
              <c16:uniqueId val="{00000001-3969-4008-9027-BE0484C16D24}"/>
            </c:ext>
          </c:extLst>
        </c:ser>
        <c:ser>
          <c:idx val="1"/>
          <c:order val="1"/>
          <c:tx>
            <c:strRef>
              <c:f>'Norex M - Max. Panel Length SRY'!$P$158</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5.4505606018410785E-2"/>
                  <c:y val="-0.1122628643176193"/>
                </c:manualLayout>
              </c:layout>
              <c:tx>
                <c:rich>
                  <a:bodyPr/>
                  <a:lstStyle/>
                  <a:p>
                    <a:fld id="{E9E78C6A-396C-4CEE-BE07-9322608A450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969-4008-9027-BE0484C16D24}"/>
                </c:ext>
              </c:extLst>
            </c:dLbl>
            <c:dLbl>
              <c:idx val="1"/>
              <c:layout>
                <c:manualLayout>
                  <c:x val="5.2991561406788262E-2"/>
                  <c:y val="-7.789668136324604E-2"/>
                </c:manualLayout>
              </c:layout>
              <c:tx>
                <c:rich>
                  <a:bodyPr/>
                  <a:lstStyle/>
                  <a:p>
                    <a:fld id="{91D8056F-1CA9-4263-A882-DA70EA0303C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969-4008-9027-BE0484C16D24}"/>
                </c:ext>
              </c:extLst>
            </c:dLbl>
            <c:dLbl>
              <c:idx val="2"/>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969-4008-9027-BE0484C16D24}"/>
                </c:ext>
              </c:extLst>
            </c:dLbl>
            <c:dLbl>
              <c:idx val="3"/>
              <c:layout>
                <c:manualLayout>
                  <c:x val="1.3626401504602668E-2"/>
                  <c:y val="-4.8112656136122638E-2"/>
                </c:manualLayout>
              </c:layout>
              <c:tx>
                <c:rich>
                  <a:bodyPr/>
                  <a:lstStyle/>
                  <a:p>
                    <a:fld id="{2D8AE950-D0C4-46BF-A1E3-0521461E00B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969-4008-9027-BE0484C16D24}"/>
                </c:ext>
              </c:extLst>
            </c:dLbl>
            <c:dLbl>
              <c:idx val="4"/>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969-4008-9027-BE0484C16D24}"/>
                </c:ext>
              </c:extLst>
            </c:dLbl>
            <c:dLbl>
              <c:idx val="5"/>
              <c:layout>
                <c:manualLayout>
                  <c:x val="4.5421338348675651E-3"/>
                  <c:y val="-3.4366182954373256E-2"/>
                </c:manualLayout>
              </c:layout>
              <c:tx>
                <c:rich>
                  <a:bodyPr/>
                  <a:lstStyle/>
                  <a:p>
                    <a:fld id="{FFF795B9-9CD2-4327-A026-54A8072F3E97}"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3969-4008-9027-BE0484C16D24}"/>
                </c:ext>
              </c:extLst>
            </c:dLbl>
            <c:dLbl>
              <c:idx val="6"/>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969-4008-9027-BE0484C16D24}"/>
                </c:ext>
              </c:extLst>
            </c:dLbl>
            <c:dLbl>
              <c:idx val="7"/>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969-4008-9027-BE0484C16D24}"/>
                </c:ext>
              </c:extLst>
            </c:dLbl>
            <c:dLbl>
              <c:idx val="8"/>
              <c:layout>
                <c:manualLayout>
                  <c:x val="5.4505606018410729E-2"/>
                  <c:y val="-0.17412199363549116"/>
                </c:manualLayout>
              </c:layout>
              <c:tx>
                <c:rich>
                  <a:bodyPr/>
                  <a:lstStyle/>
                  <a:p>
                    <a:fld id="{7626EF3C-304F-4D12-88C2-A0E77C8DBD0F}"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layout>
                    <c:manualLayout>
                      <c:w val="0.2250930124099203"/>
                      <c:h val="5.7208239224713346E-2"/>
                    </c:manualLayout>
                  </c15:layout>
                  <c15:dlblFieldTable/>
                  <c15:showDataLabelsRange val="1"/>
                </c:ext>
                <c:ext xmlns:c16="http://schemas.microsoft.com/office/drawing/2014/chart" uri="{C3380CC4-5D6E-409C-BE32-E72D297353CC}">
                  <c16:uniqueId val="{0000000A-3969-4008-9027-BE0484C16D24}"/>
                </c:ext>
              </c:extLst>
            </c:dLbl>
            <c:dLbl>
              <c:idx val="9"/>
              <c:layout>
                <c:manualLayout>
                  <c:x val="4.9963472183543162E-2"/>
                  <c:y val="-0.13288257409024326"/>
                </c:manualLayout>
              </c:layout>
              <c:tx>
                <c:rich>
                  <a:bodyPr/>
                  <a:lstStyle/>
                  <a:p>
                    <a:fld id="{14B19704-EF8C-4CDD-8F5C-9D53199F6444}"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969-4008-9027-BE0484C16D24}"/>
                </c:ext>
              </c:extLst>
            </c:dLbl>
            <c:dLbl>
              <c:idx val="10"/>
              <c:layout>
                <c:manualLayout>
                  <c:x val="1.8168535339470205E-2"/>
                  <c:y val="-7.3314523635996276E-2"/>
                </c:manualLayout>
              </c:layout>
              <c:tx>
                <c:rich>
                  <a:bodyPr/>
                  <a:lstStyle/>
                  <a:p>
                    <a:fld id="{C6934970-CC0C-45FE-8744-EA272D2B9F6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3969-4008-9027-BE0484C16D24}"/>
                </c:ext>
              </c:extLst>
            </c:dLbl>
            <c:dLbl>
              <c:idx val="11"/>
              <c:layout>
                <c:manualLayout>
                  <c:x val="1.5140446116225162E-2"/>
                  <c:y val="-4.3530498408872874E-2"/>
                </c:manualLayout>
              </c:layout>
              <c:tx>
                <c:rich>
                  <a:bodyPr/>
                  <a:lstStyle/>
                  <a:p>
                    <a:fld id="{50855524-FA27-4735-B690-D83A2D24FE8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3969-4008-9027-BE0484C16D24}"/>
                </c:ext>
              </c:extLst>
            </c:dLbl>
            <c:dLbl>
              <c:idx val="12"/>
              <c:layout>
                <c:manualLayout>
                  <c:x val="4.5421338348675096E-3"/>
                  <c:y val="-3.8948340681623103E-2"/>
                </c:manualLayout>
              </c:layout>
              <c:tx>
                <c:rich>
                  <a:bodyPr/>
                  <a:lstStyle/>
                  <a:p>
                    <a:fld id="{A576E077-9A75-4DF7-91E7-E5E9DC4EAAE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3969-4008-9027-BE0484C16D24}"/>
                </c:ext>
              </c:extLst>
            </c:dLbl>
            <c:dLbl>
              <c:idx val="13"/>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969-4008-9027-BE0484C16D24}"/>
                </c:ext>
              </c:extLst>
            </c:dLbl>
            <c:dLbl>
              <c:idx val="14"/>
              <c:layout>
                <c:manualLayout>
                  <c:x val="7.721627519274861E-2"/>
                  <c:y val="-0.21536141318073906"/>
                </c:manualLayout>
              </c:layout>
              <c:tx>
                <c:rich>
                  <a:bodyPr/>
                  <a:lstStyle/>
                  <a:p>
                    <a:fld id="{F6C0CAC0-14E7-49C5-A227-9213F888C4F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3969-4008-9027-BE0484C16D24}"/>
                </c:ext>
              </c:extLst>
            </c:dLbl>
            <c:dLbl>
              <c:idx val="15"/>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969-4008-9027-BE0484C16D24}"/>
                </c:ext>
              </c:extLst>
            </c:dLbl>
            <c:dLbl>
              <c:idx val="16"/>
              <c:layout>
                <c:manualLayout>
                  <c:x val="7.1160096746258408E-2"/>
                  <c:y val="-0.1672487570446165"/>
                </c:manualLayout>
              </c:layout>
              <c:tx>
                <c:rich>
                  <a:bodyPr/>
                  <a:lstStyle/>
                  <a:p>
                    <a:fld id="{B264A26A-A042-4906-A656-6280CD371E2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3969-4008-9027-BE0484C16D24}"/>
                </c:ext>
              </c:extLst>
            </c:dLbl>
            <c:dLbl>
              <c:idx val="17"/>
              <c:layout>
                <c:manualLayout>
                  <c:x val="0.24224713785960347"/>
                  <c:y val="-0.1672487570446165"/>
                </c:manualLayout>
              </c:layout>
              <c:tx>
                <c:rich>
                  <a:bodyPr/>
                  <a:lstStyle/>
                  <a:p>
                    <a:fld id="{E8AD15CA-5397-4242-8D64-6CEFE6684F6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3969-4008-9027-BE0484C16D24}"/>
                </c:ext>
              </c:extLst>
            </c:dLbl>
            <c:dLbl>
              <c:idx val="18"/>
              <c:layout>
                <c:manualLayout>
                  <c:x val="0.24073309324798095"/>
                  <c:y val="-0.13975581068111789"/>
                </c:manualLayout>
              </c:layout>
              <c:tx>
                <c:rich>
                  <a:bodyPr/>
                  <a:lstStyle/>
                  <a:p>
                    <a:fld id="{F88269D7-7FED-4730-8FE8-262F5B86283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3969-4008-9027-BE0484C16D24}"/>
                </c:ext>
              </c:extLst>
            </c:dLbl>
            <c:dLbl>
              <c:idx val="19"/>
              <c:layout>
                <c:manualLayout>
                  <c:x val="0.23619095941311338"/>
                  <c:y val="-0.11455394318124426"/>
                </c:manualLayout>
              </c:layout>
              <c:tx>
                <c:rich>
                  <a:bodyPr/>
                  <a:lstStyle/>
                  <a:p>
                    <a:fld id="{F3E7CE69-E1C0-4701-A5F4-2113ADED92F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3969-4008-9027-BE0484C16D24}"/>
                </c:ext>
              </c:extLst>
            </c:dLbl>
            <c:dLbl>
              <c:idx val="20"/>
              <c:layout>
                <c:manualLayout>
                  <c:x val="0.21650837946202051"/>
                  <c:y val="-8.9352075681370463E-2"/>
                </c:manualLayout>
              </c:layout>
              <c:tx>
                <c:rich>
                  <a:bodyPr/>
                  <a:lstStyle/>
                  <a:p>
                    <a:fld id="{F80116A6-13BA-4788-B56F-366D18C13B1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3969-4008-9027-BE0484C16D24}"/>
                </c:ext>
              </c:extLst>
            </c:dLbl>
            <c:dLbl>
              <c:idx val="21"/>
              <c:layout>
                <c:manualLayout>
                  <c:x val="0.21045220101553042"/>
                  <c:y val="-6.4150208181496748E-2"/>
                </c:manualLayout>
              </c:layout>
              <c:tx>
                <c:rich>
                  <a:bodyPr/>
                  <a:lstStyle/>
                  <a:p>
                    <a:fld id="{53A78FF5-B691-4A7F-9F2D-719F2435DB01}"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3969-4008-9027-BE0484C16D24}"/>
                </c:ext>
              </c:extLst>
            </c:dLbl>
            <c:dLbl>
              <c:idx val="22"/>
              <c:layout>
                <c:manualLayout>
                  <c:x val="0.19076962106443773"/>
                  <c:y val="-4.8112656136122554E-2"/>
                </c:manualLayout>
              </c:layout>
              <c:tx>
                <c:rich>
                  <a:bodyPr/>
                  <a:lstStyle/>
                  <a:p>
                    <a:fld id="{9E9C759B-43DE-4D6F-8B8D-E677EB1AA09C}"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3969-4008-9027-BE0484C16D24}"/>
                </c:ext>
              </c:extLst>
            </c:dLbl>
            <c:dLbl>
              <c:idx val="23"/>
              <c:layout>
                <c:manualLayout>
                  <c:x val="0.17714321955983492"/>
                  <c:y val="-2.9784025227123489E-2"/>
                </c:manualLayout>
              </c:layout>
              <c:tx>
                <c:rich>
                  <a:bodyPr/>
                  <a:lstStyle/>
                  <a:p>
                    <a:fld id="{967AD8FC-17D4-4F88-832F-B901882A95B6}"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3969-4008-9027-BE0484C16D24}"/>
                </c:ext>
              </c:extLst>
            </c:dLbl>
            <c:dLbl>
              <c:idx val="24"/>
              <c:layout>
                <c:manualLayout>
                  <c:x val="0.17411513033659001"/>
                  <c:y val="-2.2910788636248836E-3"/>
                </c:manualLayout>
              </c:layout>
              <c:tx>
                <c:rich>
                  <a:bodyPr/>
                  <a:lstStyle/>
                  <a:p>
                    <a:fld id="{AFF0351D-3C36-4A85-AC59-6280FA42C359}"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3969-4008-9027-BE0484C16D24}"/>
                </c:ext>
              </c:extLst>
            </c:dLbl>
            <c:dLbl>
              <c:idx val="25"/>
              <c:layout>
                <c:manualLayout>
                  <c:x val="0.13777805965764936"/>
                  <c:y val="6.8732365908746509E-3"/>
                </c:manualLayout>
              </c:layout>
              <c:tx>
                <c:rich>
                  <a:bodyPr/>
                  <a:lstStyle/>
                  <a:p>
                    <a:fld id="{A9A74267-5570-4401-A158-0EFFCA06357D}"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3969-4008-9027-BE0484C16D24}"/>
                </c:ext>
              </c:extLst>
            </c:dLbl>
            <c:dLbl>
              <c:idx val="26"/>
              <c:layout>
                <c:manualLayout>
                  <c:x val="0.1196095243181791"/>
                  <c:y val="1.6037552045374017E-2"/>
                </c:manualLayout>
              </c:layout>
              <c:tx>
                <c:rich>
                  <a:bodyPr/>
                  <a:lstStyle/>
                  <a:p>
                    <a:fld id="{ED837C20-20C3-4683-8C66-4E941E77B68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3969-4008-9027-BE0484C16D24}"/>
                </c:ext>
              </c:extLst>
            </c:dLbl>
            <c:dLbl>
              <c:idx val="27"/>
              <c:layout>
                <c:manualLayout>
                  <c:x val="5.2991561406788151E-2"/>
                  <c:y val="0"/>
                </c:manualLayout>
              </c:layout>
              <c:tx>
                <c:rich>
                  <a:bodyPr/>
                  <a:lstStyle/>
                  <a:p>
                    <a:fld id="{F81968E0-EA6B-4887-9E89-C49BF1CE6EC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3969-4008-9027-BE0484C16D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SRY'!$P$159:$P$186</c:f>
              <c:numCache>
                <c:formatCode>0.0</c:formatCode>
                <c:ptCount val="28"/>
                <c:pt idx="0">
                  <c:v>64.532256338599808</c:v>
                </c:pt>
                <c:pt idx="1">
                  <c:v>64.346019140506513</c:v>
                </c:pt>
                <c:pt idx="3">
                  <c:v>58.434238544988915</c:v>
                </c:pt>
                <c:pt idx="5">
                  <c:v>55.248818622948477</c:v>
                </c:pt>
                <c:pt idx="8">
                  <c:v>47.842191587280269</c:v>
                </c:pt>
                <c:pt idx="9">
                  <c:v>47.627763405750244</c:v>
                </c:pt>
                <c:pt idx="10">
                  <c:v>43.60074673918237</c:v>
                </c:pt>
                <c:pt idx="11">
                  <c:v>43.522608636389862</c:v>
                </c:pt>
                <c:pt idx="12">
                  <c:v>41.632336208010742</c:v>
                </c:pt>
                <c:pt idx="14">
                  <c:v>38.210236365996735</c:v>
                </c:pt>
                <c:pt idx="16">
                  <c:v>38.171359704211653</c:v>
                </c:pt>
                <c:pt idx="17">
                  <c:v>37.977672829921715</c:v>
                </c:pt>
                <c:pt idx="18">
                  <c:v>37.849945243467715</c:v>
                </c:pt>
                <c:pt idx="19">
                  <c:v>37.635522055524831</c:v>
                </c:pt>
                <c:pt idx="20">
                  <c:v>37.058768407463617</c:v>
                </c:pt>
                <c:pt idx="21">
                  <c:v>36.78699821749214</c:v>
                </c:pt>
                <c:pt idx="22">
                  <c:v>35.910996698271475</c:v>
                </c:pt>
                <c:pt idx="23">
                  <c:v>35.238903769024745</c:v>
                </c:pt>
                <c:pt idx="24">
                  <c:v>35.129791375439396</c:v>
                </c:pt>
                <c:pt idx="25">
                  <c:v>33.588336005630453</c:v>
                </c:pt>
                <c:pt idx="26">
                  <c:v>32.100747002613616</c:v>
                </c:pt>
                <c:pt idx="27">
                  <c:v>28.604955127122338</c:v>
                </c:pt>
              </c:numCache>
            </c:numRef>
          </c:yVal>
          <c:smooth val="0"/>
          <c:extLst xmlns:c15="http://schemas.microsoft.com/office/drawing/2012/chart">
            <c:ext xmlns:c15="http://schemas.microsoft.com/office/drawing/2012/chart" uri="{02D57815-91ED-43cb-92C2-25804820EDAC}">
              <c15:datalabelsRange>
                <c15:f>'Norex M - Max. Panel Length SRY'!$C$159:$C$186</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3969-4008-9027-BE0484C16D24}"/>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20-3969-4008-9027-BE0484C16D24}"/>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23-3969-4008-9027-BE0484C16D24}"/>
            </c:ext>
          </c:extLst>
        </c:ser>
        <c:dLbls>
          <c:showLegendKey val="0"/>
          <c:showVal val="0"/>
          <c:showCatName val="0"/>
          <c:showSerName val="0"/>
          <c:showPercent val="0"/>
          <c:showBubbleSize val="0"/>
        </c:dLbls>
        <c:axId val="1177308767"/>
        <c:axId val="1180099215"/>
        <c:extLst/>
      </c:scatterChart>
      <c:valAx>
        <c:axId val="1177308767"/>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80099215"/>
        <c:crosses val="autoZero"/>
        <c:crossBetween val="midCat"/>
      </c:valAx>
      <c:valAx>
        <c:axId val="1180099215"/>
        <c:scaling>
          <c:orientation val="minMax"/>
          <c:max val="8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77308767"/>
        <c:crosses val="autoZero"/>
        <c:crossBetween val="midCat"/>
      </c:valAx>
      <c:spPr>
        <a:noFill/>
        <a:ln>
          <a:noFill/>
        </a:ln>
        <a:effectLst/>
      </c:spPr>
    </c:plotArea>
    <c:legend>
      <c:legendPos val="b"/>
      <c:layout>
        <c:manualLayout>
          <c:xMode val="edge"/>
          <c:yMode val="edge"/>
          <c:x val="7.2529021410472017E-2"/>
          <c:y val="0.78485460456925948"/>
          <c:w val="0.60205830582497644"/>
          <c:h val="0.1143400516752288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(Silkline and Fluted Smooth 26ga)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M - Max. Panel Length SRY'!$F$228</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00B050"/>
                </a:solidFill>
                <a:prstDash val="solid"/>
              </a:ln>
              <a:effectLst/>
            </c:spPr>
            <c:trendlineType val="poly"/>
            <c:order val="2"/>
            <c:dispRSqr val="1"/>
            <c:dispEq val="1"/>
            <c:trendlineLbl>
              <c:layout>
                <c:manualLayout>
                  <c:x val="-0.30371232257890768"/>
                  <c:y val="0.121383853663497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SRY'!$F$229:$F$256</c:f>
              <c:numCache>
                <c:formatCode>General</c:formatCode>
                <c:ptCount val="28"/>
                <c:pt idx="0">
                  <c:v>60</c:v>
                </c:pt>
                <c:pt idx="1">
                  <c:v>60</c:v>
                </c:pt>
                <c:pt idx="4">
                  <c:v>48</c:v>
                </c:pt>
                <c:pt idx="6">
                  <c:v>48</c:v>
                </c:pt>
                <c:pt idx="7">
                  <c:v>48</c:v>
                </c:pt>
                <c:pt idx="19">
                  <c:v>30</c:v>
                </c:pt>
                <c:pt idx="21">
                  <c:v>30</c:v>
                </c:pt>
              </c:numCache>
            </c:numRef>
          </c:yVal>
          <c:smooth val="0"/>
          <c:extLst>
            <c:ext xmlns:c16="http://schemas.microsoft.com/office/drawing/2014/chart" uri="{C3380CC4-5D6E-409C-BE32-E72D297353CC}">
              <c16:uniqueId val="{00000001-7840-4FF1-ABFF-A09E654CCA43}"/>
            </c:ext>
          </c:extLst>
        </c:ser>
        <c:ser>
          <c:idx val="1"/>
          <c:order val="1"/>
          <c:tx>
            <c:strRef>
              <c:f>'Norex M - Max. Panel Length SRY'!$G$228</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0.1600300618901413"/>
                  <c:y val="-0.10221025306566223"/>
                </c:manualLayout>
              </c:layout>
              <c:tx>
                <c:rich>
                  <a:bodyPr/>
                  <a:lstStyle/>
                  <a:p>
                    <a:fld id="{7925C737-016E-45EC-8B92-7759313946DE}"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840-4FF1-ABFF-A09E654CCA43}"/>
                </c:ext>
              </c:extLst>
            </c:dLbl>
            <c:dLbl>
              <c:idx val="1"/>
              <c:layout>
                <c:manualLayout>
                  <c:x val="0.16288774156675101"/>
                  <c:y val="-0.1562081226097857"/>
                </c:manualLayout>
              </c:layout>
              <c:tx>
                <c:rich>
                  <a:bodyPr/>
                  <a:lstStyle/>
                  <a:p>
                    <a:fld id="{22C6CCF3-04CA-4DDA-8B55-08632A53881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7840-4FF1-ABFF-A09E654CCA43}"/>
                </c:ext>
              </c:extLst>
            </c:dLbl>
            <c:dLbl>
              <c:idx val="2"/>
              <c:layout>
                <c:manualLayout>
                  <c:x val="8.5730390298289952E-2"/>
                  <c:y val="-0.10799573908824692"/>
                </c:manualLayout>
              </c:layout>
              <c:tx>
                <c:rich>
                  <a:bodyPr/>
                  <a:lstStyle/>
                  <a:p>
                    <a:fld id="{88A1AA24-26D8-4396-8A9D-688268593DF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7840-4FF1-ABFF-A09E654CCA43}"/>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840-4FF1-ABFF-A09E654CCA43}"/>
                </c:ext>
              </c:extLst>
            </c:dLbl>
            <c:dLbl>
              <c:idx val="4"/>
              <c:layout>
                <c:manualLayout>
                  <c:x val="0.17146078059657996"/>
                  <c:y val="-5.2069374203261888E-2"/>
                </c:manualLayout>
              </c:layout>
              <c:tx>
                <c:rich>
                  <a:bodyPr/>
                  <a:lstStyle/>
                  <a:p>
                    <a:fld id="{A3469F82-DF4A-4B3F-9A46-93B4C239A3F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7840-4FF1-ABFF-A09E654CCA43}"/>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7840-4FF1-ABFF-A09E654CCA43}"/>
                </c:ext>
              </c:extLst>
            </c:dLbl>
            <c:dLbl>
              <c:idx val="6"/>
              <c:layout>
                <c:manualLayout>
                  <c:x val="0.10287646835794806"/>
                  <c:y val="-6.3640346248431193E-2"/>
                </c:manualLayout>
              </c:layout>
              <c:tx>
                <c:rich>
                  <a:bodyPr/>
                  <a:lstStyle/>
                  <a:p>
                    <a:fld id="{081CA5D3-CE58-4E04-AD58-B3C681F0392B}"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7840-4FF1-ABFF-A09E654CCA43}"/>
                </c:ext>
              </c:extLst>
            </c:dLbl>
            <c:dLbl>
              <c:idx val="7"/>
              <c:layout>
                <c:manualLayout>
                  <c:x val="6.0011273208802951E-2"/>
                  <c:y val="-2.8927430112923345E-2"/>
                </c:manualLayout>
              </c:layout>
              <c:tx>
                <c:rich>
                  <a:bodyPr/>
                  <a:lstStyle/>
                  <a:p>
                    <a:fld id="{E22C2EFC-2EDC-4B2F-BF4D-53B7590A03FB}"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7840-4FF1-ABFF-A09E654CCA43}"/>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7840-4FF1-ABFF-A09E654CCA43}"/>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7840-4FF1-ABFF-A09E654CCA43}"/>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7840-4FF1-ABFF-A09E654CCA43}"/>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7840-4FF1-ABFF-A09E654CCA43}"/>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7840-4FF1-ABFF-A09E654CCA43}"/>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7840-4FF1-ABFF-A09E654CCA43}"/>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7840-4FF1-ABFF-A09E654CCA43}"/>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7840-4FF1-ABFF-A09E654CCA43}"/>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7840-4FF1-ABFF-A09E654CCA43}"/>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7840-4FF1-ABFF-A09E654CCA43}"/>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7840-4FF1-ABFF-A09E654CCA43}"/>
                </c:ext>
              </c:extLst>
            </c:dLbl>
            <c:dLbl>
              <c:idx val="19"/>
              <c:layout>
                <c:manualLayout>
                  <c:x val="2.8576796766096667E-2"/>
                  <c:y val="-6.5568841589292756E-2"/>
                </c:manualLayout>
              </c:layout>
              <c:tx>
                <c:rich>
                  <a:bodyPr/>
                  <a:lstStyle/>
                  <a:p>
                    <a:fld id="{D7500F69-0B92-46EC-AFF5-FF248A74FDC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7840-4FF1-ABFF-A09E654CCA43}"/>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7840-4FF1-ABFF-A09E654CCA43}"/>
                </c:ext>
              </c:extLst>
            </c:dLbl>
            <c:dLbl>
              <c:idx val="21"/>
              <c:layout>
                <c:manualLayout>
                  <c:x val="4.8580554502364336E-2"/>
                  <c:y val="-2.6998934772061792E-2"/>
                </c:manualLayout>
              </c:layout>
              <c:tx>
                <c:rich>
                  <a:bodyPr/>
                  <a:lstStyle/>
                  <a:p>
                    <a:fld id="{8BD663AC-D8C7-428B-9880-DCE5FF4FDADA}"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7840-4FF1-ABFF-A09E654CCA43}"/>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7840-4FF1-ABFF-A09E654CCA43}"/>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7840-4FF1-ABFF-A09E654CCA43}"/>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7840-4FF1-ABFF-A09E654CCA43}"/>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7840-4FF1-ABFF-A09E654CCA43}"/>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7840-4FF1-ABFF-A09E654CCA43}"/>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7840-4FF1-ABFF-A09E654CCA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SRY'!$G$229:$G$256</c:f>
              <c:numCache>
                <c:formatCode>0.00</c:formatCode>
                <c:ptCount val="28"/>
                <c:pt idx="0">
                  <c:v>59.119158783083293</c:v>
                </c:pt>
                <c:pt idx="1">
                  <c:v>58.972861691199981</c:v>
                </c:pt>
                <c:pt idx="2">
                  <c:v>54.359392720761747</c:v>
                </c:pt>
                <c:pt idx="4">
                  <c:v>52.815429970009305</c:v>
                </c:pt>
                <c:pt idx="6">
                  <c:v>48.36549133660823</c:v>
                </c:pt>
                <c:pt idx="7">
                  <c:v>44.490349288410485</c:v>
                </c:pt>
                <c:pt idx="19">
                  <c:v>31.190263971356543</c:v>
                </c:pt>
                <c:pt idx="21">
                  <c:v>29.905529648247466</c:v>
                </c:pt>
              </c:numCache>
            </c:numRef>
          </c:yVal>
          <c:smooth val="0"/>
          <c:extLst>
            <c:ext xmlns:c15="http://schemas.microsoft.com/office/drawing/2012/chart" uri="{02D57815-91ED-43cb-92C2-25804820EDAC}">
              <c15:datalabelsRange>
                <c15:f>'Norex M - Max. Panel Length SRY'!$C$229:$C$256</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7840-4FF1-ABFF-A09E654CCA43}"/>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20-7840-4FF1-ABFF-A09E654CCA43}"/>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22-7840-4FF1-ABFF-A09E654CCA43}"/>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7.9845703103211957E-2"/>
          <c:y val="0.79055206691412028"/>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(Silkline and Fluted Embossed 26ga)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M - Max. Panel Length SRY'!$I$228</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dLbls>
            <c:delete val="1"/>
          </c:dLbls>
          <c:trendline>
            <c:spPr>
              <a:ln w="19050" cap="rnd">
                <a:solidFill>
                  <a:srgbClr val="00B050"/>
                </a:solidFill>
                <a:prstDash val="sysDash"/>
              </a:ln>
              <a:effectLst/>
            </c:spPr>
            <c:trendlineType val="poly"/>
            <c:order val="2"/>
            <c:dispRSqr val="0"/>
            <c:dispEq val="1"/>
            <c:trendlineLbl>
              <c:layout>
                <c:manualLayout>
                  <c:x val="-0.32080657061393075"/>
                  <c:y val="-5.74500277956123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SRY'!$I$229:$I$256</c:f>
              <c:numCache>
                <c:formatCode>General</c:formatCode>
                <c:ptCount val="28"/>
                <c:pt idx="0">
                  <c:v>60</c:v>
                </c:pt>
                <c:pt idx="1">
                  <c:v>60</c:v>
                </c:pt>
                <c:pt idx="4">
                  <c:v>48</c:v>
                </c:pt>
                <c:pt idx="7">
                  <c:v>50</c:v>
                </c:pt>
                <c:pt idx="19">
                  <c:v>31</c:v>
                </c:pt>
                <c:pt idx="21">
                  <c:v>31</c:v>
                </c:pt>
              </c:numCache>
            </c:numRef>
          </c:yVal>
          <c:smooth val="0"/>
          <c:extLst>
            <c:ext xmlns:c16="http://schemas.microsoft.com/office/drawing/2014/chart" uri="{C3380CC4-5D6E-409C-BE32-E72D297353CC}">
              <c16:uniqueId val="{00000001-053E-409A-86C6-330C085C8867}"/>
            </c:ext>
          </c:extLst>
        </c:ser>
        <c:ser>
          <c:idx val="1"/>
          <c:order val="1"/>
          <c:tx>
            <c:strRef>
              <c:f>'Norex M - Max. Panel Length SRY'!$J$228</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9.6033579908629069E-2"/>
                  <c:y val="-8.4413694173174056E-2"/>
                </c:manualLayout>
              </c:layout>
              <c:tx>
                <c:rich>
                  <a:bodyPr/>
                  <a:lstStyle/>
                  <a:p>
                    <a:fld id="{546F4752-C7AE-47A8-AC1D-033E64F2CA2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53E-409A-86C6-330C085C8867}"/>
                </c:ext>
              </c:extLst>
            </c:dLbl>
            <c:dLbl>
              <c:idx val="1"/>
              <c:layout>
                <c:manualLayout>
                  <c:x val="8.9270651746049548E-2"/>
                  <c:y val="-0.12853903430915145"/>
                </c:manualLayout>
              </c:layout>
              <c:tx>
                <c:rich>
                  <a:bodyPr/>
                  <a:lstStyle/>
                  <a:p>
                    <a:fld id="{ADE572CD-04E9-4F0D-ADFF-A97F53590D4A}"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53E-409A-86C6-330C085C8867}"/>
                </c:ext>
              </c:extLst>
            </c:dLbl>
            <c:dLbl>
              <c:idx val="2"/>
              <c:layout>
                <c:manualLayout>
                  <c:x val="0.22452921499763989"/>
                  <c:y val="-6.9065749778051508E-2"/>
                </c:manualLayout>
              </c:layout>
              <c:tx>
                <c:rich>
                  <a:bodyPr/>
                  <a:lstStyle/>
                  <a:p>
                    <a:fld id="{77A71413-1606-471B-BBAB-E531C8545192}"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053E-409A-86C6-330C085C8867}"/>
                </c:ext>
              </c:extLst>
            </c:dLbl>
            <c:dLbl>
              <c:idx val="3"/>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053E-409A-86C6-330C085C8867}"/>
                </c:ext>
              </c:extLst>
            </c:dLbl>
            <c:dLbl>
              <c:idx val="4"/>
              <c:layout>
                <c:manualLayout>
                  <c:x val="0.2001826736123537"/>
                  <c:y val="-4.988081928414824E-2"/>
                </c:manualLayout>
              </c:layout>
              <c:tx>
                <c:rich>
                  <a:bodyPr/>
                  <a:lstStyle/>
                  <a:p>
                    <a:fld id="{FC40A4D6-DB5B-47E7-BE02-44280704462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053E-409A-86C6-330C085C8867}"/>
                </c:ext>
              </c:extLst>
            </c:dLbl>
            <c:dLbl>
              <c:idx val="5"/>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053E-409A-86C6-330C085C8867}"/>
                </c:ext>
              </c:extLst>
            </c:dLbl>
            <c:dLbl>
              <c:idx val="6"/>
              <c:layout>
                <c:manualLayout>
                  <c:x val="0.13120080635404255"/>
                  <c:y val="-6.7147256728661189E-2"/>
                </c:manualLayout>
              </c:layout>
              <c:tx>
                <c:rich>
                  <a:bodyPr/>
                  <a:lstStyle/>
                  <a:p>
                    <a:fld id="{43595FD2-E16C-453F-96AD-B827F0F0D49E}"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053E-409A-86C6-330C085C8867}"/>
                </c:ext>
              </c:extLst>
            </c:dLbl>
            <c:dLbl>
              <c:idx val="7"/>
              <c:layout>
                <c:manualLayout>
                  <c:x val="7.033445289082696E-2"/>
                  <c:y val="-2.4940409642074154E-2"/>
                </c:manualLayout>
              </c:layout>
              <c:tx>
                <c:rich>
                  <a:bodyPr/>
                  <a:lstStyle/>
                  <a:p>
                    <a:fld id="{C28FE20D-DE8D-40C2-9ABC-771247D597E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053E-409A-86C6-330C085C8867}"/>
                </c:ext>
              </c:extLst>
            </c:dLbl>
            <c:dLbl>
              <c:idx val="8"/>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053E-409A-86C6-330C085C8867}"/>
                </c:ext>
              </c:extLst>
            </c:dLbl>
            <c:dLbl>
              <c:idx val="9"/>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053E-409A-86C6-330C085C8867}"/>
                </c:ext>
              </c:extLst>
            </c:dLbl>
            <c:dLbl>
              <c:idx val="10"/>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053E-409A-86C6-330C085C8867}"/>
                </c:ext>
              </c:extLst>
            </c:dLbl>
            <c:dLbl>
              <c:idx val="11"/>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053E-409A-86C6-330C085C8867}"/>
                </c:ext>
              </c:extLst>
            </c:dLbl>
            <c:dLbl>
              <c:idx val="12"/>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053E-409A-86C6-330C085C8867}"/>
                </c:ext>
              </c:extLst>
            </c:dLbl>
            <c:dLbl>
              <c:idx val="13"/>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053E-409A-86C6-330C085C8867}"/>
                </c:ext>
              </c:extLst>
            </c:dLbl>
            <c:dLbl>
              <c:idx val="14"/>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053E-409A-86C6-330C085C8867}"/>
                </c:ext>
              </c:extLst>
            </c:dLbl>
            <c:dLbl>
              <c:idx val="15"/>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053E-409A-86C6-330C085C8867}"/>
                </c:ext>
              </c:extLst>
            </c:dLbl>
            <c:dLbl>
              <c:idx val="16"/>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053E-409A-86C6-330C085C8867}"/>
                </c:ext>
              </c:extLst>
            </c:dLbl>
            <c:dLbl>
              <c:idx val="17"/>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053E-409A-86C6-330C085C8867}"/>
                </c:ext>
              </c:extLst>
            </c:dLbl>
            <c:dLbl>
              <c:idx val="18"/>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053E-409A-86C6-330C085C8867}"/>
                </c:ext>
              </c:extLst>
            </c:dLbl>
            <c:dLbl>
              <c:idx val="19"/>
              <c:layout>
                <c:manualLayout>
                  <c:x val="3.2462055180381671E-2"/>
                  <c:y val="-5.3717805382928946E-2"/>
                </c:manualLayout>
              </c:layout>
              <c:tx>
                <c:rich>
                  <a:bodyPr/>
                  <a:lstStyle/>
                  <a:p>
                    <a:fld id="{413F3759-B6E4-422B-902E-07BA31BF19B5}"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053E-409A-86C6-330C085C8867}"/>
                </c:ext>
              </c:extLst>
            </c:dLbl>
            <c:dLbl>
              <c:idx val="20"/>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053E-409A-86C6-330C085C8867}"/>
                </c:ext>
              </c:extLst>
            </c:dLbl>
            <c:dLbl>
              <c:idx val="21"/>
              <c:layout>
                <c:manualLayout>
                  <c:x val="1.4878441957674834E-2"/>
                  <c:y val="-3.4532874889025893E-2"/>
                </c:manualLayout>
              </c:layout>
              <c:tx>
                <c:rich>
                  <a:bodyPr/>
                  <a:lstStyle/>
                  <a:p>
                    <a:fld id="{0763BCF5-9849-426E-94F3-2E63C5C5865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053E-409A-86C6-330C085C8867}"/>
                </c:ext>
              </c:extLst>
            </c:dLbl>
            <c:dLbl>
              <c:idx val="22"/>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053E-409A-86C6-330C085C8867}"/>
                </c:ext>
              </c:extLst>
            </c:dLbl>
            <c:dLbl>
              <c:idx val="23"/>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053E-409A-86C6-330C085C8867}"/>
                </c:ext>
              </c:extLst>
            </c:dLbl>
            <c:dLbl>
              <c:idx val="24"/>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053E-409A-86C6-330C085C8867}"/>
                </c:ext>
              </c:extLst>
            </c:dLbl>
            <c:dLbl>
              <c:idx val="25"/>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053E-409A-86C6-330C085C8867}"/>
                </c:ext>
              </c:extLst>
            </c:dLbl>
            <c:dLbl>
              <c:idx val="26"/>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53E-409A-86C6-330C085C8867}"/>
                </c:ext>
              </c:extLst>
            </c:dLbl>
            <c:dLbl>
              <c:idx val="27"/>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053E-409A-86C6-330C085C88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SRY'!$J$229:$J$256</c:f>
              <c:numCache>
                <c:formatCode>0.00</c:formatCode>
                <c:ptCount val="28"/>
                <c:pt idx="0">
                  <c:v>58.702659439267272</c:v>
                </c:pt>
                <c:pt idx="1">
                  <c:v>58.586264671102548</c:v>
                </c:pt>
                <c:pt idx="2">
                  <c:v>54.778199866997106</c:v>
                </c:pt>
                <c:pt idx="4">
                  <c:v>53.445230714526822</c:v>
                </c:pt>
                <c:pt idx="6">
                  <c:v>49.443748695079407</c:v>
                </c:pt>
                <c:pt idx="7">
                  <c:v>45.770957795627311</c:v>
                </c:pt>
                <c:pt idx="19">
                  <c:v>31.904008808618663</c:v>
                </c:pt>
                <c:pt idx="21">
                  <c:v>30.46568350788646</c:v>
                </c:pt>
              </c:numCache>
            </c:numRef>
          </c:yVal>
          <c:smooth val="0"/>
          <c:extLst>
            <c:ext xmlns:c15="http://schemas.microsoft.com/office/drawing/2012/chart" uri="{02D57815-91ED-43cb-92C2-25804820EDAC}">
              <c15:datalabelsRange>
                <c15:f>'Norex M - Max. Panel Length SRY'!$C$229:$C$256</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053E-409A-86C6-330C085C8867}"/>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dLbls>
            <c:delete val="1"/>
          </c:dLbls>
          <c:trendline>
            <c:spPr>
              <a:ln w="19050" cap="rnd">
                <a:solidFill>
                  <a:srgbClr val="92D050"/>
                </a:solidFill>
                <a:prstDash val="sysDot"/>
              </a:ln>
              <a:effectLst/>
            </c:spPr>
            <c:trendlineType val="linear"/>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20-053E-409A-86C6-330C085C8867}"/>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dLbls>
            <c:delete val="1"/>
          </c:dLbls>
          <c:trendline>
            <c:spPr>
              <a:ln w="19050" cap="rnd">
                <a:solidFill>
                  <a:schemeClr val="accent4"/>
                </a:solidFill>
                <a:prstDash val="sysDot"/>
              </a:ln>
              <a:effectLst/>
            </c:spPr>
            <c:trendlineType val="linear"/>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22-053E-409A-86C6-330C085C8867}"/>
            </c:ext>
          </c:extLst>
        </c:ser>
        <c:dLbls>
          <c:dLblPos val="r"/>
          <c:showLegendKey val="0"/>
          <c:showVal val="1"/>
          <c:showCatName val="0"/>
          <c:showSerName val="0"/>
          <c:showPercent val="0"/>
          <c:showBubbleSize val="0"/>
        </c:dLbls>
        <c:axId val="1035718495"/>
        <c:axId val="1035723775"/>
      </c:scatterChart>
      <c:valAx>
        <c:axId val="1035718495"/>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5723775"/>
        <c:crosses val="autoZero"/>
        <c:crossBetween val="midCat"/>
      </c:valAx>
      <c:valAx>
        <c:axId val="1035723775"/>
        <c:scaling>
          <c:orientation val="minMax"/>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5718495"/>
        <c:crosses val="autoZero"/>
        <c:crossBetween val="midCat"/>
      </c:valAx>
      <c:spPr>
        <a:noFill/>
        <a:ln>
          <a:noFill/>
        </a:ln>
        <a:effectLst/>
      </c:spPr>
    </c:plotArea>
    <c:legend>
      <c:legendPos val="r"/>
      <c:layout>
        <c:manualLayout>
          <c:xMode val="edge"/>
          <c:yMode val="edge"/>
          <c:x val="6.5249427682908756E-2"/>
          <c:y val="0.77863137619670497"/>
          <c:w val="0.49131148961037618"/>
          <c:h val="0.12833644456100837"/>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(Microribbed Smooth 26ga)</a:t>
            </a:r>
            <a:endParaRPr lang="fr-CA" sz="18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M - Max. Panel Length SRY'!$L$228</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92D050"/>
                </a:solidFill>
                <a:prstDash val="solid"/>
              </a:ln>
              <a:effectLst/>
            </c:spPr>
            <c:trendlineType val="poly"/>
            <c:order val="2"/>
            <c:dispRSqr val="1"/>
            <c:dispEq val="1"/>
            <c:trendlineLbl>
              <c:layout>
                <c:manualLayout>
                  <c:x val="0.27635746794215255"/>
                  <c:y val="-9.4817584363089819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SRY'!$L$230:$L$256</c:f>
              <c:numCache>
                <c:formatCode>General</c:formatCode>
                <c:ptCount val="27"/>
                <c:pt idx="0">
                  <c:v>52.25</c:v>
                </c:pt>
                <c:pt idx="6">
                  <c:v>46</c:v>
                </c:pt>
                <c:pt idx="18">
                  <c:v>28</c:v>
                </c:pt>
                <c:pt idx="20">
                  <c:v>27</c:v>
                </c:pt>
              </c:numCache>
            </c:numRef>
          </c:yVal>
          <c:smooth val="0"/>
          <c:extLst>
            <c:ext xmlns:c16="http://schemas.microsoft.com/office/drawing/2014/chart" uri="{C3380CC4-5D6E-409C-BE32-E72D297353CC}">
              <c16:uniqueId val="{00000001-E9F3-4004-AC49-1CB92C991FA4}"/>
            </c:ext>
          </c:extLst>
        </c:ser>
        <c:ser>
          <c:idx val="1"/>
          <c:order val="1"/>
          <c:tx>
            <c:strRef>
              <c:f>'Norex M - Max. Panel Length SRY'!$M$228</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2.2813089578095157E-2"/>
                  <c:y val="-0.13548648640410635"/>
                </c:manualLayout>
              </c:layout>
              <c:tx>
                <c:rich>
                  <a:bodyPr/>
                  <a:lstStyle/>
                  <a:p>
                    <a:fld id="{FD42CE72-0830-43E4-A545-E5AF1675CD3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9F3-4004-AC49-1CB92C991FA4}"/>
                </c:ext>
              </c:extLst>
            </c:dLbl>
            <c:dLbl>
              <c:idx val="1"/>
              <c:layout>
                <c:manualLayout>
                  <c:x val="4.831007204773103E-2"/>
                  <c:y val="-9.6776061717218864E-2"/>
                </c:manualLayout>
              </c:layout>
              <c:tx>
                <c:rich>
                  <a:bodyPr/>
                  <a:lstStyle/>
                  <a:p>
                    <a:fld id="{793F07FE-CEE4-49E3-A7B7-8131F39CBE04}"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9F3-4004-AC49-1CB92C991FA4}"/>
                </c:ext>
              </c:extLst>
            </c:dLbl>
            <c:dLbl>
              <c:idx val="2"/>
              <c:layout>
                <c:manualLayout>
                  <c:x val="0.166401359275518"/>
                  <c:y val="-0.10451814665459637"/>
                </c:manualLayout>
              </c:layout>
              <c:tx>
                <c:rich>
                  <a:bodyPr/>
                  <a:lstStyle/>
                  <a:p>
                    <a:fld id="{D5EA4570-F307-467D-9CF3-8BB5C478B40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9F3-4004-AC49-1CB92C991FA4}"/>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E9F3-4004-AC49-1CB92C991FA4}"/>
                </c:ext>
              </c:extLst>
            </c:dLbl>
            <c:dLbl>
              <c:idx val="4"/>
              <c:layout>
                <c:manualLayout>
                  <c:x val="0.17042719861282896"/>
                  <c:y val="-6.1936679499020049E-2"/>
                </c:manualLayout>
              </c:layout>
              <c:tx>
                <c:rich>
                  <a:bodyPr/>
                  <a:lstStyle/>
                  <a:p>
                    <a:fld id="{6055E1B8-1562-4D45-BB92-2890A8F9DAD1}"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9F3-4004-AC49-1CB92C991FA4}"/>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E9F3-4004-AC49-1CB92C991FA4}"/>
                </c:ext>
              </c:extLst>
            </c:dLbl>
            <c:dLbl>
              <c:idx val="6"/>
              <c:layout>
                <c:manualLayout>
                  <c:x val="0.13419464457703062"/>
                  <c:y val="-4.8388030858609411E-2"/>
                </c:manualLayout>
              </c:layout>
              <c:tx>
                <c:rich>
                  <a:bodyPr/>
                  <a:lstStyle/>
                  <a:p>
                    <a:fld id="{20F61F82-08A4-4004-BD10-BCB237B94AB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E9F3-4004-AC49-1CB92C991FA4}"/>
                </c:ext>
              </c:extLst>
            </c:dLbl>
            <c:dLbl>
              <c:idx val="7"/>
              <c:layout>
                <c:manualLayout>
                  <c:x val="0.10198792987854328"/>
                  <c:y val="-1.5484169874755083E-2"/>
                </c:manualLayout>
              </c:layout>
              <c:tx>
                <c:rich>
                  <a:bodyPr/>
                  <a:lstStyle/>
                  <a:p>
                    <a:fld id="{CE83A211-779F-4E92-8298-44C78681C988}"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E9F3-4004-AC49-1CB92C991FA4}"/>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E9F3-4004-AC49-1CB92C991FA4}"/>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E9F3-4004-AC49-1CB92C991FA4}"/>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E9F3-4004-AC49-1CB92C991FA4}"/>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E9F3-4004-AC49-1CB92C991FA4}"/>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E9F3-4004-AC49-1CB92C991FA4}"/>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E9F3-4004-AC49-1CB92C991FA4}"/>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E9F3-4004-AC49-1CB92C991FA4}"/>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E9F3-4004-AC49-1CB92C991FA4}"/>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E9F3-4004-AC49-1CB92C991FA4}"/>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E9F3-4004-AC49-1CB92C991FA4}"/>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E9F3-4004-AC49-1CB92C991FA4}"/>
                </c:ext>
              </c:extLst>
            </c:dLbl>
            <c:dLbl>
              <c:idx val="19"/>
              <c:layout>
                <c:manualLayout>
                  <c:x val="0.11003960855316502"/>
                  <c:y val="-4.0645945921231975E-2"/>
                </c:manualLayout>
              </c:layout>
              <c:tx>
                <c:rich>
                  <a:bodyPr/>
                  <a:lstStyle/>
                  <a:p>
                    <a:fld id="{960F5638-1809-4293-9F90-1BB0698C78D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E9F3-4004-AC49-1CB92C991FA4}"/>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E9F3-4004-AC49-1CB92C991FA4}"/>
                </c:ext>
              </c:extLst>
            </c:dLbl>
            <c:dLbl>
              <c:idx val="21"/>
              <c:layout>
                <c:manualLayout>
                  <c:x val="8.8568465420840223E-2"/>
                  <c:y val="-1.7419691109099387E-2"/>
                </c:manualLayout>
              </c:layout>
              <c:tx>
                <c:rich>
                  <a:bodyPr/>
                  <a:lstStyle/>
                  <a:p>
                    <a:fld id="{C1355A98-9863-4B78-94F4-3734FBADCD9C}"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E9F3-4004-AC49-1CB92C991FA4}"/>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E9F3-4004-AC49-1CB92C991FA4}"/>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E9F3-4004-AC49-1CB92C991FA4}"/>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E9F3-4004-AC49-1CB92C991FA4}"/>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E9F3-4004-AC49-1CB92C991FA4}"/>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E9F3-4004-AC49-1CB92C991FA4}"/>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E9F3-4004-AC49-1CB92C991F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SRY'!$M$229:$M$256</c:f>
              <c:numCache>
                <c:formatCode>0.00</c:formatCode>
                <c:ptCount val="28"/>
                <c:pt idx="0">
                  <c:v>52.377115162879065</c:v>
                </c:pt>
                <c:pt idx="1">
                  <c:v>52.319324803519677</c:v>
                </c:pt>
                <c:pt idx="2">
                  <c:v>50.098406406870524</c:v>
                </c:pt>
                <c:pt idx="4">
                  <c:v>49.185543783010345</c:v>
                </c:pt>
                <c:pt idx="6">
                  <c:v>46.092020975402207</c:v>
                </c:pt>
                <c:pt idx="7">
                  <c:v>42.852959203964403</c:v>
                </c:pt>
                <c:pt idx="19">
                  <c:v>28.081997272944321</c:v>
                </c:pt>
                <c:pt idx="21">
                  <c:v>26.368872692300371</c:v>
                </c:pt>
              </c:numCache>
            </c:numRef>
          </c:yVal>
          <c:smooth val="0"/>
          <c:extLst>
            <c:ext xmlns:c15="http://schemas.microsoft.com/office/drawing/2012/chart" uri="{02D57815-91ED-43cb-92C2-25804820EDAC}">
              <c15:datalabelsRange>
                <c15:f>'Norex M - Max. Panel Length SRY'!$C$229:$C$256</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E9F3-4004-AC49-1CB92C991FA4}"/>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20-E9F3-4004-AC49-1CB92C991FA4}"/>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22-E9F3-4004-AC49-1CB92C991FA4}"/>
            </c:ext>
          </c:extLst>
        </c:ser>
        <c:dLbls>
          <c:showLegendKey val="0"/>
          <c:showVal val="0"/>
          <c:showCatName val="0"/>
          <c:showSerName val="0"/>
          <c:showPercent val="0"/>
          <c:showBubbleSize val="0"/>
        </c:dLbls>
        <c:axId val="1919441247"/>
        <c:axId val="1919442207"/>
      </c:scatterChart>
      <c:valAx>
        <c:axId val="1919441247"/>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19442207"/>
        <c:crosses val="autoZero"/>
        <c:crossBetween val="midCat"/>
      </c:valAx>
      <c:valAx>
        <c:axId val="19194422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19441247"/>
        <c:crosses val="autoZero"/>
        <c:crossBetween val="midCat"/>
      </c:valAx>
      <c:spPr>
        <a:noFill/>
        <a:ln>
          <a:noFill/>
        </a:ln>
        <a:effectLst/>
      </c:spPr>
    </c:plotArea>
    <c:legend>
      <c:legendPos val="r"/>
      <c:layout>
        <c:manualLayout>
          <c:xMode val="edge"/>
          <c:yMode val="edge"/>
          <c:x val="8.7241292283390129E-2"/>
          <c:y val="0.79153996048391684"/>
          <c:w val="0.50386688383119727"/>
          <c:h val="0.146937614594583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(Microribbed Embossed 26ga)</a:t>
            </a:r>
            <a:endParaRPr lang="fr-CA" sz="18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lotArea>
      <c:layout/>
      <c:scatterChart>
        <c:scatterStyle val="lineMarker"/>
        <c:varyColors val="0"/>
        <c:ser>
          <c:idx val="0"/>
          <c:order val="0"/>
          <c:tx>
            <c:strRef>
              <c:f>'Norex M - Max. Panel Length SRY'!$O$228</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92D050"/>
                </a:solidFill>
                <a:prstDash val="sysDash"/>
              </a:ln>
              <a:effectLst/>
            </c:spPr>
            <c:trendlineType val="poly"/>
            <c:order val="2"/>
            <c:dispRSqr val="1"/>
            <c:dispEq val="1"/>
            <c:trendlineLbl>
              <c:layout>
                <c:manualLayout>
                  <c:x val="0.28133809963272055"/>
                  <c:y val="-9.6556135288522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SRY'!$O$230:$O$256</c:f>
              <c:numCache>
                <c:formatCode>General</c:formatCode>
                <c:ptCount val="27"/>
                <c:pt idx="0">
                  <c:v>52.25</c:v>
                </c:pt>
                <c:pt idx="6">
                  <c:v>46</c:v>
                </c:pt>
                <c:pt idx="18">
                  <c:v>29</c:v>
                </c:pt>
                <c:pt idx="20">
                  <c:v>28</c:v>
                </c:pt>
              </c:numCache>
            </c:numRef>
          </c:yVal>
          <c:smooth val="0"/>
          <c:extLst>
            <c:ext xmlns:c16="http://schemas.microsoft.com/office/drawing/2014/chart" uri="{C3380CC4-5D6E-409C-BE32-E72D297353CC}">
              <c16:uniqueId val="{00000001-3A19-4932-A20A-318EB4733F46}"/>
            </c:ext>
          </c:extLst>
        </c:ser>
        <c:ser>
          <c:idx val="1"/>
          <c:order val="1"/>
          <c:tx>
            <c:strRef>
              <c:f>'Norex M - Max. Panel Length SRY'!$P$228</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3.7360616789026593E-2"/>
                  <c:y val="-0.13806438237510249"/>
                </c:manualLayout>
              </c:layout>
              <c:tx>
                <c:rich>
                  <a:bodyPr/>
                  <a:lstStyle/>
                  <a:p>
                    <a:fld id="{DFDBDF2A-2B80-484E-8062-9D215530280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A19-4932-A20A-318EB4733F46}"/>
                </c:ext>
              </c:extLst>
            </c:dLbl>
            <c:dLbl>
              <c:idx val="1"/>
              <c:layout>
                <c:manualLayout>
                  <c:x val="4.1511796432251745E-2"/>
                  <c:y val="-9.9173007058172225E-2"/>
                </c:manualLayout>
              </c:layout>
              <c:tx>
                <c:rich>
                  <a:bodyPr/>
                  <a:lstStyle/>
                  <a:p>
                    <a:fld id="{3B1370D7-DD6B-413E-8014-B3D01E601F7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A19-4932-A20A-318EB4733F46}"/>
                </c:ext>
              </c:extLst>
            </c:dLbl>
            <c:dLbl>
              <c:idx val="2"/>
              <c:layout>
                <c:manualLayout>
                  <c:x val="5.534906190966897E-2"/>
                  <c:y val="-9.1394731994786108E-2"/>
                </c:manualLayout>
              </c:layout>
              <c:tx>
                <c:rich>
                  <a:bodyPr/>
                  <a:lstStyle/>
                  <a:p>
                    <a:fld id="{C6722558-2138-4E41-B8BF-0B5F17E3E0A2}"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A19-4932-A20A-318EB4733F46}"/>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A19-4932-A20A-318EB4733F46}"/>
                </c:ext>
              </c:extLst>
            </c:dLbl>
            <c:dLbl>
              <c:idx val="4"/>
              <c:layout>
                <c:manualLayout>
                  <c:x val="7.8872413221278359E-2"/>
                  <c:y val="-3.5002237785237235E-2"/>
                </c:manualLayout>
              </c:layout>
              <c:tx>
                <c:rich>
                  <a:bodyPr/>
                  <a:lstStyle/>
                  <a:p>
                    <a:fld id="{B7A52480-4BE0-4CA5-9961-D700C4B7E6B3}"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A19-4932-A20A-318EB4733F46}"/>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A19-4932-A20A-318EB4733F46}"/>
                </c:ext>
              </c:extLst>
            </c:dLbl>
            <c:dLbl>
              <c:idx val="6"/>
              <c:layout>
                <c:manualLayout>
                  <c:x val="0.16604718572900698"/>
                  <c:y val="-3.5002237785237235E-2"/>
                </c:manualLayout>
              </c:layout>
              <c:tx>
                <c:rich>
                  <a:bodyPr/>
                  <a:lstStyle/>
                  <a:p>
                    <a:fld id="{D46E058F-8C50-4219-A436-9BCC182132AB}"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3A19-4932-A20A-318EB4733F46}"/>
                </c:ext>
              </c:extLst>
            </c:dLbl>
            <c:dLbl>
              <c:idx val="7"/>
              <c:layout>
                <c:manualLayout>
                  <c:x val="0.10377949108062942"/>
                  <c:y val="-2.9168531487697765E-2"/>
                </c:manualLayout>
              </c:layout>
              <c:tx>
                <c:rich>
                  <a:bodyPr/>
                  <a:lstStyle/>
                  <a:p>
                    <a:fld id="{6F7E6285-7D85-4EA0-97C6-C71FEB7200D9}"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3A19-4932-A20A-318EB4733F46}"/>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A19-4932-A20A-318EB4733F46}"/>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A19-4932-A20A-318EB4733F46}"/>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A19-4932-A20A-318EB4733F46}"/>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A19-4932-A20A-318EB4733F46}"/>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A19-4932-A20A-318EB4733F46}"/>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A19-4932-A20A-318EB4733F46}"/>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A19-4932-A20A-318EB4733F46}"/>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A19-4932-A20A-318EB4733F46}"/>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A19-4932-A20A-318EB4733F46}"/>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A19-4932-A20A-318EB4733F46}"/>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A19-4932-A20A-318EB4733F46}"/>
                </c:ext>
              </c:extLst>
            </c:dLbl>
            <c:dLbl>
              <c:idx val="19"/>
              <c:layout>
                <c:manualLayout>
                  <c:x val="2.0755898216125782E-2"/>
                  <c:y val="-4.2780512848623352E-2"/>
                </c:manualLayout>
              </c:layout>
              <c:tx>
                <c:rich>
                  <a:bodyPr/>
                  <a:lstStyle/>
                  <a:p>
                    <a:fld id="{88F88C2E-3B08-4CA3-9C89-4B44C89D29B0}"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3A19-4932-A20A-318EB4733F46}"/>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A19-4932-A20A-318EB4733F46}"/>
                </c:ext>
              </c:extLst>
            </c:dLbl>
            <c:dLbl>
              <c:idx val="21"/>
              <c:layout>
                <c:manualLayout>
                  <c:x val="2.6290804407092788E-2"/>
                  <c:y val="-2.722396272185118E-2"/>
                </c:manualLayout>
              </c:layout>
              <c:tx>
                <c:rich>
                  <a:bodyPr/>
                  <a:lstStyle/>
                  <a:p>
                    <a:fld id="{F3C682C2-463F-4164-BA39-C53553621235}" type="CELLRANGE">
                      <a:rPr lang="en-US"/>
                      <a:pPr/>
                      <a:t>[]</a:t>
                    </a:fld>
                    <a:endParaRP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3A19-4932-A20A-318EB4733F46}"/>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A19-4932-A20A-318EB4733F46}"/>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A19-4932-A20A-318EB4733F46}"/>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A19-4932-A20A-318EB4733F46}"/>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A19-4932-A20A-318EB4733F46}"/>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A19-4932-A20A-318EB4733F46}"/>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A19-4932-A20A-318EB4733F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SRY'!$P$229:$P$256</c:f>
              <c:numCache>
                <c:formatCode>0.00</c:formatCode>
                <c:ptCount val="28"/>
                <c:pt idx="0">
                  <c:v>52.168231992147362</c:v>
                </c:pt>
                <c:pt idx="1">
                  <c:v>52.106554651238433</c:v>
                </c:pt>
                <c:pt idx="2">
                  <c:v>49.809665116812134</c:v>
                </c:pt>
                <c:pt idx="4">
                  <c:v>48.891212322634964</c:v>
                </c:pt>
                <c:pt idx="6">
                  <c:v>45.835668103531908</c:v>
                </c:pt>
                <c:pt idx="7">
                  <c:v>42.693431412390176</c:v>
                </c:pt>
                <c:pt idx="19">
                  <c:v>28.682120027548599</c:v>
                </c:pt>
                <c:pt idx="21">
                  <c:v>27.075858226305293</c:v>
                </c:pt>
              </c:numCache>
            </c:numRef>
          </c:yVal>
          <c:smooth val="0"/>
          <c:extLst>
            <c:ext xmlns:c15="http://schemas.microsoft.com/office/drawing/2012/chart" uri="{02D57815-91ED-43cb-92C2-25804820EDAC}">
              <c15:datalabelsRange>
                <c15:f>'Norex M - Max. Panel Length SRY'!$C$229:$C$256</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3A19-4932-A20A-318EB4733F46}"/>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20-3A19-4932-A20A-318EB4733F46}"/>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22-3A19-4932-A20A-318EB4733F46}"/>
            </c:ext>
          </c:extLst>
        </c:ser>
        <c:dLbls>
          <c:showLegendKey val="0"/>
          <c:showVal val="0"/>
          <c:showCatName val="0"/>
          <c:showSerName val="0"/>
          <c:showPercent val="0"/>
          <c:showBubbleSize val="0"/>
        </c:dLbls>
        <c:axId val="1526394015"/>
        <c:axId val="1526398335"/>
      </c:scatterChart>
      <c:valAx>
        <c:axId val="1526394015"/>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26398335"/>
        <c:crosses val="autoZero"/>
        <c:crossBetween val="midCat"/>
      </c:valAx>
      <c:valAx>
        <c:axId val="1526398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26394015"/>
        <c:crosses val="autoZero"/>
        <c:crossBetween val="midCat"/>
      </c:valAx>
      <c:spPr>
        <a:noFill/>
        <a:ln>
          <a:noFill/>
        </a:ln>
        <a:effectLst/>
      </c:spPr>
    </c:plotArea>
    <c:legend>
      <c:legendPos val="r"/>
      <c:layout>
        <c:manualLayout>
          <c:xMode val="edge"/>
          <c:yMode val="edge"/>
          <c:x val="7.4897042787849769E-2"/>
          <c:y val="0.75437137796505471"/>
          <c:w val="0.7044168639056404"/>
          <c:h val="0.148947621128306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baseline="0"/>
              <a:t>Suggested Pannel Lengths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v>Silkline and Fluted Embossed 22ga</c:v>
          </c:tx>
          <c:spPr>
            <a:ln w="25400" cap="rnd">
              <a:noFill/>
              <a:round/>
            </a:ln>
            <a:effectLst/>
          </c:spPr>
          <c:marker>
            <c:symbol val="none"/>
          </c:marker>
          <c:trendline>
            <c:spPr>
              <a:ln w="25400" cap="rnd">
                <a:solidFill>
                  <a:srgbClr val="0070C0"/>
                </a:solidFill>
                <a:prstDash val="sysDash"/>
              </a:ln>
              <a:effectLst/>
            </c:spPr>
            <c:trendlineType val="poly"/>
            <c:order val="2"/>
            <c:backward val="5"/>
            <c:dispRSqr val="0"/>
            <c:dispEq val="0"/>
          </c:trendline>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SRY'!$I$159:$I$186</c:f>
              <c:numCache>
                <c:formatCode>General</c:formatCode>
                <c:ptCount val="28"/>
                <c:pt idx="0">
                  <c:v>65</c:v>
                </c:pt>
                <c:pt idx="1">
                  <c:v>65</c:v>
                </c:pt>
                <c:pt idx="9">
                  <c:v>46</c:v>
                </c:pt>
                <c:pt idx="19">
                  <c:v>42</c:v>
                </c:pt>
                <c:pt idx="20">
                  <c:v>41</c:v>
                </c:pt>
                <c:pt idx="21">
                  <c:v>41</c:v>
                </c:pt>
                <c:pt idx="23">
                  <c:v>41</c:v>
                </c:pt>
                <c:pt idx="26">
                  <c:v>31</c:v>
                </c:pt>
                <c:pt idx="27">
                  <c:v>28</c:v>
                </c:pt>
              </c:numCache>
            </c:numRef>
          </c:yVal>
          <c:smooth val="0"/>
          <c:extLst>
            <c:ext xmlns:c16="http://schemas.microsoft.com/office/drawing/2014/chart" uri="{C3380CC4-5D6E-409C-BE32-E72D297353CC}">
              <c16:uniqueId val="{00000001-2107-4735-B5E2-8D4F419CBE92}"/>
            </c:ext>
          </c:extLst>
        </c:ser>
        <c:ser>
          <c:idx val="2"/>
          <c:order val="1"/>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89E398"/>
                </a:solidFill>
                <a:prstDash val="sysDot"/>
              </a:ln>
              <a:effectLst/>
            </c:spPr>
            <c:trendlineType val="linear"/>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xmlns:c15="http://schemas.microsoft.com/office/drawing/2012/chart">
            <c:ext xmlns:c16="http://schemas.microsoft.com/office/drawing/2014/chart" uri="{C3380CC4-5D6E-409C-BE32-E72D297353CC}">
              <c16:uniqueId val="{00000003-2107-4735-B5E2-8D4F419CBE92}"/>
            </c:ext>
          </c:extLst>
        </c:ser>
        <c:ser>
          <c:idx val="3"/>
          <c:order val="2"/>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xmlns:c15="http://schemas.microsoft.com/office/drawing/2012/chart">
            <c:ext xmlns:c16="http://schemas.microsoft.com/office/drawing/2014/chart" uri="{C3380CC4-5D6E-409C-BE32-E72D297353CC}">
              <c16:uniqueId val="{00000005-2107-4735-B5E2-8D4F419CBE92}"/>
            </c:ext>
          </c:extLst>
        </c:ser>
        <c:ser>
          <c:idx val="1"/>
          <c:order val="3"/>
          <c:tx>
            <c:v>Silkine and Fluted Smooth 22ga</c:v>
          </c:tx>
          <c:spPr>
            <a:ln w="25400" cap="rnd">
              <a:noFill/>
              <a:round/>
            </a:ln>
            <a:effectLst/>
          </c:spPr>
          <c:marker>
            <c:symbol val="none"/>
          </c:marker>
          <c:trendline>
            <c:spPr>
              <a:ln w="25400" cap="rnd" cmpd="sng">
                <a:solidFill>
                  <a:srgbClr val="0070C0"/>
                </a:solidFill>
                <a:prstDash val="solid"/>
              </a:ln>
              <a:effectLst/>
            </c:spPr>
            <c:trendlineType val="poly"/>
            <c:order val="2"/>
            <c:dispRSqr val="0"/>
            <c:dispEq val="0"/>
          </c:trendline>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SRY'!$F$159:$F$186</c:f>
              <c:numCache>
                <c:formatCode>General</c:formatCode>
                <c:ptCount val="28"/>
                <c:pt idx="0">
                  <c:v>65</c:v>
                </c:pt>
                <c:pt idx="1">
                  <c:v>65</c:v>
                </c:pt>
                <c:pt idx="9">
                  <c:v>45</c:v>
                </c:pt>
                <c:pt idx="20">
                  <c:v>40</c:v>
                </c:pt>
                <c:pt idx="21">
                  <c:v>40</c:v>
                </c:pt>
                <c:pt idx="23">
                  <c:v>40</c:v>
                </c:pt>
                <c:pt idx="26">
                  <c:v>30</c:v>
                </c:pt>
                <c:pt idx="27">
                  <c:v>28</c:v>
                </c:pt>
              </c:numCache>
            </c:numRef>
          </c:yVal>
          <c:smooth val="0"/>
          <c:extLst>
            <c:ext xmlns:c16="http://schemas.microsoft.com/office/drawing/2014/chart" uri="{C3380CC4-5D6E-409C-BE32-E72D297353CC}">
              <c16:uniqueId val="{00000007-2107-4735-B5E2-8D4F419CBE92}"/>
            </c:ext>
          </c:extLst>
        </c:ser>
        <c:ser>
          <c:idx val="4"/>
          <c:order val="4"/>
          <c:tx>
            <c:v>Microribbed Smooth 22ga</c:v>
          </c:tx>
          <c:spPr>
            <a:ln w="25400" cap="rnd">
              <a:noFill/>
              <a:round/>
            </a:ln>
            <a:effectLst/>
          </c:spPr>
          <c:marker>
            <c:symbol val="none"/>
          </c:marker>
          <c:trendline>
            <c:spPr>
              <a:ln w="25400" cap="rnd">
                <a:solidFill>
                  <a:srgbClr val="00B0F0"/>
                </a:solidFill>
                <a:prstDash val="solid"/>
              </a:ln>
              <a:effectLst/>
            </c:spPr>
            <c:trendlineType val="poly"/>
            <c:order val="2"/>
            <c:dispRSqr val="0"/>
            <c:dispEq val="0"/>
          </c:trendline>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SRY'!$L$159:$L$186</c:f>
              <c:numCache>
                <c:formatCode>General</c:formatCode>
                <c:ptCount val="28"/>
                <c:pt idx="0">
                  <c:v>65</c:v>
                </c:pt>
                <c:pt idx="1">
                  <c:v>65</c:v>
                </c:pt>
                <c:pt idx="9">
                  <c:v>42</c:v>
                </c:pt>
                <c:pt idx="19">
                  <c:v>38</c:v>
                </c:pt>
                <c:pt idx="20">
                  <c:v>38</c:v>
                </c:pt>
                <c:pt idx="21">
                  <c:v>38</c:v>
                </c:pt>
                <c:pt idx="23">
                  <c:v>37</c:v>
                </c:pt>
                <c:pt idx="26">
                  <c:v>27</c:v>
                </c:pt>
              </c:numCache>
            </c:numRef>
          </c:yVal>
          <c:smooth val="0"/>
          <c:extLst>
            <c:ext xmlns:c16="http://schemas.microsoft.com/office/drawing/2014/chart" uri="{C3380CC4-5D6E-409C-BE32-E72D297353CC}">
              <c16:uniqueId val="{00000009-2107-4735-B5E2-8D4F419CBE92}"/>
            </c:ext>
          </c:extLst>
        </c:ser>
        <c:ser>
          <c:idx val="5"/>
          <c:order val="5"/>
          <c:tx>
            <c:v>Microribbed Embossed 22ga</c:v>
          </c:tx>
          <c:spPr>
            <a:ln w="25400" cap="rnd">
              <a:noFill/>
              <a:round/>
            </a:ln>
            <a:effectLst/>
          </c:spPr>
          <c:marker>
            <c:symbol val="none"/>
          </c:marker>
          <c:trendline>
            <c:spPr>
              <a:ln w="25400" cap="rnd">
                <a:solidFill>
                  <a:srgbClr val="00B0F0"/>
                </a:solidFill>
                <a:prstDash val="sysDash"/>
              </a:ln>
              <a:effectLst/>
            </c:spPr>
            <c:trendlineType val="poly"/>
            <c:order val="2"/>
            <c:dispRSqr val="0"/>
            <c:dispEq val="0"/>
          </c:trendline>
          <c:xVal>
            <c:numRef>
              <c:f>'Norex M - Max. Panel Length SRY'!$E$159:$E$186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SRY'!$O$159:$O$186</c:f>
              <c:numCache>
                <c:formatCode>General</c:formatCode>
                <c:ptCount val="28"/>
                <c:pt idx="0">
                  <c:v>65</c:v>
                </c:pt>
                <c:pt idx="1">
                  <c:v>65</c:v>
                </c:pt>
                <c:pt idx="9">
                  <c:v>43</c:v>
                </c:pt>
                <c:pt idx="20">
                  <c:v>39</c:v>
                </c:pt>
                <c:pt idx="21">
                  <c:v>39</c:v>
                </c:pt>
                <c:pt idx="23">
                  <c:v>38</c:v>
                </c:pt>
                <c:pt idx="26">
                  <c:v>28</c:v>
                </c:pt>
              </c:numCache>
            </c:numRef>
          </c:yVal>
          <c:smooth val="0"/>
          <c:extLst>
            <c:ext xmlns:c16="http://schemas.microsoft.com/office/drawing/2014/chart" uri="{C3380CC4-5D6E-409C-BE32-E72D297353CC}">
              <c16:uniqueId val="{0000000B-2107-4735-B5E2-8D4F419CBE92}"/>
            </c:ext>
          </c:extLst>
        </c:ser>
        <c:ser>
          <c:idx val="6"/>
          <c:order val="6"/>
          <c:tx>
            <c:v>Silkline and Fluted Smooth 26ga</c:v>
          </c:tx>
          <c:spPr>
            <a:ln w="25400" cap="rnd">
              <a:noFill/>
              <a:round/>
            </a:ln>
            <a:effectLst/>
          </c:spPr>
          <c:marker>
            <c:symbol val="none"/>
          </c:marker>
          <c:trendline>
            <c:spPr>
              <a:ln w="25400" cap="rnd" cmpd="sng">
                <a:solidFill>
                  <a:srgbClr val="00B050"/>
                </a:solidFill>
                <a:prstDash val="solid"/>
              </a:ln>
              <a:effectLst/>
            </c:spPr>
            <c:trendlineType val="poly"/>
            <c:order val="2"/>
            <c:dispRSqr val="0"/>
            <c:dispEq val="0"/>
          </c:trendline>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SRY'!$F$229:$F$256</c:f>
              <c:numCache>
                <c:formatCode>General</c:formatCode>
                <c:ptCount val="28"/>
                <c:pt idx="0">
                  <c:v>60</c:v>
                </c:pt>
                <c:pt idx="1">
                  <c:v>60</c:v>
                </c:pt>
                <c:pt idx="4">
                  <c:v>48</c:v>
                </c:pt>
                <c:pt idx="6">
                  <c:v>48</c:v>
                </c:pt>
                <c:pt idx="7">
                  <c:v>48</c:v>
                </c:pt>
                <c:pt idx="19">
                  <c:v>30</c:v>
                </c:pt>
                <c:pt idx="21">
                  <c:v>30</c:v>
                </c:pt>
              </c:numCache>
            </c:numRef>
          </c:yVal>
          <c:smooth val="0"/>
          <c:extLst>
            <c:ext xmlns:c16="http://schemas.microsoft.com/office/drawing/2014/chart" uri="{C3380CC4-5D6E-409C-BE32-E72D297353CC}">
              <c16:uniqueId val="{0000000D-2107-4735-B5E2-8D4F419CBE92}"/>
            </c:ext>
          </c:extLst>
        </c:ser>
        <c:ser>
          <c:idx val="7"/>
          <c:order val="7"/>
          <c:tx>
            <c:v>Silkline and Fluted Embossed 26ga</c:v>
          </c:tx>
          <c:spPr>
            <a:ln w="25400" cap="rnd">
              <a:noFill/>
              <a:round/>
            </a:ln>
            <a:effectLst/>
          </c:spPr>
          <c:marker>
            <c:symbol val="none"/>
          </c:marker>
          <c:trendline>
            <c:spPr>
              <a:ln w="25400" cap="rnd">
                <a:solidFill>
                  <a:srgbClr val="00B050"/>
                </a:solidFill>
                <a:prstDash val="sysDash"/>
              </a:ln>
              <a:effectLst/>
            </c:spPr>
            <c:trendlineType val="poly"/>
            <c:order val="2"/>
            <c:dispRSqr val="0"/>
            <c:dispEq val="0"/>
          </c:trendline>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SRY'!$I$229:$I$256</c:f>
              <c:numCache>
                <c:formatCode>General</c:formatCode>
                <c:ptCount val="28"/>
                <c:pt idx="0">
                  <c:v>60</c:v>
                </c:pt>
                <c:pt idx="1">
                  <c:v>60</c:v>
                </c:pt>
                <c:pt idx="4">
                  <c:v>48</c:v>
                </c:pt>
                <c:pt idx="7">
                  <c:v>50</c:v>
                </c:pt>
                <c:pt idx="19">
                  <c:v>31</c:v>
                </c:pt>
                <c:pt idx="21">
                  <c:v>31</c:v>
                </c:pt>
              </c:numCache>
            </c:numRef>
          </c:yVal>
          <c:smooth val="0"/>
          <c:extLst>
            <c:ext xmlns:c16="http://schemas.microsoft.com/office/drawing/2014/chart" uri="{C3380CC4-5D6E-409C-BE32-E72D297353CC}">
              <c16:uniqueId val="{0000000F-2107-4735-B5E2-8D4F419CBE92}"/>
            </c:ext>
          </c:extLst>
        </c:ser>
        <c:ser>
          <c:idx val="8"/>
          <c:order val="8"/>
          <c:tx>
            <c:v>Microribbed Smooth 26ga</c:v>
          </c:tx>
          <c:spPr>
            <a:ln w="25400" cap="rnd">
              <a:noFill/>
              <a:round/>
            </a:ln>
            <a:effectLst/>
          </c:spPr>
          <c:marker>
            <c:symbol val="none"/>
          </c:marker>
          <c:trendline>
            <c:spPr>
              <a:ln w="25400" cap="rnd" cmpd="sng">
                <a:solidFill>
                  <a:srgbClr val="92D050"/>
                </a:solidFill>
                <a:prstDash val="solid"/>
              </a:ln>
              <a:effectLst/>
            </c:spPr>
            <c:trendlineType val="poly"/>
            <c:order val="2"/>
            <c:dispRSqr val="0"/>
            <c:dispEq val="0"/>
          </c:trendline>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SRY'!$L$230:$L$256</c:f>
              <c:numCache>
                <c:formatCode>General</c:formatCode>
                <c:ptCount val="27"/>
                <c:pt idx="0">
                  <c:v>52.25</c:v>
                </c:pt>
                <c:pt idx="6">
                  <c:v>46</c:v>
                </c:pt>
                <c:pt idx="18">
                  <c:v>28</c:v>
                </c:pt>
                <c:pt idx="20">
                  <c:v>27</c:v>
                </c:pt>
              </c:numCache>
            </c:numRef>
          </c:yVal>
          <c:smooth val="0"/>
          <c:extLst>
            <c:ext xmlns:c16="http://schemas.microsoft.com/office/drawing/2014/chart" uri="{C3380CC4-5D6E-409C-BE32-E72D297353CC}">
              <c16:uniqueId val="{00000011-2107-4735-B5E2-8D4F419CBE92}"/>
            </c:ext>
          </c:extLst>
        </c:ser>
        <c:ser>
          <c:idx val="9"/>
          <c:order val="9"/>
          <c:tx>
            <c:v>Microribbed Embossed 26ga</c:v>
          </c:tx>
          <c:spPr>
            <a:ln w="25400" cap="rnd">
              <a:noFill/>
              <a:round/>
            </a:ln>
            <a:effectLst/>
          </c:spPr>
          <c:marker>
            <c:symbol val="none"/>
          </c:marker>
          <c:trendline>
            <c:spPr>
              <a:ln w="25400" cap="rnd">
                <a:solidFill>
                  <a:srgbClr val="92D050"/>
                </a:solidFill>
                <a:prstDash val="sysDash"/>
              </a:ln>
              <a:effectLst/>
            </c:spPr>
            <c:trendlineType val="poly"/>
            <c:order val="2"/>
            <c:dispRSqr val="0"/>
            <c:dispEq val="0"/>
          </c:trendline>
          <c:xVal>
            <c:numRef>
              <c:f>'Norex M - Max. Panel Length SRY'!$E$229:$E$256</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SRY'!$O$230:$O$256</c:f>
              <c:numCache>
                <c:formatCode>General</c:formatCode>
                <c:ptCount val="27"/>
                <c:pt idx="0">
                  <c:v>52.25</c:v>
                </c:pt>
                <c:pt idx="6">
                  <c:v>46</c:v>
                </c:pt>
                <c:pt idx="18">
                  <c:v>29</c:v>
                </c:pt>
                <c:pt idx="20">
                  <c:v>28</c:v>
                </c:pt>
              </c:numCache>
            </c:numRef>
          </c:yVal>
          <c:smooth val="0"/>
          <c:extLst>
            <c:ext xmlns:c16="http://schemas.microsoft.com/office/drawing/2014/chart" uri="{C3380CC4-5D6E-409C-BE32-E72D297353CC}">
              <c16:uniqueId val="{00000013-2107-4735-B5E2-8D4F419CBE92}"/>
            </c:ext>
          </c:extLst>
        </c:ser>
        <c:ser>
          <c:idx val="10"/>
          <c:order val="10"/>
          <c:tx>
            <c:v>Silkline and Fluted Smooth 24ga</c:v>
          </c:tx>
          <c:spPr>
            <a:ln w="25400" cap="rnd">
              <a:noFill/>
              <a:round/>
            </a:ln>
            <a:effectLst/>
          </c:spPr>
          <c:marker>
            <c:symbol val="none"/>
          </c:marker>
          <c:trendline>
            <c:spPr>
              <a:ln w="25400" cap="rnd">
                <a:solidFill>
                  <a:srgbClr val="CC00CC"/>
                </a:solidFill>
                <a:prstDash val="solid"/>
              </a:ln>
              <a:effectLst/>
            </c:spPr>
            <c:trendlineType val="poly"/>
            <c:order val="2"/>
            <c:dispRSqr val="0"/>
            <c:dispEq val="0"/>
          </c:trendline>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SRY'!$H$310:$H$337</c:f>
              <c:numCache>
                <c:formatCode>0.00</c:formatCode>
                <c:ptCount val="28"/>
                <c:pt idx="1">
                  <c:v>60</c:v>
                </c:pt>
                <c:pt idx="13">
                  <c:v>35.373051426052299</c:v>
                </c:pt>
                <c:pt idx="15">
                  <c:v>33</c:v>
                </c:pt>
              </c:numCache>
            </c:numRef>
          </c:yVal>
          <c:smooth val="0"/>
          <c:extLst>
            <c:ext xmlns:c16="http://schemas.microsoft.com/office/drawing/2014/chart" uri="{C3380CC4-5D6E-409C-BE32-E72D297353CC}">
              <c16:uniqueId val="{00000015-2107-4735-B5E2-8D4F419CBE92}"/>
            </c:ext>
          </c:extLst>
        </c:ser>
        <c:ser>
          <c:idx val="11"/>
          <c:order val="11"/>
          <c:tx>
            <c:v>Silkline and Flutted Embossed 24ga</c:v>
          </c:tx>
          <c:spPr>
            <a:ln w="25400" cap="rnd">
              <a:noFill/>
              <a:round/>
            </a:ln>
            <a:effectLst/>
          </c:spPr>
          <c:marker>
            <c:symbol val="none"/>
          </c:marker>
          <c:trendline>
            <c:spPr>
              <a:ln w="25400" cap="rnd">
                <a:solidFill>
                  <a:srgbClr val="CC00CC"/>
                </a:solidFill>
                <a:prstDash val="sysDash"/>
              </a:ln>
              <a:effectLst/>
            </c:spPr>
            <c:trendlineType val="poly"/>
            <c:order val="2"/>
            <c:dispRSqr val="0"/>
            <c:dispEq val="0"/>
          </c:trendline>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SRY'!$K$310:$K$337</c:f>
              <c:numCache>
                <c:formatCode>0.00</c:formatCode>
                <c:ptCount val="28"/>
                <c:pt idx="1">
                  <c:v>60</c:v>
                </c:pt>
                <c:pt idx="13">
                  <c:v>36.292449365709018</c:v>
                </c:pt>
                <c:pt idx="15">
                  <c:v>34</c:v>
                </c:pt>
              </c:numCache>
            </c:numRef>
          </c:yVal>
          <c:smooth val="0"/>
          <c:extLst>
            <c:ext xmlns:c16="http://schemas.microsoft.com/office/drawing/2014/chart" uri="{C3380CC4-5D6E-409C-BE32-E72D297353CC}">
              <c16:uniqueId val="{00000017-2107-4735-B5E2-8D4F419CBE92}"/>
            </c:ext>
          </c:extLst>
        </c:ser>
        <c:ser>
          <c:idx val="12"/>
          <c:order val="12"/>
          <c:tx>
            <c:v>Microribbed Smooth 24ga</c:v>
          </c:tx>
          <c:spPr>
            <a:ln w="25400" cap="rnd">
              <a:noFill/>
              <a:round/>
            </a:ln>
            <a:effectLst/>
          </c:spPr>
          <c:marker>
            <c:symbol val="none"/>
          </c:marker>
          <c:trendline>
            <c:spPr>
              <a:ln w="25400" cap="rnd">
                <a:solidFill>
                  <a:srgbClr val="FF99FF"/>
                </a:solidFill>
                <a:prstDash val="solid"/>
              </a:ln>
              <a:effectLst/>
            </c:spPr>
            <c:trendlineType val="poly"/>
            <c:order val="2"/>
            <c:dispRSqr val="0"/>
            <c:dispEq val="0"/>
          </c:trendline>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SRY'!$N$310:$N$337</c:f>
              <c:numCache>
                <c:formatCode>0.00</c:formatCode>
                <c:ptCount val="28"/>
                <c:pt idx="1">
                  <c:v>56.209956287452727</c:v>
                </c:pt>
                <c:pt idx="13">
                  <c:v>33.050643184679203</c:v>
                </c:pt>
                <c:pt idx="15">
                  <c:v>31</c:v>
                </c:pt>
              </c:numCache>
            </c:numRef>
          </c:yVal>
          <c:smooth val="0"/>
          <c:extLst>
            <c:ext xmlns:c16="http://schemas.microsoft.com/office/drawing/2014/chart" uri="{C3380CC4-5D6E-409C-BE32-E72D297353CC}">
              <c16:uniqueId val="{00000019-2107-4735-B5E2-8D4F419CBE92}"/>
            </c:ext>
          </c:extLst>
        </c:ser>
        <c:ser>
          <c:idx val="13"/>
          <c:order val="13"/>
          <c:tx>
            <c:v>Microribbed Embossed 24ga</c:v>
          </c:tx>
          <c:spPr>
            <a:ln w="25400" cap="rnd">
              <a:noFill/>
              <a:round/>
            </a:ln>
            <a:effectLst/>
          </c:spPr>
          <c:marker>
            <c:symbol val="none"/>
          </c:marker>
          <c:trendline>
            <c:spPr>
              <a:ln w="25400" cap="rnd">
                <a:solidFill>
                  <a:srgbClr val="FF99FF"/>
                </a:solidFill>
                <a:prstDash val="sysDash"/>
              </a:ln>
              <a:effectLst/>
            </c:spPr>
            <c:trendlineType val="poly"/>
            <c:order val="2"/>
            <c:dispRSqr val="0"/>
            <c:dispEq val="0"/>
          </c:trendline>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SRY'!$Q$310:$Q$337</c:f>
              <c:numCache>
                <c:formatCode>0.00</c:formatCode>
                <c:ptCount val="28"/>
                <c:pt idx="1">
                  <c:v>56.221056672695667</c:v>
                </c:pt>
                <c:pt idx="13">
                  <c:v>33.970041124335907</c:v>
                </c:pt>
                <c:pt idx="15">
                  <c:v>32</c:v>
                </c:pt>
              </c:numCache>
            </c:numRef>
          </c:yVal>
          <c:smooth val="0"/>
          <c:extLst>
            <c:ext xmlns:c16="http://schemas.microsoft.com/office/drawing/2014/chart" uri="{C3380CC4-5D6E-409C-BE32-E72D297353CC}">
              <c16:uniqueId val="{0000001B-2107-4735-B5E2-8D4F419CBE92}"/>
            </c:ext>
          </c:extLst>
        </c:ser>
        <c:dLbls>
          <c:showLegendKey val="0"/>
          <c:showVal val="0"/>
          <c:showCatName val="0"/>
          <c:showSerName val="0"/>
          <c:showPercent val="0"/>
          <c:showBubbleSize val="0"/>
        </c:dLbls>
        <c:axId val="1504000352"/>
        <c:axId val="1504014080"/>
        <c:extLst/>
      </c:scatterChart>
      <c:valAx>
        <c:axId val="1504000352"/>
        <c:scaling>
          <c:orientation val="minMax"/>
          <c:max val="85"/>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a:t>T</a:t>
                </a:r>
                <a:r>
                  <a:rPr lang="fr-CA" sz="800"/>
                  <a:t>surf.max. </a:t>
                </a:r>
                <a:r>
                  <a:rPr lang="fr-CA"/>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04014080"/>
        <c:crosses val="autoZero"/>
        <c:crossBetween val="midCat"/>
        <c:majorUnit val="5"/>
      </c:valAx>
      <c:valAx>
        <c:axId val="1504014080"/>
        <c:scaling>
          <c:orientation val="minMax"/>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04000352"/>
        <c:crosses val="autoZero"/>
        <c:crossBetween val="midCat"/>
        <c:majorUnit val="5"/>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17033037909241144"/>
          <c:y val="0.15247577530837902"/>
          <c:w val="0.80561879705969885"/>
          <c:h val="0.1337349838479162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(Silkline and Fluted Smooth 24ga)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M - Max. Panel Length SRY'!$F$309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CC00CC"/>
                </a:solidFill>
                <a:prstDash val="solid"/>
              </a:ln>
              <a:effectLst/>
            </c:spPr>
            <c:trendlineType val="linear"/>
            <c:dispRSqr val="1"/>
            <c:dispEq val="1"/>
            <c:trendlineLbl>
              <c:layout>
                <c:manualLayout>
                  <c:x val="-0.59234409388612241"/>
                  <c:y val="2.919842242348767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SRY'!$F$310:$F$337</c:f>
              <c:numCache>
                <c:formatCode>0.00</c:formatCode>
                <c:ptCount val="28"/>
                <c:pt idx="1">
                  <c:v>62.5</c:v>
                </c:pt>
                <c:pt idx="13">
                  <c:v>33</c:v>
                </c:pt>
                <c:pt idx="15">
                  <c:v>33</c:v>
                </c:pt>
              </c:numCache>
            </c:numRef>
          </c:yVal>
          <c:smooth val="0"/>
          <c:extLst>
            <c:ext xmlns:c16="http://schemas.microsoft.com/office/drawing/2014/chart" uri="{C3380CC4-5D6E-409C-BE32-E72D297353CC}">
              <c16:uniqueId val="{00000001-E98D-4B0F-BA9E-9D3DAF3F4EF3}"/>
            </c:ext>
          </c:extLst>
        </c:ser>
        <c:ser>
          <c:idx val="1"/>
          <c:order val="1"/>
          <c:tx>
            <c:strRef>
              <c:f>'Norex M - Max. Panel Length SRY'!$G$309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E98D-4B0F-BA9E-9D3DAF3F4EF3}"/>
                </c:ext>
              </c:extLst>
            </c:dLbl>
            <c:dLbl>
              <c:idx val="1"/>
              <c:layout>
                <c:manualLayout>
                  <c:x val="2.1432597574572502E-2"/>
                  <c:y val="-5.5894027473515594E-2"/>
                </c:manualLayout>
              </c:layout>
              <c:tx>
                <c:rich>
                  <a:bodyPr/>
                  <a:lstStyle/>
                  <a:p>
                    <a:fld id="{11A90607-6C26-47CD-95E3-94FD68ED04E3}"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98D-4B0F-BA9E-9D3DAF3F4EF3}"/>
                </c:ext>
              </c:extLst>
            </c:dLbl>
            <c:dLbl>
              <c:idx val="2"/>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E98D-4B0F-BA9E-9D3DAF3F4EF3}"/>
                </c:ext>
              </c:extLst>
            </c:dLbl>
            <c:dLbl>
              <c:idx val="3"/>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E98D-4B0F-BA9E-9D3DAF3F4EF3}"/>
                </c:ext>
              </c:extLst>
            </c:dLbl>
            <c:dLbl>
              <c:idx val="4"/>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E98D-4B0F-BA9E-9D3DAF3F4EF3}"/>
                </c:ext>
              </c:extLst>
            </c:dLbl>
            <c:dLbl>
              <c:idx val="5"/>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E98D-4B0F-BA9E-9D3DAF3F4EF3}"/>
                </c:ext>
              </c:extLst>
            </c:dLbl>
            <c:dLbl>
              <c:idx val="6"/>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E98D-4B0F-BA9E-9D3DAF3F4EF3}"/>
                </c:ext>
              </c:extLst>
            </c:dLbl>
            <c:dLbl>
              <c:idx val="7"/>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E98D-4B0F-BA9E-9D3DAF3F4EF3}"/>
                </c:ext>
              </c:extLst>
            </c:dLbl>
            <c:dLbl>
              <c:idx val="8"/>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E98D-4B0F-BA9E-9D3DAF3F4EF3}"/>
                </c:ext>
              </c:extLst>
            </c:dLbl>
            <c:dLbl>
              <c:idx val="9"/>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E98D-4B0F-BA9E-9D3DAF3F4EF3}"/>
                </c:ext>
              </c:extLst>
            </c:dLbl>
            <c:dLbl>
              <c:idx val="10"/>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E98D-4B0F-BA9E-9D3DAF3F4EF3}"/>
                </c:ext>
              </c:extLst>
            </c:dLbl>
            <c:dLbl>
              <c:idx val="11"/>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E98D-4B0F-BA9E-9D3DAF3F4EF3}"/>
                </c:ext>
              </c:extLst>
            </c:dLbl>
            <c:dLbl>
              <c:idx val="12"/>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E98D-4B0F-BA9E-9D3DAF3F4EF3}"/>
                </c:ext>
              </c:extLst>
            </c:dLbl>
            <c:dLbl>
              <c:idx val="13"/>
              <c:tx>
                <c:rich>
                  <a:bodyPr/>
                  <a:lstStyle/>
                  <a:p>
                    <a:fld id="{7B0FC048-EE13-4180-939C-B2FB881DFFEB}"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98D-4B0F-BA9E-9D3DAF3F4EF3}"/>
                </c:ext>
              </c:extLst>
            </c:dLbl>
            <c:dLbl>
              <c:idx val="14"/>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E98D-4B0F-BA9E-9D3DAF3F4EF3}"/>
                </c:ext>
              </c:extLst>
            </c:dLbl>
            <c:dLbl>
              <c:idx val="15"/>
              <c:tx>
                <c:rich>
                  <a:bodyPr/>
                  <a:lstStyle/>
                  <a:p>
                    <a:fld id="{5C686D58-7A65-400E-B364-8E013D305D50}" type="CELLRANGE">
                      <a:rPr lang="en-US"/>
                      <a:pPr/>
                      <a:t>[]</a:t>
                    </a:fld>
                    <a:endParaRPr/>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8D-4B0F-BA9E-9D3DAF3F4EF3}"/>
                </c:ext>
              </c:extLst>
            </c:dLbl>
            <c:dLbl>
              <c:idx val="16"/>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E98D-4B0F-BA9E-9D3DAF3F4EF3}"/>
                </c:ext>
              </c:extLst>
            </c:dLbl>
            <c:dLbl>
              <c:idx val="17"/>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E98D-4B0F-BA9E-9D3DAF3F4EF3}"/>
                </c:ext>
              </c:extLst>
            </c:dLbl>
            <c:dLbl>
              <c:idx val="18"/>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E98D-4B0F-BA9E-9D3DAF3F4EF3}"/>
                </c:ext>
              </c:extLst>
            </c:dLbl>
            <c:dLbl>
              <c:idx val="19"/>
              <c:layout>
                <c:manualLayout>
                  <c:x val="0.10430530819625283"/>
                  <c:y val="-5.0111886700393293E-2"/>
                </c:manualLayout>
              </c:layout>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5-E98D-4B0F-BA9E-9D3DAF3F4EF3}"/>
                </c:ext>
              </c:extLst>
            </c:dLbl>
            <c:dLbl>
              <c:idx val="20"/>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E98D-4B0F-BA9E-9D3DAF3F4EF3}"/>
                </c:ext>
              </c:extLst>
            </c:dLbl>
            <c:dLbl>
              <c:idx val="21"/>
              <c:layout>
                <c:manualLayout>
                  <c:x val="8.1443870783375505E-2"/>
                  <c:y val="-2.8910703865611516E-2"/>
                </c:manualLayout>
              </c:layout>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7-E98D-4B0F-BA9E-9D3DAF3F4EF3}"/>
                </c:ext>
              </c:extLst>
            </c:dLbl>
            <c:dLbl>
              <c:idx val="22"/>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E98D-4B0F-BA9E-9D3DAF3F4EF3}"/>
                </c:ext>
              </c:extLst>
            </c:dLbl>
            <c:dLbl>
              <c:idx val="23"/>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E98D-4B0F-BA9E-9D3DAF3F4EF3}"/>
                </c:ext>
              </c:extLst>
            </c:dLbl>
            <c:dLbl>
              <c:idx val="24"/>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E98D-4B0F-BA9E-9D3DAF3F4EF3}"/>
                </c:ext>
              </c:extLst>
            </c:dLbl>
            <c:dLbl>
              <c:idx val="25"/>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E98D-4B0F-BA9E-9D3DAF3F4EF3}"/>
                </c:ext>
              </c:extLst>
            </c:dLbl>
            <c:dLbl>
              <c:idx val="26"/>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E98D-4B0F-BA9E-9D3DAF3F4EF3}"/>
                </c:ext>
              </c:extLst>
            </c:dLbl>
            <c:dLbl>
              <c:idx val="27"/>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E98D-4B0F-BA9E-9D3DAF3F4E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SRY'!$G$310:$G$337</c:f>
              <c:numCache>
                <c:formatCode>0.00</c:formatCode>
                <c:ptCount val="28"/>
                <c:pt idx="1">
                  <c:v>62.165554746480865</c:v>
                </c:pt>
                <c:pt idx="13">
                  <c:v>35.373051426052299</c:v>
                </c:pt>
                <c:pt idx="15">
                  <c:v>30.96442733729846</c:v>
                </c:pt>
              </c:numCache>
            </c:numRef>
          </c:yVal>
          <c:smooth val="0"/>
          <c:extLst>
            <c:ext xmlns:c15="http://schemas.microsoft.com/office/drawing/2012/chart" uri="{02D57815-91ED-43cb-92C2-25804820EDAC}">
              <c15:datalabelsRange>
                <c15:f>'Norex M - Max. Panel Length SRY'!$C$229:$C$256</c15:f>
                <c15:dlblRangeCache>
                  <c:ptCount val="28"/>
                  <c:pt idx="0">
                    <c:v>Blanc Régal/Regal White</c:v>
                  </c:pt>
                  <c:pt idx="1">
                    <c:v>Blanc Brillant/Bright White</c:v>
                  </c:pt>
                  <c:pt idx="2">
                    <c:v>Blanc Impérial/Imperial White</c:v>
                  </c:pt>
                  <c:pt idx="3">
                    <c:v>Electric Yellow</c:v>
                  </c:pt>
                  <c:pt idx="4">
                    <c:v>Blanc Pur/White white</c:v>
                  </c:pt>
                  <c:pt idx="5">
                    <c:v>Sable/Sandstone</c:v>
                  </c:pt>
                  <c:pt idx="6">
                    <c:v>Blanc os/Bone White</c:v>
                  </c:pt>
                  <c:pt idx="7">
                    <c:v>Gris Pierre/Stone Grey</c:v>
                  </c:pt>
                  <c:pt idx="8">
                    <c:v>Argent Brillant/Bright Silver perspectra</c:v>
                  </c:pt>
                  <c:pt idx="9">
                    <c:v>Gris Élément/Element Grey</c:v>
                  </c:pt>
                  <c:pt idx="10">
                    <c:v>Riesling/Riesling</c:v>
                  </c:pt>
                  <c:pt idx="11">
                    <c:v>Vibrant Red</c:v>
                  </c:pt>
                  <c:pt idx="12">
                    <c:v>Beige Surrey </c:v>
                  </c:pt>
                  <c:pt idx="13">
                    <c:v>Fauve/Tan</c:v>
                  </c:pt>
                  <c:pt idx="14">
                    <c:v>Pacific Turquoise</c:v>
                  </c:pt>
                  <c:pt idx="15">
                    <c:v>Bleu Ardoise/Slate Blue</c:v>
                  </c:pt>
                  <c:pt idx="16">
                    <c:v>Étain/Pewter perspectra</c:v>
                  </c:pt>
                  <c:pt idx="17">
                    <c:v>Acier Satiné/Satin Steel</c:v>
                  </c:pt>
                  <c:pt idx="18">
                    <c:v>Cuivre/Copper</c:v>
                  </c:pt>
                  <c:pt idx="19">
                    <c:v>Fusain/Charcoal</c:v>
                  </c:pt>
                  <c:pt idx="20">
                    <c:v>Gris Tempête/Storm Grey</c:v>
                  </c:pt>
                  <c:pt idx="21">
                    <c:v>Gris Régent/Regent Gray</c:v>
                  </c:pt>
                  <c:pt idx="22">
                    <c:v>Bleu royal/Royal Blue</c:v>
                  </c:pt>
                  <c:pt idx="23">
                    <c:v>Gris Rigel /Grey Rigel</c:v>
                  </c:pt>
                  <c:pt idx="24">
                    <c:v>Bleu Héron/Heron Blue</c:v>
                  </c:pt>
                  <c:pt idx="25">
                    <c:v>Rouge Colonial/Colonial Red</c:v>
                  </c:pt>
                  <c:pt idx="26">
                    <c:v>Brun Foncé /Dark Brown</c:v>
                  </c:pt>
                  <c:pt idx="27">
                    <c:v> Noir/Black </c:v>
                  </c:pt>
                </c15:dlblRangeCache>
              </c15:datalabelsRange>
            </c:ext>
            <c:ext xmlns:c16="http://schemas.microsoft.com/office/drawing/2014/chart" uri="{C3380CC4-5D6E-409C-BE32-E72D297353CC}">
              <c16:uniqueId val="{0000001E-E98D-4B0F-BA9E-9D3DAF3F4EF3}"/>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20-E98D-4B0F-BA9E-9D3DAF3F4EF3}"/>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22-E98D-4B0F-BA9E-9D3DAF3F4EF3}"/>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8.4135498542304246E-2"/>
          <c:y val="0.80016183764267301"/>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(Silkline and Fluted Embossed 24ga)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M - Max. Panel Length SRY'!$I$309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CC00CC"/>
                </a:solidFill>
                <a:prstDash val="sysDash"/>
              </a:ln>
              <a:effectLst/>
            </c:spPr>
            <c:trendlineType val="linear"/>
            <c:dispRSqr val="1"/>
            <c:dispEq val="1"/>
            <c:trendlineLbl>
              <c:layout>
                <c:manualLayout>
                  <c:x val="-0.30371232257890768"/>
                  <c:y val="0.121383853663497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SRY'!$I$310:$I$337</c:f>
              <c:numCache>
                <c:formatCode>0.00</c:formatCode>
                <c:ptCount val="28"/>
                <c:pt idx="1">
                  <c:v>62.5</c:v>
                </c:pt>
                <c:pt idx="13">
                  <c:v>34</c:v>
                </c:pt>
                <c:pt idx="15">
                  <c:v>34</c:v>
                </c:pt>
              </c:numCache>
            </c:numRef>
          </c:yVal>
          <c:smooth val="0"/>
          <c:extLst>
            <c:ext xmlns:c16="http://schemas.microsoft.com/office/drawing/2014/chart" uri="{C3380CC4-5D6E-409C-BE32-E72D297353CC}">
              <c16:uniqueId val="{00000001-4225-408D-90C8-2B32633EDDF0}"/>
            </c:ext>
          </c:extLst>
        </c:ser>
        <c:ser>
          <c:idx val="1"/>
          <c:order val="1"/>
          <c:tx>
            <c:strRef>
              <c:f>'Norex M - Max. Panel Length SRY'!$J$309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SRY'!$J$310:$J$337</c:f>
              <c:numCache>
                <c:formatCode>0.00</c:formatCode>
                <c:ptCount val="28"/>
                <c:pt idx="1">
                  <c:v>62.17665513172382</c:v>
                </c:pt>
                <c:pt idx="13">
                  <c:v>36.292449365709018</c:v>
                </c:pt>
                <c:pt idx="15">
                  <c:v>32.033282848360656</c:v>
                </c:pt>
              </c:numCache>
            </c:numRef>
          </c:yVal>
          <c:smooth val="0"/>
          <c:extLst>
            <c:ext xmlns:c16="http://schemas.microsoft.com/office/drawing/2014/chart" uri="{C3380CC4-5D6E-409C-BE32-E72D297353CC}">
              <c16:uniqueId val="{00000002-4225-408D-90C8-2B32633EDDF0}"/>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04-4225-408D-90C8-2B32633EDDF0}"/>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06-4225-408D-90C8-2B32633EDDF0}"/>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7.9845703103211957E-2"/>
          <c:y val="0.79055206691412028"/>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(Microribbed Smooth 24ga)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M - Max. Panel Length SRY'!$L$309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FF99FF"/>
                </a:solidFill>
                <a:prstDash val="solid"/>
              </a:ln>
              <a:effectLst/>
            </c:spPr>
            <c:trendlineType val="linear"/>
            <c:dispRSqr val="1"/>
            <c:dispEq val="1"/>
            <c:trendlineLbl>
              <c:layout>
                <c:manualLayout>
                  <c:x val="-0.30371232257890768"/>
                  <c:y val="0.121383853663497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SRY'!$L$310:$L$337</c:f>
              <c:numCache>
                <c:formatCode>0.00</c:formatCode>
                <c:ptCount val="28"/>
                <c:pt idx="1">
                  <c:v>0</c:v>
                </c:pt>
                <c:pt idx="13">
                  <c:v>31</c:v>
                </c:pt>
                <c:pt idx="15">
                  <c:v>31</c:v>
                </c:pt>
              </c:numCache>
            </c:numRef>
          </c:yVal>
          <c:smooth val="0"/>
          <c:extLst>
            <c:ext xmlns:c16="http://schemas.microsoft.com/office/drawing/2014/chart" uri="{C3380CC4-5D6E-409C-BE32-E72D297353CC}">
              <c16:uniqueId val="{00000001-9CBC-45E5-AEF1-05A05E9B6CAB}"/>
            </c:ext>
          </c:extLst>
        </c:ser>
        <c:ser>
          <c:idx val="1"/>
          <c:order val="1"/>
          <c:tx>
            <c:strRef>
              <c:f>'Norex M - Max. Panel Length SRY'!$M$309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SRY'!$M$310:$M$337</c:f>
              <c:numCache>
                <c:formatCode>0.00</c:formatCode>
                <c:ptCount val="28"/>
                <c:pt idx="1">
                  <c:v>56.209956287452727</c:v>
                </c:pt>
                <c:pt idx="13">
                  <c:v>33.050643184679203</c:v>
                </c:pt>
                <c:pt idx="15">
                  <c:v>29.239849381547302</c:v>
                </c:pt>
              </c:numCache>
            </c:numRef>
          </c:yVal>
          <c:smooth val="0"/>
          <c:extLst>
            <c:ext xmlns:c16="http://schemas.microsoft.com/office/drawing/2014/chart" uri="{C3380CC4-5D6E-409C-BE32-E72D297353CC}">
              <c16:uniqueId val="{00000002-9CBC-45E5-AEF1-05A05E9B6CAB}"/>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04-9CBC-45E5-AEF1-05A05E9B6CAB}"/>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06-9CBC-45E5-AEF1-05A05E9B6CAB}"/>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7.9845703103211957E-2"/>
          <c:y val="0.79055206691412028"/>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Suggested Pannel Lengths (Microribbed Embossed 24ga)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'Norex M - Max. Panel Length SRY'!$O$309</c:f>
              <c:strCache>
                <c:ptCount val="1"/>
                <c:pt idx="0">
                  <c:v>Empirical Length (Feet)</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FF99FF"/>
                </a:solidFill>
                <a:prstDash val="sysDash"/>
              </a:ln>
              <a:effectLst/>
            </c:spPr>
            <c:trendlineType val="linear"/>
            <c:dispRSqr val="1"/>
            <c:dispEq val="1"/>
            <c:trendlineLbl>
              <c:layout>
                <c:manualLayout>
                  <c:x val="-0.30371232257890768"/>
                  <c:y val="0.121383853663497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SRY'!$O$310:$O$337</c:f>
              <c:numCache>
                <c:formatCode>0.00</c:formatCode>
                <c:ptCount val="28"/>
                <c:pt idx="1">
                  <c:v>0</c:v>
                </c:pt>
                <c:pt idx="13">
                  <c:v>32</c:v>
                </c:pt>
                <c:pt idx="15">
                  <c:v>32</c:v>
                </c:pt>
              </c:numCache>
            </c:numRef>
          </c:yVal>
          <c:smooth val="0"/>
          <c:extLst>
            <c:ext xmlns:c16="http://schemas.microsoft.com/office/drawing/2014/chart" uri="{C3380CC4-5D6E-409C-BE32-E72D297353CC}">
              <c16:uniqueId val="{00000001-6A04-4A61-A5B6-364115B07FE7}"/>
            </c:ext>
          </c:extLst>
        </c:ser>
        <c:ser>
          <c:idx val="1"/>
          <c:order val="1"/>
          <c:tx>
            <c:strRef>
              <c:f>'Norex M - Max. Panel Length SRY'!$P$309</c:f>
              <c:strCache>
                <c:ptCount val="1"/>
                <c:pt idx="0">
                  <c:v>Calculated Length (Feet)</c:v>
                </c:pt>
              </c:strCache>
            </c:strRef>
          </c:tx>
          <c:spPr>
            <a:ln w="25400" cap="rnd">
              <a:noFill/>
              <a:round/>
            </a:ln>
            <a:effectLst/>
          </c:spPr>
          <c:marker>
            <c:symbol val="circle"/>
            <c:size val="5"/>
            <c:spPr>
              <a:solidFill>
                <a:schemeClr val="accent2"/>
              </a:solidFill>
              <a:ln w="9525">
                <a:solidFill>
                  <a:schemeClr val="accent2"/>
                </a:solidFill>
              </a:ln>
              <a:effectLst/>
            </c:spPr>
          </c:marker>
          <c:xVal>
            <c:numRef>
              <c:f>'Norex M - Max. Panel Length SRY'!$E$310:$E$337</c:f>
              <c:numCache>
                <c:formatCode>0.00</c:formatCode>
                <c:ptCount val="28"/>
                <c:pt idx="0">
                  <c:v>53.341586567624176</c:v>
                </c:pt>
                <c:pt idx="1">
                  <c:v>53.440740989031156</c:v>
                </c:pt>
                <c:pt idx="2">
                  <c:v>56.54731983250025</c:v>
                </c:pt>
                <c:pt idx="3">
                  <c:v>56.71974203572637</c:v>
                </c:pt>
                <c:pt idx="4">
                  <c:v>57.578362514458831</c:v>
                </c:pt>
                <c:pt idx="5">
                  <c:v>58.607163396818464</c:v>
                </c:pt>
                <c:pt idx="6">
                  <c:v>60.526484789578774</c:v>
                </c:pt>
                <c:pt idx="7">
                  <c:v>63.06609980042964</c:v>
                </c:pt>
                <c:pt idx="8">
                  <c:v>63.422144167614476</c:v>
                </c:pt>
                <c:pt idx="9">
                  <c:v>63.572354166699597</c:v>
                </c:pt>
                <c:pt idx="10">
                  <c:v>66.537654513875623</c:v>
                </c:pt>
                <c:pt idx="11">
                  <c:v>66.598199913018846</c:v>
                </c:pt>
                <c:pt idx="12">
                  <c:v>68.10361392462795</c:v>
                </c:pt>
                <c:pt idx="13">
                  <c:v>68.604306171230803</c:v>
                </c:pt>
                <c:pt idx="14">
                  <c:v>71.063733383987255</c:v>
                </c:pt>
                <c:pt idx="15">
                  <c:v>71.09942422474478</c:v>
                </c:pt>
                <c:pt idx="16">
                  <c:v>71.09942422474478</c:v>
                </c:pt>
                <c:pt idx="17">
                  <c:v>71.27802258515743</c:v>
                </c:pt>
                <c:pt idx="18">
                  <c:v>71.396523939113308</c:v>
                </c:pt>
                <c:pt idx="19">
                  <c:v>71.596779199547427</c:v>
                </c:pt>
                <c:pt idx="20">
                  <c:v>72.143941265090348</c:v>
                </c:pt>
                <c:pt idx="21">
                  <c:v>72.406259977471279</c:v>
                </c:pt>
                <c:pt idx="22">
                  <c:v>73.272853961107671</c:v>
                </c:pt>
                <c:pt idx="23">
                  <c:v>73.961348707585103</c:v>
                </c:pt>
                <c:pt idx="24">
                  <c:v>74.075210894060092</c:v>
                </c:pt>
                <c:pt idx="25">
                  <c:v>75.753783058301622</c:v>
                </c:pt>
                <c:pt idx="26">
                  <c:v>77.521654363776008</c:v>
                </c:pt>
                <c:pt idx="27">
                  <c:v>82.596339388573085</c:v>
                </c:pt>
              </c:numCache>
            </c:numRef>
          </c:xVal>
          <c:yVal>
            <c:numRef>
              <c:f>'Norex M - Max. Panel Length SRY'!$P$310:$P$337</c:f>
              <c:numCache>
                <c:formatCode>0.00</c:formatCode>
                <c:ptCount val="28"/>
                <c:pt idx="1">
                  <c:v>56.221056672695667</c:v>
                </c:pt>
                <c:pt idx="13">
                  <c:v>33.970041124335907</c:v>
                </c:pt>
                <c:pt idx="15">
                  <c:v>30.308704892609498</c:v>
                </c:pt>
              </c:numCache>
            </c:numRef>
          </c:yVal>
          <c:smooth val="0"/>
          <c:extLst>
            <c:ext xmlns:c16="http://schemas.microsoft.com/office/drawing/2014/chart" uri="{C3380CC4-5D6E-409C-BE32-E72D297353CC}">
              <c16:uniqueId val="{00000002-6A04-4A61-A5B6-364115B07FE7}"/>
            </c:ext>
          </c:extLst>
        </c:ser>
        <c:ser>
          <c:idx val="2"/>
          <c:order val="2"/>
          <c:tx>
            <c:strRef>
              <c:f>'Norex M - Max. Panel Length SRY'!$Q$73</c:f>
              <c:strCache>
                <c:ptCount val="1"/>
                <c:pt idx="0">
                  <c:v>Max. Length St-Hyacinthe</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rgbClr val="92D050"/>
                </a:solidFill>
                <a:prstDash val="sysDot"/>
              </a:ln>
              <a:effectLst/>
            </c:spPr>
            <c:trendlineType val="linear"/>
            <c:forward val="2"/>
            <c:dispRSqr val="0"/>
            <c:dispEq val="0"/>
          </c:trendline>
          <c:xVal>
            <c:numRef>
              <c:f>'Norex M - Max. Panel Length SRY'!$Q$74:$Q$75</c:f>
              <c:numCache>
                <c:formatCode>General</c:formatCode>
                <c:ptCount val="2"/>
                <c:pt idx="0">
                  <c:v>50</c:v>
                </c:pt>
                <c:pt idx="1">
                  <c:v>85</c:v>
                </c:pt>
              </c:numCache>
            </c:numRef>
          </c:xVal>
          <c:yVal>
            <c:numRef>
              <c:f>'Norex M - Max. Panel Length SRY'!$R$74:$R$75</c:f>
              <c:numCache>
                <c:formatCode>General</c:formatCode>
                <c:ptCount val="2"/>
                <c:pt idx="0">
                  <c:v>52.25</c:v>
                </c:pt>
                <c:pt idx="1">
                  <c:v>52.25</c:v>
                </c:pt>
              </c:numCache>
            </c:numRef>
          </c:yVal>
          <c:smooth val="0"/>
          <c:extLst>
            <c:ext xmlns:c16="http://schemas.microsoft.com/office/drawing/2014/chart" uri="{C3380CC4-5D6E-409C-BE32-E72D297353CC}">
              <c16:uniqueId val="{00000004-6A04-4A61-A5B6-364115B07FE7}"/>
            </c:ext>
          </c:extLst>
        </c:ser>
        <c:ser>
          <c:idx val="3"/>
          <c:order val="3"/>
          <c:tx>
            <c:strRef>
              <c:f>'Norex M - Max. Panel Length SRY'!$Q$78</c:f>
              <c:strCache>
                <c:ptCount val="1"/>
                <c:pt idx="0">
                  <c:v>Max. Length Strathroy</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forward val="2"/>
            <c:dispRSqr val="0"/>
            <c:dispEq val="0"/>
          </c:trendline>
          <c:xVal>
            <c:numRef>
              <c:f>'Norex M - Max. Panel Length SRY'!$Q$79:$Q$80</c:f>
              <c:numCache>
                <c:formatCode>General</c:formatCode>
                <c:ptCount val="2"/>
                <c:pt idx="0">
                  <c:v>50</c:v>
                </c:pt>
                <c:pt idx="1">
                  <c:v>85</c:v>
                </c:pt>
              </c:numCache>
            </c:numRef>
          </c:xVal>
          <c:yVal>
            <c:numRef>
              <c:f>'Norex M - Max. Panel Length SRY'!$R$79:$R$80</c:f>
              <c:numCache>
                <c:formatCode>General</c:formatCode>
                <c:ptCount val="2"/>
                <c:pt idx="0">
                  <c:v>82</c:v>
                </c:pt>
                <c:pt idx="1">
                  <c:v>82</c:v>
                </c:pt>
              </c:numCache>
            </c:numRef>
          </c:yVal>
          <c:smooth val="0"/>
          <c:extLst>
            <c:ext xmlns:c16="http://schemas.microsoft.com/office/drawing/2014/chart" uri="{C3380CC4-5D6E-409C-BE32-E72D297353CC}">
              <c16:uniqueId val="{00000006-6A04-4A61-A5B6-364115B07FE7}"/>
            </c:ext>
          </c:extLst>
        </c:ser>
        <c:dLbls>
          <c:showLegendKey val="0"/>
          <c:showVal val="0"/>
          <c:showCatName val="0"/>
          <c:showSerName val="0"/>
          <c:showPercent val="0"/>
          <c:showBubbleSize val="0"/>
        </c:dLbls>
        <c:axId val="1922344591"/>
        <c:axId val="1922345551"/>
      </c:scatterChart>
      <c:valAx>
        <c:axId val="1922344591"/>
        <c:scaling>
          <c:orientation val="minMax"/>
          <c:min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T</a:t>
                </a:r>
                <a:r>
                  <a:rPr lang="fr-CA" sz="800" b="0" i="0" u="none" strike="noStrike" kern="1200" baseline="0">
                    <a:solidFill>
                      <a:sysClr val="windowText" lastClr="000000">
                        <a:lumMod val="65000"/>
                        <a:lumOff val="35000"/>
                      </a:sysClr>
                    </a:solidFill>
                  </a:rPr>
                  <a:t>surf.max. </a:t>
                </a:r>
                <a:r>
                  <a:rPr lang="fr-CA" sz="1000" b="0" i="0" u="none" strike="noStrike" kern="1200" baseline="0">
                    <a:solidFill>
                      <a:sysClr val="windowText" lastClr="000000">
                        <a:lumMod val="65000"/>
                        <a:lumOff val="35000"/>
                      </a:sysClr>
                    </a:solidFill>
                  </a:rPr>
                  <a:t>Pannel (Degree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5551"/>
        <c:crosses val="autoZero"/>
        <c:crossBetween val="midCat"/>
      </c:valAx>
      <c:valAx>
        <c:axId val="1922345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000" b="0" i="0" u="none" strike="noStrike" kern="1200" baseline="0">
                    <a:solidFill>
                      <a:sysClr val="windowText" lastClr="000000">
                        <a:lumMod val="65000"/>
                        <a:lumOff val="35000"/>
                      </a:sysClr>
                    </a:solidFill>
                  </a:rPr>
                  <a:t>Maximum Length of the Pannel (Feet)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2344591"/>
        <c:crosses val="autoZero"/>
        <c:crossBetween val="midCat"/>
      </c:valAx>
      <c:spPr>
        <a:noFill/>
        <a:ln>
          <a:noFill/>
        </a:ln>
        <a:effectLst/>
      </c:spPr>
    </c:plotArea>
    <c:legend>
      <c:legendPos val="r"/>
      <c:layout>
        <c:manualLayout>
          <c:xMode val="edge"/>
          <c:yMode val="edge"/>
          <c:x val="7.9845703103211957E-2"/>
          <c:y val="0.79055206691412028"/>
          <c:w val="0.65254723632523859"/>
          <c:h val="0.107206551583871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6.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chart" Target="../charts/chart1.xml"/><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image" Target="../media/image27.png"/><Relationship Id="rId1" Type="http://schemas.openxmlformats.org/officeDocument/2006/relationships/image" Target="../media/image26.pn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chart" Target="../charts/chart24.xml"/><Relationship Id="rId3" Type="http://schemas.openxmlformats.org/officeDocument/2006/relationships/chart" Target="../charts/chart14.xml"/><Relationship Id="rId7" Type="http://schemas.openxmlformats.org/officeDocument/2006/relationships/chart" Target="../charts/chart18.xml"/><Relationship Id="rId12" Type="http://schemas.openxmlformats.org/officeDocument/2006/relationships/chart" Target="../charts/chart23.xml"/><Relationship Id="rId2" Type="http://schemas.openxmlformats.org/officeDocument/2006/relationships/image" Target="../media/image27.png"/><Relationship Id="rId1" Type="http://schemas.openxmlformats.org/officeDocument/2006/relationships/image" Target="../media/image26.png"/><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5" Type="http://schemas.openxmlformats.org/officeDocument/2006/relationships/chart" Target="../charts/chart2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chart" Target="../charts/chart25.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259080</xdr:colOff>
          <xdr:row>6</xdr:row>
          <xdr:rowOff>175260</xdr:rowOff>
        </xdr:from>
        <xdr:to>
          <xdr:col>10</xdr:col>
          <xdr:colOff>335280</xdr:colOff>
          <xdr:row>8</xdr:row>
          <xdr:rowOff>205740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Imprimer (Français)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236220</xdr:colOff>
          <xdr:row>9</xdr:row>
          <xdr:rowOff>22860</xdr:rowOff>
        </xdr:from>
        <xdr:to>
          <xdr:col>10</xdr:col>
          <xdr:colOff>335280</xdr:colOff>
          <xdr:row>10</xdr:row>
          <xdr:rowOff>236220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Réinitialiser /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502920</xdr:colOff>
          <xdr:row>6</xdr:row>
          <xdr:rowOff>175260</xdr:rowOff>
        </xdr:from>
        <xdr:to>
          <xdr:col>11</xdr:col>
          <xdr:colOff>891540</xdr:colOff>
          <xdr:row>8</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100" b="0" i="0" u="none" strike="noStrike" baseline="0">
                  <a:solidFill>
                    <a:srgbClr val="000000"/>
                  </a:solidFill>
                  <a:latin typeface="Calibri"/>
                  <a:ea typeface="Calibri"/>
                  <a:cs typeface="Calibri"/>
                </a:rPr>
                <a:t>Print (English)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76</xdr:col>
      <xdr:colOff>19050</xdr:colOff>
      <xdr:row>3</xdr:row>
      <xdr:rowOff>19050</xdr:rowOff>
    </xdr:from>
    <xdr:to>
      <xdr:col>92</xdr:col>
      <xdr:colOff>55113</xdr:colOff>
      <xdr:row>64</xdr:row>
      <xdr:rowOff>93041</xdr:rowOff>
    </xdr:to>
    <xdr:pic>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58654950" y="1714500"/>
          <a:ext cx="12689071" cy="16592961"/>
        </a:xfrm>
        <a:prstGeom prst="rect">
          <a:avLst/>
        </a:prstGeom>
      </xdr:spPr>
    </xdr:pic>
    <xdr:clientData/>
  </xdr:twoCellAnchor>
  <xdr:twoCellAnchor editAs="oneCell">
    <xdr:from>
      <xdr:col>109</xdr:col>
      <xdr:colOff>590550</xdr:colOff>
      <xdr:row>96</xdr:row>
      <xdr:rowOff>114300</xdr:rowOff>
    </xdr:from>
    <xdr:to>
      <xdr:col>125</xdr:col>
      <xdr:colOff>513169</xdr:colOff>
      <xdr:row>158</xdr:row>
      <xdr:rowOff>113359</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87268050" y="26022300"/>
          <a:ext cx="12298557" cy="16343536"/>
        </a:xfrm>
        <a:prstGeom prst="rect">
          <a:avLst/>
        </a:prstGeom>
      </xdr:spPr>
    </xdr:pic>
    <xdr:clientData/>
  </xdr:twoCellAnchor>
  <xdr:twoCellAnchor editAs="oneCell">
    <xdr:from>
      <xdr:col>4</xdr:col>
      <xdr:colOff>103478</xdr:colOff>
      <xdr:row>142</xdr:row>
      <xdr:rowOff>48894</xdr:rowOff>
    </xdr:from>
    <xdr:to>
      <xdr:col>16</xdr:col>
      <xdr:colOff>206676</xdr:colOff>
      <xdr:row>189</xdr:row>
      <xdr:rowOff>136893</xdr:rowOff>
    </xdr:to>
    <xdr:pic>
      <xdr:nvPicPr>
        <xdr:cNvPr id="22" name="Imag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3"/>
        <a:stretch>
          <a:fillRect/>
        </a:stretch>
      </xdr:blipFill>
      <xdr:spPr>
        <a:xfrm>
          <a:off x="907811" y="49092061"/>
          <a:ext cx="11853784" cy="8973129"/>
        </a:xfrm>
        <a:prstGeom prst="rect">
          <a:avLst/>
        </a:prstGeom>
      </xdr:spPr>
    </xdr:pic>
    <xdr:clientData/>
  </xdr:twoCellAnchor>
  <xdr:twoCellAnchor editAs="oneCell">
    <xdr:from>
      <xdr:col>0</xdr:col>
      <xdr:colOff>0</xdr:colOff>
      <xdr:row>361</xdr:row>
      <xdr:rowOff>174624</xdr:rowOff>
    </xdr:from>
    <xdr:to>
      <xdr:col>20</xdr:col>
      <xdr:colOff>455935</xdr:colOff>
      <xdr:row>418</xdr:row>
      <xdr:rowOff>60958</xdr:rowOff>
    </xdr:to>
    <xdr:pic>
      <xdr:nvPicPr>
        <xdr:cNvPr id="104" name="Image 103">
          <a:extLst>
            <a:ext uri="{FF2B5EF4-FFF2-40B4-BE49-F238E27FC236}">
              <a16:creationId xmlns:a16="http://schemas.microsoft.com/office/drawing/2014/main" id="{00000000-0008-0000-0200-00006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69659499"/>
          <a:ext cx="17808247" cy="9826625"/>
        </a:xfrm>
        <a:prstGeom prst="rect">
          <a:avLst/>
        </a:prstGeom>
      </xdr:spPr>
    </xdr:pic>
    <xdr:clientData/>
  </xdr:twoCellAnchor>
  <xdr:twoCellAnchor>
    <xdr:from>
      <xdr:col>26</xdr:col>
      <xdr:colOff>1029970</xdr:colOff>
      <xdr:row>163</xdr:row>
      <xdr:rowOff>144779</xdr:rowOff>
    </xdr:from>
    <xdr:to>
      <xdr:col>30</xdr:col>
      <xdr:colOff>103188</xdr:colOff>
      <xdr:row>165</xdr:row>
      <xdr:rowOff>57783</xdr:rowOff>
    </xdr:to>
    <xdr:sp macro="" textlink="">
      <xdr:nvSpPr>
        <xdr:cNvPr id="3" name="Ellipse 2">
          <a:extLst>
            <a:ext uri="{FF2B5EF4-FFF2-40B4-BE49-F238E27FC236}">
              <a16:creationId xmlns:a16="http://schemas.microsoft.com/office/drawing/2014/main" id="{00000000-0008-0000-0200-000003000000}"/>
            </a:ext>
          </a:extLst>
        </xdr:cNvPr>
        <xdr:cNvSpPr/>
      </xdr:nvSpPr>
      <xdr:spPr>
        <a:xfrm>
          <a:off x="22913658" y="53310154"/>
          <a:ext cx="3613468" cy="286067"/>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28</xdr:col>
      <xdr:colOff>251114</xdr:colOff>
      <xdr:row>165</xdr:row>
      <xdr:rowOff>57611</xdr:rowOff>
    </xdr:from>
    <xdr:to>
      <xdr:col>28</xdr:col>
      <xdr:colOff>474953</xdr:colOff>
      <xdr:row>169</xdr:row>
      <xdr:rowOff>37678</xdr:rowOff>
    </xdr:to>
    <xdr:sp macro="" textlink="">
      <xdr:nvSpPr>
        <xdr:cNvPr id="6" name="Flèche : droite 5">
          <a:extLst>
            <a:ext uri="{FF2B5EF4-FFF2-40B4-BE49-F238E27FC236}">
              <a16:creationId xmlns:a16="http://schemas.microsoft.com/office/drawing/2014/main" id="{00000000-0008-0000-0200-000006000000}"/>
            </a:ext>
          </a:extLst>
        </xdr:cNvPr>
        <xdr:cNvSpPr/>
      </xdr:nvSpPr>
      <xdr:spPr>
        <a:xfrm rot="16200000" flipH="1" flipV="1">
          <a:off x="24692057" y="43789690"/>
          <a:ext cx="750726" cy="223839"/>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CA" sz="1000"/>
            <a:t>Minimum</a:t>
          </a:r>
        </a:p>
      </xdr:txBody>
    </xdr:sp>
    <xdr:clientData/>
  </xdr:twoCellAnchor>
  <xdr:twoCellAnchor>
    <xdr:from>
      <xdr:col>29</xdr:col>
      <xdr:colOff>774550</xdr:colOff>
      <xdr:row>158</xdr:row>
      <xdr:rowOff>33201</xdr:rowOff>
    </xdr:from>
    <xdr:to>
      <xdr:col>29</xdr:col>
      <xdr:colOff>990757</xdr:colOff>
      <xdr:row>163</xdr:row>
      <xdr:rowOff>98204</xdr:rowOff>
    </xdr:to>
    <xdr:sp macro="" textlink="">
      <xdr:nvSpPr>
        <xdr:cNvPr id="34" name="Flèche : droite 33">
          <a:extLst>
            <a:ext uri="{FF2B5EF4-FFF2-40B4-BE49-F238E27FC236}">
              <a16:creationId xmlns:a16="http://schemas.microsoft.com/office/drawing/2014/main" id="{00000000-0008-0000-0200-000022000000}"/>
            </a:ext>
          </a:extLst>
        </xdr:cNvPr>
        <xdr:cNvSpPr/>
      </xdr:nvSpPr>
      <xdr:spPr>
        <a:xfrm rot="18159724" flipH="1">
          <a:off x="25627059" y="52618943"/>
          <a:ext cx="1073065" cy="216207"/>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CA" sz="1000"/>
            <a:t>Facteur limitant</a:t>
          </a:r>
        </a:p>
      </xdr:txBody>
    </xdr:sp>
    <xdr:clientData/>
  </xdr:twoCellAnchor>
  <xdr:twoCellAnchor editAs="oneCell">
    <xdr:from>
      <xdr:col>6</xdr:col>
      <xdr:colOff>131445</xdr:colOff>
      <xdr:row>427</xdr:row>
      <xdr:rowOff>64770</xdr:rowOff>
    </xdr:from>
    <xdr:to>
      <xdr:col>21</xdr:col>
      <xdr:colOff>1012473</xdr:colOff>
      <xdr:row>481</xdr:row>
      <xdr:rowOff>57783</xdr:rowOff>
    </xdr:to>
    <xdr:pic>
      <xdr:nvPicPr>
        <xdr:cNvPr id="30" name="Image 29">
          <a:extLst>
            <a:ext uri="{FF2B5EF4-FFF2-40B4-BE49-F238E27FC236}">
              <a16:creationId xmlns:a16="http://schemas.microsoft.com/office/drawing/2014/main" id="{00000000-0008-0000-0200-00001E000000}"/>
            </a:ext>
            <a:ext uri="{147F2762-F138-4A5C-976F-8EAC2B608ADB}">
              <a16:predDERef xmlns:a16="http://schemas.microsoft.com/office/drawing/2014/main" pred="{00000000-0008-0000-0100-00002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64995" y="97334070"/>
          <a:ext cx="16214373" cy="9927588"/>
        </a:xfrm>
        <a:prstGeom prst="rect">
          <a:avLst/>
        </a:prstGeom>
      </xdr:spPr>
    </xdr:pic>
    <xdr:clientData/>
  </xdr:twoCellAnchor>
  <xdr:twoCellAnchor editAs="oneCell">
    <xdr:from>
      <xdr:col>1</xdr:col>
      <xdr:colOff>99603</xdr:colOff>
      <xdr:row>482</xdr:row>
      <xdr:rowOff>61506</xdr:rowOff>
    </xdr:from>
    <xdr:to>
      <xdr:col>20</xdr:col>
      <xdr:colOff>342796</xdr:colOff>
      <xdr:row>539</xdr:row>
      <xdr:rowOff>37647</xdr:rowOff>
    </xdr:to>
    <xdr:pic>
      <xdr:nvPicPr>
        <xdr:cNvPr id="31" name="Imag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03710" y="91719220"/>
          <a:ext cx="17362642" cy="10062209"/>
        </a:xfrm>
        <a:prstGeom prst="rect">
          <a:avLst/>
        </a:prstGeom>
        <a:effectLst/>
      </xdr:spPr>
    </xdr:pic>
    <xdr:clientData/>
  </xdr:twoCellAnchor>
  <xdr:twoCellAnchor editAs="oneCell">
    <xdr:from>
      <xdr:col>5</xdr:col>
      <xdr:colOff>322762</xdr:colOff>
      <xdr:row>303</xdr:row>
      <xdr:rowOff>50618</xdr:rowOff>
    </xdr:from>
    <xdr:to>
      <xdr:col>17</xdr:col>
      <xdr:colOff>459074</xdr:colOff>
      <xdr:row>358</xdr:row>
      <xdr:rowOff>98682</xdr:rowOff>
    </xdr:to>
    <xdr:pic>
      <xdr:nvPicPr>
        <xdr:cNvPr id="32" name="Image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792333" y="59840404"/>
          <a:ext cx="12493262" cy="9777169"/>
        </a:xfrm>
        <a:prstGeom prst="rect">
          <a:avLst/>
        </a:prstGeom>
        <a:effectLst/>
      </xdr:spPr>
    </xdr:pic>
    <xdr:clientData/>
  </xdr:twoCellAnchor>
  <xdr:twoCellAnchor editAs="oneCell">
    <xdr:from>
      <xdr:col>16</xdr:col>
      <xdr:colOff>1056706</xdr:colOff>
      <xdr:row>153</xdr:row>
      <xdr:rowOff>17669</xdr:rowOff>
    </xdr:from>
    <xdr:to>
      <xdr:col>21</xdr:col>
      <xdr:colOff>1735</xdr:colOff>
      <xdr:row>165</xdr:row>
      <xdr:rowOff>96096</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8"/>
        <a:stretch>
          <a:fillRect/>
        </a:stretch>
      </xdr:blipFill>
      <xdr:spPr>
        <a:xfrm>
          <a:off x="12867706" y="51209252"/>
          <a:ext cx="4845448" cy="2363582"/>
        </a:xfrm>
        <a:prstGeom prst="rect">
          <a:avLst/>
        </a:prstGeom>
      </xdr:spPr>
    </xdr:pic>
    <xdr:clientData/>
  </xdr:twoCellAnchor>
  <xdr:twoCellAnchor editAs="oneCell">
    <xdr:from>
      <xdr:col>16</xdr:col>
      <xdr:colOff>1085993</xdr:colOff>
      <xdr:row>165</xdr:row>
      <xdr:rowOff>67877</xdr:rowOff>
    </xdr:from>
    <xdr:to>
      <xdr:col>20</xdr:col>
      <xdr:colOff>1103020</xdr:colOff>
      <xdr:row>178</xdr:row>
      <xdr:rowOff>39585</xdr:rowOff>
    </xdr:to>
    <xdr:pic>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9"/>
        <a:stretch>
          <a:fillRect/>
        </a:stretch>
      </xdr:blipFill>
      <xdr:spPr>
        <a:xfrm>
          <a:off x="12896993" y="53556044"/>
          <a:ext cx="4827786" cy="2413493"/>
        </a:xfrm>
        <a:prstGeom prst="rect">
          <a:avLst/>
        </a:prstGeom>
      </xdr:spPr>
    </xdr:pic>
    <xdr:clientData/>
  </xdr:twoCellAnchor>
  <xdr:twoCellAnchor editAs="oneCell">
    <xdr:from>
      <xdr:col>16</xdr:col>
      <xdr:colOff>1104202</xdr:colOff>
      <xdr:row>178</xdr:row>
      <xdr:rowOff>41210</xdr:rowOff>
    </xdr:from>
    <xdr:to>
      <xdr:col>20</xdr:col>
      <xdr:colOff>1030221</xdr:colOff>
      <xdr:row>190</xdr:row>
      <xdr:rowOff>191560</xdr:rowOff>
    </xdr:to>
    <xdr:pic>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0"/>
        <a:stretch>
          <a:fillRect/>
        </a:stretch>
      </xdr:blipFill>
      <xdr:spPr>
        <a:xfrm>
          <a:off x="12915202" y="55963543"/>
          <a:ext cx="4652958" cy="2334326"/>
        </a:xfrm>
        <a:prstGeom prst="rect">
          <a:avLst/>
        </a:prstGeom>
      </xdr:spPr>
    </xdr:pic>
    <xdr:clientData/>
  </xdr:twoCellAnchor>
  <xdr:twoCellAnchor editAs="oneCell">
    <xdr:from>
      <xdr:col>0</xdr:col>
      <xdr:colOff>0</xdr:colOff>
      <xdr:row>100</xdr:row>
      <xdr:rowOff>0</xdr:rowOff>
    </xdr:from>
    <xdr:to>
      <xdr:col>19</xdr:col>
      <xdr:colOff>915545</xdr:colOff>
      <xdr:row>139</xdr:row>
      <xdr:rowOff>245321</xdr:rowOff>
    </xdr:to>
    <xdr:pic>
      <xdr:nvPicPr>
        <xdr:cNvPr id="35" name="Image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1"/>
        <a:stretch>
          <a:fillRect/>
        </a:stretch>
      </xdr:blipFill>
      <xdr:spPr>
        <a:xfrm>
          <a:off x="0" y="26343429"/>
          <a:ext cx="17102602" cy="12071016"/>
        </a:xfrm>
        <a:prstGeom prst="rect">
          <a:avLst/>
        </a:prstGeom>
      </xdr:spPr>
    </xdr:pic>
    <xdr:clientData/>
  </xdr:twoCellAnchor>
  <xdr:twoCellAnchor editAs="oneCell">
    <xdr:from>
      <xdr:col>6</xdr:col>
      <xdr:colOff>280035</xdr:colOff>
      <xdr:row>100</xdr:row>
      <xdr:rowOff>68173</xdr:rowOff>
    </xdr:from>
    <xdr:to>
      <xdr:col>13</xdr:col>
      <xdr:colOff>799354</xdr:colOff>
      <xdr:row>113</xdr:row>
      <xdr:rowOff>245798</xdr:rowOff>
    </xdr:to>
    <xdr:pic>
      <xdr:nvPicPr>
        <xdr:cNvPr id="36" name="Image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2"/>
        <a:stretch>
          <a:fillRect/>
        </a:stretch>
      </xdr:blipFill>
      <xdr:spPr>
        <a:xfrm>
          <a:off x="2141492" y="26536787"/>
          <a:ext cx="8794125" cy="4151454"/>
        </a:xfrm>
        <a:prstGeom prst="rect">
          <a:avLst/>
        </a:prstGeom>
      </xdr:spPr>
    </xdr:pic>
    <xdr:clientData/>
  </xdr:twoCellAnchor>
  <xdr:twoCellAnchor>
    <xdr:from>
      <xdr:col>7</xdr:col>
      <xdr:colOff>368687</xdr:colOff>
      <xdr:row>106</xdr:row>
      <xdr:rowOff>174798</xdr:rowOff>
    </xdr:from>
    <xdr:to>
      <xdr:col>7</xdr:col>
      <xdr:colOff>1024943</xdr:colOff>
      <xdr:row>113</xdr:row>
      <xdr:rowOff>131127</xdr:rowOff>
    </xdr:to>
    <xdr:sp macro="" textlink="">
      <xdr:nvSpPr>
        <xdr:cNvPr id="39" name="Ellipse 38">
          <a:extLst>
            <a:ext uri="{FF2B5EF4-FFF2-40B4-BE49-F238E27FC236}">
              <a16:creationId xmlns:a16="http://schemas.microsoft.com/office/drawing/2014/main" id="{00000000-0008-0000-0200-000027000000}"/>
            </a:ext>
          </a:extLst>
        </xdr:cNvPr>
        <xdr:cNvSpPr/>
      </xdr:nvSpPr>
      <xdr:spPr>
        <a:xfrm>
          <a:off x="2749937" y="25670048"/>
          <a:ext cx="656256" cy="2104746"/>
        </a:xfrm>
        <a:prstGeom prst="ellipse">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4</xdr:col>
      <xdr:colOff>150496</xdr:colOff>
      <xdr:row>108</xdr:row>
      <xdr:rowOff>178756</xdr:rowOff>
    </xdr:from>
    <xdr:to>
      <xdr:col>7</xdr:col>
      <xdr:colOff>511968</xdr:colOff>
      <xdr:row>121</xdr:row>
      <xdr:rowOff>286917</xdr:rowOff>
    </xdr:to>
    <xdr:cxnSp macro="">
      <xdr:nvCxnSpPr>
        <xdr:cNvPr id="40" name="Connecteur : en angle 39">
          <a:extLst>
            <a:ext uri="{FF2B5EF4-FFF2-40B4-BE49-F238E27FC236}">
              <a16:creationId xmlns:a16="http://schemas.microsoft.com/office/drawing/2014/main" id="{00000000-0008-0000-0200-000028000000}"/>
            </a:ext>
          </a:extLst>
        </xdr:cNvPr>
        <xdr:cNvCxnSpPr/>
      </xdr:nvCxnSpPr>
      <xdr:spPr>
        <a:xfrm rot="5400000">
          <a:off x="-125015" y="27367683"/>
          <a:ext cx="4098078" cy="1938389"/>
        </a:xfrm>
        <a:prstGeom prst="bentConnector3">
          <a:avLst>
            <a:gd name="adj1" fmla="val -53"/>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65579</xdr:colOff>
      <xdr:row>112</xdr:row>
      <xdr:rowOff>189618</xdr:rowOff>
    </xdr:from>
    <xdr:to>
      <xdr:col>7</xdr:col>
      <xdr:colOff>608920</xdr:colOff>
      <xdr:row>115</xdr:row>
      <xdr:rowOff>272820</xdr:rowOff>
    </xdr:to>
    <xdr:cxnSp macro="">
      <xdr:nvCxnSpPr>
        <xdr:cNvPr id="41" name="Connecteur droit avec flèche 40">
          <a:extLst>
            <a:ext uri="{FF2B5EF4-FFF2-40B4-BE49-F238E27FC236}">
              <a16:creationId xmlns:a16="http://schemas.microsoft.com/office/drawing/2014/main" id="{00000000-0008-0000-0200-000029000000}"/>
            </a:ext>
          </a:extLst>
        </xdr:cNvPr>
        <xdr:cNvCxnSpPr/>
      </xdr:nvCxnSpPr>
      <xdr:spPr>
        <a:xfrm flipH="1">
          <a:off x="1515496" y="27526368"/>
          <a:ext cx="1474674" cy="1003952"/>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448151</xdr:colOff>
      <xdr:row>106</xdr:row>
      <xdr:rowOff>177111</xdr:rowOff>
    </xdr:from>
    <xdr:to>
      <xdr:col>9</xdr:col>
      <xdr:colOff>1200467</xdr:colOff>
      <xdr:row>113</xdr:row>
      <xdr:rowOff>187694</xdr:rowOff>
    </xdr:to>
    <xdr:sp macro="" textlink="">
      <xdr:nvSpPr>
        <xdr:cNvPr id="42" name="Ellipse 41">
          <a:extLst>
            <a:ext uri="{FF2B5EF4-FFF2-40B4-BE49-F238E27FC236}">
              <a16:creationId xmlns:a16="http://schemas.microsoft.com/office/drawing/2014/main" id="{00000000-0008-0000-0200-00002A000000}"/>
            </a:ext>
          </a:extLst>
        </xdr:cNvPr>
        <xdr:cNvSpPr/>
      </xdr:nvSpPr>
      <xdr:spPr>
        <a:xfrm>
          <a:off x="3930068" y="25672361"/>
          <a:ext cx="1948232" cy="215900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9</xdr:col>
      <xdr:colOff>629534</xdr:colOff>
      <xdr:row>105</xdr:row>
      <xdr:rowOff>8096</xdr:rowOff>
    </xdr:from>
    <xdr:to>
      <xdr:col>11</xdr:col>
      <xdr:colOff>781524</xdr:colOff>
      <xdr:row>107</xdr:row>
      <xdr:rowOff>20584</xdr:rowOff>
    </xdr:to>
    <xdr:sp macro="" textlink="">
      <xdr:nvSpPr>
        <xdr:cNvPr id="43" name="Ellipse 42">
          <a:extLst>
            <a:ext uri="{FF2B5EF4-FFF2-40B4-BE49-F238E27FC236}">
              <a16:creationId xmlns:a16="http://schemas.microsoft.com/office/drawing/2014/main" id="{00000000-0008-0000-0200-00002B000000}"/>
            </a:ext>
          </a:extLst>
        </xdr:cNvPr>
        <xdr:cNvSpPr/>
      </xdr:nvSpPr>
      <xdr:spPr>
        <a:xfrm>
          <a:off x="5307367" y="25196429"/>
          <a:ext cx="2533240" cy="626322"/>
        </a:xfrm>
        <a:prstGeom prst="ellipse">
          <a:avLst/>
        </a:prstGeom>
        <a:no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10</xdr:col>
      <xdr:colOff>172606</xdr:colOff>
      <xdr:row>106</xdr:row>
      <xdr:rowOff>151190</xdr:rowOff>
    </xdr:from>
    <xdr:to>
      <xdr:col>10</xdr:col>
      <xdr:colOff>1028700</xdr:colOff>
      <xdr:row>129</xdr:row>
      <xdr:rowOff>95250</xdr:rowOff>
    </xdr:to>
    <xdr:cxnSp macro="">
      <xdr:nvCxnSpPr>
        <xdr:cNvPr id="44" name="Connecteur droit avec flèche 43">
          <a:extLst>
            <a:ext uri="{FF2B5EF4-FFF2-40B4-BE49-F238E27FC236}">
              <a16:creationId xmlns:a16="http://schemas.microsoft.com/office/drawing/2014/main" id="{00000000-0008-0000-0200-00002C000000}"/>
            </a:ext>
          </a:extLst>
        </xdr:cNvPr>
        <xdr:cNvCxnSpPr/>
      </xdr:nvCxnSpPr>
      <xdr:spPr>
        <a:xfrm>
          <a:off x="6621031" y="28202315"/>
          <a:ext cx="856094" cy="6954460"/>
        </a:xfrm>
        <a:prstGeom prst="straightConnector1">
          <a:avLst/>
        </a:prstGeom>
        <a:ln w="28575">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124572</xdr:colOff>
      <xdr:row>106</xdr:row>
      <xdr:rowOff>138875</xdr:rowOff>
    </xdr:from>
    <xdr:to>
      <xdr:col>12</xdr:col>
      <xdr:colOff>436244</xdr:colOff>
      <xdr:row>126</xdr:row>
      <xdr:rowOff>211667</xdr:rowOff>
    </xdr:to>
    <xdr:cxnSp macro="">
      <xdr:nvCxnSpPr>
        <xdr:cNvPr id="45" name="Connecteur droit avec flèche 44">
          <a:extLst>
            <a:ext uri="{FF2B5EF4-FFF2-40B4-BE49-F238E27FC236}">
              <a16:creationId xmlns:a16="http://schemas.microsoft.com/office/drawing/2014/main" id="{00000000-0008-0000-0200-00002D000000}"/>
            </a:ext>
          </a:extLst>
        </xdr:cNvPr>
        <xdr:cNvCxnSpPr/>
      </xdr:nvCxnSpPr>
      <xdr:spPr>
        <a:xfrm>
          <a:off x="7183655" y="25634125"/>
          <a:ext cx="1507589" cy="6211125"/>
        </a:xfrm>
        <a:prstGeom prst="straightConnector1">
          <a:avLst/>
        </a:prstGeom>
        <a:ln w="28575">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466657</xdr:colOff>
      <xdr:row>106</xdr:row>
      <xdr:rowOff>212830</xdr:rowOff>
    </xdr:from>
    <xdr:to>
      <xdr:col>13</xdr:col>
      <xdr:colOff>892968</xdr:colOff>
      <xdr:row>113</xdr:row>
      <xdr:rowOff>233414</xdr:rowOff>
    </xdr:to>
    <xdr:sp macro="" textlink="">
      <xdr:nvSpPr>
        <xdr:cNvPr id="46" name="Ellipse 45">
          <a:extLst>
            <a:ext uri="{FF2B5EF4-FFF2-40B4-BE49-F238E27FC236}">
              <a16:creationId xmlns:a16="http://schemas.microsoft.com/office/drawing/2014/main" id="{00000000-0008-0000-0200-00002E000000}"/>
            </a:ext>
          </a:extLst>
        </xdr:cNvPr>
        <xdr:cNvSpPr/>
      </xdr:nvSpPr>
      <xdr:spPr>
        <a:xfrm>
          <a:off x="7525740" y="25708080"/>
          <a:ext cx="2733478" cy="2169001"/>
        </a:xfrm>
        <a:prstGeom prst="ellipse">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12</xdr:col>
      <xdr:colOff>656748</xdr:colOff>
      <xdr:row>110</xdr:row>
      <xdr:rowOff>47042</xdr:rowOff>
    </xdr:from>
    <xdr:to>
      <xdr:col>18</xdr:col>
      <xdr:colOff>1066800</xdr:colOff>
      <xdr:row>115</xdr:row>
      <xdr:rowOff>142875</xdr:rowOff>
    </xdr:to>
    <xdr:cxnSp macro="">
      <xdr:nvCxnSpPr>
        <xdr:cNvPr id="47" name="Connecteur droit avec flèche 46">
          <a:extLst>
            <a:ext uri="{FF2B5EF4-FFF2-40B4-BE49-F238E27FC236}">
              <a16:creationId xmlns:a16="http://schemas.microsoft.com/office/drawing/2014/main" id="{00000000-0008-0000-0200-00002F000000}"/>
            </a:ext>
          </a:extLst>
        </xdr:cNvPr>
        <xdr:cNvCxnSpPr/>
      </xdr:nvCxnSpPr>
      <xdr:spPr>
        <a:xfrm>
          <a:off x="9419748" y="29317367"/>
          <a:ext cx="6325077" cy="1619833"/>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517108</xdr:colOff>
      <xdr:row>123</xdr:row>
      <xdr:rowOff>41536</xdr:rowOff>
    </xdr:from>
    <xdr:to>
      <xdr:col>13</xdr:col>
      <xdr:colOff>291432</xdr:colOff>
      <xdr:row>124</xdr:row>
      <xdr:rowOff>226506</xdr:rowOff>
    </xdr:to>
    <xdr:sp macro="" textlink="">
      <xdr:nvSpPr>
        <xdr:cNvPr id="48" name="Ellipse 47">
          <a:extLst>
            <a:ext uri="{FF2B5EF4-FFF2-40B4-BE49-F238E27FC236}">
              <a16:creationId xmlns:a16="http://schemas.microsoft.com/office/drawing/2014/main" id="{00000000-0008-0000-0200-000030000000}"/>
            </a:ext>
          </a:extLst>
        </xdr:cNvPr>
        <xdr:cNvSpPr/>
      </xdr:nvSpPr>
      <xdr:spPr>
        <a:xfrm>
          <a:off x="9541365" y="33395365"/>
          <a:ext cx="884667" cy="489770"/>
        </a:xfrm>
        <a:prstGeom prst="ellipse">
          <a:avLst/>
        </a:prstGeom>
        <a:noFill/>
        <a:ln w="28575">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13</xdr:col>
      <xdr:colOff>291432</xdr:colOff>
      <xdr:row>123</xdr:row>
      <xdr:rowOff>286421</xdr:rowOff>
    </xdr:from>
    <xdr:to>
      <xdr:col>18</xdr:col>
      <xdr:colOff>1000533</xdr:colOff>
      <xdr:row>127</xdr:row>
      <xdr:rowOff>8740</xdr:rowOff>
    </xdr:to>
    <xdr:cxnSp macro="">
      <xdr:nvCxnSpPr>
        <xdr:cNvPr id="50" name="Connecteur droit 49">
          <a:extLst>
            <a:ext uri="{FF2B5EF4-FFF2-40B4-BE49-F238E27FC236}">
              <a16:creationId xmlns:a16="http://schemas.microsoft.com/office/drawing/2014/main" id="{00000000-0008-0000-0200-000032000000}"/>
            </a:ext>
          </a:extLst>
        </xdr:cNvPr>
        <xdr:cNvCxnSpPr>
          <a:stCxn id="48" idx="6"/>
          <a:endCxn id="54" idx="0"/>
        </xdr:cNvCxnSpPr>
      </xdr:nvCxnSpPr>
      <xdr:spPr>
        <a:xfrm>
          <a:off x="10426032" y="33640250"/>
          <a:ext cx="5498815" cy="941519"/>
        </a:xfrm>
        <a:prstGeom prst="line">
          <a:avLst/>
        </a:prstGeom>
        <a:ln w="28575"/>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959442</xdr:colOff>
      <xdr:row>124</xdr:row>
      <xdr:rowOff>226506</xdr:rowOff>
    </xdr:from>
    <xdr:to>
      <xdr:col>16</xdr:col>
      <xdr:colOff>915080</xdr:colOff>
      <xdr:row>133</xdr:row>
      <xdr:rowOff>77547</xdr:rowOff>
    </xdr:to>
    <xdr:cxnSp macro="">
      <xdr:nvCxnSpPr>
        <xdr:cNvPr id="51" name="Connecteur droit 50">
          <a:extLst>
            <a:ext uri="{FF2B5EF4-FFF2-40B4-BE49-F238E27FC236}">
              <a16:creationId xmlns:a16="http://schemas.microsoft.com/office/drawing/2014/main" id="{00000000-0008-0000-0200-000033000000}"/>
            </a:ext>
          </a:extLst>
        </xdr:cNvPr>
        <xdr:cNvCxnSpPr>
          <a:stCxn id="48" idx="4"/>
          <a:endCxn id="54" idx="1"/>
        </xdr:cNvCxnSpPr>
      </xdr:nvCxnSpPr>
      <xdr:spPr>
        <a:xfrm>
          <a:off x="9983699" y="33885135"/>
          <a:ext cx="3504381" cy="2594241"/>
        </a:xfrm>
        <a:prstGeom prst="line">
          <a:avLst/>
        </a:prstGeom>
        <a:ln w="28575"/>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16</xdr:col>
      <xdr:colOff>921068</xdr:colOff>
      <xdr:row>127</xdr:row>
      <xdr:rowOff>27517</xdr:rowOff>
    </xdr:from>
    <xdr:to>
      <xdr:col>20</xdr:col>
      <xdr:colOff>1044470</xdr:colOff>
      <xdr:row>139</xdr:row>
      <xdr:rowOff>174202</xdr:rowOff>
    </xdr:to>
    <xdr:pic>
      <xdr:nvPicPr>
        <xdr:cNvPr id="52" name="Imag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13"/>
        <a:stretch>
          <a:fillRect/>
        </a:stretch>
      </xdr:blipFill>
      <xdr:spPr>
        <a:xfrm>
          <a:off x="12732068" y="31968017"/>
          <a:ext cx="4856056" cy="3769996"/>
        </a:xfrm>
        <a:prstGeom prst="rect">
          <a:avLst/>
        </a:prstGeom>
      </xdr:spPr>
    </xdr:pic>
    <xdr:clientData/>
  </xdr:twoCellAnchor>
  <xdr:twoCellAnchor>
    <xdr:from>
      <xdr:col>16</xdr:col>
      <xdr:colOff>915080</xdr:colOff>
      <xdr:row>127</xdr:row>
      <xdr:rowOff>8740</xdr:rowOff>
    </xdr:from>
    <xdr:to>
      <xdr:col>20</xdr:col>
      <xdr:colOff>1058771</xdr:colOff>
      <xdr:row>139</xdr:row>
      <xdr:rowOff>211668</xdr:rowOff>
    </xdr:to>
    <xdr:sp macro="" textlink="">
      <xdr:nvSpPr>
        <xdr:cNvPr id="54" name="Rectangle 53">
          <a:extLst>
            <a:ext uri="{FF2B5EF4-FFF2-40B4-BE49-F238E27FC236}">
              <a16:creationId xmlns:a16="http://schemas.microsoft.com/office/drawing/2014/main" id="{00000000-0008-0000-0200-000036000000}"/>
            </a:ext>
          </a:extLst>
        </xdr:cNvPr>
        <xdr:cNvSpPr/>
      </xdr:nvSpPr>
      <xdr:spPr>
        <a:xfrm>
          <a:off x="12726080" y="31949240"/>
          <a:ext cx="4874441" cy="3822428"/>
        </a:xfrm>
        <a:prstGeom prst="rect">
          <a:avLst/>
        </a:prstGeom>
        <a:noFill/>
        <a:ln w="28575">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9</xdr:col>
      <xdr:colOff>227138</xdr:colOff>
      <xdr:row>113</xdr:row>
      <xdr:rowOff>187693</xdr:rowOff>
    </xdr:from>
    <xdr:to>
      <xdr:col>18</xdr:col>
      <xdr:colOff>828542</xdr:colOff>
      <xdr:row>136</xdr:row>
      <xdr:rowOff>29877</xdr:rowOff>
    </xdr:to>
    <xdr:cxnSp macro="">
      <xdr:nvCxnSpPr>
        <xdr:cNvPr id="55" name="Connecteur : en angle 54">
          <a:extLst>
            <a:ext uri="{FF2B5EF4-FFF2-40B4-BE49-F238E27FC236}">
              <a16:creationId xmlns:a16="http://schemas.microsoft.com/office/drawing/2014/main" id="{00000000-0008-0000-0200-000037000000}"/>
            </a:ext>
          </a:extLst>
        </xdr:cNvPr>
        <xdr:cNvCxnSpPr>
          <a:stCxn id="42" idx="4"/>
        </xdr:cNvCxnSpPr>
      </xdr:nvCxnSpPr>
      <xdr:spPr>
        <a:xfrm rot="16200000" flipH="1">
          <a:off x="6496373" y="26239958"/>
          <a:ext cx="6901267" cy="10084071"/>
        </a:xfrm>
        <a:prstGeom prst="bentConnector2">
          <a:avLst/>
        </a:prstGeom>
        <a:ln w="28575">
          <a:solidFill>
            <a:srgbClr val="FF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855203</xdr:colOff>
      <xdr:row>136</xdr:row>
      <xdr:rowOff>29876</xdr:rowOff>
    </xdr:from>
    <xdr:to>
      <xdr:col>18</xdr:col>
      <xdr:colOff>1212986</xdr:colOff>
      <xdr:row>136</xdr:row>
      <xdr:rowOff>31006</xdr:rowOff>
    </xdr:to>
    <xdr:cxnSp macro="">
      <xdr:nvCxnSpPr>
        <xdr:cNvPr id="56" name="Connecteur droit avec flèche 55">
          <a:extLst>
            <a:ext uri="{FF2B5EF4-FFF2-40B4-BE49-F238E27FC236}">
              <a16:creationId xmlns:a16="http://schemas.microsoft.com/office/drawing/2014/main" id="{00000000-0008-0000-0200-000038000000}"/>
            </a:ext>
          </a:extLst>
        </xdr:cNvPr>
        <xdr:cNvCxnSpPr/>
      </xdr:nvCxnSpPr>
      <xdr:spPr>
        <a:xfrm flipH="1">
          <a:off x="15015703" y="34732626"/>
          <a:ext cx="357783" cy="113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1018994</xdr:colOff>
      <xdr:row>220</xdr:row>
      <xdr:rowOff>78015</xdr:rowOff>
    </xdr:from>
    <xdr:to>
      <xdr:col>11</xdr:col>
      <xdr:colOff>931122</xdr:colOff>
      <xdr:row>228</xdr:row>
      <xdr:rowOff>75995</xdr:rowOff>
    </xdr:to>
    <xdr:pic>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4"/>
        <a:stretch>
          <a:fillRect/>
        </a:stretch>
      </xdr:blipFill>
      <xdr:spPr>
        <a:xfrm>
          <a:off x="5000444" y="54894390"/>
          <a:ext cx="3667306" cy="1674379"/>
        </a:xfrm>
        <a:prstGeom prst="rect">
          <a:avLst/>
        </a:prstGeom>
        <a:ln w="28575">
          <a:solidFill>
            <a:srgbClr val="FF0000"/>
          </a:solidFill>
        </a:ln>
      </xdr:spPr>
    </xdr:pic>
    <xdr:clientData/>
  </xdr:twoCellAnchor>
  <xdr:twoCellAnchor editAs="oneCell">
    <xdr:from>
      <xdr:col>12</xdr:col>
      <xdr:colOff>1029547</xdr:colOff>
      <xdr:row>200</xdr:row>
      <xdr:rowOff>18416</xdr:rowOff>
    </xdr:from>
    <xdr:to>
      <xdr:col>17</xdr:col>
      <xdr:colOff>590338</xdr:colOff>
      <xdr:row>222</xdr:row>
      <xdr:rowOff>53689</xdr:rowOff>
    </xdr:to>
    <xdr:pic>
      <xdr:nvPicPr>
        <xdr:cNvPr id="68" name="Image 67" descr="Une image contenant texte, stationnaire, dossier&#10;&#10;Description générée automatiquement">
          <a:extLst>
            <a:ext uri="{FF2B5EF4-FFF2-40B4-BE49-F238E27FC236}">
              <a16:creationId xmlns:a16="http://schemas.microsoft.com/office/drawing/2014/main" id="{00000000-0008-0000-0200-000044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379922" y="49818291"/>
          <a:ext cx="4366471" cy="4468207"/>
        </a:xfrm>
        <a:prstGeom prst="rect">
          <a:avLst/>
        </a:prstGeom>
      </xdr:spPr>
    </xdr:pic>
    <xdr:clientData/>
  </xdr:twoCellAnchor>
  <xdr:twoCellAnchor editAs="oneCell">
    <xdr:from>
      <xdr:col>12</xdr:col>
      <xdr:colOff>951865</xdr:colOff>
      <xdr:row>233</xdr:row>
      <xdr:rowOff>106046</xdr:rowOff>
    </xdr:from>
    <xdr:to>
      <xdr:col>17</xdr:col>
      <xdr:colOff>783456</xdr:colOff>
      <xdr:row>256</xdr:row>
      <xdr:rowOff>55879</xdr:rowOff>
    </xdr:to>
    <xdr:pic>
      <xdr:nvPicPr>
        <xdr:cNvPr id="74" name="Image 73">
          <a:extLst>
            <a:ext uri="{FF2B5EF4-FFF2-40B4-BE49-F238E27FC236}">
              <a16:creationId xmlns:a16="http://schemas.microsoft.com/office/drawing/2014/main" id="{00000000-0008-0000-0200-00004A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9714865" y="57475121"/>
          <a:ext cx="4637906" cy="4580887"/>
        </a:xfrm>
        <a:prstGeom prst="rect">
          <a:avLst/>
        </a:prstGeom>
      </xdr:spPr>
    </xdr:pic>
    <xdr:clientData/>
  </xdr:twoCellAnchor>
  <xdr:twoCellAnchor>
    <xdr:from>
      <xdr:col>13</xdr:col>
      <xdr:colOff>361951</xdr:colOff>
      <xdr:row>253</xdr:row>
      <xdr:rowOff>66463</xdr:rowOff>
    </xdr:from>
    <xdr:to>
      <xdr:col>16</xdr:col>
      <xdr:colOff>457836</xdr:colOff>
      <xdr:row>255</xdr:row>
      <xdr:rowOff>161713</xdr:rowOff>
    </xdr:to>
    <xdr:sp macro="" textlink="">
      <xdr:nvSpPr>
        <xdr:cNvPr id="18" name="Rectangle 17">
          <a:extLst>
            <a:ext uri="{FF2B5EF4-FFF2-40B4-BE49-F238E27FC236}">
              <a16:creationId xmlns:a16="http://schemas.microsoft.com/office/drawing/2014/main" id="{00000000-0008-0000-0200-000012000000}"/>
            </a:ext>
          </a:extLst>
        </xdr:cNvPr>
        <xdr:cNvSpPr/>
      </xdr:nvSpPr>
      <xdr:spPr>
        <a:xfrm>
          <a:off x="10239376" y="61455088"/>
          <a:ext cx="2543810" cy="495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editAs="oneCell">
    <xdr:from>
      <xdr:col>3</xdr:col>
      <xdr:colOff>102870</xdr:colOff>
      <xdr:row>204</xdr:row>
      <xdr:rowOff>17145</xdr:rowOff>
    </xdr:from>
    <xdr:to>
      <xdr:col>11</xdr:col>
      <xdr:colOff>1044644</xdr:colOff>
      <xdr:row>215</xdr:row>
      <xdr:rowOff>173682</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7"/>
        <a:stretch>
          <a:fillRect/>
        </a:stretch>
      </xdr:blipFill>
      <xdr:spPr>
        <a:xfrm>
          <a:off x="702945" y="51480720"/>
          <a:ext cx="8078327" cy="2335856"/>
        </a:xfrm>
        <a:prstGeom prst="rect">
          <a:avLst/>
        </a:prstGeom>
      </xdr:spPr>
    </xdr:pic>
    <xdr:clientData/>
  </xdr:twoCellAnchor>
  <xdr:twoCellAnchor>
    <xdr:from>
      <xdr:col>5</xdr:col>
      <xdr:colOff>360045</xdr:colOff>
      <xdr:row>206</xdr:row>
      <xdr:rowOff>190499</xdr:rowOff>
    </xdr:from>
    <xdr:to>
      <xdr:col>8</xdr:col>
      <xdr:colOff>45720</xdr:colOff>
      <xdr:row>215</xdr:row>
      <xdr:rowOff>176892</xdr:rowOff>
    </xdr:to>
    <xdr:sp macro="" textlink="">
      <xdr:nvSpPr>
        <xdr:cNvPr id="53" name="Rectangle 52">
          <a:extLst>
            <a:ext uri="{FF2B5EF4-FFF2-40B4-BE49-F238E27FC236}">
              <a16:creationId xmlns:a16="http://schemas.microsoft.com/office/drawing/2014/main" id="{00000000-0008-0000-0200-000035000000}"/>
            </a:ext>
          </a:extLst>
        </xdr:cNvPr>
        <xdr:cNvSpPr/>
      </xdr:nvSpPr>
      <xdr:spPr>
        <a:xfrm>
          <a:off x="1829616" y="51353356"/>
          <a:ext cx="2216604" cy="170089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8</xdr:col>
      <xdr:colOff>45720</xdr:colOff>
      <xdr:row>211</xdr:row>
      <xdr:rowOff>142874</xdr:rowOff>
    </xdr:from>
    <xdr:to>
      <xdr:col>10</xdr:col>
      <xdr:colOff>389346</xdr:colOff>
      <xdr:row>220</xdr:row>
      <xdr:rowOff>78015</xdr:rowOff>
    </xdr:to>
    <xdr:cxnSp macro="">
      <xdr:nvCxnSpPr>
        <xdr:cNvPr id="19" name="Connecteur droit 18">
          <a:extLst>
            <a:ext uri="{FF2B5EF4-FFF2-40B4-BE49-F238E27FC236}">
              <a16:creationId xmlns:a16="http://schemas.microsoft.com/office/drawing/2014/main" id="{00000000-0008-0000-0200-000013000000}"/>
            </a:ext>
          </a:extLst>
        </xdr:cNvPr>
        <xdr:cNvCxnSpPr>
          <a:stCxn id="53" idx="3"/>
          <a:endCxn id="10" idx="0"/>
        </xdr:cNvCxnSpPr>
      </xdr:nvCxnSpPr>
      <xdr:spPr>
        <a:xfrm>
          <a:off x="4046220" y="52203803"/>
          <a:ext cx="2806519" cy="1744891"/>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1025979</xdr:colOff>
      <xdr:row>211</xdr:row>
      <xdr:rowOff>47625</xdr:rowOff>
    </xdr:from>
    <xdr:to>
      <xdr:col>9</xdr:col>
      <xdr:colOff>1214573</xdr:colOff>
      <xdr:row>212</xdr:row>
      <xdr:rowOff>114300</xdr:rowOff>
    </xdr:to>
    <xdr:sp macro="" textlink="">
      <xdr:nvSpPr>
        <xdr:cNvPr id="49" name="Ellipse 48">
          <a:extLst>
            <a:ext uri="{FF2B5EF4-FFF2-40B4-BE49-F238E27FC236}">
              <a16:creationId xmlns:a16="http://schemas.microsoft.com/office/drawing/2014/main" id="{00000000-0008-0000-0200-000031000000}"/>
            </a:ext>
          </a:extLst>
        </xdr:cNvPr>
        <xdr:cNvSpPr/>
      </xdr:nvSpPr>
      <xdr:spPr>
        <a:xfrm>
          <a:off x="6223908" y="52837896"/>
          <a:ext cx="188594" cy="278947"/>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9</xdr:col>
      <xdr:colOff>1214573</xdr:colOff>
      <xdr:row>211</xdr:row>
      <xdr:rowOff>187099</xdr:rowOff>
    </xdr:from>
    <xdr:to>
      <xdr:col>14</xdr:col>
      <xdr:colOff>289968</xdr:colOff>
      <xdr:row>217</xdr:row>
      <xdr:rowOff>179070</xdr:rowOff>
    </xdr:to>
    <xdr:cxnSp macro="">
      <xdr:nvCxnSpPr>
        <xdr:cNvPr id="62" name="Connecteur : en angle 61">
          <a:extLst>
            <a:ext uri="{FF2B5EF4-FFF2-40B4-BE49-F238E27FC236}">
              <a16:creationId xmlns:a16="http://schemas.microsoft.com/office/drawing/2014/main" id="{00000000-0008-0000-0200-00003E000000}"/>
            </a:ext>
          </a:extLst>
        </xdr:cNvPr>
        <xdr:cNvCxnSpPr>
          <a:stCxn id="49" idx="6"/>
          <a:endCxn id="64" idx="1"/>
        </xdr:cNvCxnSpPr>
      </xdr:nvCxnSpPr>
      <xdr:spPr>
        <a:xfrm>
          <a:off x="6412502" y="52977370"/>
          <a:ext cx="5258480" cy="1265600"/>
        </a:xfrm>
        <a:prstGeom prst="bentConnector2">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236220</xdr:colOff>
      <xdr:row>217</xdr:row>
      <xdr:rowOff>179070</xdr:rowOff>
    </xdr:from>
    <xdr:to>
      <xdr:col>16</xdr:col>
      <xdr:colOff>398145</xdr:colOff>
      <xdr:row>219</xdr:row>
      <xdr:rowOff>173354</xdr:rowOff>
    </xdr:to>
    <xdr:sp macro="" textlink="">
      <xdr:nvSpPr>
        <xdr:cNvPr id="64" name="Accolade ouvrante 63">
          <a:extLst>
            <a:ext uri="{FF2B5EF4-FFF2-40B4-BE49-F238E27FC236}">
              <a16:creationId xmlns:a16="http://schemas.microsoft.com/office/drawing/2014/main" id="{00000000-0008-0000-0200-000040000000}"/>
            </a:ext>
          </a:extLst>
        </xdr:cNvPr>
        <xdr:cNvSpPr/>
      </xdr:nvSpPr>
      <xdr:spPr>
        <a:xfrm rot="5400000">
          <a:off x="11221403" y="53125687"/>
          <a:ext cx="394334" cy="2609850"/>
        </a:xfrm>
        <a:prstGeom prst="leftBrace">
          <a:avLst>
            <a:gd name="adj1" fmla="val 0"/>
            <a:gd name="adj2" fmla="val 50000"/>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CA" sz="1100"/>
        </a:p>
      </xdr:txBody>
    </xdr:sp>
    <xdr:clientData/>
  </xdr:twoCellAnchor>
  <xdr:twoCellAnchor editAs="oneCell">
    <xdr:from>
      <xdr:col>12</xdr:col>
      <xdr:colOff>1055371</xdr:colOff>
      <xdr:row>224</xdr:row>
      <xdr:rowOff>57047</xdr:rowOff>
    </xdr:from>
    <xdr:to>
      <xdr:col>14</xdr:col>
      <xdr:colOff>417195</xdr:colOff>
      <xdr:row>227</xdr:row>
      <xdr:rowOff>97563</xdr:rowOff>
    </xdr:to>
    <xdr:pic>
      <xdr:nvPicPr>
        <xdr:cNvPr id="81" name="Image 80">
          <a:extLst>
            <a:ext uri="{FF2B5EF4-FFF2-40B4-BE49-F238E27FC236}">
              <a16:creationId xmlns:a16="http://schemas.microsoft.com/office/drawing/2014/main" id="{00000000-0008-0000-0200-000051000000}"/>
            </a:ext>
          </a:extLst>
        </xdr:cNvPr>
        <xdr:cNvPicPr>
          <a:picLocks noChangeAspect="1"/>
        </xdr:cNvPicPr>
      </xdr:nvPicPr>
      <xdr:blipFill>
        <a:blip xmlns:r="http://schemas.openxmlformats.org/officeDocument/2006/relationships" r:embed="rId18"/>
        <a:stretch>
          <a:fillRect/>
        </a:stretch>
      </xdr:blipFill>
      <xdr:spPr>
        <a:xfrm>
          <a:off x="9818371" y="55578272"/>
          <a:ext cx="1724024" cy="674882"/>
        </a:xfrm>
        <a:prstGeom prst="rect">
          <a:avLst/>
        </a:prstGeom>
      </xdr:spPr>
    </xdr:pic>
    <xdr:clientData/>
  </xdr:twoCellAnchor>
  <xdr:twoCellAnchor>
    <xdr:from>
      <xdr:col>11</xdr:col>
      <xdr:colOff>636304</xdr:colOff>
      <xdr:row>225</xdr:row>
      <xdr:rowOff>123825</xdr:rowOff>
    </xdr:from>
    <xdr:to>
      <xdr:col>12</xdr:col>
      <xdr:colOff>1009650</xdr:colOff>
      <xdr:row>226</xdr:row>
      <xdr:rowOff>56270</xdr:rowOff>
    </xdr:to>
    <xdr:sp macro="" textlink="">
      <xdr:nvSpPr>
        <xdr:cNvPr id="89" name="Flèche : droite 88">
          <a:extLst>
            <a:ext uri="{FF2B5EF4-FFF2-40B4-BE49-F238E27FC236}">
              <a16:creationId xmlns:a16="http://schemas.microsoft.com/office/drawing/2014/main" id="{00000000-0008-0000-0200-000059000000}"/>
            </a:ext>
          </a:extLst>
        </xdr:cNvPr>
        <xdr:cNvSpPr/>
      </xdr:nvSpPr>
      <xdr:spPr>
        <a:xfrm>
          <a:off x="8199154" y="55987950"/>
          <a:ext cx="1573496" cy="14199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12</xdr:col>
      <xdr:colOff>981075</xdr:colOff>
      <xdr:row>228</xdr:row>
      <xdr:rowOff>0</xdr:rowOff>
    </xdr:from>
    <xdr:to>
      <xdr:col>16</xdr:col>
      <xdr:colOff>276224</xdr:colOff>
      <xdr:row>229</xdr:row>
      <xdr:rowOff>140970</xdr:rowOff>
    </xdr:to>
    <xdr:sp macro="" textlink="">
      <xdr:nvSpPr>
        <xdr:cNvPr id="88" name="ZoneTexte 87">
          <a:extLst>
            <a:ext uri="{FF2B5EF4-FFF2-40B4-BE49-F238E27FC236}">
              <a16:creationId xmlns:a16="http://schemas.microsoft.com/office/drawing/2014/main" id="{00000000-0008-0000-0200-000058000000}"/>
            </a:ext>
          </a:extLst>
        </xdr:cNvPr>
        <xdr:cNvSpPr txBox="1"/>
      </xdr:nvSpPr>
      <xdr:spPr>
        <a:xfrm>
          <a:off x="9744075" y="56492775"/>
          <a:ext cx="2857499"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400"/>
            <a:t>Pointe</a:t>
          </a:r>
          <a:r>
            <a:rPr lang="fr-CA" sz="1400" baseline="0"/>
            <a:t> #3, 14 filets par pouce</a:t>
          </a:r>
          <a:endParaRPr lang="fr-CA" sz="1400"/>
        </a:p>
      </xdr:txBody>
    </xdr:sp>
    <xdr:clientData/>
  </xdr:twoCellAnchor>
  <xdr:twoCellAnchor>
    <xdr:from>
      <xdr:col>12</xdr:col>
      <xdr:colOff>1017271</xdr:colOff>
      <xdr:row>221</xdr:row>
      <xdr:rowOff>152400</xdr:rowOff>
    </xdr:from>
    <xdr:to>
      <xdr:col>17</xdr:col>
      <xdr:colOff>312420</xdr:colOff>
      <xdr:row>223</xdr:row>
      <xdr:rowOff>85725</xdr:rowOff>
    </xdr:to>
    <xdr:sp macro="" textlink="">
      <xdr:nvSpPr>
        <xdr:cNvPr id="91" name="ZoneTexte 90">
          <a:extLst>
            <a:ext uri="{FF2B5EF4-FFF2-40B4-BE49-F238E27FC236}">
              <a16:creationId xmlns:a16="http://schemas.microsoft.com/office/drawing/2014/main" id="{00000000-0008-0000-0200-00005B000000}"/>
            </a:ext>
          </a:extLst>
        </xdr:cNvPr>
        <xdr:cNvSpPr txBox="1"/>
      </xdr:nvSpPr>
      <xdr:spPr>
        <a:xfrm>
          <a:off x="9780271" y="55044975"/>
          <a:ext cx="4095749"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400"/>
            <a:t>Pointe</a:t>
          </a:r>
          <a:r>
            <a:rPr lang="fr-CA" sz="1400" baseline="0"/>
            <a:t> #5, 28 filets par pouce</a:t>
          </a:r>
          <a:endParaRPr lang="fr-CA" sz="1400"/>
        </a:p>
      </xdr:txBody>
    </xdr:sp>
    <xdr:clientData/>
  </xdr:twoCellAnchor>
  <xdr:twoCellAnchor>
    <xdr:from>
      <xdr:col>16</xdr:col>
      <xdr:colOff>493429</xdr:colOff>
      <xdr:row>225</xdr:row>
      <xdr:rowOff>95250</xdr:rowOff>
    </xdr:from>
    <xdr:to>
      <xdr:col>17</xdr:col>
      <xdr:colOff>828675</xdr:colOff>
      <xdr:row>226</xdr:row>
      <xdr:rowOff>27695</xdr:rowOff>
    </xdr:to>
    <xdr:sp macro="" textlink="">
      <xdr:nvSpPr>
        <xdr:cNvPr id="93" name="Flèche : droite 92">
          <a:extLst>
            <a:ext uri="{FF2B5EF4-FFF2-40B4-BE49-F238E27FC236}">
              <a16:creationId xmlns:a16="http://schemas.microsoft.com/office/drawing/2014/main" id="{00000000-0008-0000-0200-00005D000000}"/>
            </a:ext>
          </a:extLst>
        </xdr:cNvPr>
        <xdr:cNvSpPr/>
      </xdr:nvSpPr>
      <xdr:spPr>
        <a:xfrm>
          <a:off x="12818779" y="55921275"/>
          <a:ext cx="1573496" cy="14199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16</xdr:col>
      <xdr:colOff>483904</xdr:colOff>
      <xdr:row>220</xdr:row>
      <xdr:rowOff>64770</xdr:rowOff>
    </xdr:from>
    <xdr:to>
      <xdr:col>17</xdr:col>
      <xdr:colOff>819150</xdr:colOff>
      <xdr:row>221</xdr:row>
      <xdr:rowOff>1025</xdr:rowOff>
    </xdr:to>
    <xdr:sp macro="" textlink="">
      <xdr:nvSpPr>
        <xdr:cNvPr id="94" name="Flèche : droite 93">
          <a:extLst>
            <a:ext uri="{FF2B5EF4-FFF2-40B4-BE49-F238E27FC236}">
              <a16:creationId xmlns:a16="http://schemas.microsoft.com/office/drawing/2014/main" id="{00000000-0008-0000-0200-00005E000000}"/>
            </a:ext>
          </a:extLst>
        </xdr:cNvPr>
        <xdr:cNvSpPr/>
      </xdr:nvSpPr>
      <xdr:spPr>
        <a:xfrm>
          <a:off x="12809254" y="54709695"/>
          <a:ext cx="1573496" cy="14580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17</xdr:col>
      <xdr:colOff>838200</xdr:colOff>
      <xdr:row>219</xdr:row>
      <xdr:rowOff>161925</xdr:rowOff>
    </xdr:from>
    <xdr:to>
      <xdr:col>19</xdr:col>
      <xdr:colOff>590549</xdr:colOff>
      <xdr:row>221</xdr:row>
      <xdr:rowOff>200025</xdr:rowOff>
    </xdr:to>
    <xdr:sp macro="" textlink="">
      <xdr:nvSpPr>
        <xdr:cNvPr id="92" name="ZoneTexte 91">
          <a:extLst>
            <a:ext uri="{FF2B5EF4-FFF2-40B4-BE49-F238E27FC236}">
              <a16:creationId xmlns:a16="http://schemas.microsoft.com/office/drawing/2014/main" id="{00000000-0008-0000-0200-00005C000000}"/>
            </a:ext>
          </a:extLst>
        </xdr:cNvPr>
        <xdr:cNvSpPr txBox="1"/>
      </xdr:nvSpPr>
      <xdr:spPr>
        <a:xfrm>
          <a:off x="14401800" y="54616350"/>
          <a:ext cx="2133599" cy="438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400"/>
            <a:t>Entremises</a:t>
          </a:r>
          <a:r>
            <a:rPr lang="fr-CA" sz="1400" baseline="0"/>
            <a:t> plus épaisses</a:t>
          </a:r>
        </a:p>
      </xdr:txBody>
    </xdr:sp>
    <xdr:clientData/>
  </xdr:twoCellAnchor>
  <xdr:twoCellAnchor>
    <xdr:from>
      <xdr:col>17</xdr:col>
      <xdr:colOff>883920</xdr:colOff>
      <xdr:row>225</xdr:row>
      <xdr:rowOff>19050</xdr:rowOff>
    </xdr:from>
    <xdr:to>
      <xdr:col>19</xdr:col>
      <xdr:colOff>640079</xdr:colOff>
      <xdr:row>226</xdr:row>
      <xdr:rowOff>133350</xdr:rowOff>
    </xdr:to>
    <xdr:sp macro="" textlink="">
      <xdr:nvSpPr>
        <xdr:cNvPr id="96" name="ZoneTexte 95">
          <a:extLst>
            <a:ext uri="{FF2B5EF4-FFF2-40B4-BE49-F238E27FC236}">
              <a16:creationId xmlns:a16="http://schemas.microsoft.com/office/drawing/2014/main" id="{00000000-0008-0000-0200-000060000000}"/>
            </a:ext>
          </a:extLst>
        </xdr:cNvPr>
        <xdr:cNvSpPr txBox="1"/>
      </xdr:nvSpPr>
      <xdr:spPr>
        <a:xfrm>
          <a:off x="14447520" y="55845075"/>
          <a:ext cx="2137409"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400"/>
            <a:t>Entremises</a:t>
          </a:r>
          <a:r>
            <a:rPr lang="fr-CA" sz="1400" baseline="0"/>
            <a:t> plus minces</a:t>
          </a:r>
        </a:p>
      </xdr:txBody>
    </xdr:sp>
    <xdr:clientData/>
  </xdr:twoCellAnchor>
  <xdr:twoCellAnchor>
    <xdr:from>
      <xdr:col>10</xdr:col>
      <xdr:colOff>981076</xdr:colOff>
      <xdr:row>222</xdr:row>
      <xdr:rowOff>9526</xdr:rowOff>
    </xdr:from>
    <xdr:to>
      <xdr:col>11</xdr:col>
      <xdr:colOff>266700</xdr:colOff>
      <xdr:row>223</xdr:row>
      <xdr:rowOff>150496</xdr:rowOff>
    </xdr:to>
    <xdr:sp macro="" textlink="">
      <xdr:nvSpPr>
        <xdr:cNvPr id="82" name="Ellipse 81">
          <a:extLst>
            <a:ext uri="{FF2B5EF4-FFF2-40B4-BE49-F238E27FC236}">
              <a16:creationId xmlns:a16="http://schemas.microsoft.com/office/drawing/2014/main" id="{00000000-0008-0000-0200-000052000000}"/>
            </a:ext>
          </a:extLst>
        </xdr:cNvPr>
        <xdr:cNvSpPr/>
      </xdr:nvSpPr>
      <xdr:spPr>
        <a:xfrm>
          <a:off x="7429501" y="55073551"/>
          <a:ext cx="400049" cy="350520"/>
        </a:xfrm>
        <a:prstGeom prst="ellipse">
          <a:avLst/>
        </a:prstGeom>
        <a:noFill/>
        <a:ln w="1905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11</xdr:col>
      <xdr:colOff>266700</xdr:colOff>
      <xdr:row>222</xdr:row>
      <xdr:rowOff>188596</xdr:rowOff>
    </xdr:from>
    <xdr:to>
      <xdr:col>13</xdr:col>
      <xdr:colOff>590550</xdr:colOff>
      <xdr:row>225</xdr:row>
      <xdr:rowOff>121920</xdr:rowOff>
    </xdr:to>
    <xdr:cxnSp macro="">
      <xdr:nvCxnSpPr>
        <xdr:cNvPr id="97" name="Connecteur : en angle 96">
          <a:extLst>
            <a:ext uri="{FF2B5EF4-FFF2-40B4-BE49-F238E27FC236}">
              <a16:creationId xmlns:a16="http://schemas.microsoft.com/office/drawing/2014/main" id="{00000000-0008-0000-0200-000061000000}"/>
            </a:ext>
          </a:extLst>
        </xdr:cNvPr>
        <xdr:cNvCxnSpPr>
          <a:stCxn id="82" idx="6"/>
        </xdr:cNvCxnSpPr>
      </xdr:nvCxnSpPr>
      <xdr:spPr>
        <a:xfrm>
          <a:off x="7829550" y="55252621"/>
          <a:ext cx="2638425" cy="561974"/>
        </a:xfrm>
        <a:prstGeom prst="bentConnector3">
          <a:avLst>
            <a:gd name="adj1" fmla="val 10018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581025</xdr:colOff>
      <xdr:row>226</xdr:row>
      <xdr:rowOff>74296</xdr:rowOff>
    </xdr:from>
    <xdr:to>
      <xdr:col>13</xdr:col>
      <xdr:colOff>581025</xdr:colOff>
      <xdr:row>227</xdr:row>
      <xdr:rowOff>95250</xdr:rowOff>
    </xdr:to>
    <xdr:cxnSp macro="">
      <xdr:nvCxnSpPr>
        <xdr:cNvPr id="113" name="Connecteur droit avec flèche 112">
          <a:extLst>
            <a:ext uri="{FF2B5EF4-FFF2-40B4-BE49-F238E27FC236}">
              <a16:creationId xmlns:a16="http://schemas.microsoft.com/office/drawing/2014/main" id="{00000000-0008-0000-0200-000071000000}"/>
            </a:ext>
          </a:extLst>
        </xdr:cNvPr>
        <xdr:cNvCxnSpPr/>
      </xdr:nvCxnSpPr>
      <xdr:spPr>
        <a:xfrm flipH="1" flipV="1">
          <a:off x="10458450" y="56014621"/>
          <a:ext cx="0" cy="230504"/>
        </a:xfrm>
        <a:prstGeom prst="straightConnector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504008</xdr:colOff>
      <xdr:row>222</xdr:row>
      <xdr:rowOff>28512</xdr:rowOff>
    </xdr:from>
    <xdr:to>
      <xdr:col>12</xdr:col>
      <xdr:colOff>1105811</xdr:colOff>
      <xdr:row>222</xdr:row>
      <xdr:rowOff>180524</xdr:rowOff>
    </xdr:to>
    <xdr:sp macro="" textlink="">
      <xdr:nvSpPr>
        <xdr:cNvPr id="83" name="Flèche : droite 82">
          <a:extLst>
            <a:ext uri="{FF2B5EF4-FFF2-40B4-BE49-F238E27FC236}">
              <a16:creationId xmlns:a16="http://schemas.microsoft.com/office/drawing/2014/main" id="{00000000-0008-0000-0200-000053000000}"/>
            </a:ext>
          </a:extLst>
        </xdr:cNvPr>
        <xdr:cNvSpPr/>
      </xdr:nvSpPr>
      <xdr:spPr>
        <a:xfrm rot="20141119">
          <a:off x="8066858" y="55130637"/>
          <a:ext cx="1801953" cy="152012"/>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editAs="oneCell">
    <xdr:from>
      <xdr:col>4</xdr:col>
      <xdr:colOff>66677</xdr:colOff>
      <xdr:row>221</xdr:row>
      <xdr:rowOff>76200</xdr:rowOff>
    </xdr:from>
    <xdr:to>
      <xdr:col>8</xdr:col>
      <xdr:colOff>607760</xdr:colOff>
      <xdr:row>230</xdr:row>
      <xdr:rowOff>188596</xdr:rowOff>
    </xdr:to>
    <xdr:pic>
      <xdr:nvPicPr>
        <xdr:cNvPr id="117" name="Image 116">
          <a:extLst>
            <a:ext uri="{FF2B5EF4-FFF2-40B4-BE49-F238E27FC236}">
              <a16:creationId xmlns:a16="http://schemas.microsoft.com/office/drawing/2014/main" id="{00000000-0008-0000-0200-000075000000}"/>
            </a:ext>
          </a:extLst>
        </xdr:cNvPr>
        <xdr:cNvPicPr>
          <a:picLocks noChangeAspect="1"/>
        </xdr:cNvPicPr>
      </xdr:nvPicPr>
      <xdr:blipFill rotWithShape="1">
        <a:blip xmlns:r="http://schemas.openxmlformats.org/officeDocument/2006/relationships" r:embed="rId19"/>
        <a:srcRect t="26704" b="26065"/>
        <a:stretch/>
      </xdr:blipFill>
      <xdr:spPr>
        <a:xfrm>
          <a:off x="866777" y="54930675"/>
          <a:ext cx="3722433" cy="1998345"/>
        </a:xfrm>
        <a:prstGeom prst="rect">
          <a:avLst/>
        </a:prstGeom>
      </xdr:spPr>
    </xdr:pic>
    <xdr:clientData/>
  </xdr:twoCellAnchor>
  <xdr:twoCellAnchor>
    <xdr:from>
      <xdr:col>7</xdr:col>
      <xdr:colOff>39597</xdr:colOff>
      <xdr:row>215</xdr:row>
      <xdr:rowOff>176892</xdr:rowOff>
    </xdr:from>
    <xdr:to>
      <xdr:col>8</xdr:col>
      <xdr:colOff>1020899</xdr:colOff>
      <xdr:row>224</xdr:row>
      <xdr:rowOff>77005</xdr:rowOff>
    </xdr:to>
    <xdr:cxnSp macro="">
      <xdr:nvCxnSpPr>
        <xdr:cNvPr id="57" name="Connecteur droit 56">
          <a:extLst>
            <a:ext uri="{FF2B5EF4-FFF2-40B4-BE49-F238E27FC236}">
              <a16:creationId xmlns:a16="http://schemas.microsoft.com/office/drawing/2014/main" id="{00000000-0008-0000-0200-000039000000}"/>
            </a:ext>
          </a:extLst>
        </xdr:cNvPr>
        <xdr:cNvCxnSpPr>
          <a:stCxn id="53" idx="2"/>
          <a:endCxn id="10" idx="1"/>
        </xdr:cNvCxnSpPr>
      </xdr:nvCxnSpPr>
      <xdr:spPr>
        <a:xfrm>
          <a:off x="2937918" y="53054249"/>
          <a:ext cx="2083481" cy="1709863"/>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350521</xdr:colOff>
      <xdr:row>225</xdr:row>
      <xdr:rowOff>19051</xdr:rowOff>
    </xdr:from>
    <xdr:to>
      <xdr:col>10</xdr:col>
      <xdr:colOff>76200</xdr:colOff>
      <xdr:row>226</xdr:row>
      <xdr:rowOff>160021</xdr:rowOff>
    </xdr:to>
    <xdr:sp macro="" textlink="">
      <xdr:nvSpPr>
        <xdr:cNvPr id="118" name="Ellipse 117">
          <a:extLst>
            <a:ext uri="{FF2B5EF4-FFF2-40B4-BE49-F238E27FC236}">
              <a16:creationId xmlns:a16="http://schemas.microsoft.com/office/drawing/2014/main" id="{00000000-0008-0000-0200-000076000000}"/>
            </a:ext>
          </a:extLst>
        </xdr:cNvPr>
        <xdr:cNvSpPr/>
      </xdr:nvSpPr>
      <xdr:spPr>
        <a:xfrm>
          <a:off x="5532121" y="55711726"/>
          <a:ext cx="992504" cy="350520"/>
        </a:xfrm>
        <a:prstGeom prst="ellipse">
          <a:avLst/>
        </a:prstGeom>
        <a:noFill/>
        <a:ln w="190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8</xdr:col>
      <xdr:colOff>495300</xdr:colOff>
      <xdr:row>225</xdr:row>
      <xdr:rowOff>180975</xdr:rowOff>
    </xdr:from>
    <xdr:to>
      <xdr:col>9</xdr:col>
      <xdr:colOff>352426</xdr:colOff>
      <xdr:row>225</xdr:row>
      <xdr:rowOff>195264</xdr:rowOff>
    </xdr:to>
    <xdr:cxnSp macro="">
      <xdr:nvCxnSpPr>
        <xdr:cNvPr id="120" name="Connecteur droit avec flèche 119">
          <a:extLst>
            <a:ext uri="{FF2B5EF4-FFF2-40B4-BE49-F238E27FC236}">
              <a16:creationId xmlns:a16="http://schemas.microsoft.com/office/drawing/2014/main" id="{00000000-0008-0000-0200-000078000000}"/>
            </a:ext>
          </a:extLst>
        </xdr:cNvPr>
        <xdr:cNvCxnSpPr>
          <a:stCxn id="118" idx="2"/>
        </xdr:cNvCxnSpPr>
      </xdr:nvCxnSpPr>
      <xdr:spPr>
        <a:xfrm flipH="1" flipV="1">
          <a:off x="4476750" y="55873650"/>
          <a:ext cx="1057276" cy="14289"/>
        </a:xfrm>
        <a:prstGeom prst="straightConnector1">
          <a:avLst/>
        </a:prstGeom>
        <a:ln w="190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142875</xdr:colOff>
      <xdr:row>225</xdr:row>
      <xdr:rowOff>179071</xdr:rowOff>
    </xdr:from>
    <xdr:to>
      <xdr:col>8</xdr:col>
      <xdr:colOff>419100</xdr:colOff>
      <xdr:row>225</xdr:row>
      <xdr:rowOff>179071</xdr:rowOff>
    </xdr:to>
    <xdr:cxnSp macro="">
      <xdr:nvCxnSpPr>
        <xdr:cNvPr id="123" name="Connecteur droit avec flèche 122">
          <a:extLst>
            <a:ext uri="{FF2B5EF4-FFF2-40B4-BE49-F238E27FC236}">
              <a16:creationId xmlns:a16="http://schemas.microsoft.com/office/drawing/2014/main" id="{00000000-0008-0000-0200-00007B000000}"/>
            </a:ext>
          </a:extLst>
        </xdr:cNvPr>
        <xdr:cNvCxnSpPr/>
      </xdr:nvCxnSpPr>
      <xdr:spPr>
        <a:xfrm flipV="1">
          <a:off x="4124325" y="55871746"/>
          <a:ext cx="276225" cy="0"/>
        </a:xfrm>
        <a:prstGeom prst="straightConnector1">
          <a:avLst/>
        </a:prstGeom>
        <a:ln w="190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188595</xdr:colOff>
      <xdr:row>235</xdr:row>
      <xdr:rowOff>102870</xdr:rowOff>
    </xdr:from>
    <xdr:to>
      <xdr:col>11</xdr:col>
      <xdr:colOff>1126558</xdr:colOff>
      <xdr:row>243</xdr:row>
      <xdr:rowOff>1838</xdr:rowOff>
    </xdr:to>
    <xdr:pic>
      <xdr:nvPicPr>
        <xdr:cNvPr id="128" name="Image 127">
          <a:extLst>
            <a:ext uri="{FF2B5EF4-FFF2-40B4-BE49-F238E27FC236}">
              <a16:creationId xmlns:a16="http://schemas.microsoft.com/office/drawing/2014/main" id="{00000000-0008-0000-0200-000080000000}"/>
            </a:ext>
          </a:extLst>
        </xdr:cNvPr>
        <xdr:cNvPicPr>
          <a:picLocks noChangeAspect="1"/>
        </xdr:cNvPicPr>
      </xdr:nvPicPr>
      <xdr:blipFill>
        <a:blip xmlns:r="http://schemas.openxmlformats.org/officeDocument/2006/relationships" r:embed="rId20"/>
        <a:stretch>
          <a:fillRect/>
        </a:stretch>
      </xdr:blipFill>
      <xdr:spPr>
        <a:xfrm>
          <a:off x="788670" y="57891045"/>
          <a:ext cx="8070706" cy="1459433"/>
        </a:xfrm>
        <a:prstGeom prst="rect">
          <a:avLst/>
        </a:prstGeom>
      </xdr:spPr>
    </xdr:pic>
    <xdr:clientData/>
  </xdr:twoCellAnchor>
  <xdr:twoCellAnchor>
    <xdr:from>
      <xdr:col>10</xdr:col>
      <xdr:colOff>628650</xdr:colOff>
      <xdr:row>240</xdr:row>
      <xdr:rowOff>66675</xdr:rowOff>
    </xdr:from>
    <xdr:to>
      <xdr:col>10</xdr:col>
      <xdr:colOff>1078229</xdr:colOff>
      <xdr:row>241</xdr:row>
      <xdr:rowOff>133350</xdr:rowOff>
    </xdr:to>
    <xdr:sp macro="" textlink="">
      <xdr:nvSpPr>
        <xdr:cNvPr id="129" name="Ellipse 128">
          <a:extLst>
            <a:ext uri="{FF2B5EF4-FFF2-40B4-BE49-F238E27FC236}">
              <a16:creationId xmlns:a16="http://schemas.microsoft.com/office/drawing/2014/main" id="{00000000-0008-0000-0200-000081000000}"/>
            </a:ext>
          </a:extLst>
        </xdr:cNvPr>
        <xdr:cNvSpPr/>
      </xdr:nvSpPr>
      <xdr:spPr>
        <a:xfrm>
          <a:off x="7077075" y="58769250"/>
          <a:ext cx="449579" cy="276225"/>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10</xdr:col>
      <xdr:colOff>1066800</xdr:colOff>
      <xdr:row>240</xdr:row>
      <xdr:rowOff>207645</xdr:rowOff>
    </xdr:from>
    <xdr:to>
      <xdr:col>14</xdr:col>
      <xdr:colOff>380999</xdr:colOff>
      <xdr:row>249</xdr:row>
      <xdr:rowOff>169549</xdr:rowOff>
    </xdr:to>
    <xdr:cxnSp macro="">
      <xdr:nvCxnSpPr>
        <xdr:cNvPr id="130" name="Connecteur : en angle 129">
          <a:extLst>
            <a:ext uri="{FF2B5EF4-FFF2-40B4-BE49-F238E27FC236}">
              <a16:creationId xmlns:a16="http://schemas.microsoft.com/office/drawing/2014/main" id="{00000000-0008-0000-0200-000082000000}"/>
            </a:ext>
          </a:extLst>
        </xdr:cNvPr>
        <xdr:cNvCxnSpPr>
          <a:endCxn id="136" idx="1"/>
        </xdr:cNvCxnSpPr>
      </xdr:nvCxnSpPr>
      <xdr:spPr>
        <a:xfrm>
          <a:off x="7515225" y="58910220"/>
          <a:ext cx="3990974" cy="1847854"/>
        </a:xfrm>
        <a:prstGeom prst="bentConnector2">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59054</xdr:colOff>
      <xdr:row>249</xdr:row>
      <xdr:rowOff>169549</xdr:rowOff>
    </xdr:from>
    <xdr:to>
      <xdr:col>16</xdr:col>
      <xdr:colOff>752475</xdr:colOff>
      <xdr:row>252</xdr:row>
      <xdr:rowOff>17150</xdr:rowOff>
    </xdr:to>
    <xdr:sp macro="" textlink="">
      <xdr:nvSpPr>
        <xdr:cNvPr id="136" name="Accolade ouvrante 135">
          <a:extLst>
            <a:ext uri="{FF2B5EF4-FFF2-40B4-BE49-F238E27FC236}">
              <a16:creationId xmlns:a16="http://schemas.microsoft.com/office/drawing/2014/main" id="{00000000-0008-0000-0200-000088000000}"/>
            </a:ext>
          </a:extLst>
        </xdr:cNvPr>
        <xdr:cNvSpPr/>
      </xdr:nvSpPr>
      <xdr:spPr>
        <a:xfrm rot="5400000">
          <a:off x="11283314" y="59411239"/>
          <a:ext cx="447676" cy="3141346"/>
        </a:xfrm>
        <a:prstGeom prst="leftBrace">
          <a:avLst>
            <a:gd name="adj1" fmla="val 0"/>
            <a:gd name="adj2" fmla="val 50000"/>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CA" sz="1100"/>
        </a:p>
      </xdr:txBody>
    </xdr:sp>
    <xdr:clientData/>
  </xdr:twoCellAnchor>
  <xdr:twoCellAnchor>
    <xdr:from>
      <xdr:col>6</xdr:col>
      <xdr:colOff>941070</xdr:colOff>
      <xdr:row>241</xdr:row>
      <xdr:rowOff>102870</xdr:rowOff>
    </xdr:from>
    <xdr:to>
      <xdr:col>7</xdr:col>
      <xdr:colOff>314324</xdr:colOff>
      <xdr:row>243</xdr:row>
      <xdr:rowOff>38100</xdr:rowOff>
    </xdr:to>
    <xdr:sp macro="" textlink="">
      <xdr:nvSpPr>
        <xdr:cNvPr id="138" name="Ellipse 137">
          <a:extLst>
            <a:ext uri="{FF2B5EF4-FFF2-40B4-BE49-F238E27FC236}">
              <a16:creationId xmlns:a16="http://schemas.microsoft.com/office/drawing/2014/main" id="{00000000-0008-0000-0200-00008A000000}"/>
            </a:ext>
          </a:extLst>
        </xdr:cNvPr>
        <xdr:cNvSpPr/>
      </xdr:nvSpPr>
      <xdr:spPr>
        <a:xfrm>
          <a:off x="2788920" y="59014995"/>
          <a:ext cx="401954" cy="354330"/>
        </a:xfrm>
        <a:prstGeom prst="ellipse">
          <a:avLst/>
        </a:prstGeom>
        <a:noFill/>
        <a:ln w="1905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7</xdr:col>
      <xdr:colOff>115253</xdr:colOff>
      <xdr:row>243</xdr:row>
      <xdr:rowOff>38099</xdr:rowOff>
    </xdr:from>
    <xdr:to>
      <xdr:col>13</xdr:col>
      <xdr:colOff>361952</xdr:colOff>
      <xdr:row>254</xdr:row>
      <xdr:rowOff>114087</xdr:rowOff>
    </xdr:to>
    <xdr:cxnSp macro="">
      <xdr:nvCxnSpPr>
        <xdr:cNvPr id="147" name="Connecteur : en angle 146">
          <a:extLst>
            <a:ext uri="{FF2B5EF4-FFF2-40B4-BE49-F238E27FC236}">
              <a16:creationId xmlns:a16="http://schemas.microsoft.com/office/drawing/2014/main" id="{00000000-0008-0000-0200-000093000000}"/>
            </a:ext>
          </a:extLst>
        </xdr:cNvPr>
        <xdr:cNvCxnSpPr>
          <a:stCxn id="138" idx="4"/>
          <a:endCxn id="18" idx="1"/>
        </xdr:cNvCxnSpPr>
      </xdr:nvCxnSpPr>
      <xdr:spPr>
        <a:xfrm rot="16200000" flipH="1">
          <a:off x="5448883" y="56912244"/>
          <a:ext cx="2333413" cy="7247574"/>
        </a:xfrm>
        <a:prstGeom prst="bentConnector2">
          <a:avLst/>
        </a:prstGeom>
        <a:ln w="1905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361950</xdr:colOff>
      <xdr:row>253</xdr:row>
      <xdr:rowOff>9525</xdr:rowOff>
    </xdr:from>
    <xdr:to>
      <xdr:col>13</xdr:col>
      <xdr:colOff>361951</xdr:colOff>
      <xdr:row>254</xdr:row>
      <xdr:rowOff>125518</xdr:rowOff>
    </xdr:to>
    <xdr:cxnSp macro="">
      <xdr:nvCxnSpPr>
        <xdr:cNvPr id="150" name="Connecteur droit avec flèche 149">
          <a:extLst>
            <a:ext uri="{FF2B5EF4-FFF2-40B4-BE49-F238E27FC236}">
              <a16:creationId xmlns:a16="http://schemas.microsoft.com/office/drawing/2014/main" id="{00000000-0008-0000-0200-000096000000}"/>
            </a:ext>
          </a:extLst>
        </xdr:cNvPr>
        <xdr:cNvCxnSpPr/>
      </xdr:nvCxnSpPr>
      <xdr:spPr>
        <a:xfrm flipH="1" flipV="1">
          <a:off x="10239375" y="61398150"/>
          <a:ext cx="1" cy="316018"/>
        </a:xfrm>
        <a:prstGeom prst="straightConnector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360046</xdr:colOff>
      <xdr:row>251</xdr:row>
      <xdr:rowOff>95250</xdr:rowOff>
    </xdr:from>
    <xdr:to>
      <xdr:col>13</xdr:col>
      <xdr:colOff>361950</xdr:colOff>
      <xdr:row>252</xdr:row>
      <xdr:rowOff>102870</xdr:rowOff>
    </xdr:to>
    <xdr:cxnSp macro="">
      <xdr:nvCxnSpPr>
        <xdr:cNvPr id="151" name="Connecteur droit avec flèche 150">
          <a:extLst>
            <a:ext uri="{FF2B5EF4-FFF2-40B4-BE49-F238E27FC236}">
              <a16:creationId xmlns:a16="http://schemas.microsoft.com/office/drawing/2014/main" id="{00000000-0008-0000-0200-000097000000}"/>
            </a:ext>
          </a:extLst>
        </xdr:cNvPr>
        <xdr:cNvCxnSpPr/>
      </xdr:nvCxnSpPr>
      <xdr:spPr>
        <a:xfrm flipH="1">
          <a:off x="10237471" y="61083825"/>
          <a:ext cx="1904" cy="207645"/>
        </a:xfrm>
        <a:prstGeom prst="straightConnector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306433</xdr:colOff>
      <xdr:row>248</xdr:row>
      <xdr:rowOff>13879</xdr:rowOff>
    </xdr:from>
    <xdr:to>
      <xdr:col>7</xdr:col>
      <xdr:colOff>512315</xdr:colOff>
      <xdr:row>250</xdr:row>
      <xdr:rowOff>55829</xdr:rowOff>
    </xdr:to>
    <xdr:pic>
      <xdr:nvPicPr>
        <xdr:cNvPr id="11" name="Imag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21"/>
        <a:stretch>
          <a:fillRect/>
        </a:stretch>
      </xdr:blipFill>
      <xdr:spPr>
        <a:xfrm>
          <a:off x="1792333" y="59840404"/>
          <a:ext cx="1638442" cy="4648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76</xdr:col>
      <xdr:colOff>19050</xdr:colOff>
      <xdr:row>3</xdr:row>
      <xdr:rowOff>19050</xdr:rowOff>
    </xdr:from>
    <xdr:to>
      <xdr:col>92</xdr:col>
      <xdr:colOff>58923</xdr:colOff>
      <xdr:row>65</xdr:row>
      <xdr:rowOff>17477</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61988700" y="828675"/>
          <a:ext cx="12689073" cy="16517951"/>
        </a:xfrm>
        <a:prstGeom prst="rect">
          <a:avLst/>
        </a:prstGeom>
      </xdr:spPr>
    </xdr:pic>
    <xdr:clientData/>
  </xdr:twoCellAnchor>
  <xdr:twoCellAnchor editAs="oneCell">
    <xdr:from>
      <xdr:col>109</xdr:col>
      <xdr:colOff>590550</xdr:colOff>
      <xdr:row>77</xdr:row>
      <xdr:rowOff>0</xdr:rowOff>
    </xdr:from>
    <xdr:to>
      <xdr:col>125</xdr:col>
      <xdr:colOff>695202</xdr:colOff>
      <xdr:row>171</xdr:row>
      <xdr:rowOff>36524</xdr:rowOff>
    </xdr:to>
    <xdr:pic>
      <xdr:nvPicPr>
        <xdr:cNvPr id="3" name="Imag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8649175" y="24765000"/>
          <a:ext cx="12755757" cy="1688646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76</xdr:col>
      <xdr:colOff>19050</xdr:colOff>
      <xdr:row>3</xdr:row>
      <xdr:rowOff>19050</xdr:rowOff>
    </xdr:from>
    <xdr:to>
      <xdr:col>92</xdr:col>
      <xdr:colOff>58923</xdr:colOff>
      <xdr:row>64</xdr:row>
      <xdr:rowOff>77801</xdr:rowOff>
    </xdr:to>
    <xdr:pic>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1798200" y="828675"/>
          <a:ext cx="12689073" cy="16516046"/>
        </a:xfrm>
        <a:prstGeom prst="rect">
          <a:avLst/>
        </a:prstGeom>
      </xdr:spPr>
    </xdr:pic>
    <xdr:clientData/>
  </xdr:twoCellAnchor>
  <xdr:twoCellAnchor editAs="oneCell">
    <xdr:from>
      <xdr:col>109</xdr:col>
      <xdr:colOff>590550</xdr:colOff>
      <xdr:row>96</xdr:row>
      <xdr:rowOff>114300</xdr:rowOff>
    </xdr:from>
    <xdr:to>
      <xdr:col>125</xdr:col>
      <xdr:colOff>697107</xdr:colOff>
      <xdr:row>157</xdr:row>
      <xdr:rowOff>106586</xdr:rowOff>
    </xdr:to>
    <xdr:pic>
      <xdr:nvPicPr>
        <xdr:cNvPr id="3" name="Imag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88458675" y="24765000"/>
          <a:ext cx="12753852" cy="16886461"/>
        </a:xfrm>
        <a:prstGeom prst="rect">
          <a:avLst/>
        </a:prstGeom>
      </xdr:spPr>
    </xdr:pic>
    <xdr:clientData/>
  </xdr:twoCellAnchor>
  <xdr:twoCellAnchor editAs="oneCell">
    <xdr:from>
      <xdr:col>4</xdr:col>
      <xdr:colOff>103478</xdr:colOff>
      <xdr:row>142</xdr:row>
      <xdr:rowOff>48894</xdr:rowOff>
    </xdr:from>
    <xdr:to>
      <xdr:col>15</xdr:col>
      <xdr:colOff>1360</xdr:colOff>
      <xdr:row>189</xdr:row>
      <xdr:rowOff>142607</xdr:rowOff>
    </xdr:to>
    <xdr:pic>
      <xdr:nvPicPr>
        <xdr:cNvPr id="4" name="Imag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905483" y="38918514"/>
          <a:ext cx="11868902" cy="9012923"/>
        </a:xfrm>
        <a:prstGeom prst="rect">
          <a:avLst/>
        </a:prstGeom>
      </xdr:spPr>
    </xdr:pic>
    <xdr:clientData/>
  </xdr:twoCellAnchor>
  <xdr:twoCellAnchor editAs="oneCell">
    <xdr:from>
      <xdr:col>0</xdr:col>
      <xdr:colOff>0</xdr:colOff>
      <xdr:row>361</xdr:row>
      <xdr:rowOff>174624</xdr:rowOff>
    </xdr:from>
    <xdr:to>
      <xdr:col>20</xdr:col>
      <xdr:colOff>161507</xdr:colOff>
      <xdr:row>418</xdr:row>
      <xdr:rowOff>57148</xdr:rowOff>
    </xdr:to>
    <xdr:pic>
      <xdr:nvPicPr>
        <xdr:cNvPr id="5" name="Imag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85819614"/>
          <a:ext cx="17765612" cy="10201909"/>
        </a:xfrm>
        <a:prstGeom prst="rect">
          <a:avLst/>
        </a:prstGeom>
      </xdr:spPr>
    </xdr:pic>
    <xdr:clientData/>
  </xdr:twoCellAnchor>
  <xdr:twoCellAnchor>
    <xdr:from>
      <xdr:col>26</xdr:col>
      <xdr:colOff>1029970</xdr:colOff>
      <xdr:row>163</xdr:row>
      <xdr:rowOff>144779</xdr:rowOff>
    </xdr:from>
    <xdr:to>
      <xdr:col>30</xdr:col>
      <xdr:colOff>103188</xdr:colOff>
      <xdr:row>165</xdr:row>
      <xdr:rowOff>57783</xdr:rowOff>
    </xdr:to>
    <xdr:sp macro="" textlink="">
      <xdr:nvSpPr>
        <xdr:cNvPr id="6" name="Ellipse 5">
          <a:extLst>
            <a:ext uri="{FF2B5EF4-FFF2-40B4-BE49-F238E27FC236}">
              <a16:creationId xmlns:a16="http://schemas.microsoft.com/office/drawing/2014/main" id="{00000000-0008-0000-0400-000006000000}"/>
            </a:ext>
          </a:extLst>
        </xdr:cNvPr>
        <xdr:cNvSpPr/>
      </xdr:nvSpPr>
      <xdr:spPr>
        <a:xfrm>
          <a:off x="23994745" y="43100624"/>
          <a:ext cx="2485073" cy="295909"/>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28</xdr:col>
      <xdr:colOff>251114</xdr:colOff>
      <xdr:row>165</xdr:row>
      <xdr:rowOff>57611</xdr:rowOff>
    </xdr:from>
    <xdr:to>
      <xdr:col>28</xdr:col>
      <xdr:colOff>474953</xdr:colOff>
      <xdr:row>169</xdr:row>
      <xdr:rowOff>37678</xdr:rowOff>
    </xdr:to>
    <xdr:sp macro="" textlink="">
      <xdr:nvSpPr>
        <xdr:cNvPr id="7" name="Flèche : droite 6">
          <a:extLst>
            <a:ext uri="{FF2B5EF4-FFF2-40B4-BE49-F238E27FC236}">
              <a16:creationId xmlns:a16="http://schemas.microsoft.com/office/drawing/2014/main" id="{00000000-0008-0000-0400-000007000000}"/>
            </a:ext>
          </a:extLst>
        </xdr:cNvPr>
        <xdr:cNvSpPr/>
      </xdr:nvSpPr>
      <xdr:spPr>
        <a:xfrm rot="16200000" flipH="1" flipV="1">
          <a:off x="25207533" y="43658332"/>
          <a:ext cx="751592" cy="227649"/>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CA" sz="1000"/>
            <a:t>Minimum</a:t>
          </a:r>
        </a:p>
      </xdr:txBody>
    </xdr:sp>
    <xdr:clientData/>
  </xdr:twoCellAnchor>
  <xdr:twoCellAnchor>
    <xdr:from>
      <xdr:col>29</xdr:col>
      <xdr:colOff>774550</xdr:colOff>
      <xdr:row>158</xdr:row>
      <xdr:rowOff>33201</xdr:rowOff>
    </xdr:from>
    <xdr:to>
      <xdr:col>29</xdr:col>
      <xdr:colOff>990757</xdr:colOff>
      <xdr:row>163</xdr:row>
      <xdr:rowOff>98204</xdr:rowOff>
    </xdr:to>
    <xdr:sp macro="" textlink="">
      <xdr:nvSpPr>
        <xdr:cNvPr id="8" name="Flèche : droite 7">
          <a:extLst>
            <a:ext uri="{FF2B5EF4-FFF2-40B4-BE49-F238E27FC236}">
              <a16:creationId xmlns:a16="http://schemas.microsoft.com/office/drawing/2014/main" id="{00000000-0008-0000-0400-000008000000}"/>
            </a:ext>
          </a:extLst>
        </xdr:cNvPr>
        <xdr:cNvSpPr/>
      </xdr:nvSpPr>
      <xdr:spPr>
        <a:xfrm rot="18159724" flipH="1">
          <a:off x="25841848" y="42519108"/>
          <a:ext cx="1067031" cy="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CA" sz="1000"/>
            <a:t>Facteur limitant</a:t>
          </a:r>
        </a:p>
      </xdr:txBody>
    </xdr:sp>
    <xdr:clientData/>
  </xdr:twoCellAnchor>
  <xdr:twoCellAnchor editAs="oneCell">
    <xdr:from>
      <xdr:col>0</xdr:col>
      <xdr:colOff>28575</xdr:colOff>
      <xdr:row>421</xdr:row>
      <xdr:rowOff>142875</xdr:rowOff>
    </xdr:from>
    <xdr:to>
      <xdr:col>20</xdr:col>
      <xdr:colOff>495</xdr:colOff>
      <xdr:row>476</xdr:row>
      <xdr:rowOff>114932</xdr:rowOff>
    </xdr:to>
    <xdr:pic>
      <xdr:nvPicPr>
        <xdr:cNvPr id="9" name="Imag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670" y="96829245"/>
          <a:ext cx="17566500" cy="9927587"/>
        </a:xfrm>
        <a:prstGeom prst="rect">
          <a:avLst/>
        </a:prstGeom>
      </xdr:spPr>
    </xdr:pic>
    <xdr:clientData/>
  </xdr:twoCellAnchor>
  <xdr:twoCellAnchor editAs="oneCell">
    <xdr:from>
      <xdr:col>1</xdr:col>
      <xdr:colOff>99603</xdr:colOff>
      <xdr:row>482</xdr:row>
      <xdr:rowOff>61506</xdr:rowOff>
    </xdr:from>
    <xdr:to>
      <xdr:col>20</xdr:col>
      <xdr:colOff>48368</xdr:colOff>
      <xdr:row>539</xdr:row>
      <xdr:rowOff>37012</xdr:rowOff>
    </xdr:to>
    <xdr:pic>
      <xdr:nvPicPr>
        <xdr:cNvPr id="10" name="Imag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95818" y="107966421"/>
          <a:ext cx="17352845" cy="10294891"/>
        </a:xfrm>
        <a:prstGeom prst="rect">
          <a:avLst/>
        </a:prstGeom>
        <a:effectLst/>
      </xdr:spPr>
    </xdr:pic>
    <xdr:clientData/>
  </xdr:twoCellAnchor>
  <xdr:twoCellAnchor editAs="oneCell">
    <xdr:from>
      <xdr:col>5</xdr:col>
      <xdr:colOff>322762</xdr:colOff>
      <xdr:row>303</xdr:row>
      <xdr:rowOff>50618</xdr:rowOff>
    </xdr:from>
    <xdr:to>
      <xdr:col>17</xdr:col>
      <xdr:colOff>160836</xdr:colOff>
      <xdr:row>358</xdr:row>
      <xdr:rowOff>94871</xdr:rowOff>
    </xdr:to>
    <xdr:pic>
      <xdr:nvPicPr>
        <xdr:cNvPr id="11" name="Imag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770562" y="75019988"/>
          <a:ext cx="12498704" cy="9999783"/>
        </a:xfrm>
        <a:prstGeom prst="rect">
          <a:avLst/>
        </a:prstGeom>
        <a:effectLst/>
      </xdr:spPr>
    </xdr:pic>
    <xdr:clientData/>
  </xdr:twoCellAnchor>
  <xdr:twoCellAnchor editAs="oneCell">
    <xdr:from>
      <xdr:col>16</xdr:col>
      <xdr:colOff>1056706</xdr:colOff>
      <xdr:row>153</xdr:row>
      <xdr:rowOff>17669</xdr:rowOff>
    </xdr:from>
    <xdr:to>
      <xdr:col>20</xdr:col>
      <xdr:colOff>1104730</xdr:colOff>
      <xdr:row>165</xdr:row>
      <xdr:rowOff>84667</xdr:rowOff>
    </xdr:to>
    <xdr:pic>
      <xdr:nvPicPr>
        <xdr:cNvPr id="12" name="Imag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8"/>
        <a:stretch>
          <a:fillRect/>
        </a:stretch>
      </xdr:blipFill>
      <xdr:spPr>
        <a:xfrm>
          <a:off x="13926886" y="41051369"/>
          <a:ext cx="4848624" cy="2373953"/>
        </a:xfrm>
        <a:prstGeom prst="rect">
          <a:avLst/>
        </a:prstGeom>
      </xdr:spPr>
    </xdr:pic>
    <xdr:clientData/>
  </xdr:twoCellAnchor>
  <xdr:twoCellAnchor editAs="oneCell">
    <xdr:from>
      <xdr:col>16</xdr:col>
      <xdr:colOff>1085993</xdr:colOff>
      <xdr:row>165</xdr:row>
      <xdr:rowOff>67877</xdr:rowOff>
    </xdr:from>
    <xdr:to>
      <xdr:col>20</xdr:col>
      <xdr:colOff>1103020</xdr:colOff>
      <xdr:row>178</xdr:row>
      <xdr:rowOff>39584</xdr:rowOff>
    </xdr:to>
    <xdr:pic>
      <xdr:nvPicPr>
        <xdr:cNvPr id="13" name="Imag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9"/>
        <a:stretch>
          <a:fillRect/>
        </a:stretch>
      </xdr:blipFill>
      <xdr:spPr>
        <a:xfrm>
          <a:off x="13954268" y="43404722"/>
          <a:ext cx="4827152" cy="2412012"/>
        </a:xfrm>
        <a:prstGeom prst="rect">
          <a:avLst/>
        </a:prstGeom>
      </xdr:spPr>
    </xdr:pic>
    <xdr:clientData/>
  </xdr:twoCellAnchor>
  <xdr:twoCellAnchor editAs="oneCell">
    <xdr:from>
      <xdr:col>16</xdr:col>
      <xdr:colOff>1104202</xdr:colOff>
      <xdr:row>178</xdr:row>
      <xdr:rowOff>41210</xdr:rowOff>
    </xdr:from>
    <xdr:to>
      <xdr:col>20</xdr:col>
      <xdr:colOff>1030221</xdr:colOff>
      <xdr:row>190</xdr:row>
      <xdr:rowOff>191561</xdr:rowOff>
    </xdr:to>
    <xdr:pic>
      <xdr:nvPicPr>
        <xdr:cNvPr id="14" name="Imag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0"/>
        <a:stretch>
          <a:fillRect/>
        </a:stretch>
      </xdr:blipFill>
      <xdr:spPr>
        <a:xfrm>
          <a:off x="13972477" y="45814550"/>
          <a:ext cx="4659944" cy="2344911"/>
        </a:xfrm>
        <a:prstGeom prst="rect">
          <a:avLst/>
        </a:prstGeom>
      </xdr:spPr>
    </xdr:pic>
    <xdr:clientData/>
  </xdr:twoCellAnchor>
  <xdr:twoCellAnchor editAs="oneCell">
    <xdr:from>
      <xdr:col>0</xdr:col>
      <xdr:colOff>0</xdr:colOff>
      <xdr:row>100</xdr:row>
      <xdr:rowOff>0</xdr:rowOff>
    </xdr:from>
    <xdr:to>
      <xdr:col>19</xdr:col>
      <xdr:colOff>617307</xdr:colOff>
      <xdr:row>139</xdr:row>
      <xdr:rowOff>249131</xdr:rowOff>
    </xdr:to>
    <xdr:pic>
      <xdr:nvPicPr>
        <xdr:cNvPr id="15" name="Imag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1"/>
        <a:stretch>
          <a:fillRect/>
        </a:stretch>
      </xdr:blipFill>
      <xdr:spPr>
        <a:xfrm>
          <a:off x="0" y="26222325"/>
          <a:ext cx="17106987" cy="12079181"/>
        </a:xfrm>
        <a:prstGeom prst="rect">
          <a:avLst/>
        </a:prstGeom>
      </xdr:spPr>
    </xdr:pic>
    <xdr:clientData/>
  </xdr:twoCellAnchor>
  <xdr:twoCellAnchor editAs="oneCell">
    <xdr:from>
      <xdr:col>6</xdr:col>
      <xdr:colOff>280035</xdr:colOff>
      <xdr:row>100</xdr:row>
      <xdr:rowOff>68173</xdr:rowOff>
    </xdr:from>
    <xdr:to>
      <xdr:col>13</xdr:col>
      <xdr:colOff>504926</xdr:colOff>
      <xdr:row>113</xdr:row>
      <xdr:rowOff>257228</xdr:rowOff>
    </xdr:to>
    <xdr:pic>
      <xdr:nvPicPr>
        <xdr:cNvPr id="16" name="Imag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2"/>
        <a:stretch>
          <a:fillRect/>
        </a:stretch>
      </xdr:blipFill>
      <xdr:spPr>
        <a:xfrm>
          <a:off x="2131695" y="26288593"/>
          <a:ext cx="8791676" cy="4151455"/>
        </a:xfrm>
        <a:prstGeom prst="rect">
          <a:avLst/>
        </a:prstGeom>
      </xdr:spPr>
    </xdr:pic>
    <xdr:clientData/>
  </xdr:twoCellAnchor>
  <xdr:twoCellAnchor>
    <xdr:from>
      <xdr:col>7</xdr:col>
      <xdr:colOff>368687</xdr:colOff>
      <xdr:row>106</xdr:row>
      <xdr:rowOff>174798</xdr:rowOff>
    </xdr:from>
    <xdr:to>
      <xdr:col>7</xdr:col>
      <xdr:colOff>1024943</xdr:colOff>
      <xdr:row>113</xdr:row>
      <xdr:rowOff>131127</xdr:rowOff>
    </xdr:to>
    <xdr:sp macro="" textlink="">
      <xdr:nvSpPr>
        <xdr:cNvPr id="17" name="Ellipse 16">
          <a:extLst>
            <a:ext uri="{FF2B5EF4-FFF2-40B4-BE49-F238E27FC236}">
              <a16:creationId xmlns:a16="http://schemas.microsoft.com/office/drawing/2014/main" id="{00000000-0008-0000-0400-000011000000}"/>
            </a:ext>
          </a:extLst>
        </xdr:cNvPr>
        <xdr:cNvSpPr/>
      </xdr:nvSpPr>
      <xdr:spPr>
        <a:xfrm>
          <a:off x="3247142" y="28222113"/>
          <a:ext cx="658161" cy="2097549"/>
        </a:xfrm>
        <a:prstGeom prst="ellipse">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4</xdr:col>
      <xdr:colOff>150496</xdr:colOff>
      <xdr:row>108</xdr:row>
      <xdr:rowOff>178756</xdr:rowOff>
    </xdr:from>
    <xdr:to>
      <xdr:col>7</xdr:col>
      <xdr:colOff>511968</xdr:colOff>
      <xdr:row>121</xdr:row>
      <xdr:rowOff>286917</xdr:rowOff>
    </xdr:to>
    <xdr:cxnSp macro="">
      <xdr:nvCxnSpPr>
        <xdr:cNvPr id="18" name="Connecteur : en angle 17">
          <a:extLst>
            <a:ext uri="{FF2B5EF4-FFF2-40B4-BE49-F238E27FC236}">
              <a16:creationId xmlns:a16="http://schemas.microsoft.com/office/drawing/2014/main" id="{00000000-0008-0000-0400-000012000000}"/>
            </a:ext>
          </a:extLst>
        </xdr:cNvPr>
        <xdr:cNvCxnSpPr/>
      </xdr:nvCxnSpPr>
      <xdr:spPr>
        <a:xfrm rot="5400000">
          <a:off x="137134" y="29654848"/>
          <a:ext cx="4068656" cy="2441732"/>
        </a:xfrm>
        <a:prstGeom prst="bentConnector3">
          <a:avLst>
            <a:gd name="adj1" fmla="val -53"/>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65579</xdr:colOff>
      <xdr:row>112</xdr:row>
      <xdr:rowOff>189618</xdr:rowOff>
    </xdr:from>
    <xdr:to>
      <xdr:col>7</xdr:col>
      <xdr:colOff>608920</xdr:colOff>
      <xdr:row>115</xdr:row>
      <xdr:rowOff>272820</xdr:rowOff>
    </xdr:to>
    <xdr:cxnSp macro="">
      <xdr:nvCxnSpPr>
        <xdr:cNvPr id="19" name="Connecteur droit avec flèche 18">
          <a:extLst>
            <a:ext uri="{FF2B5EF4-FFF2-40B4-BE49-F238E27FC236}">
              <a16:creationId xmlns:a16="http://schemas.microsoft.com/office/drawing/2014/main" id="{00000000-0008-0000-0400-000013000000}"/>
            </a:ext>
          </a:extLst>
        </xdr:cNvPr>
        <xdr:cNvCxnSpPr/>
      </xdr:nvCxnSpPr>
      <xdr:spPr>
        <a:xfrm flipH="1">
          <a:off x="1515284" y="30069543"/>
          <a:ext cx="1970186" cy="999507"/>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448151</xdr:colOff>
      <xdr:row>106</xdr:row>
      <xdr:rowOff>177111</xdr:rowOff>
    </xdr:from>
    <xdr:to>
      <xdr:col>9</xdr:col>
      <xdr:colOff>1200467</xdr:colOff>
      <xdr:row>113</xdr:row>
      <xdr:rowOff>187694</xdr:rowOff>
    </xdr:to>
    <xdr:sp macro="" textlink="">
      <xdr:nvSpPr>
        <xdr:cNvPr id="20" name="Ellipse 19">
          <a:extLst>
            <a:ext uri="{FF2B5EF4-FFF2-40B4-BE49-F238E27FC236}">
              <a16:creationId xmlns:a16="http://schemas.microsoft.com/office/drawing/2014/main" id="{00000000-0008-0000-0400-000014000000}"/>
            </a:ext>
          </a:extLst>
        </xdr:cNvPr>
        <xdr:cNvSpPr/>
      </xdr:nvSpPr>
      <xdr:spPr>
        <a:xfrm>
          <a:off x="4427696" y="28224426"/>
          <a:ext cx="1954371" cy="215180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9</xdr:col>
      <xdr:colOff>629534</xdr:colOff>
      <xdr:row>105</xdr:row>
      <xdr:rowOff>8096</xdr:rowOff>
    </xdr:from>
    <xdr:to>
      <xdr:col>11</xdr:col>
      <xdr:colOff>781524</xdr:colOff>
      <xdr:row>107</xdr:row>
      <xdr:rowOff>20584</xdr:rowOff>
    </xdr:to>
    <xdr:sp macro="" textlink="">
      <xdr:nvSpPr>
        <xdr:cNvPr id="21" name="Ellipse 20">
          <a:extLst>
            <a:ext uri="{FF2B5EF4-FFF2-40B4-BE49-F238E27FC236}">
              <a16:creationId xmlns:a16="http://schemas.microsoft.com/office/drawing/2014/main" id="{00000000-0008-0000-0400-000015000000}"/>
            </a:ext>
          </a:extLst>
        </xdr:cNvPr>
        <xdr:cNvSpPr/>
      </xdr:nvSpPr>
      <xdr:spPr>
        <a:xfrm>
          <a:off x="5811134" y="27756326"/>
          <a:ext cx="2847565" cy="620183"/>
        </a:xfrm>
        <a:prstGeom prst="ellipse">
          <a:avLst/>
        </a:prstGeom>
        <a:no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10</xdr:col>
      <xdr:colOff>172606</xdr:colOff>
      <xdr:row>106</xdr:row>
      <xdr:rowOff>151190</xdr:rowOff>
    </xdr:from>
    <xdr:to>
      <xdr:col>10</xdr:col>
      <xdr:colOff>1028700</xdr:colOff>
      <xdr:row>129</xdr:row>
      <xdr:rowOff>95250</xdr:rowOff>
    </xdr:to>
    <xdr:cxnSp macro="">
      <xdr:nvCxnSpPr>
        <xdr:cNvPr id="22" name="Connecteur droit avec flèche 21">
          <a:extLst>
            <a:ext uri="{FF2B5EF4-FFF2-40B4-BE49-F238E27FC236}">
              <a16:creationId xmlns:a16="http://schemas.microsoft.com/office/drawing/2014/main" id="{00000000-0008-0000-0400-000016000000}"/>
            </a:ext>
          </a:extLst>
        </xdr:cNvPr>
        <xdr:cNvCxnSpPr/>
      </xdr:nvCxnSpPr>
      <xdr:spPr>
        <a:xfrm>
          <a:off x="6621031" y="28202315"/>
          <a:ext cx="856094" cy="6954460"/>
        </a:xfrm>
        <a:prstGeom prst="straightConnector1">
          <a:avLst/>
        </a:prstGeom>
        <a:ln w="28575">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124572</xdr:colOff>
      <xdr:row>106</xdr:row>
      <xdr:rowOff>138875</xdr:rowOff>
    </xdr:from>
    <xdr:to>
      <xdr:col>12</xdr:col>
      <xdr:colOff>436244</xdr:colOff>
      <xdr:row>126</xdr:row>
      <xdr:rowOff>211667</xdr:rowOff>
    </xdr:to>
    <xdr:cxnSp macro="">
      <xdr:nvCxnSpPr>
        <xdr:cNvPr id="23" name="Connecteur droit avec flèche 22">
          <a:extLst>
            <a:ext uri="{FF2B5EF4-FFF2-40B4-BE49-F238E27FC236}">
              <a16:creationId xmlns:a16="http://schemas.microsoft.com/office/drawing/2014/main" id="{00000000-0008-0000-0400-000017000000}"/>
            </a:ext>
          </a:extLst>
        </xdr:cNvPr>
        <xdr:cNvCxnSpPr/>
      </xdr:nvCxnSpPr>
      <xdr:spPr>
        <a:xfrm>
          <a:off x="7999842" y="28186190"/>
          <a:ext cx="1746137" cy="6168792"/>
        </a:xfrm>
        <a:prstGeom prst="straightConnector1">
          <a:avLst/>
        </a:prstGeom>
        <a:ln w="28575">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466657</xdr:colOff>
      <xdr:row>106</xdr:row>
      <xdr:rowOff>212830</xdr:rowOff>
    </xdr:from>
    <xdr:to>
      <xdr:col>13</xdr:col>
      <xdr:colOff>892968</xdr:colOff>
      <xdr:row>113</xdr:row>
      <xdr:rowOff>233414</xdr:rowOff>
    </xdr:to>
    <xdr:sp macro="" textlink="">
      <xdr:nvSpPr>
        <xdr:cNvPr id="24" name="Ellipse 23">
          <a:extLst>
            <a:ext uri="{FF2B5EF4-FFF2-40B4-BE49-F238E27FC236}">
              <a16:creationId xmlns:a16="http://schemas.microsoft.com/office/drawing/2014/main" id="{00000000-0008-0000-0400-000018000000}"/>
            </a:ext>
          </a:extLst>
        </xdr:cNvPr>
        <xdr:cNvSpPr/>
      </xdr:nvSpPr>
      <xdr:spPr>
        <a:xfrm>
          <a:off x="8345737" y="28260145"/>
          <a:ext cx="2971391" cy="2154184"/>
        </a:xfrm>
        <a:prstGeom prst="ellipse">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12</xdr:col>
      <xdr:colOff>656748</xdr:colOff>
      <xdr:row>110</xdr:row>
      <xdr:rowOff>47042</xdr:rowOff>
    </xdr:from>
    <xdr:to>
      <xdr:col>18</xdr:col>
      <xdr:colOff>1066800</xdr:colOff>
      <xdr:row>115</xdr:row>
      <xdr:rowOff>142875</xdr:rowOff>
    </xdr:to>
    <xdr:cxnSp macro="">
      <xdr:nvCxnSpPr>
        <xdr:cNvPr id="25" name="Connecteur droit avec flèche 24">
          <a:extLst>
            <a:ext uri="{FF2B5EF4-FFF2-40B4-BE49-F238E27FC236}">
              <a16:creationId xmlns:a16="http://schemas.microsoft.com/office/drawing/2014/main" id="{00000000-0008-0000-0400-000019000000}"/>
            </a:ext>
          </a:extLst>
        </xdr:cNvPr>
        <xdr:cNvCxnSpPr/>
      </xdr:nvCxnSpPr>
      <xdr:spPr>
        <a:xfrm>
          <a:off x="9964578" y="29319272"/>
          <a:ext cx="6323172" cy="1616023"/>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854565</xdr:colOff>
      <xdr:row>122</xdr:row>
      <xdr:rowOff>19764</xdr:rowOff>
    </xdr:from>
    <xdr:to>
      <xdr:col>13</xdr:col>
      <xdr:colOff>628889</xdr:colOff>
      <xdr:row>123</xdr:row>
      <xdr:rowOff>204734</xdr:rowOff>
    </xdr:to>
    <xdr:sp macro="" textlink="">
      <xdr:nvSpPr>
        <xdr:cNvPr id="26" name="Ellipse 25">
          <a:extLst>
            <a:ext uri="{FF2B5EF4-FFF2-40B4-BE49-F238E27FC236}">
              <a16:creationId xmlns:a16="http://schemas.microsoft.com/office/drawing/2014/main" id="{00000000-0008-0000-0400-00001A000000}"/>
            </a:ext>
          </a:extLst>
        </xdr:cNvPr>
        <xdr:cNvSpPr/>
      </xdr:nvSpPr>
      <xdr:spPr>
        <a:xfrm>
          <a:off x="10164300" y="32947689"/>
          <a:ext cx="884939" cy="493580"/>
        </a:xfrm>
        <a:prstGeom prst="ellipse">
          <a:avLst/>
        </a:prstGeom>
        <a:noFill/>
        <a:ln w="28575">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13</xdr:col>
      <xdr:colOff>628889</xdr:colOff>
      <xdr:row>122</xdr:row>
      <xdr:rowOff>267612</xdr:rowOff>
    </xdr:from>
    <xdr:to>
      <xdr:col>18</xdr:col>
      <xdr:colOff>1002801</xdr:colOff>
      <xdr:row>127</xdr:row>
      <xdr:rowOff>8740</xdr:rowOff>
    </xdr:to>
    <xdr:cxnSp macro="">
      <xdr:nvCxnSpPr>
        <xdr:cNvPr id="27" name="Connecteur droit 26">
          <a:extLst>
            <a:ext uri="{FF2B5EF4-FFF2-40B4-BE49-F238E27FC236}">
              <a16:creationId xmlns:a16="http://schemas.microsoft.com/office/drawing/2014/main" id="{00000000-0008-0000-0400-00001B000000}"/>
            </a:ext>
          </a:extLst>
        </xdr:cNvPr>
        <xdr:cNvCxnSpPr>
          <a:stCxn id="26" idx="6"/>
          <a:endCxn id="30" idx="0"/>
        </xdr:cNvCxnSpPr>
      </xdr:nvCxnSpPr>
      <xdr:spPr>
        <a:xfrm>
          <a:off x="11049239" y="33195537"/>
          <a:ext cx="5172607" cy="1267033"/>
        </a:xfrm>
        <a:prstGeom prst="line">
          <a:avLst/>
        </a:prstGeom>
        <a:ln w="28575"/>
      </xdr:spPr>
      <xdr:style>
        <a:lnRef idx="1">
          <a:schemeClr val="accent2"/>
        </a:lnRef>
        <a:fillRef idx="0">
          <a:schemeClr val="accent2"/>
        </a:fillRef>
        <a:effectRef idx="0">
          <a:schemeClr val="accent2"/>
        </a:effectRef>
        <a:fontRef idx="minor">
          <a:schemeClr val="tx1"/>
        </a:fontRef>
      </xdr:style>
    </xdr:cxnSp>
    <xdr:clientData/>
  </xdr:twoCellAnchor>
  <xdr:twoCellAnchor>
    <xdr:from>
      <xdr:col>13</xdr:col>
      <xdr:colOff>188007</xdr:colOff>
      <xdr:row>123</xdr:row>
      <xdr:rowOff>208544</xdr:rowOff>
    </xdr:from>
    <xdr:to>
      <xdr:col>16</xdr:col>
      <xdr:colOff>915080</xdr:colOff>
      <xdr:row>133</xdr:row>
      <xdr:rowOff>78454</xdr:rowOff>
    </xdr:to>
    <xdr:cxnSp macro="">
      <xdr:nvCxnSpPr>
        <xdr:cNvPr id="28" name="Connecteur droit 27">
          <a:extLst>
            <a:ext uri="{FF2B5EF4-FFF2-40B4-BE49-F238E27FC236}">
              <a16:creationId xmlns:a16="http://schemas.microsoft.com/office/drawing/2014/main" id="{00000000-0008-0000-0400-00001C000000}"/>
            </a:ext>
          </a:extLst>
        </xdr:cNvPr>
        <xdr:cNvCxnSpPr>
          <a:stCxn id="26" idx="4"/>
          <a:endCxn id="30" idx="1"/>
        </xdr:cNvCxnSpPr>
      </xdr:nvCxnSpPr>
      <xdr:spPr>
        <a:xfrm>
          <a:off x="10612167" y="33441269"/>
          <a:ext cx="3171188" cy="2914100"/>
        </a:xfrm>
        <a:prstGeom prst="line">
          <a:avLst/>
        </a:prstGeom>
        <a:ln w="28575"/>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16</xdr:col>
      <xdr:colOff>921068</xdr:colOff>
      <xdr:row>127</xdr:row>
      <xdr:rowOff>27517</xdr:rowOff>
    </xdr:from>
    <xdr:to>
      <xdr:col>20</xdr:col>
      <xdr:colOff>1048280</xdr:colOff>
      <xdr:row>139</xdr:row>
      <xdr:rowOff>179917</xdr:rowOff>
    </xdr:to>
    <xdr:pic>
      <xdr:nvPicPr>
        <xdr:cNvPr id="29" name="Imag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3"/>
        <a:stretch>
          <a:fillRect/>
        </a:stretch>
      </xdr:blipFill>
      <xdr:spPr>
        <a:xfrm>
          <a:off x="13791248" y="34481347"/>
          <a:ext cx="4859232" cy="3752850"/>
        </a:xfrm>
        <a:prstGeom prst="rect">
          <a:avLst/>
        </a:prstGeom>
      </xdr:spPr>
    </xdr:pic>
    <xdr:clientData/>
  </xdr:twoCellAnchor>
  <xdr:twoCellAnchor>
    <xdr:from>
      <xdr:col>16</xdr:col>
      <xdr:colOff>915080</xdr:colOff>
      <xdr:row>127</xdr:row>
      <xdr:rowOff>8740</xdr:rowOff>
    </xdr:from>
    <xdr:to>
      <xdr:col>20</xdr:col>
      <xdr:colOff>1058771</xdr:colOff>
      <xdr:row>139</xdr:row>
      <xdr:rowOff>211668</xdr:rowOff>
    </xdr:to>
    <xdr:sp macro="" textlink="">
      <xdr:nvSpPr>
        <xdr:cNvPr id="30" name="Rectangle 29">
          <a:extLst>
            <a:ext uri="{FF2B5EF4-FFF2-40B4-BE49-F238E27FC236}">
              <a16:creationId xmlns:a16="http://schemas.microsoft.com/office/drawing/2014/main" id="{00000000-0008-0000-0400-00001E000000}"/>
            </a:ext>
          </a:extLst>
        </xdr:cNvPr>
        <xdr:cNvSpPr/>
      </xdr:nvSpPr>
      <xdr:spPr>
        <a:xfrm>
          <a:off x="13783355" y="34462570"/>
          <a:ext cx="4875711" cy="3797663"/>
        </a:xfrm>
        <a:prstGeom prst="rect">
          <a:avLst/>
        </a:prstGeom>
        <a:noFill/>
        <a:ln w="28575">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9</xdr:col>
      <xdr:colOff>227138</xdr:colOff>
      <xdr:row>113</xdr:row>
      <xdr:rowOff>187693</xdr:rowOff>
    </xdr:from>
    <xdr:to>
      <xdr:col>18</xdr:col>
      <xdr:colOff>828542</xdr:colOff>
      <xdr:row>136</xdr:row>
      <xdr:rowOff>29877</xdr:rowOff>
    </xdr:to>
    <xdr:cxnSp macro="">
      <xdr:nvCxnSpPr>
        <xdr:cNvPr id="31" name="Connecteur : en angle 30">
          <a:extLst>
            <a:ext uri="{FF2B5EF4-FFF2-40B4-BE49-F238E27FC236}">
              <a16:creationId xmlns:a16="http://schemas.microsoft.com/office/drawing/2014/main" id="{00000000-0008-0000-0400-00001F000000}"/>
            </a:ext>
          </a:extLst>
        </xdr:cNvPr>
        <xdr:cNvCxnSpPr>
          <a:stCxn id="20" idx="4"/>
        </xdr:cNvCxnSpPr>
      </xdr:nvCxnSpPr>
      <xdr:spPr>
        <a:xfrm rot="16200000" flipH="1">
          <a:off x="7306633" y="28478333"/>
          <a:ext cx="6846869" cy="10642659"/>
        </a:xfrm>
        <a:prstGeom prst="bentConnector2">
          <a:avLst/>
        </a:prstGeom>
        <a:ln w="28575">
          <a:solidFill>
            <a:srgbClr val="FF0000"/>
          </a:solidFill>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855203</xdr:colOff>
      <xdr:row>136</xdr:row>
      <xdr:rowOff>29876</xdr:rowOff>
    </xdr:from>
    <xdr:to>
      <xdr:col>18</xdr:col>
      <xdr:colOff>1212986</xdr:colOff>
      <xdr:row>136</xdr:row>
      <xdr:rowOff>31006</xdr:rowOff>
    </xdr:to>
    <xdr:cxnSp macro="">
      <xdr:nvCxnSpPr>
        <xdr:cNvPr id="32" name="Connecteur droit avec flèche 31">
          <a:extLst>
            <a:ext uri="{FF2B5EF4-FFF2-40B4-BE49-F238E27FC236}">
              <a16:creationId xmlns:a16="http://schemas.microsoft.com/office/drawing/2014/main" id="{00000000-0008-0000-0400-000020000000}"/>
            </a:ext>
          </a:extLst>
        </xdr:cNvPr>
        <xdr:cNvCxnSpPr/>
      </xdr:nvCxnSpPr>
      <xdr:spPr>
        <a:xfrm flipH="1">
          <a:off x="16079963" y="37223096"/>
          <a:ext cx="352068" cy="113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1018994</xdr:colOff>
      <xdr:row>220</xdr:row>
      <xdr:rowOff>78015</xdr:rowOff>
    </xdr:from>
    <xdr:to>
      <xdr:col>11</xdr:col>
      <xdr:colOff>788670</xdr:colOff>
      <xdr:row>228</xdr:row>
      <xdr:rowOff>75994</xdr:rowOff>
    </xdr:to>
    <xdr:pic>
      <xdr:nvPicPr>
        <xdr:cNvPr id="33" name="Imag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4"/>
        <a:stretch>
          <a:fillRect/>
        </a:stretch>
      </xdr:blipFill>
      <xdr:spPr>
        <a:xfrm>
          <a:off x="5002349" y="54437190"/>
          <a:ext cx="3665401" cy="1674379"/>
        </a:xfrm>
        <a:prstGeom prst="rect">
          <a:avLst/>
        </a:prstGeom>
        <a:ln w="28575">
          <a:solidFill>
            <a:srgbClr val="FF0000"/>
          </a:solidFill>
        </a:ln>
      </xdr:spPr>
    </xdr:pic>
    <xdr:clientData/>
  </xdr:twoCellAnchor>
  <xdr:twoCellAnchor editAs="oneCell">
    <xdr:from>
      <xdr:col>12</xdr:col>
      <xdr:colOff>1029547</xdr:colOff>
      <xdr:row>200</xdr:row>
      <xdr:rowOff>18416</xdr:rowOff>
    </xdr:from>
    <xdr:to>
      <xdr:col>17</xdr:col>
      <xdr:colOff>601768</xdr:colOff>
      <xdr:row>222</xdr:row>
      <xdr:rowOff>57498</xdr:rowOff>
    </xdr:to>
    <xdr:pic>
      <xdr:nvPicPr>
        <xdr:cNvPr id="34" name="Image 33" descr="Une image contenant texte, stationnaire, dossier&#10;&#10;Description générée automatiquement">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335472" y="50310416"/>
          <a:ext cx="4370916" cy="4525357"/>
        </a:xfrm>
        <a:prstGeom prst="rect">
          <a:avLst/>
        </a:prstGeom>
      </xdr:spPr>
    </xdr:pic>
    <xdr:clientData/>
  </xdr:twoCellAnchor>
  <xdr:twoCellAnchor editAs="oneCell">
    <xdr:from>
      <xdr:col>12</xdr:col>
      <xdr:colOff>951865</xdr:colOff>
      <xdr:row>233</xdr:row>
      <xdr:rowOff>106046</xdr:rowOff>
    </xdr:from>
    <xdr:to>
      <xdr:col>17</xdr:col>
      <xdr:colOff>789171</xdr:colOff>
      <xdr:row>256</xdr:row>
      <xdr:rowOff>67308</xdr:rowOff>
    </xdr:to>
    <xdr:pic>
      <xdr:nvPicPr>
        <xdr:cNvPr id="35" name="Imag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0257790" y="57187466"/>
          <a:ext cx="4639811" cy="4580887"/>
        </a:xfrm>
        <a:prstGeom prst="rect">
          <a:avLst/>
        </a:prstGeom>
      </xdr:spPr>
    </xdr:pic>
    <xdr:clientData/>
  </xdr:twoCellAnchor>
  <xdr:twoCellAnchor>
    <xdr:from>
      <xdr:col>13</xdr:col>
      <xdr:colOff>361951</xdr:colOff>
      <xdr:row>253</xdr:row>
      <xdr:rowOff>66463</xdr:rowOff>
    </xdr:from>
    <xdr:to>
      <xdr:col>16</xdr:col>
      <xdr:colOff>457836</xdr:colOff>
      <xdr:row>255</xdr:row>
      <xdr:rowOff>161713</xdr:rowOff>
    </xdr:to>
    <xdr:sp macro="" textlink="">
      <xdr:nvSpPr>
        <xdr:cNvPr id="36" name="Rectangle 35">
          <a:extLst>
            <a:ext uri="{FF2B5EF4-FFF2-40B4-BE49-F238E27FC236}">
              <a16:creationId xmlns:a16="http://schemas.microsoft.com/office/drawing/2014/main" id="{00000000-0008-0000-0400-000024000000}"/>
            </a:ext>
          </a:extLst>
        </xdr:cNvPr>
        <xdr:cNvSpPr/>
      </xdr:nvSpPr>
      <xdr:spPr>
        <a:xfrm>
          <a:off x="10782301" y="61171243"/>
          <a:ext cx="2543810" cy="495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editAs="oneCell">
    <xdr:from>
      <xdr:col>3</xdr:col>
      <xdr:colOff>102870</xdr:colOff>
      <xdr:row>204</xdr:row>
      <xdr:rowOff>17145</xdr:rowOff>
    </xdr:from>
    <xdr:to>
      <xdr:col>11</xdr:col>
      <xdr:colOff>906002</xdr:colOff>
      <xdr:row>215</xdr:row>
      <xdr:rowOff>179397</xdr:rowOff>
    </xdr:to>
    <xdr:pic>
      <xdr:nvPicPr>
        <xdr:cNvPr id="37" name="Imag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7"/>
        <a:stretch>
          <a:fillRect/>
        </a:stretch>
      </xdr:blipFill>
      <xdr:spPr>
        <a:xfrm>
          <a:off x="704850" y="51194970"/>
          <a:ext cx="8076422" cy="2335857"/>
        </a:xfrm>
        <a:prstGeom prst="rect">
          <a:avLst/>
        </a:prstGeom>
      </xdr:spPr>
    </xdr:pic>
    <xdr:clientData/>
  </xdr:twoCellAnchor>
  <xdr:twoCellAnchor>
    <xdr:from>
      <xdr:col>5</xdr:col>
      <xdr:colOff>360045</xdr:colOff>
      <xdr:row>206</xdr:row>
      <xdr:rowOff>190499</xdr:rowOff>
    </xdr:from>
    <xdr:to>
      <xdr:col>8</xdr:col>
      <xdr:colOff>45720</xdr:colOff>
      <xdr:row>215</xdr:row>
      <xdr:rowOff>176892</xdr:rowOff>
    </xdr:to>
    <xdr:sp macro="" textlink="">
      <xdr:nvSpPr>
        <xdr:cNvPr id="38" name="Rectangle 37">
          <a:extLst>
            <a:ext uri="{FF2B5EF4-FFF2-40B4-BE49-F238E27FC236}">
              <a16:creationId xmlns:a16="http://schemas.microsoft.com/office/drawing/2014/main" id="{00000000-0008-0000-0400-000026000000}"/>
            </a:ext>
          </a:extLst>
        </xdr:cNvPr>
        <xdr:cNvSpPr/>
      </xdr:nvSpPr>
      <xdr:spPr>
        <a:xfrm>
          <a:off x="1807845" y="51787424"/>
          <a:ext cx="2221230" cy="173518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8</xdr:col>
      <xdr:colOff>45720</xdr:colOff>
      <xdr:row>211</xdr:row>
      <xdr:rowOff>142874</xdr:rowOff>
    </xdr:from>
    <xdr:to>
      <xdr:col>10</xdr:col>
      <xdr:colOff>389346</xdr:colOff>
      <xdr:row>220</xdr:row>
      <xdr:rowOff>78015</xdr:rowOff>
    </xdr:to>
    <xdr:cxnSp macro="">
      <xdr:nvCxnSpPr>
        <xdr:cNvPr id="39" name="Connecteur droit 38">
          <a:extLst>
            <a:ext uri="{FF2B5EF4-FFF2-40B4-BE49-F238E27FC236}">
              <a16:creationId xmlns:a16="http://schemas.microsoft.com/office/drawing/2014/main" id="{00000000-0008-0000-0400-000027000000}"/>
            </a:ext>
          </a:extLst>
        </xdr:cNvPr>
        <xdr:cNvCxnSpPr>
          <a:stCxn id="38" idx="3"/>
          <a:endCxn id="33" idx="0"/>
        </xdr:cNvCxnSpPr>
      </xdr:nvCxnSpPr>
      <xdr:spPr>
        <a:xfrm>
          <a:off x="4029075" y="52656104"/>
          <a:ext cx="2810601" cy="1781086"/>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1047751</xdr:colOff>
      <xdr:row>211</xdr:row>
      <xdr:rowOff>47625</xdr:rowOff>
    </xdr:from>
    <xdr:to>
      <xdr:col>9</xdr:col>
      <xdr:colOff>1236345</xdr:colOff>
      <xdr:row>212</xdr:row>
      <xdr:rowOff>114300</xdr:rowOff>
    </xdr:to>
    <xdr:sp macro="" textlink="">
      <xdr:nvSpPr>
        <xdr:cNvPr id="40" name="Ellipse 39">
          <a:extLst>
            <a:ext uri="{FF2B5EF4-FFF2-40B4-BE49-F238E27FC236}">
              <a16:creationId xmlns:a16="http://schemas.microsoft.com/office/drawing/2014/main" id="{00000000-0008-0000-0400-000028000000}"/>
            </a:ext>
          </a:extLst>
        </xdr:cNvPr>
        <xdr:cNvSpPr/>
      </xdr:nvSpPr>
      <xdr:spPr>
        <a:xfrm>
          <a:off x="6229351" y="52557045"/>
          <a:ext cx="188594" cy="27813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9</xdr:col>
      <xdr:colOff>1236345</xdr:colOff>
      <xdr:row>211</xdr:row>
      <xdr:rowOff>184785</xdr:rowOff>
    </xdr:from>
    <xdr:to>
      <xdr:col>14</xdr:col>
      <xdr:colOff>294322</xdr:colOff>
      <xdr:row>217</xdr:row>
      <xdr:rowOff>180975</xdr:rowOff>
    </xdr:to>
    <xdr:cxnSp macro="">
      <xdr:nvCxnSpPr>
        <xdr:cNvPr id="41" name="Connecteur : en angle 40">
          <a:extLst>
            <a:ext uri="{FF2B5EF4-FFF2-40B4-BE49-F238E27FC236}">
              <a16:creationId xmlns:a16="http://schemas.microsoft.com/office/drawing/2014/main" id="{00000000-0008-0000-0400-000029000000}"/>
            </a:ext>
          </a:extLst>
        </xdr:cNvPr>
        <xdr:cNvCxnSpPr>
          <a:stCxn id="40" idx="6"/>
          <a:endCxn id="42" idx="1"/>
        </xdr:cNvCxnSpPr>
      </xdr:nvCxnSpPr>
      <xdr:spPr>
        <a:xfrm>
          <a:off x="6417945" y="52699920"/>
          <a:ext cx="5546407" cy="1247775"/>
        </a:xfrm>
        <a:prstGeom prst="bentConnector2">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236220</xdr:colOff>
      <xdr:row>217</xdr:row>
      <xdr:rowOff>179070</xdr:rowOff>
    </xdr:from>
    <xdr:to>
      <xdr:col>16</xdr:col>
      <xdr:colOff>398145</xdr:colOff>
      <xdr:row>219</xdr:row>
      <xdr:rowOff>173354</xdr:rowOff>
    </xdr:to>
    <xdr:sp macro="" textlink="">
      <xdr:nvSpPr>
        <xdr:cNvPr id="42" name="Accolade ouvrante 41">
          <a:extLst>
            <a:ext uri="{FF2B5EF4-FFF2-40B4-BE49-F238E27FC236}">
              <a16:creationId xmlns:a16="http://schemas.microsoft.com/office/drawing/2014/main" id="{00000000-0008-0000-0400-00002A000000}"/>
            </a:ext>
          </a:extLst>
        </xdr:cNvPr>
        <xdr:cNvSpPr/>
      </xdr:nvSpPr>
      <xdr:spPr>
        <a:xfrm rot="5400000">
          <a:off x="11766233" y="52841842"/>
          <a:ext cx="392429" cy="2607945"/>
        </a:xfrm>
        <a:prstGeom prst="leftBrace">
          <a:avLst>
            <a:gd name="adj1" fmla="val 0"/>
            <a:gd name="adj2" fmla="val 50000"/>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CA" sz="1100"/>
        </a:p>
      </xdr:txBody>
    </xdr:sp>
    <xdr:clientData/>
  </xdr:twoCellAnchor>
  <xdr:twoCellAnchor editAs="oneCell">
    <xdr:from>
      <xdr:col>12</xdr:col>
      <xdr:colOff>1055371</xdr:colOff>
      <xdr:row>224</xdr:row>
      <xdr:rowOff>57047</xdr:rowOff>
    </xdr:from>
    <xdr:to>
      <xdr:col>14</xdr:col>
      <xdr:colOff>417195</xdr:colOff>
      <xdr:row>227</xdr:row>
      <xdr:rowOff>103278</xdr:rowOff>
    </xdr:to>
    <xdr:pic>
      <xdr:nvPicPr>
        <xdr:cNvPr id="43" name="Imag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8"/>
        <a:stretch>
          <a:fillRect/>
        </a:stretch>
      </xdr:blipFill>
      <xdr:spPr>
        <a:xfrm>
          <a:off x="10363201" y="55254422"/>
          <a:ext cx="1722119" cy="676786"/>
        </a:xfrm>
        <a:prstGeom prst="rect">
          <a:avLst/>
        </a:prstGeom>
      </xdr:spPr>
    </xdr:pic>
    <xdr:clientData/>
  </xdr:twoCellAnchor>
  <xdr:twoCellAnchor>
    <xdr:from>
      <xdr:col>11</xdr:col>
      <xdr:colOff>636304</xdr:colOff>
      <xdr:row>225</xdr:row>
      <xdr:rowOff>123825</xdr:rowOff>
    </xdr:from>
    <xdr:to>
      <xdr:col>12</xdr:col>
      <xdr:colOff>1009650</xdr:colOff>
      <xdr:row>226</xdr:row>
      <xdr:rowOff>56270</xdr:rowOff>
    </xdr:to>
    <xdr:sp macro="" textlink="">
      <xdr:nvSpPr>
        <xdr:cNvPr id="44" name="Flèche : droite 43">
          <a:extLst>
            <a:ext uri="{FF2B5EF4-FFF2-40B4-BE49-F238E27FC236}">
              <a16:creationId xmlns:a16="http://schemas.microsoft.com/office/drawing/2014/main" id="{00000000-0008-0000-0400-00002C000000}"/>
            </a:ext>
          </a:extLst>
        </xdr:cNvPr>
        <xdr:cNvSpPr/>
      </xdr:nvSpPr>
      <xdr:spPr>
        <a:xfrm>
          <a:off x="8515384" y="55528845"/>
          <a:ext cx="1800191" cy="143900"/>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12</xdr:col>
      <xdr:colOff>981075</xdr:colOff>
      <xdr:row>228</xdr:row>
      <xdr:rowOff>0</xdr:rowOff>
    </xdr:from>
    <xdr:to>
      <xdr:col>16</xdr:col>
      <xdr:colOff>276224</xdr:colOff>
      <xdr:row>229</xdr:row>
      <xdr:rowOff>140970</xdr:rowOff>
    </xdr:to>
    <xdr:sp macro="" textlink="">
      <xdr:nvSpPr>
        <xdr:cNvPr id="45" name="ZoneTexte 44">
          <a:extLst>
            <a:ext uri="{FF2B5EF4-FFF2-40B4-BE49-F238E27FC236}">
              <a16:creationId xmlns:a16="http://schemas.microsoft.com/office/drawing/2014/main" id="{00000000-0008-0000-0400-00002D000000}"/>
            </a:ext>
          </a:extLst>
        </xdr:cNvPr>
        <xdr:cNvSpPr txBox="1"/>
      </xdr:nvSpPr>
      <xdr:spPr>
        <a:xfrm>
          <a:off x="10285095" y="56035575"/>
          <a:ext cx="2861309"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400"/>
            <a:t>Pointe</a:t>
          </a:r>
          <a:r>
            <a:rPr lang="fr-CA" sz="1400" baseline="0"/>
            <a:t> #3, 14 filets par pouce</a:t>
          </a:r>
          <a:endParaRPr lang="fr-CA" sz="1400"/>
        </a:p>
      </xdr:txBody>
    </xdr:sp>
    <xdr:clientData/>
  </xdr:twoCellAnchor>
  <xdr:twoCellAnchor>
    <xdr:from>
      <xdr:col>12</xdr:col>
      <xdr:colOff>1017271</xdr:colOff>
      <xdr:row>221</xdr:row>
      <xdr:rowOff>152400</xdr:rowOff>
    </xdr:from>
    <xdr:to>
      <xdr:col>17</xdr:col>
      <xdr:colOff>312420</xdr:colOff>
      <xdr:row>223</xdr:row>
      <xdr:rowOff>85725</xdr:rowOff>
    </xdr:to>
    <xdr:sp macro="" textlink="">
      <xdr:nvSpPr>
        <xdr:cNvPr id="46" name="ZoneTexte 45">
          <a:extLst>
            <a:ext uri="{FF2B5EF4-FFF2-40B4-BE49-F238E27FC236}">
              <a16:creationId xmlns:a16="http://schemas.microsoft.com/office/drawing/2014/main" id="{00000000-0008-0000-0400-00002E000000}"/>
            </a:ext>
          </a:extLst>
        </xdr:cNvPr>
        <xdr:cNvSpPr txBox="1"/>
      </xdr:nvSpPr>
      <xdr:spPr>
        <a:xfrm>
          <a:off x="10325101" y="54721125"/>
          <a:ext cx="4095749"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400"/>
            <a:t>Pointe</a:t>
          </a:r>
          <a:r>
            <a:rPr lang="fr-CA" sz="1400" baseline="0"/>
            <a:t> #5, 28 filets par pouce</a:t>
          </a:r>
          <a:endParaRPr lang="fr-CA" sz="1400"/>
        </a:p>
      </xdr:txBody>
    </xdr:sp>
    <xdr:clientData/>
  </xdr:twoCellAnchor>
  <xdr:twoCellAnchor>
    <xdr:from>
      <xdr:col>16</xdr:col>
      <xdr:colOff>493429</xdr:colOff>
      <xdr:row>225</xdr:row>
      <xdr:rowOff>95250</xdr:rowOff>
    </xdr:from>
    <xdr:to>
      <xdr:col>17</xdr:col>
      <xdr:colOff>828675</xdr:colOff>
      <xdr:row>226</xdr:row>
      <xdr:rowOff>27695</xdr:rowOff>
    </xdr:to>
    <xdr:sp macro="" textlink="">
      <xdr:nvSpPr>
        <xdr:cNvPr id="47" name="Flèche : droite 46">
          <a:extLst>
            <a:ext uri="{FF2B5EF4-FFF2-40B4-BE49-F238E27FC236}">
              <a16:creationId xmlns:a16="http://schemas.microsoft.com/office/drawing/2014/main" id="{00000000-0008-0000-0400-00002F000000}"/>
            </a:ext>
          </a:extLst>
        </xdr:cNvPr>
        <xdr:cNvSpPr/>
      </xdr:nvSpPr>
      <xdr:spPr>
        <a:xfrm>
          <a:off x="13361704" y="55502175"/>
          <a:ext cx="1571591" cy="143900"/>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16</xdr:col>
      <xdr:colOff>483904</xdr:colOff>
      <xdr:row>220</xdr:row>
      <xdr:rowOff>64770</xdr:rowOff>
    </xdr:from>
    <xdr:to>
      <xdr:col>17</xdr:col>
      <xdr:colOff>819150</xdr:colOff>
      <xdr:row>221</xdr:row>
      <xdr:rowOff>1025</xdr:rowOff>
    </xdr:to>
    <xdr:sp macro="" textlink="">
      <xdr:nvSpPr>
        <xdr:cNvPr id="48" name="Flèche : droite 47">
          <a:extLst>
            <a:ext uri="{FF2B5EF4-FFF2-40B4-BE49-F238E27FC236}">
              <a16:creationId xmlns:a16="http://schemas.microsoft.com/office/drawing/2014/main" id="{00000000-0008-0000-0400-000030000000}"/>
            </a:ext>
          </a:extLst>
        </xdr:cNvPr>
        <xdr:cNvSpPr/>
      </xdr:nvSpPr>
      <xdr:spPr>
        <a:xfrm>
          <a:off x="13354084" y="54425850"/>
          <a:ext cx="1571591" cy="143900"/>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17</xdr:col>
      <xdr:colOff>838200</xdr:colOff>
      <xdr:row>219</xdr:row>
      <xdr:rowOff>161925</xdr:rowOff>
    </xdr:from>
    <xdr:to>
      <xdr:col>19</xdr:col>
      <xdr:colOff>590549</xdr:colOff>
      <xdr:row>221</xdr:row>
      <xdr:rowOff>200025</xdr:rowOff>
    </xdr:to>
    <xdr:sp macro="" textlink="">
      <xdr:nvSpPr>
        <xdr:cNvPr id="49" name="ZoneTexte 48">
          <a:extLst>
            <a:ext uri="{FF2B5EF4-FFF2-40B4-BE49-F238E27FC236}">
              <a16:creationId xmlns:a16="http://schemas.microsoft.com/office/drawing/2014/main" id="{00000000-0008-0000-0400-000031000000}"/>
            </a:ext>
          </a:extLst>
        </xdr:cNvPr>
        <xdr:cNvSpPr txBox="1"/>
      </xdr:nvSpPr>
      <xdr:spPr>
        <a:xfrm>
          <a:off x="14944725" y="54328695"/>
          <a:ext cx="2133599" cy="438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400"/>
            <a:t>Entremises</a:t>
          </a:r>
          <a:r>
            <a:rPr lang="fr-CA" sz="1400" baseline="0"/>
            <a:t> plus épaisses</a:t>
          </a:r>
        </a:p>
      </xdr:txBody>
    </xdr:sp>
    <xdr:clientData/>
  </xdr:twoCellAnchor>
  <xdr:twoCellAnchor>
    <xdr:from>
      <xdr:col>17</xdr:col>
      <xdr:colOff>883920</xdr:colOff>
      <xdr:row>225</xdr:row>
      <xdr:rowOff>19050</xdr:rowOff>
    </xdr:from>
    <xdr:to>
      <xdr:col>19</xdr:col>
      <xdr:colOff>640079</xdr:colOff>
      <xdr:row>226</xdr:row>
      <xdr:rowOff>133350</xdr:rowOff>
    </xdr:to>
    <xdr:sp macro="" textlink="">
      <xdr:nvSpPr>
        <xdr:cNvPr id="50" name="ZoneTexte 49">
          <a:extLst>
            <a:ext uri="{FF2B5EF4-FFF2-40B4-BE49-F238E27FC236}">
              <a16:creationId xmlns:a16="http://schemas.microsoft.com/office/drawing/2014/main" id="{00000000-0008-0000-0400-000032000000}"/>
            </a:ext>
          </a:extLst>
        </xdr:cNvPr>
        <xdr:cNvSpPr txBox="1"/>
      </xdr:nvSpPr>
      <xdr:spPr>
        <a:xfrm>
          <a:off x="14992350" y="55425975"/>
          <a:ext cx="2133599"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400"/>
            <a:t>Entremises</a:t>
          </a:r>
          <a:r>
            <a:rPr lang="fr-CA" sz="1400" baseline="0"/>
            <a:t> plus minces</a:t>
          </a:r>
        </a:p>
      </xdr:txBody>
    </xdr:sp>
    <xdr:clientData/>
  </xdr:twoCellAnchor>
  <xdr:twoCellAnchor>
    <xdr:from>
      <xdr:col>10</xdr:col>
      <xdr:colOff>981076</xdr:colOff>
      <xdr:row>222</xdr:row>
      <xdr:rowOff>9526</xdr:rowOff>
    </xdr:from>
    <xdr:to>
      <xdr:col>11</xdr:col>
      <xdr:colOff>266700</xdr:colOff>
      <xdr:row>223</xdr:row>
      <xdr:rowOff>150496</xdr:rowOff>
    </xdr:to>
    <xdr:sp macro="" textlink="">
      <xdr:nvSpPr>
        <xdr:cNvPr id="51" name="Ellipse 50">
          <a:extLst>
            <a:ext uri="{FF2B5EF4-FFF2-40B4-BE49-F238E27FC236}">
              <a16:creationId xmlns:a16="http://schemas.microsoft.com/office/drawing/2014/main" id="{00000000-0008-0000-0400-000033000000}"/>
            </a:ext>
          </a:extLst>
        </xdr:cNvPr>
        <xdr:cNvSpPr/>
      </xdr:nvSpPr>
      <xdr:spPr>
        <a:xfrm>
          <a:off x="7427596" y="54785896"/>
          <a:ext cx="716279" cy="352425"/>
        </a:xfrm>
        <a:prstGeom prst="ellipse">
          <a:avLst/>
        </a:prstGeom>
        <a:noFill/>
        <a:ln w="1905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11</xdr:col>
      <xdr:colOff>266700</xdr:colOff>
      <xdr:row>222</xdr:row>
      <xdr:rowOff>188596</xdr:rowOff>
    </xdr:from>
    <xdr:to>
      <xdr:col>13</xdr:col>
      <xdr:colOff>590550</xdr:colOff>
      <xdr:row>225</xdr:row>
      <xdr:rowOff>121920</xdr:rowOff>
    </xdr:to>
    <xdr:cxnSp macro="">
      <xdr:nvCxnSpPr>
        <xdr:cNvPr id="52" name="Connecteur : en angle 51">
          <a:extLst>
            <a:ext uri="{FF2B5EF4-FFF2-40B4-BE49-F238E27FC236}">
              <a16:creationId xmlns:a16="http://schemas.microsoft.com/office/drawing/2014/main" id="{00000000-0008-0000-0400-000034000000}"/>
            </a:ext>
          </a:extLst>
        </xdr:cNvPr>
        <xdr:cNvCxnSpPr>
          <a:stCxn id="51" idx="6"/>
        </xdr:cNvCxnSpPr>
      </xdr:nvCxnSpPr>
      <xdr:spPr>
        <a:xfrm>
          <a:off x="8143875" y="54966871"/>
          <a:ext cx="2867025" cy="563879"/>
        </a:xfrm>
        <a:prstGeom prst="bentConnector3">
          <a:avLst>
            <a:gd name="adj1" fmla="val 10018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581025</xdr:colOff>
      <xdr:row>226</xdr:row>
      <xdr:rowOff>74296</xdr:rowOff>
    </xdr:from>
    <xdr:to>
      <xdr:col>13</xdr:col>
      <xdr:colOff>581025</xdr:colOff>
      <xdr:row>227</xdr:row>
      <xdr:rowOff>95250</xdr:rowOff>
    </xdr:to>
    <xdr:cxnSp macro="">
      <xdr:nvCxnSpPr>
        <xdr:cNvPr id="53" name="Connecteur droit avec flèche 52">
          <a:extLst>
            <a:ext uri="{FF2B5EF4-FFF2-40B4-BE49-F238E27FC236}">
              <a16:creationId xmlns:a16="http://schemas.microsoft.com/office/drawing/2014/main" id="{00000000-0008-0000-0400-000035000000}"/>
            </a:ext>
          </a:extLst>
        </xdr:cNvPr>
        <xdr:cNvCxnSpPr/>
      </xdr:nvCxnSpPr>
      <xdr:spPr>
        <a:xfrm flipH="1" flipV="1">
          <a:off x="10999470" y="55690771"/>
          <a:ext cx="0" cy="230504"/>
        </a:xfrm>
        <a:prstGeom prst="straightConnector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504008</xdr:colOff>
      <xdr:row>222</xdr:row>
      <xdr:rowOff>28512</xdr:rowOff>
    </xdr:from>
    <xdr:to>
      <xdr:col>12</xdr:col>
      <xdr:colOff>1105811</xdr:colOff>
      <xdr:row>222</xdr:row>
      <xdr:rowOff>180524</xdr:rowOff>
    </xdr:to>
    <xdr:sp macro="" textlink="">
      <xdr:nvSpPr>
        <xdr:cNvPr id="54" name="Flèche : droite 53">
          <a:extLst>
            <a:ext uri="{FF2B5EF4-FFF2-40B4-BE49-F238E27FC236}">
              <a16:creationId xmlns:a16="http://schemas.microsoft.com/office/drawing/2014/main" id="{00000000-0008-0000-0400-000036000000}"/>
            </a:ext>
          </a:extLst>
        </xdr:cNvPr>
        <xdr:cNvSpPr/>
      </xdr:nvSpPr>
      <xdr:spPr>
        <a:xfrm rot="20141119">
          <a:off x="8383088" y="54808692"/>
          <a:ext cx="2028648" cy="152012"/>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editAs="oneCell">
    <xdr:from>
      <xdr:col>4</xdr:col>
      <xdr:colOff>66677</xdr:colOff>
      <xdr:row>221</xdr:row>
      <xdr:rowOff>76200</xdr:rowOff>
    </xdr:from>
    <xdr:to>
      <xdr:col>8</xdr:col>
      <xdr:colOff>607760</xdr:colOff>
      <xdr:row>230</xdr:row>
      <xdr:rowOff>188596</xdr:rowOff>
    </xdr:to>
    <xdr:pic>
      <xdr:nvPicPr>
        <xdr:cNvPr id="55" name="Image 54">
          <a:extLst>
            <a:ext uri="{FF2B5EF4-FFF2-40B4-BE49-F238E27FC236}">
              <a16:creationId xmlns:a16="http://schemas.microsoft.com/office/drawing/2014/main" id="{00000000-0008-0000-0400-000037000000}"/>
            </a:ext>
          </a:extLst>
        </xdr:cNvPr>
        <xdr:cNvPicPr>
          <a:picLocks noChangeAspect="1"/>
        </xdr:cNvPicPr>
      </xdr:nvPicPr>
      <xdr:blipFill rotWithShape="1">
        <a:blip xmlns:r="http://schemas.openxmlformats.org/officeDocument/2006/relationships" r:embed="rId19"/>
        <a:srcRect t="26704" b="26065"/>
        <a:stretch/>
      </xdr:blipFill>
      <xdr:spPr>
        <a:xfrm>
          <a:off x="864872" y="54644925"/>
          <a:ext cx="3724338" cy="1998346"/>
        </a:xfrm>
        <a:prstGeom prst="rect">
          <a:avLst/>
        </a:prstGeom>
      </xdr:spPr>
    </xdr:pic>
    <xdr:clientData/>
  </xdr:twoCellAnchor>
  <xdr:twoCellAnchor>
    <xdr:from>
      <xdr:col>7</xdr:col>
      <xdr:colOff>39597</xdr:colOff>
      <xdr:row>215</xdr:row>
      <xdr:rowOff>176892</xdr:rowOff>
    </xdr:from>
    <xdr:to>
      <xdr:col>8</xdr:col>
      <xdr:colOff>1020899</xdr:colOff>
      <xdr:row>224</xdr:row>
      <xdr:rowOff>77005</xdr:rowOff>
    </xdr:to>
    <xdr:cxnSp macro="">
      <xdr:nvCxnSpPr>
        <xdr:cNvPr id="56" name="Connecteur droit 55">
          <a:extLst>
            <a:ext uri="{FF2B5EF4-FFF2-40B4-BE49-F238E27FC236}">
              <a16:creationId xmlns:a16="http://schemas.microsoft.com/office/drawing/2014/main" id="{00000000-0008-0000-0400-000038000000}"/>
            </a:ext>
          </a:extLst>
        </xdr:cNvPr>
        <xdr:cNvCxnSpPr>
          <a:stCxn id="38" idx="2"/>
          <a:endCxn id="33" idx="1"/>
        </xdr:cNvCxnSpPr>
      </xdr:nvCxnSpPr>
      <xdr:spPr>
        <a:xfrm>
          <a:off x="2916147" y="53522607"/>
          <a:ext cx="2084297" cy="1751773"/>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350521</xdr:colOff>
      <xdr:row>225</xdr:row>
      <xdr:rowOff>19051</xdr:rowOff>
    </xdr:from>
    <xdr:to>
      <xdr:col>10</xdr:col>
      <xdr:colOff>76200</xdr:colOff>
      <xdr:row>226</xdr:row>
      <xdr:rowOff>160021</xdr:rowOff>
    </xdr:to>
    <xdr:sp macro="" textlink="">
      <xdr:nvSpPr>
        <xdr:cNvPr id="57" name="Ellipse 56">
          <a:extLst>
            <a:ext uri="{FF2B5EF4-FFF2-40B4-BE49-F238E27FC236}">
              <a16:creationId xmlns:a16="http://schemas.microsoft.com/office/drawing/2014/main" id="{00000000-0008-0000-0400-000039000000}"/>
            </a:ext>
          </a:extLst>
        </xdr:cNvPr>
        <xdr:cNvSpPr/>
      </xdr:nvSpPr>
      <xdr:spPr>
        <a:xfrm>
          <a:off x="5534026" y="55425976"/>
          <a:ext cx="990599" cy="352425"/>
        </a:xfrm>
        <a:prstGeom prst="ellipse">
          <a:avLst/>
        </a:prstGeom>
        <a:noFill/>
        <a:ln w="190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8</xdr:col>
      <xdr:colOff>495300</xdr:colOff>
      <xdr:row>225</xdr:row>
      <xdr:rowOff>180975</xdr:rowOff>
    </xdr:from>
    <xdr:to>
      <xdr:col>9</xdr:col>
      <xdr:colOff>352426</xdr:colOff>
      <xdr:row>225</xdr:row>
      <xdr:rowOff>195264</xdr:rowOff>
    </xdr:to>
    <xdr:cxnSp macro="">
      <xdr:nvCxnSpPr>
        <xdr:cNvPr id="58" name="Connecteur droit avec flèche 57">
          <a:extLst>
            <a:ext uri="{FF2B5EF4-FFF2-40B4-BE49-F238E27FC236}">
              <a16:creationId xmlns:a16="http://schemas.microsoft.com/office/drawing/2014/main" id="{00000000-0008-0000-0400-00003A000000}"/>
            </a:ext>
          </a:extLst>
        </xdr:cNvPr>
        <xdr:cNvCxnSpPr>
          <a:stCxn id="57" idx="2"/>
        </xdr:cNvCxnSpPr>
      </xdr:nvCxnSpPr>
      <xdr:spPr>
        <a:xfrm flipH="1" flipV="1">
          <a:off x="4476750" y="55585995"/>
          <a:ext cx="1055371" cy="12384"/>
        </a:xfrm>
        <a:prstGeom prst="straightConnector1">
          <a:avLst/>
        </a:prstGeom>
        <a:ln w="190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142875</xdr:colOff>
      <xdr:row>225</xdr:row>
      <xdr:rowOff>179071</xdr:rowOff>
    </xdr:from>
    <xdr:to>
      <xdr:col>8</xdr:col>
      <xdr:colOff>419100</xdr:colOff>
      <xdr:row>225</xdr:row>
      <xdr:rowOff>179071</xdr:rowOff>
    </xdr:to>
    <xdr:cxnSp macro="">
      <xdr:nvCxnSpPr>
        <xdr:cNvPr id="59" name="Connecteur droit avec flèche 58">
          <a:extLst>
            <a:ext uri="{FF2B5EF4-FFF2-40B4-BE49-F238E27FC236}">
              <a16:creationId xmlns:a16="http://schemas.microsoft.com/office/drawing/2014/main" id="{00000000-0008-0000-0400-00003B000000}"/>
            </a:ext>
          </a:extLst>
        </xdr:cNvPr>
        <xdr:cNvCxnSpPr/>
      </xdr:nvCxnSpPr>
      <xdr:spPr>
        <a:xfrm flipV="1">
          <a:off x="4122420" y="55587901"/>
          <a:ext cx="278130" cy="0"/>
        </a:xfrm>
        <a:prstGeom prst="straightConnector1">
          <a:avLst/>
        </a:prstGeom>
        <a:ln w="190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188595</xdr:colOff>
      <xdr:row>235</xdr:row>
      <xdr:rowOff>102870</xdr:rowOff>
    </xdr:from>
    <xdr:to>
      <xdr:col>11</xdr:col>
      <xdr:colOff>980296</xdr:colOff>
      <xdr:row>242</xdr:row>
      <xdr:rowOff>200229</xdr:rowOff>
    </xdr:to>
    <xdr:pic>
      <xdr:nvPicPr>
        <xdr:cNvPr id="60" name="Image 59">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20"/>
        <a:stretch>
          <a:fillRect/>
        </a:stretch>
      </xdr:blipFill>
      <xdr:spPr>
        <a:xfrm>
          <a:off x="788670" y="57578625"/>
          <a:ext cx="8070706" cy="1455624"/>
        </a:xfrm>
        <a:prstGeom prst="rect">
          <a:avLst/>
        </a:prstGeom>
      </xdr:spPr>
    </xdr:pic>
    <xdr:clientData/>
  </xdr:twoCellAnchor>
  <xdr:twoCellAnchor>
    <xdr:from>
      <xdr:col>10</xdr:col>
      <xdr:colOff>628650</xdr:colOff>
      <xdr:row>240</xdr:row>
      <xdr:rowOff>66675</xdr:rowOff>
    </xdr:from>
    <xdr:to>
      <xdr:col>10</xdr:col>
      <xdr:colOff>1078229</xdr:colOff>
      <xdr:row>241</xdr:row>
      <xdr:rowOff>133350</xdr:rowOff>
    </xdr:to>
    <xdr:sp macro="" textlink="">
      <xdr:nvSpPr>
        <xdr:cNvPr id="61" name="Ellipse 60">
          <a:extLst>
            <a:ext uri="{FF2B5EF4-FFF2-40B4-BE49-F238E27FC236}">
              <a16:creationId xmlns:a16="http://schemas.microsoft.com/office/drawing/2014/main" id="{00000000-0008-0000-0400-00003D000000}"/>
            </a:ext>
          </a:extLst>
        </xdr:cNvPr>
        <xdr:cNvSpPr/>
      </xdr:nvSpPr>
      <xdr:spPr>
        <a:xfrm>
          <a:off x="7077075" y="58481595"/>
          <a:ext cx="447674" cy="27813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10</xdr:col>
      <xdr:colOff>1066800</xdr:colOff>
      <xdr:row>240</xdr:row>
      <xdr:rowOff>207645</xdr:rowOff>
    </xdr:from>
    <xdr:to>
      <xdr:col>14</xdr:col>
      <xdr:colOff>380999</xdr:colOff>
      <xdr:row>249</xdr:row>
      <xdr:rowOff>169549</xdr:rowOff>
    </xdr:to>
    <xdr:cxnSp macro="">
      <xdr:nvCxnSpPr>
        <xdr:cNvPr id="62" name="Connecteur : en angle 61">
          <a:extLst>
            <a:ext uri="{FF2B5EF4-FFF2-40B4-BE49-F238E27FC236}">
              <a16:creationId xmlns:a16="http://schemas.microsoft.com/office/drawing/2014/main" id="{00000000-0008-0000-0400-00003E000000}"/>
            </a:ext>
          </a:extLst>
        </xdr:cNvPr>
        <xdr:cNvCxnSpPr>
          <a:endCxn id="63" idx="1"/>
        </xdr:cNvCxnSpPr>
      </xdr:nvCxnSpPr>
      <xdr:spPr>
        <a:xfrm>
          <a:off x="7515225" y="58624470"/>
          <a:ext cx="4533899" cy="1847854"/>
        </a:xfrm>
        <a:prstGeom prst="bentConnector2">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59054</xdr:colOff>
      <xdr:row>249</xdr:row>
      <xdr:rowOff>169549</xdr:rowOff>
    </xdr:from>
    <xdr:to>
      <xdr:col>16</xdr:col>
      <xdr:colOff>752475</xdr:colOff>
      <xdr:row>252</xdr:row>
      <xdr:rowOff>17150</xdr:rowOff>
    </xdr:to>
    <xdr:sp macro="" textlink="">
      <xdr:nvSpPr>
        <xdr:cNvPr id="63" name="Accolade ouvrante 62">
          <a:extLst>
            <a:ext uri="{FF2B5EF4-FFF2-40B4-BE49-F238E27FC236}">
              <a16:creationId xmlns:a16="http://schemas.microsoft.com/office/drawing/2014/main" id="{00000000-0008-0000-0400-00003F000000}"/>
            </a:ext>
          </a:extLst>
        </xdr:cNvPr>
        <xdr:cNvSpPr/>
      </xdr:nvSpPr>
      <xdr:spPr>
        <a:xfrm rot="5400000">
          <a:off x="11825287" y="59126441"/>
          <a:ext cx="447676" cy="3139441"/>
        </a:xfrm>
        <a:prstGeom prst="leftBrace">
          <a:avLst>
            <a:gd name="adj1" fmla="val 0"/>
            <a:gd name="adj2" fmla="val 50000"/>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CA" sz="1100"/>
        </a:p>
      </xdr:txBody>
    </xdr:sp>
    <xdr:clientData/>
  </xdr:twoCellAnchor>
  <xdr:twoCellAnchor>
    <xdr:from>
      <xdr:col>6</xdr:col>
      <xdr:colOff>941070</xdr:colOff>
      <xdr:row>241</xdr:row>
      <xdr:rowOff>102870</xdr:rowOff>
    </xdr:from>
    <xdr:to>
      <xdr:col>7</xdr:col>
      <xdr:colOff>314324</xdr:colOff>
      <xdr:row>243</xdr:row>
      <xdr:rowOff>38100</xdr:rowOff>
    </xdr:to>
    <xdr:sp macro="" textlink="">
      <xdr:nvSpPr>
        <xdr:cNvPr id="64" name="Ellipse 63">
          <a:extLst>
            <a:ext uri="{FF2B5EF4-FFF2-40B4-BE49-F238E27FC236}">
              <a16:creationId xmlns:a16="http://schemas.microsoft.com/office/drawing/2014/main" id="{00000000-0008-0000-0400-000040000000}"/>
            </a:ext>
          </a:extLst>
        </xdr:cNvPr>
        <xdr:cNvSpPr/>
      </xdr:nvSpPr>
      <xdr:spPr>
        <a:xfrm>
          <a:off x="2790825" y="58731150"/>
          <a:ext cx="401954" cy="352425"/>
        </a:xfrm>
        <a:prstGeom prst="ellipse">
          <a:avLst/>
        </a:prstGeom>
        <a:noFill/>
        <a:ln w="1905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rgbClr val="FF0000"/>
            </a:solidFill>
          </a:endParaRPr>
        </a:p>
      </xdr:txBody>
    </xdr:sp>
    <xdr:clientData/>
  </xdr:twoCellAnchor>
  <xdr:twoCellAnchor>
    <xdr:from>
      <xdr:col>7</xdr:col>
      <xdr:colOff>115253</xdr:colOff>
      <xdr:row>243</xdr:row>
      <xdr:rowOff>38099</xdr:rowOff>
    </xdr:from>
    <xdr:to>
      <xdr:col>13</xdr:col>
      <xdr:colOff>361952</xdr:colOff>
      <xdr:row>254</xdr:row>
      <xdr:rowOff>114087</xdr:rowOff>
    </xdr:to>
    <xdr:cxnSp macro="">
      <xdr:nvCxnSpPr>
        <xdr:cNvPr id="65" name="Connecteur : en angle 64">
          <a:extLst>
            <a:ext uri="{FF2B5EF4-FFF2-40B4-BE49-F238E27FC236}">
              <a16:creationId xmlns:a16="http://schemas.microsoft.com/office/drawing/2014/main" id="{00000000-0008-0000-0400-000041000000}"/>
            </a:ext>
          </a:extLst>
        </xdr:cNvPr>
        <xdr:cNvCxnSpPr>
          <a:stCxn id="64" idx="4"/>
          <a:endCxn id="36" idx="1"/>
        </xdr:cNvCxnSpPr>
      </xdr:nvCxnSpPr>
      <xdr:spPr>
        <a:xfrm rot="16200000" flipH="1">
          <a:off x="5720346" y="56355031"/>
          <a:ext cx="2333413" cy="7790499"/>
        </a:xfrm>
        <a:prstGeom prst="bentConnector2">
          <a:avLst/>
        </a:prstGeom>
        <a:ln w="1905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361950</xdr:colOff>
      <xdr:row>253</xdr:row>
      <xdr:rowOff>9525</xdr:rowOff>
    </xdr:from>
    <xdr:to>
      <xdr:col>13</xdr:col>
      <xdr:colOff>361951</xdr:colOff>
      <xdr:row>254</xdr:row>
      <xdr:rowOff>125518</xdr:rowOff>
    </xdr:to>
    <xdr:cxnSp macro="">
      <xdr:nvCxnSpPr>
        <xdr:cNvPr id="66" name="Connecteur droit avec flèche 65">
          <a:extLst>
            <a:ext uri="{FF2B5EF4-FFF2-40B4-BE49-F238E27FC236}">
              <a16:creationId xmlns:a16="http://schemas.microsoft.com/office/drawing/2014/main" id="{00000000-0008-0000-0400-000042000000}"/>
            </a:ext>
          </a:extLst>
        </xdr:cNvPr>
        <xdr:cNvCxnSpPr/>
      </xdr:nvCxnSpPr>
      <xdr:spPr>
        <a:xfrm flipH="1" flipV="1">
          <a:off x="10782300" y="61110495"/>
          <a:ext cx="1" cy="316018"/>
        </a:xfrm>
        <a:prstGeom prst="straightConnector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360046</xdr:colOff>
      <xdr:row>251</xdr:row>
      <xdr:rowOff>95250</xdr:rowOff>
    </xdr:from>
    <xdr:to>
      <xdr:col>13</xdr:col>
      <xdr:colOff>361950</xdr:colOff>
      <xdr:row>252</xdr:row>
      <xdr:rowOff>102870</xdr:rowOff>
    </xdr:to>
    <xdr:cxnSp macro="">
      <xdr:nvCxnSpPr>
        <xdr:cNvPr id="67" name="Connecteur droit avec flèche 66">
          <a:extLst>
            <a:ext uri="{FF2B5EF4-FFF2-40B4-BE49-F238E27FC236}">
              <a16:creationId xmlns:a16="http://schemas.microsoft.com/office/drawing/2014/main" id="{00000000-0008-0000-0400-000043000000}"/>
            </a:ext>
          </a:extLst>
        </xdr:cNvPr>
        <xdr:cNvCxnSpPr/>
      </xdr:nvCxnSpPr>
      <xdr:spPr>
        <a:xfrm flipH="1">
          <a:off x="10780396" y="60798075"/>
          <a:ext cx="1904" cy="209550"/>
        </a:xfrm>
        <a:prstGeom prst="straightConnector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238991</xdr:colOff>
      <xdr:row>0</xdr:row>
      <xdr:rowOff>2598</xdr:rowOff>
    </xdr:from>
    <xdr:to>
      <xdr:col>18</xdr:col>
      <xdr:colOff>103899</xdr:colOff>
      <xdr:row>4</xdr:row>
      <xdr:rowOff>28061</xdr:rowOff>
    </xdr:to>
    <xdr:pic>
      <xdr:nvPicPr>
        <xdr:cNvPr id="2" name="Imag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8001866" y="2598"/>
          <a:ext cx="2265208" cy="74936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14</xdr:col>
      <xdr:colOff>72390</xdr:colOff>
      <xdr:row>7</xdr:row>
      <xdr:rowOff>219075</xdr:rowOff>
    </xdr:from>
    <xdr:ext cx="4630577" cy="7833111"/>
    <xdr:pic>
      <xdr:nvPicPr>
        <xdr:cNvPr id="2" name="Imag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1060430" y="1461135"/>
          <a:ext cx="4630577" cy="7833111"/>
        </a:xfrm>
        <a:prstGeom prst="rect">
          <a:avLst/>
        </a:prstGeom>
      </xdr:spPr>
    </xdr:pic>
    <xdr:clientData/>
  </xdr:oneCellAnchor>
  <xdr:oneCellAnchor>
    <xdr:from>
      <xdr:col>14</xdr:col>
      <xdr:colOff>58239</xdr:colOff>
      <xdr:row>45</xdr:row>
      <xdr:rowOff>96884</xdr:rowOff>
    </xdr:from>
    <xdr:ext cx="4619673" cy="1956161"/>
    <xdr:pic>
      <xdr:nvPicPr>
        <xdr:cNvPr id="3" name="Imag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1046279" y="8326484"/>
          <a:ext cx="4619673" cy="1956161"/>
        </a:xfrm>
        <a:prstGeom prst="rect">
          <a:avLst/>
        </a:prstGeom>
      </xdr:spPr>
    </xdr:pic>
    <xdr:clientData/>
  </xdr:oneCellAnchor>
  <xdr:twoCellAnchor>
    <xdr:from>
      <xdr:col>21</xdr:col>
      <xdr:colOff>0</xdr:colOff>
      <xdr:row>4</xdr:row>
      <xdr:rowOff>106952</xdr:rowOff>
    </xdr:from>
    <xdr:to>
      <xdr:col>23</xdr:col>
      <xdr:colOff>320313</xdr:colOff>
      <xdr:row>8</xdr:row>
      <xdr:rowOff>122465</xdr:rowOff>
    </xdr:to>
    <xdr:sp macro="" textlink="">
      <xdr:nvSpPr>
        <xdr:cNvPr id="4" name="ZoneTexte 3">
          <a:extLst>
            <a:ext uri="{FF2B5EF4-FFF2-40B4-BE49-F238E27FC236}">
              <a16:creationId xmlns:a16="http://schemas.microsoft.com/office/drawing/2014/main" id="{00000000-0008-0000-0F00-000004000000}"/>
            </a:ext>
          </a:extLst>
        </xdr:cNvPr>
        <xdr:cNvSpPr txBox="1"/>
      </xdr:nvSpPr>
      <xdr:spPr>
        <a:xfrm>
          <a:off x="16482060" y="838472"/>
          <a:ext cx="1890033" cy="74703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u="sng"/>
            <a:t>TSR Réflectivité</a:t>
          </a:r>
          <a:r>
            <a:rPr lang="fr-CA" sz="1100" u="none" baseline="0"/>
            <a:t> est la propriété d'un matériau à réfléchir l'énergie solaire. Sur une échelle de 0 à 1, 1 étant le plus réfléchissant.</a:t>
          </a:r>
          <a:endParaRPr lang="fr-CA" sz="1100"/>
        </a:p>
      </xdr:txBody>
    </xdr:sp>
    <xdr:clientData/>
  </xdr:twoCellAnchor>
  <xdr:twoCellAnchor>
    <xdr:from>
      <xdr:col>21</xdr:col>
      <xdr:colOff>13607</xdr:colOff>
      <xdr:row>8</xdr:row>
      <xdr:rowOff>217715</xdr:rowOff>
    </xdr:from>
    <xdr:to>
      <xdr:col>23</xdr:col>
      <xdr:colOff>605247</xdr:colOff>
      <xdr:row>13</xdr:row>
      <xdr:rowOff>142058</xdr:rowOff>
    </xdr:to>
    <xdr:sp macro="" textlink="">
      <xdr:nvSpPr>
        <xdr:cNvPr id="5" name="ZoneTexte 4">
          <a:extLst>
            <a:ext uri="{FF2B5EF4-FFF2-40B4-BE49-F238E27FC236}">
              <a16:creationId xmlns:a16="http://schemas.microsoft.com/office/drawing/2014/main" id="{00000000-0008-0000-0F00-000005000000}"/>
            </a:ext>
          </a:extLst>
        </xdr:cNvPr>
        <xdr:cNvSpPr txBox="1"/>
      </xdr:nvSpPr>
      <xdr:spPr>
        <a:xfrm>
          <a:off x="16495667" y="1642655"/>
          <a:ext cx="2161360" cy="87684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u="sng"/>
            <a:t>SRI</a:t>
          </a:r>
          <a:r>
            <a:rPr lang="fr-CA" sz="1100" u="sng" baseline="0"/>
            <a:t> Index de r</a:t>
          </a:r>
          <a:r>
            <a:rPr lang="fr-CA" sz="1100" u="sng"/>
            <a:t>éflectivité</a:t>
          </a:r>
          <a:r>
            <a:rPr lang="fr-CA" sz="1100" u="none" baseline="0"/>
            <a:t> Calculé selon la norme ASTM E1980 utilisant des valeurs de réflectivité et d'émissivité dans des condition de vents moyen. De 0 à 100, 100 étant le plus réfléchissant.</a:t>
          </a:r>
          <a:endParaRPr lang="fr-CA" sz="1100"/>
        </a:p>
      </xdr:txBody>
    </xdr:sp>
    <xdr:clientData/>
  </xdr:twoCellAnchor>
  <xdr:twoCellAnchor>
    <xdr:from>
      <xdr:col>21</xdr:col>
      <xdr:colOff>0</xdr:colOff>
      <xdr:row>16</xdr:row>
      <xdr:rowOff>27215</xdr:rowOff>
    </xdr:from>
    <xdr:to>
      <xdr:col>25</xdr:col>
      <xdr:colOff>396240</xdr:colOff>
      <xdr:row>21</xdr:row>
      <xdr:rowOff>17961</xdr:rowOff>
    </xdr:to>
    <xdr:sp macro="" textlink="">
      <xdr:nvSpPr>
        <xdr:cNvPr id="6" name="ZoneTexte 5">
          <a:extLst>
            <a:ext uri="{FF2B5EF4-FFF2-40B4-BE49-F238E27FC236}">
              <a16:creationId xmlns:a16="http://schemas.microsoft.com/office/drawing/2014/main" id="{00000000-0008-0000-0F00-000006000000}"/>
            </a:ext>
          </a:extLst>
        </xdr:cNvPr>
        <xdr:cNvSpPr txBox="1"/>
      </xdr:nvSpPr>
      <xdr:spPr>
        <a:xfrm>
          <a:off x="16482060" y="2953295"/>
          <a:ext cx="3535680" cy="90514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u="sng"/>
            <a:t>Absorptance</a:t>
          </a:r>
          <a:r>
            <a:rPr lang="fr-CA" sz="1100" baseline="0"/>
            <a:t> of the surface of a material is its effectiveness in absorbing radiant energy. Ratio of the absorbed solar radiation to total of incident radiation. 1 being de most absorbant.</a:t>
          </a:r>
          <a:endParaRPr lang="fr-CA" sz="1100"/>
        </a:p>
      </xdr:txBody>
    </xdr:sp>
    <xdr:clientData/>
  </xdr:twoCellAnchor>
  <xdr:twoCellAnchor>
    <xdr:from>
      <xdr:col>21</xdr:col>
      <xdr:colOff>0</xdr:colOff>
      <xdr:row>23</xdr:row>
      <xdr:rowOff>40822</xdr:rowOff>
    </xdr:from>
    <xdr:to>
      <xdr:col>25</xdr:col>
      <xdr:colOff>419100</xdr:colOff>
      <xdr:row>25</xdr:row>
      <xdr:rowOff>332014</xdr:rowOff>
    </xdr:to>
    <xdr:sp macro="" textlink="">
      <xdr:nvSpPr>
        <xdr:cNvPr id="7" name="ZoneTexte 6">
          <a:extLst>
            <a:ext uri="{FF2B5EF4-FFF2-40B4-BE49-F238E27FC236}">
              <a16:creationId xmlns:a16="http://schemas.microsoft.com/office/drawing/2014/main" id="{00000000-0008-0000-0F00-000007000000}"/>
            </a:ext>
          </a:extLst>
        </xdr:cNvPr>
        <xdr:cNvSpPr txBox="1"/>
      </xdr:nvSpPr>
      <xdr:spPr>
        <a:xfrm>
          <a:off x="16482060" y="4247062"/>
          <a:ext cx="3558540" cy="504552"/>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u="sng"/>
            <a:t>Emissivity</a:t>
          </a:r>
          <a:r>
            <a:rPr lang="fr-CA" sz="1100"/>
            <a:t> is the ratio of the energy radiated from</a:t>
          </a:r>
          <a:r>
            <a:rPr lang="fr-CA" sz="1100" baseline="0"/>
            <a:t> a material's surface to radiated from a perfect emitter with emissivity = 1, where 0 is a perfect reflector of energy.</a:t>
          </a:r>
          <a:endParaRPr lang="fr-CA" sz="1100"/>
        </a:p>
      </xdr:txBody>
    </xdr:sp>
    <xdr:clientData/>
  </xdr:twoCellAnchor>
  <xdr:twoCellAnchor>
    <xdr:from>
      <xdr:col>0</xdr:col>
      <xdr:colOff>789213</xdr:colOff>
      <xdr:row>239</xdr:row>
      <xdr:rowOff>0</xdr:rowOff>
    </xdr:from>
    <xdr:to>
      <xdr:col>9</xdr:col>
      <xdr:colOff>367392</xdr:colOff>
      <xdr:row>269</xdr:row>
      <xdr:rowOff>13607</xdr:rowOff>
    </xdr:to>
    <xdr:graphicFrame macro="">
      <xdr:nvGraphicFramePr>
        <xdr:cNvPr id="8" name="Graphique 7">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27215</xdr:colOff>
      <xdr:row>238</xdr:row>
      <xdr:rowOff>163286</xdr:rowOff>
    </xdr:from>
    <xdr:to>
      <xdr:col>20</xdr:col>
      <xdr:colOff>590919</xdr:colOff>
      <xdr:row>268</xdr:row>
      <xdr:rowOff>176269</xdr:rowOff>
    </xdr:to>
    <xdr:graphicFrame macro="">
      <xdr:nvGraphicFramePr>
        <xdr:cNvPr id="9" name="Graphique 8">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239</xdr:row>
      <xdr:rowOff>0</xdr:rowOff>
    </xdr:from>
    <xdr:to>
      <xdr:col>32</xdr:col>
      <xdr:colOff>81643</xdr:colOff>
      <xdr:row>269</xdr:row>
      <xdr:rowOff>68035</xdr:rowOff>
    </xdr:to>
    <xdr:graphicFrame macro="">
      <xdr:nvGraphicFramePr>
        <xdr:cNvPr id="10" name="Graphique 9">
          <a:extLst>
            <a:ext uri="{FF2B5EF4-FFF2-40B4-BE49-F238E27FC236}">
              <a16:creationId xmlns:a16="http://schemas.microsoft.com/office/drawing/2014/main" id="{00000000-0008-0000-0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0</xdr:colOff>
      <xdr:row>239</xdr:row>
      <xdr:rowOff>1</xdr:rowOff>
    </xdr:from>
    <xdr:to>
      <xdr:col>43</xdr:col>
      <xdr:colOff>503464</xdr:colOff>
      <xdr:row>269</xdr:row>
      <xdr:rowOff>27215</xdr:rowOff>
    </xdr:to>
    <xdr:graphicFrame macro="">
      <xdr:nvGraphicFramePr>
        <xdr:cNvPr id="11" name="Graphique 10">
          <a:extLst>
            <a:ext uri="{FF2B5EF4-FFF2-40B4-BE49-F238E27FC236}">
              <a16:creationId xmlns:a16="http://schemas.microsoft.com/office/drawing/2014/main" id="{00000000-0008-0000-0F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311</xdr:row>
      <xdr:rowOff>0</xdr:rowOff>
    </xdr:from>
    <xdr:to>
      <xdr:col>9</xdr:col>
      <xdr:colOff>383066</xdr:colOff>
      <xdr:row>347</xdr:row>
      <xdr:rowOff>127047</xdr:rowOff>
    </xdr:to>
    <xdr:graphicFrame macro="">
      <xdr:nvGraphicFramePr>
        <xdr:cNvPr id="12" name="Graphique 11">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0</xdr:colOff>
      <xdr:row>311</xdr:row>
      <xdr:rowOff>0</xdr:rowOff>
    </xdr:from>
    <xdr:to>
      <xdr:col>21</xdr:col>
      <xdr:colOff>639535</xdr:colOff>
      <xdr:row>347</xdr:row>
      <xdr:rowOff>163286</xdr:rowOff>
    </xdr:to>
    <xdr:graphicFrame macro="">
      <xdr:nvGraphicFramePr>
        <xdr:cNvPr id="13" name="Graphique 12">
          <a:extLst>
            <a:ext uri="{FF2B5EF4-FFF2-40B4-BE49-F238E27FC236}">
              <a16:creationId xmlns:a16="http://schemas.microsoft.com/office/drawing/2014/main" id="{00000000-0008-0000-0F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789213</xdr:colOff>
      <xdr:row>311</xdr:row>
      <xdr:rowOff>0</xdr:rowOff>
    </xdr:from>
    <xdr:to>
      <xdr:col>34</xdr:col>
      <xdr:colOff>707571</xdr:colOff>
      <xdr:row>347</xdr:row>
      <xdr:rowOff>108857</xdr:rowOff>
    </xdr:to>
    <xdr:graphicFrame macro="">
      <xdr:nvGraphicFramePr>
        <xdr:cNvPr id="14" name="Graphique 13">
          <a:extLst>
            <a:ext uri="{FF2B5EF4-FFF2-40B4-BE49-F238E27FC236}">
              <a16:creationId xmlns:a16="http://schemas.microsoft.com/office/drawing/2014/main" id="{00000000-0008-0000-0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35</xdr:col>
      <xdr:colOff>693964</xdr:colOff>
      <xdr:row>310</xdr:row>
      <xdr:rowOff>122466</xdr:rowOff>
    </xdr:from>
    <xdr:to>
      <xdr:col>47</xdr:col>
      <xdr:colOff>322761</xdr:colOff>
      <xdr:row>347</xdr:row>
      <xdr:rowOff>25310</xdr:rowOff>
    </xdr:to>
    <xdr:graphicFrame macro="">
      <xdr:nvGraphicFramePr>
        <xdr:cNvPr id="15" name="Graphique 14">
          <a:extLst>
            <a:ext uri="{FF2B5EF4-FFF2-40B4-BE49-F238E27FC236}">
              <a16:creationId xmlns:a16="http://schemas.microsoft.com/office/drawing/2014/main" id="{00000000-0008-0000-0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31750</xdr:colOff>
      <xdr:row>157</xdr:row>
      <xdr:rowOff>130807</xdr:rowOff>
    </xdr:from>
    <xdr:to>
      <xdr:col>13</xdr:col>
      <xdr:colOff>60536</xdr:colOff>
      <xdr:row>201</xdr:row>
      <xdr:rowOff>86571</xdr:rowOff>
    </xdr:to>
    <xdr:graphicFrame macro="">
      <xdr:nvGraphicFramePr>
        <xdr:cNvPr id="16" name="Graphique 15">
          <a:extLst>
            <a:ext uri="{FF2B5EF4-FFF2-40B4-BE49-F238E27FC236}">
              <a16:creationId xmlns:a16="http://schemas.microsoft.com/office/drawing/2014/main" id="{00000000-0008-0000-0F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392</xdr:row>
      <xdr:rowOff>0</xdr:rowOff>
    </xdr:from>
    <xdr:to>
      <xdr:col>9</xdr:col>
      <xdr:colOff>383066</xdr:colOff>
      <xdr:row>428</xdr:row>
      <xdr:rowOff>134667</xdr:rowOff>
    </xdr:to>
    <xdr:graphicFrame macro="">
      <xdr:nvGraphicFramePr>
        <xdr:cNvPr id="17" name="Graphique 16">
          <a:extLst>
            <a:ext uri="{FF2B5EF4-FFF2-40B4-BE49-F238E27FC236}">
              <a16:creationId xmlns:a16="http://schemas.microsoft.com/office/drawing/2014/main" id="{00000000-0008-0000-0F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370417</xdr:colOff>
      <xdr:row>392</xdr:row>
      <xdr:rowOff>21166</xdr:rowOff>
    </xdr:from>
    <xdr:to>
      <xdr:col>21</xdr:col>
      <xdr:colOff>520650</xdr:colOff>
      <xdr:row>428</xdr:row>
      <xdr:rowOff>152023</xdr:rowOff>
    </xdr:to>
    <xdr:graphicFrame macro="">
      <xdr:nvGraphicFramePr>
        <xdr:cNvPr id="18" name="Graphique 17">
          <a:extLst>
            <a:ext uri="{FF2B5EF4-FFF2-40B4-BE49-F238E27FC236}">
              <a16:creationId xmlns:a16="http://schemas.microsoft.com/office/drawing/2014/main" id="{00000000-0008-0000-0F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571500</xdr:colOff>
      <xdr:row>392</xdr:row>
      <xdr:rowOff>31750</xdr:rowOff>
    </xdr:from>
    <xdr:to>
      <xdr:col>33</xdr:col>
      <xdr:colOff>721733</xdr:colOff>
      <xdr:row>428</xdr:row>
      <xdr:rowOff>166417</xdr:rowOff>
    </xdr:to>
    <xdr:graphicFrame macro="">
      <xdr:nvGraphicFramePr>
        <xdr:cNvPr id="19" name="Graphique 18">
          <a:extLst>
            <a:ext uri="{FF2B5EF4-FFF2-40B4-BE49-F238E27FC236}">
              <a16:creationId xmlns:a16="http://schemas.microsoft.com/office/drawing/2014/main" id="{00000000-0008-0000-0F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35</xdr:col>
      <xdr:colOff>0</xdr:colOff>
      <xdr:row>392</xdr:row>
      <xdr:rowOff>0</xdr:rowOff>
    </xdr:from>
    <xdr:to>
      <xdr:col>46</xdr:col>
      <xdr:colOff>150233</xdr:colOff>
      <xdr:row>428</xdr:row>
      <xdr:rowOff>140382</xdr:rowOff>
    </xdr:to>
    <xdr:graphicFrame macro="">
      <xdr:nvGraphicFramePr>
        <xdr:cNvPr id="20" name="Graphique 19">
          <a:extLst>
            <a:ext uri="{FF2B5EF4-FFF2-40B4-BE49-F238E27FC236}">
              <a16:creationId xmlns:a16="http://schemas.microsoft.com/office/drawing/2014/main" id="{00000000-0008-0000-0F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14</xdr:col>
      <xdr:colOff>72390</xdr:colOff>
      <xdr:row>7</xdr:row>
      <xdr:rowOff>219075</xdr:rowOff>
    </xdr:from>
    <xdr:ext cx="4630577" cy="7833111"/>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3209270" y="1697355"/>
          <a:ext cx="4630577" cy="7833111"/>
        </a:xfrm>
        <a:prstGeom prst="rect">
          <a:avLst/>
        </a:prstGeom>
      </xdr:spPr>
    </xdr:pic>
    <xdr:clientData/>
  </xdr:oneCellAnchor>
  <xdr:oneCellAnchor>
    <xdr:from>
      <xdr:col>14</xdr:col>
      <xdr:colOff>58239</xdr:colOff>
      <xdr:row>45</xdr:row>
      <xdr:rowOff>96884</xdr:rowOff>
    </xdr:from>
    <xdr:ext cx="4619673" cy="1956161"/>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a:stretch>
          <a:fillRect/>
        </a:stretch>
      </xdr:blipFill>
      <xdr:spPr>
        <a:xfrm>
          <a:off x="13195119" y="9446624"/>
          <a:ext cx="4619673" cy="1956161"/>
        </a:xfrm>
        <a:prstGeom prst="rect">
          <a:avLst/>
        </a:prstGeom>
      </xdr:spPr>
    </xdr:pic>
    <xdr:clientData/>
  </xdr:oneCellAnchor>
  <xdr:twoCellAnchor>
    <xdr:from>
      <xdr:col>21</xdr:col>
      <xdr:colOff>0</xdr:colOff>
      <xdr:row>4</xdr:row>
      <xdr:rowOff>106952</xdr:rowOff>
    </xdr:from>
    <xdr:to>
      <xdr:col>23</xdr:col>
      <xdr:colOff>320313</xdr:colOff>
      <xdr:row>8</xdr:row>
      <xdr:rowOff>122465</xdr:rowOff>
    </xdr:to>
    <xdr:sp macro="" textlink="">
      <xdr:nvSpPr>
        <xdr:cNvPr id="4" name="ZoneTexte 3">
          <a:extLst>
            <a:ext uri="{FF2B5EF4-FFF2-40B4-BE49-F238E27FC236}">
              <a16:creationId xmlns:a16="http://schemas.microsoft.com/office/drawing/2014/main" id="{00000000-0008-0000-1000-000004000000}"/>
            </a:ext>
          </a:extLst>
        </xdr:cNvPr>
        <xdr:cNvSpPr txBox="1"/>
      </xdr:nvSpPr>
      <xdr:spPr>
        <a:xfrm>
          <a:off x="18630900" y="1021352"/>
          <a:ext cx="1890033" cy="94515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u="sng"/>
            <a:t>TSR Réflectivité</a:t>
          </a:r>
          <a:r>
            <a:rPr lang="fr-CA" sz="1100" u="none" baseline="0"/>
            <a:t> est la propriété d'un matériau à réfléchir l'énergie solaire. Sur une échelle de 0 à 1, 1 étant le plus réfléchissant.</a:t>
          </a:r>
          <a:endParaRPr lang="fr-CA" sz="1100"/>
        </a:p>
      </xdr:txBody>
    </xdr:sp>
    <xdr:clientData/>
  </xdr:twoCellAnchor>
  <xdr:twoCellAnchor>
    <xdr:from>
      <xdr:col>21</xdr:col>
      <xdr:colOff>13607</xdr:colOff>
      <xdr:row>8</xdr:row>
      <xdr:rowOff>217715</xdr:rowOff>
    </xdr:from>
    <xdr:to>
      <xdr:col>23</xdr:col>
      <xdr:colOff>605247</xdr:colOff>
      <xdr:row>13</xdr:row>
      <xdr:rowOff>142058</xdr:rowOff>
    </xdr:to>
    <xdr:sp macro="" textlink="">
      <xdr:nvSpPr>
        <xdr:cNvPr id="5" name="ZoneTexte 4">
          <a:extLst>
            <a:ext uri="{FF2B5EF4-FFF2-40B4-BE49-F238E27FC236}">
              <a16:creationId xmlns:a16="http://schemas.microsoft.com/office/drawing/2014/main" id="{00000000-0008-0000-1000-000005000000}"/>
            </a:ext>
          </a:extLst>
        </xdr:cNvPr>
        <xdr:cNvSpPr txBox="1"/>
      </xdr:nvSpPr>
      <xdr:spPr>
        <a:xfrm>
          <a:off x="18644507" y="2061755"/>
          <a:ext cx="2161360" cy="120450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u="sng"/>
            <a:t>SRI</a:t>
          </a:r>
          <a:r>
            <a:rPr lang="fr-CA" sz="1100" u="sng" baseline="0"/>
            <a:t> Index de r</a:t>
          </a:r>
          <a:r>
            <a:rPr lang="fr-CA" sz="1100" u="sng"/>
            <a:t>éflectivité</a:t>
          </a:r>
          <a:r>
            <a:rPr lang="fr-CA" sz="1100" u="none" baseline="0"/>
            <a:t> Calculé selon la norme ASTM E1980 utilisant des valeurs de réflectivité et d'émissivité dans des condition de vents moyen. De 0 à 100, 100 étant le plus réfléchissant.</a:t>
          </a:r>
          <a:endParaRPr lang="fr-CA" sz="1100"/>
        </a:p>
      </xdr:txBody>
    </xdr:sp>
    <xdr:clientData/>
  </xdr:twoCellAnchor>
  <xdr:twoCellAnchor>
    <xdr:from>
      <xdr:col>21</xdr:col>
      <xdr:colOff>0</xdr:colOff>
      <xdr:row>16</xdr:row>
      <xdr:rowOff>27215</xdr:rowOff>
    </xdr:from>
    <xdr:to>
      <xdr:col>25</xdr:col>
      <xdr:colOff>396240</xdr:colOff>
      <xdr:row>21</xdr:row>
      <xdr:rowOff>17961</xdr:rowOff>
    </xdr:to>
    <xdr:sp macro="" textlink="">
      <xdr:nvSpPr>
        <xdr:cNvPr id="6" name="ZoneTexte 5">
          <a:extLst>
            <a:ext uri="{FF2B5EF4-FFF2-40B4-BE49-F238E27FC236}">
              <a16:creationId xmlns:a16="http://schemas.microsoft.com/office/drawing/2014/main" id="{00000000-0008-0000-1000-000006000000}"/>
            </a:ext>
          </a:extLst>
        </xdr:cNvPr>
        <xdr:cNvSpPr txBox="1"/>
      </xdr:nvSpPr>
      <xdr:spPr>
        <a:xfrm>
          <a:off x="18630900" y="3700055"/>
          <a:ext cx="3535680" cy="90514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u="sng"/>
            <a:t>Absorptance</a:t>
          </a:r>
          <a:r>
            <a:rPr lang="fr-CA" sz="1100" baseline="0"/>
            <a:t> of the surface of a material is its effectiveness in absorbing radiant energy. Ratio of the absorbed solar radiation to total of incident radiation. 1 being de most absorbant.</a:t>
          </a:r>
          <a:endParaRPr lang="fr-CA" sz="1100"/>
        </a:p>
      </xdr:txBody>
    </xdr:sp>
    <xdr:clientData/>
  </xdr:twoCellAnchor>
  <xdr:twoCellAnchor>
    <xdr:from>
      <xdr:col>21</xdr:col>
      <xdr:colOff>0</xdr:colOff>
      <xdr:row>23</xdr:row>
      <xdr:rowOff>40822</xdr:rowOff>
    </xdr:from>
    <xdr:to>
      <xdr:col>25</xdr:col>
      <xdr:colOff>419100</xdr:colOff>
      <xdr:row>25</xdr:row>
      <xdr:rowOff>332014</xdr:rowOff>
    </xdr:to>
    <xdr:sp macro="" textlink="">
      <xdr:nvSpPr>
        <xdr:cNvPr id="7" name="ZoneTexte 6">
          <a:extLst>
            <a:ext uri="{FF2B5EF4-FFF2-40B4-BE49-F238E27FC236}">
              <a16:creationId xmlns:a16="http://schemas.microsoft.com/office/drawing/2014/main" id="{00000000-0008-0000-1000-000007000000}"/>
            </a:ext>
          </a:extLst>
        </xdr:cNvPr>
        <xdr:cNvSpPr txBox="1"/>
      </xdr:nvSpPr>
      <xdr:spPr>
        <a:xfrm>
          <a:off x="18630900" y="4993822"/>
          <a:ext cx="3558540" cy="504552"/>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u="sng"/>
            <a:t>Emissivity</a:t>
          </a:r>
          <a:r>
            <a:rPr lang="fr-CA" sz="1100"/>
            <a:t> is the ratio of the energy radiated from</a:t>
          </a:r>
          <a:r>
            <a:rPr lang="fr-CA" sz="1100" baseline="0"/>
            <a:t> a material's surface to radiated from a perfect emitter with emissivity = 1, where 0 is a perfect reflector of energy.</a:t>
          </a:r>
          <a:endParaRPr lang="fr-CA" sz="1100"/>
        </a:p>
      </xdr:txBody>
    </xdr:sp>
    <xdr:clientData/>
  </xdr:twoCellAnchor>
  <xdr:twoCellAnchor>
    <xdr:from>
      <xdr:col>0</xdr:col>
      <xdr:colOff>789213</xdr:colOff>
      <xdr:row>188</xdr:row>
      <xdr:rowOff>0</xdr:rowOff>
    </xdr:from>
    <xdr:to>
      <xdr:col>9</xdr:col>
      <xdr:colOff>367392</xdr:colOff>
      <xdr:row>218</xdr:row>
      <xdr:rowOff>13607</xdr:rowOff>
    </xdr:to>
    <xdr:graphicFrame macro="">
      <xdr:nvGraphicFramePr>
        <xdr:cNvPr id="8" name="Graphique 7">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27215</xdr:colOff>
      <xdr:row>187</xdr:row>
      <xdr:rowOff>163286</xdr:rowOff>
    </xdr:from>
    <xdr:to>
      <xdr:col>20</xdr:col>
      <xdr:colOff>590919</xdr:colOff>
      <xdr:row>217</xdr:row>
      <xdr:rowOff>176269</xdr:rowOff>
    </xdr:to>
    <xdr:graphicFrame macro="">
      <xdr:nvGraphicFramePr>
        <xdr:cNvPr id="9" name="Graphique 8">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188</xdr:row>
      <xdr:rowOff>0</xdr:rowOff>
    </xdr:from>
    <xdr:to>
      <xdr:col>32</xdr:col>
      <xdr:colOff>81643</xdr:colOff>
      <xdr:row>218</xdr:row>
      <xdr:rowOff>68035</xdr:rowOff>
    </xdr:to>
    <xdr:graphicFrame macro="">
      <xdr:nvGraphicFramePr>
        <xdr:cNvPr id="10" name="Graphique 9">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0</xdr:colOff>
      <xdr:row>188</xdr:row>
      <xdr:rowOff>1</xdr:rowOff>
    </xdr:from>
    <xdr:to>
      <xdr:col>43</xdr:col>
      <xdr:colOff>503464</xdr:colOff>
      <xdr:row>218</xdr:row>
      <xdr:rowOff>27215</xdr:rowOff>
    </xdr:to>
    <xdr:graphicFrame macro="">
      <xdr:nvGraphicFramePr>
        <xdr:cNvPr id="11" name="Graphique 10">
          <a:extLst>
            <a:ext uri="{FF2B5EF4-FFF2-40B4-BE49-F238E27FC236}">
              <a16:creationId xmlns:a16="http://schemas.microsoft.com/office/drawing/2014/main" id="{00000000-0008-0000-1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260</xdr:row>
      <xdr:rowOff>0</xdr:rowOff>
    </xdr:from>
    <xdr:to>
      <xdr:col>9</xdr:col>
      <xdr:colOff>383066</xdr:colOff>
      <xdr:row>296</xdr:row>
      <xdr:rowOff>127047</xdr:rowOff>
    </xdr:to>
    <xdr:graphicFrame macro="">
      <xdr:nvGraphicFramePr>
        <xdr:cNvPr id="12" name="Graphique 11">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0</xdr:colOff>
      <xdr:row>260</xdr:row>
      <xdr:rowOff>0</xdr:rowOff>
    </xdr:from>
    <xdr:to>
      <xdr:col>21</xdr:col>
      <xdr:colOff>639535</xdr:colOff>
      <xdr:row>296</xdr:row>
      <xdr:rowOff>163286</xdr:rowOff>
    </xdr:to>
    <xdr:graphicFrame macro="">
      <xdr:nvGraphicFramePr>
        <xdr:cNvPr id="13" name="Graphique 12">
          <a:extLst>
            <a:ext uri="{FF2B5EF4-FFF2-40B4-BE49-F238E27FC236}">
              <a16:creationId xmlns:a16="http://schemas.microsoft.com/office/drawing/2014/main" id="{00000000-0008-0000-1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789213</xdr:colOff>
      <xdr:row>260</xdr:row>
      <xdr:rowOff>0</xdr:rowOff>
    </xdr:from>
    <xdr:to>
      <xdr:col>34</xdr:col>
      <xdr:colOff>707571</xdr:colOff>
      <xdr:row>296</xdr:row>
      <xdr:rowOff>108857</xdr:rowOff>
    </xdr:to>
    <xdr:graphicFrame macro="">
      <xdr:nvGraphicFramePr>
        <xdr:cNvPr id="14" name="Graphique 13">
          <a:extLst>
            <a:ext uri="{FF2B5EF4-FFF2-40B4-BE49-F238E27FC236}">
              <a16:creationId xmlns:a16="http://schemas.microsoft.com/office/drawing/2014/main" id="{00000000-0008-0000-1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35</xdr:col>
      <xdr:colOff>693964</xdr:colOff>
      <xdr:row>259</xdr:row>
      <xdr:rowOff>122466</xdr:rowOff>
    </xdr:from>
    <xdr:to>
      <xdr:col>47</xdr:col>
      <xdr:colOff>322761</xdr:colOff>
      <xdr:row>296</xdr:row>
      <xdr:rowOff>25310</xdr:rowOff>
    </xdr:to>
    <xdr:graphicFrame macro="">
      <xdr:nvGraphicFramePr>
        <xdr:cNvPr id="15" name="Graphique 14">
          <a:extLst>
            <a:ext uri="{FF2B5EF4-FFF2-40B4-BE49-F238E27FC236}">
              <a16:creationId xmlns:a16="http://schemas.microsoft.com/office/drawing/2014/main" id="{00000000-0008-0000-1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31750</xdr:colOff>
      <xdr:row>106</xdr:row>
      <xdr:rowOff>130807</xdr:rowOff>
    </xdr:from>
    <xdr:to>
      <xdr:col>13</xdr:col>
      <xdr:colOff>60536</xdr:colOff>
      <xdr:row>150</xdr:row>
      <xdr:rowOff>86571</xdr:rowOff>
    </xdr:to>
    <xdr:graphicFrame macro="">
      <xdr:nvGraphicFramePr>
        <xdr:cNvPr id="16" name="Graphique 15">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341</xdr:row>
      <xdr:rowOff>0</xdr:rowOff>
    </xdr:from>
    <xdr:to>
      <xdr:col>9</xdr:col>
      <xdr:colOff>383066</xdr:colOff>
      <xdr:row>377</xdr:row>
      <xdr:rowOff>134667</xdr:rowOff>
    </xdr:to>
    <xdr:graphicFrame macro="">
      <xdr:nvGraphicFramePr>
        <xdr:cNvPr id="17" name="Graphique 16">
          <a:extLst>
            <a:ext uri="{FF2B5EF4-FFF2-40B4-BE49-F238E27FC236}">
              <a16:creationId xmlns:a16="http://schemas.microsoft.com/office/drawing/2014/main" id="{00000000-0008-0000-1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370417</xdr:colOff>
      <xdr:row>341</xdr:row>
      <xdr:rowOff>21166</xdr:rowOff>
    </xdr:from>
    <xdr:to>
      <xdr:col>21</xdr:col>
      <xdr:colOff>520650</xdr:colOff>
      <xdr:row>377</xdr:row>
      <xdr:rowOff>152023</xdr:rowOff>
    </xdr:to>
    <xdr:graphicFrame macro="">
      <xdr:nvGraphicFramePr>
        <xdr:cNvPr id="18" name="Graphique 17">
          <a:extLst>
            <a:ext uri="{FF2B5EF4-FFF2-40B4-BE49-F238E27FC236}">
              <a16:creationId xmlns:a16="http://schemas.microsoft.com/office/drawing/2014/main" id="{00000000-0008-0000-1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571500</xdr:colOff>
      <xdr:row>341</xdr:row>
      <xdr:rowOff>31750</xdr:rowOff>
    </xdr:from>
    <xdr:to>
      <xdr:col>33</xdr:col>
      <xdr:colOff>721733</xdr:colOff>
      <xdr:row>377</xdr:row>
      <xdr:rowOff>166417</xdr:rowOff>
    </xdr:to>
    <xdr:graphicFrame macro="">
      <xdr:nvGraphicFramePr>
        <xdr:cNvPr id="19" name="Graphique 18">
          <a:extLst>
            <a:ext uri="{FF2B5EF4-FFF2-40B4-BE49-F238E27FC236}">
              <a16:creationId xmlns:a16="http://schemas.microsoft.com/office/drawing/2014/main" id="{00000000-0008-0000-1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35</xdr:col>
      <xdr:colOff>0</xdr:colOff>
      <xdr:row>341</xdr:row>
      <xdr:rowOff>0</xdr:rowOff>
    </xdr:from>
    <xdr:to>
      <xdr:col>46</xdr:col>
      <xdr:colOff>150233</xdr:colOff>
      <xdr:row>377</xdr:row>
      <xdr:rowOff>140382</xdr:rowOff>
    </xdr:to>
    <xdr:graphicFrame macro="">
      <xdr:nvGraphicFramePr>
        <xdr:cNvPr id="20" name="Graphique 19">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strebel\OneDrive%20-%20GROUPE%20NORBEC%20INC\Desktop\Guide%20to%20pannel%20length.xlsm" TargetMode="External"/><Relationship Id="rId1" Type="http://schemas.openxmlformats.org/officeDocument/2006/relationships/externalLinkPath" Target="Archives/Guide%20to%20pannel%20lengt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aisie de données"/>
      <sheetName val="Francais10p"/>
      <sheetName val="Francais2p"/>
      <sheetName val="English"/>
      <sheetName val="Synthèse résultat"/>
      <sheetName val="Infos Techniques"/>
      <sheetName val="Brouillon"/>
      <sheetName val="Longueurs suggérées panneaux"/>
      <sheetName val="Listes outil"/>
      <sheetName val="Longueurs suggérées"/>
      <sheetName val="Analyse des données 22ga"/>
      <sheetName val="Analyse des données 26ga"/>
      <sheetName val="Combined Curves"/>
      <sheetName val="Guide longueurs panneaux"/>
      <sheetName val="Galvanized vs. Galvalume"/>
      <sheetName val="Project Monitoring"/>
      <sheetName val="Courbe Déflexion"/>
      <sheetName val="Charges de vent"/>
      <sheetName val="Charges de ventUSA"/>
      <sheetName val="Charges de ventFM"/>
      <sheetName val="Menu déroulant"/>
      <sheetName val="Charges de neige"/>
      <sheetName val="Chart"/>
      <sheetName val="Max. Norex Panel 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24">
          <cell r="S124" t="str">
            <v>Blanc Régal/Regal White</v>
          </cell>
        </row>
        <row r="125">
          <cell r="S125" t="str">
            <v>Blanc Brillant/Bright White</v>
          </cell>
        </row>
        <row r="126">
          <cell r="S126" t="str">
            <v>Electric Yellow</v>
          </cell>
        </row>
        <row r="127">
          <cell r="S127" t="str">
            <v>Blanc Pur/White white</v>
          </cell>
        </row>
        <row r="128">
          <cell r="S128" t="str">
            <v>Sable/Sandstone</v>
          </cell>
        </row>
        <row r="129">
          <cell r="S129" t="str">
            <v>Blanc os/Bone White</v>
          </cell>
        </row>
        <row r="130">
          <cell r="S130" t="str">
            <v>Gris Pierre/Stone Grey</v>
          </cell>
        </row>
        <row r="131">
          <cell r="S131" t="str">
            <v>Argent Brillant/Bright Silver perspectra</v>
          </cell>
        </row>
        <row r="132">
          <cell r="S132" t="str">
            <v>Gris Élément/Element Grey</v>
          </cell>
        </row>
        <row r="133">
          <cell r="S133" t="str">
            <v>Riesling/Riesling</v>
          </cell>
        </row>
        <row r="134">
          <cell r="S134" t="str">
            <v>Vibrant Red</v>
          </cell>
        </row>
        <row r="135">
          <cell r="S135" t="str">
            <v xml:space="preserve">Beige Surrey </v>
          </cell>
        </row>
        <row r="136">
          <cell r="S136" t="str">
            <v>Fauve/Tan</v>
          </cell>
        </row>
        <row r="137">
          <cell r="S137" t="str">
            <v>Pacific Turquoise</v>
          </cell>
        </row>
        <row r="138">
          <cell r="S138" t="str">
            <v>Bleu Ardoise/Slate Blue</v>
          </cell>
        </row>
        <row r="139">
          <cell r="S139" t="str">
            <v>Étain/Pewter perspectra</v>
          </cell>
        </row>
        <row r="140">
          <cell r="S140" t="str">
            <v>Acier Satiné/Satin Steel</v>
          </cell>
        </row>
        <row r="141">
          <cell r="S141" t="str">
            <v>Cuivre/Copper</v>
          </cell>
        </row>
        <row r="142">
          <cell r="S142" t="str">
            <v>Fusain/Charcoal</v>
          </cell>
        </row>
        <row r="143">
          <cell r="S143" t="str">
            <v>Gris Tempête/Storm Grey</v>
          </cell>
        </row>
        <row r="144">
          <cell r="S144" t="str">
            <v>Gris Régent/Regent Gray</v>
          </cell>
        </row>
        <row r="145">
          <cell r="S145" t="str">
            <v>Bleu royal/Royal Blue</v>
          </cell>
        </row>
        <row r="146">
          <cell r="S146" t="str">
            <v>Gris Rigel /Grey Rigel</v>
          </cell>
        </row>
        <row r="147">
          <cell r="S147" t="str">
            <v>Bleu Héron/Heron Blue</v>
          </cell>
        </row>
        <row r="148">
          <cell r="S148" t="str">
            <v>Rouge Colonial/Colonial Red</v>
          </cell>
        </row>
        <row r="149">
          <cell r="S149" t="str">
            <v>Brun Foncé /Dark Brown</v>
          </cell>
        </row>
        <row r="150">
          <cell r="S150" t="str">
            <v xml:space="preserve"> Noir/Black </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Charges%20de%20vent%20FM/ANNEXE_USATEST.pdf" TargetMode="External"/><Relationship Id="rId7" Type="http://schemas.openxmlformats.org/officeDocument/2006/relationships/drawing" Target="../drawings/drawing1.xml"/><Relationship Id="rId2" Type="http://schemas.openxmlformats.org/officeDocument/2006/relationships/hyperlink" Target="https://www.google.com/maps/d/u/0/edit?mid=1N4470XzVziUM_Mc1gUG4juveYH64CIQY&amp;usp=sharing" TargetMode="External"/><Relationship Id="rId1" Type="http://schemas.openxmlformats.org/officeDocument/2006/relationships/hyperlink" Target="https://hazards.atcouncil.org/"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Formations/Formation%20vent/Capsules%20Vid&#233;o/Solution_Exemple.mkv" TargetMode="External"/><Relationship Id="rId10" Type="http://schemas.openxmlformats.org/officeDocument/2006/relationships/ctrlProp" Target="../ctrlProps/ctrlProp2.xml"/><Relationship Id="rId4" Type="http://schemas.openxmlformats.org/officeDocument/2006/relationships/hyperlink" Target="../../../../Calculateur_Formation/Charge%20de%20vent/PPTVENT_Guide.pptx"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norbec.com/norbec-cad-library/REX-IC-9.07-Typical-Assembly.pdf" TargetMode="External"/><Relationship Id="rId13" Type="http://schemas.openxmlformats.org/officeDocument/2006/relationships/hyperlink" Target="https://norbec.com/wp-content/uploads/2018/05/DeflectionTest-NOROC-EN-2018.pdf" TargetMode="External"/><Relationship Id="rId18" Type="http://schemas.openxmlformats.org/officeDocument/2006/relationships/hyperlink" Target="https://norbec.com/norbec-cad-library/REX-IC-2.13-Ancrage-a-une-entremise-Attache-12-pouces-Deformante.pdf" TargetMode="External"/><Relationship Id="rId3" Type="http://schemas.openxmlformats.org/officeDocument/2006/relationships/hyperlink" Target="https://norbec.com/wp-content/uploads/2018/06/FM-Listing-4881-Norex-L-H-1.pdf" TargetMode="External"/><Relationship Id="rId21" Type="http://schemas.openxmlformats.org/officeDocument/2006/relationships/drawing" Target="../drawings/drawing2.xml"/><Relationship Id="rId7" Type="http://schemas.openxmlformats.org/officeDocument/2006/relationships/hyperlink" Target="https://www.metalconstruction.org/view/download.php/online-education/education-materials/other-educational-files/oil-canning-in-metal-roof-and-metal-wall-systems" TargetMode="External"/><Relationship Id="rId12" Type="http://schemas.openxmlformats.org/officeDocument/2006/relationships/hyperlink" Target="https://norbec.com/wp-content/uploads/2018/05/Norbec-DeflectionTest-NOREX.pdf" TargetMode="External"/><Relationship Id="rId17" Type="http://schemas.openxmlformats.org/officeDocument/2006/relationships/hyperlink" Target="https://qai.org/directory/norbec-architectural-inc-2/" TargetMode="External"/><Relationship Id="rId2" Type="http://schemas.openxmlformats.org/officeDocument/2006/relationships/hyperlink" Target="https://norbec.com/wp-content/uploads/2018/06/FM-Listing-4880-Norex-L-H.pdf" TargetMode="External"/><Relationship Id="rId16" Type="http://schemas.openxmlformats.org/officeDocument/2006/relationships/hyperlink" Target="https://norbec.com/wp-content/uploads/2021/06/NOROC_Fiche-technique-3.pdf" TargetMode="External"/><Relationship Id="rId20" Type="http://schemas.openxmlformats.org/officeDocument/2006/relationships/printerSettings" Target="../printerSettings/printerSettings2.bin"/><Relationship Id="rId1" Type="http://schemas.openxmlformats.org/officeDocument/2006/relationships/hyperlink" Target="https://www.fmapprovals.com/products-we-certify/understanding-the-benefits/fm-approved-insulated-panels" TargetMode="External"/><Relationship Id="rId6" Type="http://schemas.openxmlformats.org/officeDocument/2006/relationships/hyperlink" Target="https://norbec.com/norbec-cad-library/NAI-IC-10.10-Screw-selecting-guide.pdf" TargetMode="External"/><Relationship Id="rId11" Type="http://schemas.openxmlformats.org/officeDocument/2006/relationships/hyperlink" Target="https://www.schmid-screw.com/en/world-of-screws/products/stardrive-gpr1/stardrive-gpr" TargetMode="External"/><Relationship Id="rId5" Type="http://schemas.openxmlformats.org/officeDocument/2006/relationships/hyperlink" Target="https://norbec.com/norbec-cad-library/REX-IC-2.07-FM-4881-Approved-pattern-FP4.pdf" TargetMode="External"/><Relationship Id="rId15" Type="http://schemas.openxmlformats.org/officeDocument/2006/relationships/hyperlink" Target="https://qai.org/directory/norbec-architectural-inc/" TargetMode="External"/><Relationship Id="rId10" Type="http://schemas.openxmlformats.org/officeDocument/2006/relationships/hyperlink" Target="http://www.ucanfast.com/fr/pdfs/userguides/udrills-user-guide.pdf" TargetMode="External"/><Relationship Id="rId19" Type="http://schemas.openxmlformats.org/officeDocument/2006/relationships/hyperlink" Target="https://norbec.com/norbec-cad-library/REX-IC-2.13-5po.pdf" TargetMode="External"/><Relationship Id="rId4" Type="http://schemas.openxmlformats.org/officeDocument/2006/relationships/hyperlink" Target="https://norbec.com/norbec-cad-library/REX-IC-2.06-FM-4881-Approved-pattern-FP1.pdf" TargetMode="External"/><Relationship Id="rId9" Type="http://schemas.openxmlformats.org/officeDocument/2006/relationships/hyperlink" Target="http://www.itwbuildex.com/pdf/buildex_catalog_2019.pdf" TargetMode="External"/><Relationship Id="rId14" Type="http://schemas.openxmlformats.org/officeDocument/2006/relationships/hyperlink" Target="https://norbec.com/wp-content/uploads/2021/10/NOREX-Fiche-technique-2021-10-07.pdf" TargetMode="External"/><Relationship Id="rId22"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norbec.com/norbec-cad-library/REX-IC-2.13-5po.pdf" TargetMode="Externa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8" Type="http://schemas.openxmlformats.org/officeDocument/2006/relationships/hyperlink" Target="http://www.itwbuildex.com/pdf/buildex_catalog_2019.pdf" TargetMode="External"/><Relationship Id="rId13" Type="http://schemas.openxmlformats.org/officeDocument/2006/relationships/hyperlink" Target="https://qai.org/directory/norbec-architectural-inc/" TargetMode="External"/><Relationship Id="rId18" Type="http://schemas.openxmlformats.org/officeDocument/2006/relationships/hyperlink" Target="https://norbec.com/wp-content/uploads/2021/06/NOREX-Technical-Sheet-3.pdf" TargetMode="External"/><Relationship Id="rId3" Type="http://schemas.openxmlformats.org/officeDocument/2006/relationships/hyperlink" Target="https://norbec.com/wp-content/uploads/2018/06/FM-Listing-4881-Norex-L-H-1.pdf" TargetMode="External"/><Relationship Id="rId21" Type="http://schemas.openxmlformats.org/officeDocument/2006/relationships/printerSettings" Target="../printerSettings/printerSettings4.bin"/><Relationship Id="rId7" Type="http://schemas.openxmlformats.org/officeDocument/2006/relationships/hyperlink" Target="https://www.metalconstruction.org/view/download.php/online-education/education-materials/other-educational-files/oil-canning-in-metal-roof-and-metal-wall-systems" TargetMode="External"/><Relationship Id="rId12" Type="http://schemas.openxmlformats.org/officeDocument/2006/relationships/hyperlink" Target="https://norbec.com/wp-content/uploads/2018/05/DeflectionTest-NOROC-EN-2018.pdf" TargetMode="External"/><Relationship Id="rId17" Type="http://schemas.openxmlformats.org/officeDocument/2006/relationships/hyperlink" Target="https://norbec.com/norbec-cad-library/REX-IC-2.13-5po.pdf" TargetMode="External"/><Relationship Id="rId2" Type="http://schemas.openxmlformats.org/officeDocument/2006/relationships/hyperlink" Target="https://norbec.com/wp-content/uploads/2018/06/FM-Listing-4880-Norex-L-H.pdf" TargetMode="External"/><Relationship Id="rId16" Type="http://schemas.openxmlformats.org/officeDocument/2006/relationships/hyperlink" Target="https://norbec.com/norbec-cad-library/REX-IC-2.13-Ancrage-a-une-entremise-Attache-12-pouces-Deformante.pdf" TargetMode="External"/><Relationship Id="rId20" Type="http://schemas.openxmlformats.org/officeDocument/2006/relationships/hyperlink" Target="https://norbec.com/norbec-cad-library/REX-IC-9.07-Typical-Assembly.pdf" TargetMode="External"/><Relationship Id="rId1" Type="http://schemas.openxmlformats.org/officeDocument/2006/relationships/hyperlink" Target="https://www.fmapprovals.com/products-we-certify/understanding-the-benefits/fm-approved-insulated-panels" TargetMode="External"/><Relationship Id="rId6" Type="http://schemas.openxmlformats.org/officeDocument/2006/relationships/hyperlink" Target="https://norbec.com/norbec-cad-library/NAI-IC-10.10-Screw-selecting-guide.pdf" TargetMode="External"/><Relationship Id="rId11" Type="http://schemas.openxmlformats.org/officeDocument/2006/relationships/hyperlink" Target="https://norbec.com/wp-content/uploads/2018/05/Norbec-DeflectionTest-NOREX.pdf" TargetMode="External"/><Relationship Id="rId5" Type="http://schemas.openxmlformats.org/officeDocument/2006/relationships/hyperlink" Target="https://norbec.com/norbec-cad-library/REX-IC-2.07-FM-4881-Approved-pattern-FP4.pdf" TargetMode="External"/><Relationship Id="rId15" Type="http://schemas.openxmlformats.org/officeDocument/2006/relationships/hyperlink" Target="https://qai.org/directory/norbec-architectural-inc-2/" TargetMode="External"/><Relationship Id="rId23" Type="http://schemas.openxmlformats.org/officeDocument/2006/relationships/vmlDrawing" Target="../drawings/vmlDrawing4.vml"/><Relationship Id="rId10" Type="http://schemas.openxmlformats.org/officeDocument/2006/relationships/hyperlink" Target="https://www.schmid-screw.com/en/world-of-screws/products/stardrive-gpr1/stardrive-gpr" TargetMode="External"/><Relationship Id="rId19" Type="http://schemas.openxmlformats.org/officeDocument/2006/relationships/hyperlink" Target="https://norbec.com/wp-content/uploads/2021/06/NOROC-Technical-Sheet-2.pdf" TargetMode="External"/><Relationship Id="rId4" Type="http://schemas.openxmlformats.org/officeDocument/2006/relationships/hyperlink" Target="https://norbec.com/norbec-cad-library/REX-IC-2.06-FM-4881-Approved-pattern-FP1.pdf" TargetMode="External"/><Relationship Id="rId9" Type="http://schemas.openxmlformats.org/officeDocument/2006/relationships/hyperlink" Target="http://www.ucanfast.com/fr/pdfs/userguides/udrills-user-guide.pdf" TargetMode="External"/><Relationship Id="rId14" Type="http://schemas.openxmlformats.org/officeDocument/2006/relationships/hyperlink" Target="https://norbec.com/wp-content/uploads/2021/06/NOROC_Fiche-technique-3.pdf" TargetMode="External"/><Relationship Id="rId22"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hyperlink" Target="../Documentation/Charges%20de%20vent%20USA/Roof%20zones%20ASCE%207-16.pdf" TargetMode="External"/><Relationship Id="rId7" Type="http://schemas.openxmlformats.org/officeDocument/2006/relationships/printerSettings" Target="../printerSettings/printerSettings9.bin"/><Relationship Id="rId2" Type="http://schemas.openxmlformats.org/officeDocument/2006/relationships/hyperlink" Target="../Documentation/Charges%20de%20vent%20USA/Ouvertures%20ASCE%207-16.pdf" TargetMode="External"/><Relationship Id="rId1" Type="http://schemas.openxmlformats.org/officeDocument/2006/relationships/hyperlink" Target="https://hazards.atcouncil.org/" TargetMode="External"/><Relationship Id="rId6" Type="http://schemas.openxmlformats.org/officeDocument/2006/relationships/hyperlink" Target="../Documentation/Charges%20de%20vent%20USA/Charges%20de%20vent%20selon%20l&#8217;ASCE%207-16.pptx" TargetMode="External"/><Relationship Id="rId5" Type="http://schemas.openxmlformats.org/officeDocument/2006/relationships/hyperlink" Target="../Documentation/Charges%20de%20vent%20USA/kh_exposure_enclosure%20ASCE%207-16.pdf" TargetMode="External"/><Relationship Id="rId4" Type="http://schemas.openxmlformats.org/officeDocument/2006/relationships/hyperlink" Target="../Documentation/Charges%20de%20vent%20USA/ASCE%207-10%20-%20Components%20and%20Cladding%20Wind%20Load%20Provisions%20-%20Calculations.pdf"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Documentation/Charges%20de%20vent%20FM/FMDS0128.pdf"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hazards.atcouncil.org/"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hyperlink" Target="https://neotechcoatings.com/wp-content/uploads/2022/08/ASTM-E-1980.pdf" TargetMode="External"/><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hyperlink" Target="https://neotechcoatings.com/wp-content/uploads/2022/08/ASTM-E-1980.pdf" TargetMode="Externa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93341-AECB-4BA0-81AB-70048DEEDD00}">
  <sheetPr published="0" codeName="Feuil2"/>
  <dimension ref="A2:BLK99"/>
  <sheetViews>
    <sheetView topLeftCell="A23" zoomScale="80" zoomScaleNormal="80" workbookViewId="0">
      <selection activeCell="J20" sqref="J20:L21"/>
    </sheetView>
  </sheetViews>
  <sheetFormatPr defaultColWidth="11.42578125" defaultRowHeight="14.45"/>
  <cols>
    <col min="1" max="1" width="11" style="137"/>
    <col min="2" max="2" width="19.85546875" style="137" customWidth="1"/>
    <col min="3" max="3" width="15.85546875" style="137" customWidth="1"/>
    <col min="4" max="4" width="3.28515625" style="137" customWidth="1"/>
    <col min="5" max="5" width="18.42578125" style="137" customWidth="1"/>
    <col min="6" max="6" width="22.7109375" style="137" customWidth="1"/>
    <col min="7" max="7" width="22.7109375" style="137" hidden="1" customWidth="1"/>
    <col min="8" max="8" width="14.140625" style="137" customWidth="1"/>
    <col min="9" max="9" width="17.5703125" style="137" customWidth="1"/>
    <col min="10" max="10" width="22.28515625" style="137" customWidth="1"/>
    <col min="11" max="11" width="18.140625" style="137" customWidth="1"/>
    <col min="12" max="12" width="14.140625" style="137" customWidth="1"/>
    <col min="13" max="13" width="15.5703125" style="137" customWidth="1"/>
    <col min="14" max="14" width="11" style="137"/>
    <col min="15" max="15" width="11" style="129"/>
    <col min="16" max="16" width="11"/>
    <col min="17" max="17" width="14.85546875" customWidth="1"/>
    <col min="18" max="20" width="11"/>
    <col min="21" max="21" width="17.28515625" customWidth="1"/>
    <col min="22" max="23" width="11"/>
    <col min="24" max="25" width="15" customWidth="1"/>
    <col min="26" max="28" width="11"/>
  </cols>
  <sheetData>
    <row r="2" spans="1:1675" ht="15.6">
      <c r="K2" s="1181">
        <f ca="1">TODAY()</f>
        <v>46136</v>
      </c>
      <c r="L2" s="1181"/>
    </row>
    <row r="4" spans="1:1675">
      <c r="B4" s="137" t="s">
        <v>0</v>
      </c>
      <c r="E4" s="1193" t="s">
        <v>1</v>
      </c>
      <c r="F4" s="1193"/>
    </row>
    <row r="5" spans="1:1675">
      <c r="E5" s="1193" t="s">
        <v>2</v>
      </c>
      <c r="F5" s="1193"/>
    </row>
    <row r="7" spans="1:1675">
      <c r="A7" s="186"/>
      <c r="N7" s="186"/>
    </row>
    <row r="8" spans="1:1675" ht="21.95" customHeight="1">
      <c r="A8" s="186"/>
      <c r="B8" s="240" t="s">
        <v>3</v>
      </c>
      <c r="C8" s="240"/>
      <c r="D8" s="1192" t="s">
        <v>4</v>
      </c>
      <c r="E8" s="1192"/>
      <c r="F8" s="1192"/>
      <c r="G8" s="1192"/>
      <c r="H8" s="1192"/>
      <c r="M8" s="559"/>
      <c r="N8" s="186"/>
    </row>
    <row r="9" spans="1:1675" ht="21.95" customHeight="1">
      <c r="A9" s="186"/>
      <c r="B9" s="1194" t="s">
        <v>5</v>
      </c>
      <c r="C9" s="1194"/>
      <c r="D9" s="1182" t="s">
        <v>6</v>
      </c>
      <c r="E9" s="1182"/>
      <c r="F9" s="1182"/>
      <c r="G9" s="1182"/>
      <c r="H9" s="1182"/>
      <c r="N9" s="186"/>
    </row>
    <row r="10" spans="1:1675" s="137" customFormat="1" ht="21.95" customHeight="1">
      <c r="A10" s="186"/>
      <c r="H10" s="597"/>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row>
    <row r="11" spans="1:1675" s="137" customFormat="1" ht="21.95" customHeight="1">
      <c r="A11" s="186"/>
      <c r="B11" s="581" t="s">
        <v>7</v>
      </c>
      <c r="C11" s="581"/>
      <c r="D11" s="581"/>
      <c r="E11" s="581"/>
      <c r="F11" s="581"/>
      <c r="G11" s="58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c r="AMN11"/>
      <c r="AMO11"/>
      <c r="AMP11"/>
      <c r="AMQ11"/>
      <c r="AMR11"/>
      <c r="AMS11"/>
      <c r="AMT11"/>
      <c r="AMU11"/>
      <c r="AMV11"/>
      <c r="AMW11"/>
      <c r="AMX11"/>
      <c r="AMY11"/>
      <c r="AMZ11"/>
      <c r="ANA11"/>
      <c r="ANB11"/>
      <c r="ANC11"/>
      <c r="AND11"/>
      <c r="ANE11"/>
      <c r="ANF11"/>
      <c r="ANG11"/>
      <c r="ANH11"/>
      <c r="ANI11"/>
      <c r="ANJ11"/>
      <c r="ANK11"/>
      <c r="ANL11"/>
      <c r="ANM11"/>
      <c r="ANN11"/>
      <c r="ANO11"/>
      <c r="ANP11"/>
      <c r="ANQ11"/>
      <c r="ANR11"/>
      <c r="ANS11"/>
      <c r="ANT11"/>
      <c r="ANU11"/>
      <c r="ANV11"/>
      <c r="ANW11"/>
      <c r="ANX11"/>
      <c r="ANY11"/>
      <c r="ANZ11"/>
      <c r="AOA11"/>
      <c r="AOB11"/>
      <c r="AOC11"/>
      <c r="AOD11"/>
      <c r="AOE11"/>
      <c r="AOF11"/>
      <c r="AOG11"/>
      <c r="AOH11"/>
      <c r="AOI11"/>
      <c r="AOJ11"/>
      <c r="AOK11"/>
      <c r="AOL11"/>
      <c r="AOM11"/>
      <c r="AON11"/>
      <c r="AOO11"/>
      <c r="AOP11"/>
      <c r="AOQ11"/>
      <c r="AOR11"/>
      <c r="AOS11"/>
      <c r="AOT11"/>
      <c r="AOU11"/>
      <c r="AOV11"/>
      <c r="AOW11"/>
      <c r="AOX11"/>
      <c r="AOY11"/>
      <c r="AOZ11"/>
      <c r="APA11"/>
      <c r="APB11"/>
      <c r="APC11"/>
      <c r="APD11"/>
      <c r="APE11"/>
      <c r="APF11"/>
      <c r="APG11"/>
      <c r="APH11"/>
      <c r="API11"/>
      <c r="APJ11"/>
      <c r="APK11"/>
      <c r="APL11"/>
      <c r="APM11"/>
      <c r="APN11"/>
      <c r="APO11"/>
      <c r="APP11"/>
      <c r="APQ11"/>
      <c r="APR11"/>
      <c r="APS11"/>
      <c r="APT11"/>
      <c r="APU11"/>
      <c r="APV11"/>
      <c r="APW11"/>
      <c r="APX11"/>
      <c r="APY11"/>
      <c r="APZ11"/>
      <c r="AQA11"/>
      <c r="AQB11"/>
      <c r="AQC11"/>
      <c r="AQD11"/>
      <c r="AQE11"/>
      <c r="AQF11"/>
      <c r="AQG11"/>
      <c r="AQH11"/>
      <c r="AQI11"/>
      <c r="AQJ11"/>
      <c r="AQK11"/>
      <c r="AQL11"/>
      <c r="AQM11"/>
      <c r="AQN11"/>
      <c r="AQO11"/>
      <c r="AQP11"/>
      <c r="AQQ11"/>
      <c r="AQR11"/>
      <c r="AQS11"/>
      <c r="AQT11"/>
      <c r="AQU11"/>
      <c r="AQV11"/>
      <c r="AQW11"/>
      <c r="AQX11"/>
      <c r="AQY11"/>
      <c r="AQZ11"/>
      <c r="ARA11"/>
      <c r="ARB11"/>
      <c r="ARC11"/>
      <c r="ARD11"/>
      <c r="ARE11"/>
      <c r="ARF11"/>
      <c r="ARG11"/>
      <c r="ARH11"/>
      <c r="ARI11"/>
      <c r="ARJ11"/>
      <c r="ARK11"/>
      <c r="ARL11"/>
      <c r="ARM11"/>
      <c r="ARN11"/>
      <c r="ARO11"/>
      <c r="ARP11"/>
      <c r="ARQ11"/>
      <c r="ARR11"/>
      <c r="ARS11"/>
      <c r="ART11"/>
      <c r="ARU11"/>
      <c r="ARV11"/>
      <c r="ARW11"/>
      <c r="ARX11"/>
      <c r="ARY11"/>
      <c r="ARZ11"/>
      <c r="ASA11"/>
      <c r="ASB11"/>
      <c r="ASC11"/>
      <c r="ASD11"/>
      <c r="ASE11"/>
      <c r="ASF11"/>
      <c r="ASG11"/>
      <c r="ASH11"/>
      <c r="ASI11"/>
      <c r="ASJ11"/>
      <c r="ASK11"/>
      <c r="ASL11"/>
      <c r="ASM11"/>
      <c r="ASN11"/>
      <c r="ASO11"/>
      <c r="ASP11"/>
      <c r="ASQ11"/>
      <c r="ASR11"/>
      <c r="ASS11"/>
      <c r="AST11"/>
      <c r="ASU11"/>
      <c r="ASV11"/>
      <c r="ASW11"/>
      <c r="ASX11"/>
      <c r="ASY11"/>
      <c r="ASZ11"/>
      <c r="ATA11"/>
      <c r="ATB11"/>
      <c r="ATC11"/>
      <c r="ATD11"/>
      <c r="ATE11"/>
      <c r="ATF11"/>
      <c r="ATG11"/>
      <c r="ATH11"/>
      <c r="ATI11"/>
      <c r="ATJ11"/>
      <c r="ATK11"/>
      <c r="ATL11"/>
      <c r="ATM11"/>
      <c r="ATN11"/>
      <c r="ATO11"/>
      <c r="ATP11"/>
      <c r="ATQ11"/>
      <c r="ATR11"/>
      <c r="ATS11"/>
      <c r="ATT11"/>
      <c r="ATU11"/>
      <c r="ATV11"/>
      <c r="ATW11"/>
      <c r="ATX11"/>
      <c r="ATY11"/>
      <c r="ATZ11"/>
      <c r="AUA11"/>
      <c r="AUB11"/>
      <c r="AUC11"/>
      <c r="AUD11"/>
      <c r="AUE11"/>
      <c r="AUF11"/>
      <c r="AUG11"/>
      <c r="AUH11"/>
      <c r="AUI11"/>
      <c r="AUJ11"/>
      <c r="AUK11"/>
      <c r="AUL11"/>
      <c r="AUM11"/>
      <c r="AUN11"/>
      <c r="AUO11"/>
      <c r="AUP11"/>
      <c r="AUQ11"/>
      <c r="AUR11"/>
      <c r="AUS11"/>
      <c r="AUT11"/>
      <c r="AUU11"/>
      <c r="AUV11"/>
      <c r="AUW11"/>
      <c r="AUX11"/>
      <c r="AUY11"/>
      <c r="AUZ11"/>
      <c r="AVA11"/>
      <c r="AVB11"/>
      <c r="AVC11"/>
      <c r="AVD11"/>
      <c r="AVE11"/>
      <c r="AVF11"/>
      <c r="AVG11"/>
      <c r="AVH11"/>
      <c r="AVI11"/>
      <c r="AVJ11"/>
      <c r="AVK11"/>
      <c r="AVL11"/>
      <c r="AVM11"/>
      <c r="AVN11"/>
      <c r="AVO11"/>
      <c r="AVP11"/>
      <c r="AVQ11"/>
      <c r="AVR11"/>
      <c r="AVS11"/>
      <c r="AVT11"/>
      <c r="AVU11"/>
      <c r="AVV11"/>
      <c r="AVW11"/>
      <c r="AVX11"/>
      <c r="AVY11"/>
      <c r="AVZ11"/>
      <c r="AWA11"/>
      <c r="AWB11"/>
      <c r="AWC11"/>
      <c r="AWD11"/>
      <c r="AWE11"/>
      <c r="AWF11"/>
      <c r="AWG11"/>
      <c r="AWH11"/>
      <c r="AWI11"/>
      <c r="AWJ11"/>
      <c r="AWK11"/>
      <c r="AWL11"/>
      <c r="AWM11"/>
      <c r="AWN11"/>
      <c r="AWO11"/>
      <c r="AWP11"/>
      <c r="AWQ11"/>
      <c r="AWR11"/>
      <c r="AWS11"/>
      <c r="AWT11"/>
      <c r="AWU11"/>
      <c r="AWV11"/>
      <c r="AWW11"/>
      <c r="AWX11"/>
      <c r="AWY11"/>
      <c r="AWZ11"/>
      <c r="AXA11"/>
      <c r="AXB11"/>
      <c r="AXC11"/>
      <c r="AXD11"/>
      <c r="AXE11"/>
      <c r="AXF11"/>
      <c r="AXG11"/>
      <c r="AXH11"/>
      <c r="AXI11"/>
      <c r="AXJ11"/>
      <c r="AXK11"/>
      <c r="AXL11"/>
      <c r="AXM11"/>
      <c r="AXN11"/>
      <c r="AXO11"/>
      <c r="AXP11"/>
      <c r="AXQ11"/>
      <c r="AXR11"/>
      <c r="AXS11"/>
      <c r="AXT11"/>
      <c r="AXU11"/>
      <c r="AXV11"/>
      <c r="AXW11"/>
      <c r="AXX11"/>
      <c r="AXY11"/>
      <c r="AXZ11"/>
      <c r="AYA11"/>
      <c r="AYB11"/>
      <c r="AYC11"/>
      <c r="AYD11"/>
      <c r="AYE11"/>
      <c r="AYF11"/>
      <c r="AYG11"/>
      <c r="AYH11"/>
      <c r="AYI11"/>
      <c r="AYJ11"/>
      <c r="AYK11"/>
      <c r="AYL11"/>
      <c r="AYM11"/>
      <c r="AYN11"/>
      <c r="AYO11"/>
      <c r="AYP11"/>
      <c r="AYQ11"/>
      <c r="AYR11"/>
      <c r="AYS11"/>
      <c r="AYT11"/>
      <c r="AYU11"/>
      <c r="AYV11"/>
      <c r="AYW11"/>
      <c r="AYX11"/>
      <c r="AYY11"/>
      <c r="AYZ11"/>
      <c r="AZA11"/>
      <c r="AZB11"/>
      <c r="AZC11"/>
      <c r="AZD11"/>
      <c r="AZE11"/>
      <c r="AZF11"/>
      <c r="AZG11"/>
      <c r="AZH11"/>
      <c r="AZI11"/>
      <c r="AZJ11"/>
      <c r="AZK11"/>
      <c r="AZL11"/>
      <c r="AZM11"/>
      <c r="AZN11"/>
      <c r="AZO11"/>
      <c r="AZP11"/>
      <c r="AZQ11"/>
      <c r="AZR11"/>
      <c r="AZS11"/>
      <c r="AZT11"/>
      <c r="AZU11"/>
      <c r="AZV11"/>
      <c r="AZW11"/>
      <c r="AZX11"/>
      <c r="AZY11"/>
      <c r="AZZ11"/>
      <c r="BAA11"/>
      <c r="BAB11"/>
      <c r="BAC11"/>
      <c r="BAD11"/>
      <c r="BAE11"/>
      <c r="BAF11"/>
      <c r="BAG11"/>
      <c r="BAH11"/>
      <c r="BAI11"/>
      <c r="BAJ11"/>
      <c r="BAK11"/>
      <c r="BAL11"/>
      <c r="BAM11"/>
      <c r="BAN11"/>
      <c r="BAO11"/>
      <c r="BAP11"/>
      <c r="BAQ11"/>
      <c r="BAR11"/>
      <c r="BAS11"/>
      <c r="BAT11"/>
      <c r="BAU11"/>
      <c r="BAV11"/>
      <c r="BAW11"/>
      <c r="BAX11"/>
      <c r="BAY11"/>
      <c r="BAZ11"/>
      <c r="BBA11"/>
      <c r="BBB11"/>
      <c r="BBC11"/>
      <c r="BBD11"/>
      <c r="BBE11"/>
      <c r="BBF11"/>
      <c r="BBG11"/>
      <c r="BBH11"/>
      <c r="BBI11"/>
      <c r="BBJ11"/>
      <c r="BBK11"/>
      <c r="BBL11"/>
      <c r="BBM11"/>
      <c r="BBN11"/>
      <c r="BBO11"/>
      <c r="BBP11"/>
      <c r="BBQ11"/>
      <c r="BBR11"/>
      <c r="BBS11"/>
      <c r="BBT11"/>
      <c r="BBU11"/>
      <c r="BBV11"/>
      <c r="BBW11"/>
      <c r="BBX11"/>
      <c r="BBY11"/>
      <c r="BBZ11"/>
      <c r="BCA11"/>
      <c r="BCB11"/>
      <c r="BCC11"/>
      <c r="BCD11"/>
      <c r="BCE11"/>
      <c r="BCF11"/>
      <c r="BCG11"/>
      <c r="BCH11"/>
      <c r="BCI11"/>
      <c r="BCJ11"/>
      <c r="BCK11"/>
      <c r="BCL11"/>
      <c r="BCM11"/>
      <c r="BCN11"/>
      <c r="BCO11"/>
      <c r="BCP11"/>
      <c r="BCQ11"/>
      <c r="BCR11"/>
      <c r="BCS11"/>
      <c r="BCT11"/>
      <c r="BCU11"/>
      <c r="BCV11"/>
      <c r="BCW11"/>
      <c r="BCX11"/>
      <c r="BCY11"/>
      <c r="BCZ11"/>
      <c r="BDA11"/>
      <c r="BDB11"/>
      <c r="BDC11"/>
      <c r="BDD11"/>
      <c r="BDE11"/>
      <c r="BDF11"/>
      <c r="BDG11"/>
      <c r="BDH11"/>
      <c r="BDI11"/>
      <c r="BDJ11"/>
      <c r="BDK11"/>
      <c r="BDL11"/>
      <c r="BDM11"/>
      <c r="BDN11"/>
      <c r="BDO11"/>
      <c r="BDP11"/>
      <c r="BDQ11"/>
      <c r="BDR11"/>
      <c r="BDS11"/>
      <c r="BDT11"/>
      <c r="BDU11"/>
      <c r="BDV11"/>
      <c r="BDW11"/>
      <c r="BDX11"/>
      <c r="BDY11"/>
      <c r="BDZ11"/>
      <c r="BEA11"/>
      <c r="BEB11"/>
      <c r="BEC11"/>
      <c r="BED11"/>
      <c r="BEE11"/>
      <c r="BEF11"/>
      <c r="BEG11"/>
      <c r="BEH11"/>
      <c r="BEI11"/>
      <c r="BEJ11"/>
      <c r="BEK11"/>
      <c r="BEL11"/>
      <c r="BEM11"/>
      <c r="BEN11"/>
      <c r="BEO11"/>
      <c r="BEP11"/>
      <c r="BEQ11"/>
      <c r="BER11"/>
      <c r="BES11"/>
      <c r="BET11"/>
      <c r="BEU11"/>
      <c r="BEV11"/>
      <c r="BEW11"/>
      <c r="BEX11"/>
      <c r="BEY11"/>
      <c r="BEZ11"/>
      <c r="BFA11"/>
      <c r="BFB11"/>
      <c r="BFC11"/>
      <c r="BFD11"/>
      <c r="BFE11"/>
      <c r="BFF11"/>
      <c r="BFG11"/>
      <c r="BFH11"/>
      <c r="BFI11"/>
      <c r="BFJ11"/>
      <c r="BFK11"/>
      <c r="BFL11"/>
      <c r="BFM11"/>
      <c r="BFN11"/>
      <c r="BFO11"/>
      <c r="BFP11"/>
      <c r="BFQ11"/>
      <c r="BFR11"/>
      <c r="BFS11"/>
      <c r="BFT11"/>
      <c r="BFU11"/>
      <c r="BFV11"/>
      <c r="BFW11"/>
      <c r="BFX11"/>
      <c r="BFY11"/>
      <c r="BFZ11"/>
      <c r="BGA11"/>
      <c r="BGB11"/>
      <c r="BGC11"/>
      <c r="BGD11"/>
      <c r="BGE11"/>
      <c r="BGF11"/>
      <c r="BGG11"/>
      <c r="BGH11"/>
      <c r="BGI11"/>
      <c r="BGJ11"/>
      <c r="BGK11"/>
      <c r="BGL11"/>
      <c r="BGM11"/>
      <c r="BGN11"/>
      <c r="BGO11"/>
      <c r="BGP11"/>
      <c r="BGQ11"/>
      <c r="BGR11"/>
      <c r="BGS11"/>
      <c r="BGT11"/>
      <c r="BGU11"/>
      <c r="BGV11"/>
      <c r="BGW11"/>
      <c r="BGX11"/>
      <c r="BGY11"/>
      <c r="BGZ11"/>
      <c r="BHA11"/>
      <c r="BHB11"/>
      <c r="BHC11"/>
      <c r="BHD11"/>
      <c r="BHE11"/>
      <c r="BHF11"/>
      <c r="BHG11"/>
      <c r="BHH11"/>
      <c r="BHI11"/>
      <c r="BHJ11"/>
      <c r="BHK11"/>
      <c r="BHL11"/>
      <c r="BHM11"/>
      <c r="BHN11"/>
      <c r="BHO11"/>
      <c r="BHP11"/>
      <c r="BHQ11"/>
      <c r="BHR11"/>
      <c r="BHS11"/>
      <c r="BHT11"/>
      <c r="BHU11"/>
      <c r="BHV11"/>
      <c r="BHW11"/>
      <c r="BHX11"/>
      <c r="BHY11"/>
      <c r="BHZ11"/>
      <c r="BIA11"/>
      <c r="BIB11"/>
      <c r="BIC11"/>
      <c r="BID11"/>
      <c r="BIE11"/>
      <c r="BIF11"/>
      <c r="BIG11"/>
      <c r="BIH11"/>
      <c r="BII11"/>
      <c r="BIJ11"/>
      <c r="BIK11"/>
      <c r="BIL11"/>
      <c r="BIM11"/>
      <c r="BIN11"/>
      <c r="BIO11"/>
      <c r="BIP11"/>
      <c r="BIQ11"/>
      <c r="BIR11"/>
      <c r="BIS11"/>
      <c r="BIT11"/>
      <c r="BIU11"/>
      <c r="BIV11"/>
      <c r="BIW11"/>
      <c r="BIX11"/>
      <c r="BIY11"/>
      <c r="BIZ11"/>
      <c r="BJA11"/>
      <c r="BJB11"/>
      <c r="BJC11"/>
      <c r="BJD11"/>
      <c r="BJE11"/>
      <c r="BJF11"/>
      <c r="BJG11"/>
      <c r="BJH11"/>
      <c r="BJI11"/>
      <c r="BJJ11"/>
      <c r="BJK11"/>
      <c r="BJL11"/>
      <c r="BJM11"/>
      <c r="BJN11"/>
      <c r="BJO11"/>
      <c r="BJP11"/>
      <c r="BJQ11"/>
      <c r="BJR11"/>
      <c r="BJS11"/>
      <c r="BJT11"/>
      <c r="BJU11"/>
      <c r="BJV11"/>
      <c r="BJW11"/>
      <c r="BJX11"/>
      <c r="BJY11"/>
      <c r="BJZ11"/>
      <c r="BKA11"/>
      <c r="BKB11"/>
      <c r="BKC11"/>
      <c r="BKD11"/>
      <c r="BKE11"/>
      <c r="BKF11"/>
      <c r="BKG11"/>
      <c r="BKH11"/>
      <c r="BKI11"/>
      <c r="BKJ11"/>
      <c r="BKK11"/>
      <c r="BKL11"/>
      <c r="BKM11"/>
      <c r="BKN11"/>
      <c r="BKO11"/>
      <c r="BKP11"/>
      <c r="BKQ11"/>
      <c r="BKR11"/>
      <c r="BKS11"/>
      <c r="BKT11"/>
      <c r="BKU11"/>
      <c r="BKV11"/>
      <c r="BKW11"/>
      <c r="BKX11"/>
      <c r="BKY11"/>
      <c r="BKZ11"/>
      <c r="BLA11"/>
      <c r="BLB11"/>
      <c r="BLC11"/>
      <c r="BLD11"/>
      <c r="BLE11"/>
      <c r="BLF11"/>
      <c r="BLG11"/>
      <c r="BLH11"/>
      <c r="BLI11"/>
      <c r="BLJ11"/>
      <c r="BLK11"/>
    </row>
    <row r="12" spans="1:1675" s="137" customFormat="1" ht="7.5" customHeight="1" thickBot="1">
      <c r="A12" s="186"/>
      <c r="B12" s="581"/>
      <c r="C12" s="581"/>
      <c r="D12" s="581"/>
      <c r="E12" s="581"/>
      <c r="F12" s="581"/>
      <c r="G12" s="581"/>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c r="AMZ12"/>
      <c r="ANA12"/>
      <c r="ANB12"/>
      <c r="ANC12"/>
      <c r="AND12"/>
      <c r="ANE12"/>
      <c r="ANF12"/>
      <c r="ANG12"/>
      <c r="ANH12"/>
      <c r="ANI12"/>
      <c r="ANJ12"/>
      <c r="ANK12"/>
      <c r="ANL12"/>
      <c r="ANM12"/>
      <c r="ANN12"/>
      <c r="ANO12"/>
      <c r="ANP12"/>
      <c r="ANQ12"/>
      <c r="ANR12"/>
      <c r="ANS12"/>
      <c r="ANT12"/>
      <c r="ANU12"/>
      <c r="ANV12"/>
      <c r="ANW12"/>
      <c r="ANX12"/>
      <c r="ANY12"/>
      <c r="ANZ12"/>
      <c r="AOA12"/>
      <c r="AOB12"/>
      <c r="AOC12"/>
      <c r="AOD12"/>
      <c r="AOE12"/>
      <c r="AOF12"/>
      <c r="AOG12"/>
      <c r="AOH12"/>
      <c r="AOI12"/>
      <c r="AOJ12"/>
      <c r="AOK12"/>
      <c r="AOL12"/>
      <c r="AOM12"/>
      <c r="AON12"/>
      <c r="AOO12"/>
      <c r="AOP12"/>
      <c r="AOQ12"/>
      <c r="AOR12"/>
      <c r="AOS12"/>
      <c r="AOT12"/>
      <c r="AOU12"/>
      <c r="AOV12"/>
      <c r="AOW12"/>
      <c r="AOX12"/>
      <c r="AOY12"/>
      <c r="AOZ12"/>
      <c r="APA12"/>
      <c r="APB12"/>
      <c r="APC12"/>
      <c r="APD12"/>
      <c r="APE12"/>
      <c r="APF12"/>
      <c r="APG12"/>
      <c r="APH12"/>
      <c r="API12"/>
      <c r="APJ12"/>
      <c r="APK12"/>
      <c r="APL12"/>
      <c r="APM12"/>
      <c r="APN12"/>
      <c r="APO12"/>
      <c r="APP12"/>
      <c r="APQ12"/>
      <c r="APR12"/>
      <c r="APS12"/>
      <c r="APT12"/>
      <c r="APU12"/>
      <c r="APV12"/>
      <c r="APW12"/>
      <c r="APX12"/>
      <c r="APY12"/>
      <c r="APZ12"/>
      <c r="AQA12"/>
      <c r="AQB12"/>
      <c r="AQC12"/>
      <c r="AQD12"/>
      <c r="AQE12"/>
      <c r="AQF12"/>
      <c r="AQG12"/>
      <c r="AQH12"/>
      <c r="AQI12"/>
      <c r="AQJ12"/>
      <c r="AQK12"/>
      <c r="AQL12"/>
      <c r="AQM12"/>
      <c r="AQN12"/>
      <c r="AQO12"/>
      <c r="AQP12"/>
      <c r="AQQ12"/>
      <c r="AQR12"/>
      <c r="AQS12"/>
      <c r="AQT12"/>
      <c r="AQU12"/>
      <c r="AQV12"/>
      <c r="AQW12"/>
      <c r="AQX12"/>
      <c r="AQY12"/>
      <c r="AQZ12"/>
      <c r="ARA12"/>
      <c r="ARB12"/>
      <c r="ARC12"/>
      <c r="ARD12"/>
      <c r="ARE12"/>
      <c r="ARF12"/>
      <c r="ARG12"/>
      <c r="ARH12"/>
      <c r="ARI12"/>
      <c r="ARJ12"/>
      <c r="ARK12"/>
      <c r="ARL12"/>
      <c r="ARM12"/>
      <c r="ARN12"/>
      <c r="ARO12"/>
      <c r="ARP12"/>
      <c r="ARQ12"/>
      <c r="ARR12"/>
      <c r="ARS12"/>
      <c r="ART12"/>
      <c r="ARU12"/>
      <c r="ARV12"/>
      <c r="ARW12"/>
      <c r="ARX12"/>
      <c r="ARY12"/>
      <c r="ARZ12"/>
      <c r="ASA12"/>
      <c r="ASB12"/>
      <c r="ASC12"/>
      <c r="ASD12"/>
      <c r="ASE12"/>
      <c r="ASF12"/>
      <c r="ASG12"/>
      <c r="ASH12"/>
      <c r="ASI12"/>
      <c r="ASJ12"/>
      <c r="ASK12"/>
      <c r="ASL12"/>
      <c r="ASM12"/>
      <c r="ASN12"/>
      <c r="ASO12"/>
      <c r="ASP12"/>
      <c r="ASQ12"/>
      <c r="ASR12"/>
      <c r="ASS12"/>
      <c r="AST12"/>
      <c r="ASU12"/>
      <c r="ASV12"/>
      <c r="ASW12"/>
      <c r="ASX12"/>
      <c r="ASY12"/>
      <c r="ASZ12"/>
      <c r="ATA12"/>
      <c r="ATB12"/>
      <c r="ATC12"/>
      <c r="ATD12"/>
      <c r="ATE12"/>
      <c r="ATF12"/>
      <c r="ATG12"/>
      <c r="ATH12"/>
      <c r="ATI12"/>
      <c r="ATJ12"/>
      <c r="ATK12"/>
      <c r="ATL12"/>
      <c r="ATM12"/>
      <c r="ATN12"/>
      <c r="ATO12"/>
      <c r="ATP12"/>
      <c r="ATQ12"/>
      <c r="ATR12"/>
      <c r="ATS12"/>
      <c r="ATT12"/>
      <c r="ATU12"/>
      <c r="ATV12"/>
      <c r="ATW12"/>
      <c r="ATX12"/>
      <c r="ATY12"/>
      <c r="ATZ12"/>
      <c r="AUA12"/>
      <c r="AUB12"/>
      <c r="AUC12"/>
      <c r="AUD12"/>
      <c r="AUE12"/>
      <c r="AUF12"/>
      <c r="AUG12"/>
      <c r="AUH12"/>
      <c r="AUI12"/>
      <c r="AUJ12"/>
      <c r="AUK12"/>
      <c r="AUL12"/>
      <c r="AUM12"/>
      <c r="AUN12"/>
      <c r="AUO12"/>
      <c r="AUP12"/>
      <c r="AUQ12"/>
      <c r="AUR12"/>
      <c r="AUS12"/>
      <c r="AUT12"/>
      <c r="AUU12"/>
      <c r="AUV12"/>
      <c r="AUW12"/>
      <c r="AUX12"/>
      <c r="AUY12"/>
      <c r="AUZ12"/>
      <c r="AVA12"/>
      <c r="AVB12"/>
      <c r="AVC12"/>
      <c r="AVD12"/>
      <c r="AVE12"/>
      <c r="AVF12"/>
      <c r="AVG12"/>
      <c r="AVH12"/>
      <c r="AVI12"/>
      <c r="AVJ12"/>
      <c r="AVK12"/>
      <c r="AVL12"/>
      <c r="AVM12"/>
      <c r="AVN12"/>
      <c r="AVO12"/>
      <c r="AVP12"/>
      <c r="AVQ12"/>
      <c r="AVR12"/>
      <c r="AVS12"/>
      <c r="AVT12"/>
      <c r="AVU12"/>
      <c r="AVV12"/>
      <c r="AVW12"/>
      <c r="AVX12"/>
      <c r="AVY12"/>
      <c r="AVZ12"/>
      <c r="AWA12"/>
      <c r="AWB12"/>
      <c r="AWC12"/>
      <c r="AWD12"/>
      <c r="AWE12"/>
      <c r="AWF12"/>
      <c r="AWG12"/>
      <c r="AWH12"/>
      <c r="AWI12"/>
      <c r="AWJ12"/>
      <c r="AWK12"/>
      <c r="AWL12"/>
      <c r="AWM12"/>
      <c r="AWN12"/>
      <c r="AWO12"/>
      <c r="AWP12"/>
      <c r="AWQ12"/>
      <c r="AWR12"/>
      <c r="AWS12"/>
      <c r="AWT12"/>
      <c r="AWU12"/>
      <c r="AWV12"/>
      <c r="AWW12"/>
      <c r="AWX12"/>
      <c r="AWY12"/>
      <c r="AWZ12"/>
      <c r="AXA12"/>
      <c r="AXB12"/>
      <c r="AXC12"/>
      <c r="AXD12"/>
      <c r="AXE12"/>
      <c r="AXF12"/>
      <c r="AXG12"/>
      <c r="AXH12"/>
      <c r="AXI12"/>
      <c r="AXJ12"/>
      <c r="AXK12"/>
      <c r="AXL12"/>
      <c r="AXM12"/>
      <c r="AXN12"/>
      <c r="AXO12"/>
      <c r="AXP12"/>
      <c r="AXQ12"/>
      <c r="AXR12"/>
      <c r="AXS12"/>
      <c r="AXT12"/>
      <c r="AXU12"/>
      <c r="AXV12"/>
      <c r="AXW12"/>
      <c r="AXX12"/>
      <c r="AXY12"/>
      <c r="AXZ12"/>
      <c r="AYA12"/>
      <c r="AYB12"/>
      <c r="AYC12"/>
      <c r="AYD12"/>
      <c r="AYE12"/>
      <c r="AYF12"/>
      <c r="AYG12"/>
      <c r="AYH12"/>
      <c r="AYI12"/>
      <c r="AYJ12"/>
      <c r="AYK12"/>
      <c r="AYL12"/>
      <c r="AYM12"/>
      <c r="AYN12"/>
      <c r="AYO12"/>
      <c r="AYP12"/>
      <c r="AYQ12"/>
      <c r="AYR12"/>
      <c r="AYS12"/>
      <c r="AYT12"/>
      <c r="AYU12"/>
      <c r="AYV12"/>
      <c r="AYW12"/>
      <c r="AYX12"/>
      <c r="AYY12"/>
      <c r="AYZ12"/>
      <c r="AZA12"/>
      <c r="AZB12"/>
      <c r="AZC12"/>
      <c r="AZD12"/>
      <c r="AZE12"/>
      <c r="AZF12"/>
      <c r="AZG12"/>
      <c r="AZH12"/>
      <c r="AZI12"/>
      <c r="AZJ12"/>
      <c r="AZK12"/>
      <c r="AZL12"/>
      <c r="AZM12"/>
      <c r="AZN12"/>
      <c r="AZO12"/>
      <c r="AZP12"/>
      <c r="AZQ12"/>
      <c r="AZR12"/>
      <c r="AZS12"/>
      <c r="AZT12"/>
      <c r="AZU12"/>
      <c r="AZV12"/>
      <c r="AZW12"/>
      <c r="AZX12"/>
      <c r="AZY12"/>
      <c r="AZZ12"/>
      <c r="BAA12"/>
      <c r="BAB12"/>
      <c r="BAC12"/>
      <c r="BAD12"/>
      <c r="BAE12"/>
      <c r="BAF12"/>
      <c r="BAG12"/>
      <c r="BAH12"/>
      <c r="BAI12"/>
      <c r="BAJ12"/>
      <c r="BAK12"/>
      <c r="BAL12"/>
      <c r="BAM12"/>
      <c r="BAN12"/>
      <c r="BAO12"/>
      <c r="BAP12"/>
      <c r="BAQ12"/>
      <c r="BAR12"/>
      <c r="BAS12"/>
      <c r="BAT12"/>
      <c r="BAU12"/>
      <c r="BAV12"/>
      <c r="BAW12"/>
      <c r="BAX12"/>
      <c r="BAY12"/>
      <c r="BAZ12"/>
      <c r="BBA12"/>
      <c r="BBB12"/>
      <c r="BBC12"/>
      <c r="BBD12"/>
      <c r="BBE12"/>
      <c r="BBF12"/>
      <c r="BBG12"/>
      <c r="BBH12"/>
      <c r="BBI12"/>
      <c r="BBJ12"/>
      <c r="BBK12"/>
      <c r="BBL12"/>
      <c r="BBM12"/>
      <c r="BBN12"/>
      <c r="BBO12"/>
      <c r="BBP12"/>
      <c r="BBQ12"/>
      <c r="BBR12"/>
      <c r="BBS12"/>
      <c r="BBT12"/>
      <c r="BBU12"/>
      <c r="BBV12"/>
      <c r="BBW12"/>
      <c r="BBX12"/>
      <c r="BBY12"/>
      <c r="BBZ12"/>
      <c r="BCA12"/>
      <c r="BCB12"/>
      <c r="BCC12"/>
      <c r="BCD12"/>
      <c r="BCE12"/>
      <c r="BCF12"/>
      <c r="BCG12"/>
      <c r="BCH12"/>
      <c r="BCI12"/>
      <c r="BCJ12"/>
      <c r="BCK12"/>
      <c r="BCL12"/>
      <c r="BCM12"/>
      <c r="BCN12"/>
      <c r="BCO12"/>
      <c r="BCP12"/>
      <c r="BCQ12"/>
      <c r="BCR12"/>
      <c r="BCS12"/>
      <c r="BCT12"/>
      <c r="BCU12"/>
      <c r="BCV12"/>
      <c r="BCW12"/>
      <c r="BCX12"/>
      <c r="BCY12"/>
      <c r="BCZ12"/>
      <c r="BDA12"/>
      <c r="BDB12"/>
      <c r="BDC12"/>
      <c r="BDD12"/>
      <c r="BDE12"/>
      <c r="BDF12"/>
      <c r="BDG12"/>
      <c r="BDH12"/>
      <c r="BDI12"/>
      <c r="BDJ12"/>
      <c r="BDK12"/>
      <c r="BDL12"/>
      <c r="BDM12"/>
      <c r="BDN12"/>
      <c r="BDO12"/>
      <c r="BDP12"/>
      <c r="BDQ12"/>
      <c r="BDR12"/>
      <c r="BDS12"/>
      <c r="BDT12"/>
      <c r="BDU12"/>
      <c r="BDV12"/>
      <c r="BDW12"/>
      <c r="BDX12"/>
      <c r="BDY12"/>
      <c r="BDZ12"/>
      <c r="BEA12"/>
      <c r="BEB12"/>
      <c r="BEC12"/>
      <c r="BED12"/>
      <c r="BEE12"/>
      <c r="BEF12"/>
      <c r="BEG12"/>
      <c r="BEH12"/>
      <c r="BEI12"/>
      <c r="BEJ12"/>
      <c r="BEK12"/>
      <c r="BEL12"/>
      <c r="BEM12"/>
      <c r="BEN12"/>
      <c r="BEO12"/>
      <c r="BEP12"/>
      <c r="BEQ12"/>
      <c r="BER12"/>
      <c r="BES12"/>
      <c r="BET12"/>
      <c r="BEU12"/>
      <c r="BEV12"/>
      <c r="BEW12"/>
      <c r="BEX12"/>
      <c r="BEY12"/>
      <c r="BEZ12"/>
      <c r="BFA12"/>
      <c r="BFB12"/>
      <c r="BFC12"/>
      <c r="BFD12"/>
      <c r="BFE12"/>
      <c r="BFF12"/>
      <c r="BFG12"/>
      <c r="BFH12"/>
      <c r="BFI12"/>
      <c r="BFJ12"/>
      <c r="BFK12"/>
      <c r="BFL12"/>
      <c r="BFM12"/>
      <c r="BFN12"/>
      <c r="BFO12"/>
      <c r="BFP12"/>
      <c r="BFQ12"/>
      <c r="BFR12"/>
      <c r="BFS12"/>
      <c r="BFT12"/>
      <c r="BFU12"/>
      <c r="BFV12"/>
      <c r="BFW12"/>
      <c r="BFX12"/>
      <c r="BFY12"/>
      <c r="BFZ12"/>
      <c r="BGA12"/>
      <c r="BGB12"/>
      <c r="BGC12"/>
      <c r="BGD12"/>
      <c r="BGE12"/>
      <c r="BGF12"/>
      <c r="BGG12"/>
      <c r="BGH12"/>
      <c r="BGI12"/>
      <c r="BGJ12"/>
      <c r="BGK12"/>
      <c r="BGL12"/>
      <c r="BGM12"/>
      <c r="BGN12"/>
      <c r="BGO12"/>
      <c r="BGP12"/>
      <c r="BGQ12"/>
      <c r="BGR12"/>
      <c r="BGS12"/>
      <c r="BGT12"/>
      <c r="BGU12"/>
      <c r="BGV12"/>
      <c r="BGW12"/>
      <c r="BGX12"/>
      <c r="BGY12"/>
      <c r="BGZ12"/>
      <c r="BHA12"/>
      <c r="BHB12"/>
      <c r="BHC12"/>
      <c r="BHD12"/>
      <c r="BHE12"/>
      <c r="BHF12"/>
      <c r="BHG12"/>
      <c r="BHH12"/>
      <c r="BHI12"/>
      <c r="BHJ12"/>
      <c r="BHK12"/>
      <c r="BHL12"/>
      <c r="BHM12"/>
      <c r="BHN12"/>
      <c r="BHO12"/>
      <c r="BHP12"/>
      <c r="BHQ12"/>
      <c r="BHR12"/>
      <c r="BHS12"/>
      <c r="BHT12"/>
      <c r="BHU12"/>
      <c r="BHV12"/>
      <c r="BHW12"/>
      <c r="BHX12"/>
      <c r="BHY12"/>
      <c r="BHZ12"/>
      <c r="BIA12"/>
      <c r="BIB12"/>
      <c r="BIC12"/>
      <c r="BID12"/>
      <c r="BIE12"/>
      <c r="BIF12"/>
      <c r="BIG12"/>
      <c r="BIH12"/>
      <c r="BII12"/>
      <c r="BIJ12"/>
      <c r="BIK12"/>
      <c r="BIL12"/>
      <c r="BIM12"/>
      <c r="BIN12"/>
      <c r="BIO12"/>
      <c r="BIP12"/>
      <c r="BIQ12"/>
      <c r="BIR12"/>
      <c r="BIS12"/>
      <c r="BIT12"/>
      <c r="BIU12"/>
      <c r="BIV12"/>
      <c r="BIW12"/>
      <c r="BIX12"/>
      <c r="BIY12"/>
      <c r="BIZ12"/>
      <c r="BJA12"/>
      <c r="BJB12"/>
      <c r="BJC12"/>
      <c r="BJD12"/>
      <c r="BJE12"/>
      <c r="BJF12"/>
      <c r="BJG12"/>
      <c r="BJH12"/>
      <c r="BJI12"/>
      <c r="BJJ12"/>
      <c r="BJK12"/>
      <c r="BJL12"/>
      <c r="BJM12"/>
      <c r="BJN12"/>
      <c r="BJO12"/>
      <c r="BJP12"/>
      <c r="BJQ12"/>
      <c r="BJR12"/>
      <c r="BJS12"/>
      <c r="BJT12"/>
      <c r="BJU12"/>
      <c r="BJV12"/>
      <c r="BJW12"/>
      <c r="BJX12"/>
      <c r="BJY12"/>
      <c r="BJZ12"/>
      <c r="BKA12"/>
      <c r="BKB12"/>
      <c r="BKC12"/>
      <c r="BKD12"/>
      <c r="BKE12"/>
      <c r="BKF12"/>
      <c r="BKG12"/>
      <c r="BKH12"/>
      <c r="BKI12"/>
      <c r="BKJ12"/>
      <c r="BKK12"/>
      <c r="BKL12"/>
      <c r="BKM12"/>
      <c r="BKN12"/>
      <c r="BKO12"/>
      <c r="BKP12"/>
      <c r="BKQ12"/>
      <c r="BKR12"/>
      <c r="BKS12"/>
      <c r="BKT12"/>
      <c r="BKU12"/>
      <c r="BKV12"/>
      <c r="BKW12"/>
      <c r="BKX12"/>
      <c r="BKY12"/>
      <c r="BKZ12"/>
      <c r="BLA12"/>
      <c r="BLB12"/>
      <c r="BLC12"/>
      <c r="BLD12"/>
      <c r="BLE12"/>
      <c r="BLF12"/>
      <c r="BLG12"/>
      <c r="BLH12"/>
      <c r="BLI12"/>
      <c r="BLJ12"/>
      <c r="BLK12"/>
    </row>
    <row r="13" spans="1:1675" s="137" customFormat="1" ht="14.45" customHeight="1" thickTop="1">
      <c r="A13" s="186"/>
      <c r="B13" s="1158" t="s">
        <v>8</v>
      </c>
      <c r="C13" s="1159"/>
      <c r="D13" s="1162" t="s">
        <v>9</v>
      </c>
      <c r="E13" s="1162"/>
      <c r="F13" s="1163"/>
      <c r="G13" s="581"/>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c r="AVB13"/>
      <c r="AVC13"/>
      <c r="AVD13"/>
      <c r="AVE13"/>
      <c r="AVF13"/>
      <c r="AVG13"/>
      <c r="AVH13"/>
      <c r="AVI13"/>
      <c r="AVJ13"/>
      <c r="AVK13"/>
      <c r="AVL13"/>
      <c r="AVM13"/>
      <c r="AVN13"/>
      <c r="AVO13"/>
      <c r="AVP13"/>
      <c r="AVQ13"/>
      <c r="AVR13"/>
      <c r="AVS13"/>
      <c r="AVT13"/>
      <c r="AVU13"/>
      <c r="AVV13"/>
      <c r="AVW13"/>
      <c r="AVX13"/>
      <c r="AVY13"/>
      <c r="AVZ13"/>
      <c r="AWA13"/>
      <c r="AWB13"/>
      <c r="AWC13"/>
      <c r="AWD13"/>
      <c r="AWE13"/>
      <c r="AWF13"/>
      <c r="AWG13"/>
      <c r="AWH13"/>
      <c r="AWI13"/>
      <c r="AWJ13"/>
      <c r="AWK13"/>
      <c r="AWL13"/>
      <c r="AWM13"/>
      <c r="AWN13"/>
      <c r="AWO13"/>
      <c r="AWP13"/>
      <c r="AWQ13"/>
      <c r="AWR13"/>
      <c r="AWS13"/>
      <c r="AWT13"/>
      <c r="AWU13"/>
      <c r="AWV13"/>
      <c r="AWW13"/>
      <c r="AWX13"/>
      <c r="AWY13"/>
      <c r="AWZ13"/>
      <c r="AXA13"/>
      <c r="AXB13"/>
      <c r="AXC13"/>
      <c r="AXD13"/>
      <c r="AXE13"/>
      <c r="AXF13"/>
      <c r="AXG13"/>
      <c r="AXH13"/>
      <c r="AXI13"/>
      <c r="AXJ13"/>
      <c r="AXK13"/>
      <c r="AXL13"/>
      <c r="AXM13"/>
      <c r="AXN13"/>
      <c r="AXO13"/>
      <c r="AXP13"/>
      <c r="AXQ13"/>
      <c r="AXR13"/>
      <c r="AXS13"/>
      <c r="AXT13"/>
      <c r="AXU13"/>
      <c r="AXV13"/>
      <c r="AXW13"/>
      <c r="AXX13"/>
      <c r="AXY13"/>
      <c r="AXZ13"/>
      <c r="AYA13"/>
      <c r="AYB13"/>
      <c r="AYC13"/>
      <c r="AYD13"/>
      <c r="AYE13"/>
      <c r="AYF13"/>
      <c r="AYG13"/>
      <c r="AYH13"/>
      <c r="AYI13"/>
      <c r="AYJ13"/>
      <c r="AYK13"/>
      <c r="AYL13"/>
      <c r="AYM13"/>
      <c r="AYN13"/>
      <c r="AYO13"/>
      <c r="AYP13"/>
      <c r="AYQ13"/>
      <c r="AYR13"/>
      <c r="AYS13"/>
      <c r="AYT13"/>
      <c r="AYU13"/>
      <c r="AYV13"/>
      <c r="AYW13"/>
      <c r="AYX13"/>
      <c r="AYY13"/>
      <c r="AYZ13"/>
      <c r="AZA13"/>
      <c r="AZB13"/>
      <c r="AZC13"/>
      <c r="AZD13"/>
      <c r="AZE13"/>
      <c r="AZF13"/>
      <c r="AZG13"/>
      <c r="AZH13"/>
      <c r="AZI13"/>
      <c r="AZJ13"/>
      <c r="AZK13"/>
      <c r="AZL13"/>
      <c r="AZM13"/>
      <c r="AZN13"/>
      <c r="AZO13"/>
      <c r="AZP13"/>
      <c r="AZQ13"/>
      <c r="AZR13"/>
      <c r="AZS13"/>
      <c r="AZT13"/>
      <c r="AZU13"/>
      <c r="AZV13"/>
      <c r="AZW13"/>
      <c r="AZX13"/>
      <c r="AZY13"/>
      <c r="AZZ13"/>
      <c r="BAA13"/>
      <c r="BAB13"/>
      <c r="BAC13"/>
      <c r="BAD13"/>
      <c r="BAE13"/>
      <c r="BAF13"/>
      <c r="BAG13"/>
      <c r="BAH13"/>
      <c r="BAI13"/>
      <c r="BAJ13"/>
      <c r="BAK13"/>
      <c r="BAL13"/>
      <c r="BAM13"/>
      <c r="BAN13"/>
      <c r="BAO13"/>
      <c r="BAP13"/>
      <c r="BAQ13"/>
      <c r="BAR13"/>
      <c r="BAS13"/>
      <c r="BAT13"/>
      <c r="BAU13"/>
      <c r="BAV13"/>
      <c r="BAW13"/>
      <c r="BAX13"/>
      <c r="BAY13"/>
      <c r="BAZ13"/>
      <c r="BBA13"/>
      <c r="BBB13"/>
      <c r="BBC13"/>
      <c r="BBD13"/>
      <c r="BBE13"/>
      <c r="BBF13"/>
      <c r="BBG13"/>
      <c r="BBH13"/>
      <c r="BBI13"/>
      <c r="BBJ13"/>
      <c r="BBK13"/>
      <c r="BBL13"/>
      <c r="BBM13"/>
      <c r="BBN13"/>
      <c r="BBO13"/>
      <c r="BBP13"/>
      <c r="BBQ13"/>
      <c r="BBR13"/>
      <c r="BBS13"/>
      <c r="BBT13"/>
      <c r="BBU13"/>
      <c r="BBV13"/>
      <c r="BBW13"/>
      <c r="BBX13"/>
      <c r="BBY13"/>
      <c r="BBZ13"/>
      <c r="BCA13"/>
      <c r="BCB13"/>
      <c r="BCC13"/>
      <c r="BCD13"/>
      <c r="BCE13"/>
      <c r="BCF13"/>
      <c r="BCG13"/>
      <c r="BCH13"/>
      <c r="BCI13"/>
      <c r="BCJ13"/>
      <c r="BCK13"/>
      <c r="BCL13"/>
      <c r="BCM13"/>
      <c r="BCN13"/>
      <c r="BCO13"/>
      <c r="BCP13"/>
      <c r="BCQ13"/>
      <c r="BCR13"/>
      <c r="BCS13"/>
      <c r="BCT13"/>
      <c r="BCU13"/>
      <c r="BCV13"/>
      <c r="BCW13"/>
      <c r="BCX13"/>
      <c r="BCY13"/>
      <c r="BCZ13"/>
      <c r="BDA13"/>
      <c r="BDB13"/>
      <c r="BDC13"/>
      <c r="BDD13"/>
      <c r="BDE13"/>
      <c r="BDF13"/>
      <c r="BDG13"/>
      <c r="BDH13"/>
      <c r="BDI13"/>
      <c r="BDJ13"/>
      <c r="BDK13"/>
      <c r="BDL13"/>
      <c r="BDM13"/>
      <c r="BDN13"/>
      <c r="BDO13"/>
      <c r="BDP13"/>
      <c r="BDQ13"/>
      <c r="BDR13"/>
      <c r="BDS13"/>
      <c r="BDT13"/>
      <c r="BDU13"/>
      <c r="BDV13"/>
      <c r="BDW13"/>
      <c r="BDX13"/>
      <c r="BDY13"/>
      <c r="BDZ13"/>
      <c r="BEA13"/>
      <c r="BEB13"/>
      <c r="BEC13"/>
      <c r="BED13"/>
      <c r="BEE13"/>
      <c r="BEF13"/>
      <c r="BEG13"/>
      <c r="BEH13"/>
      <c r="BEI13"/>
      <c r="BEJ13"/>
      <c r="BEK13"/>
      <c r="BEL13"/>
      <c r="BEM13"/>
      <c r="BEN13"/>
      <c r="BEO13"/>
      <c r="BEP13"/>
      <c r="BEQ13"/>
      <c r="BER13"/>
      <c r="BES13"/>
      <c r="BET13"/>
      <c r="BEU13"/>
      <c r="BEV13"/>
      <c r="BEW13"/>
      <c r="BEX13"/>
      <c r="BEY13"/>
      <c r="BEZ13"/>
      <c r="BFA13"/>
      <c r="BFB13"/>
      <c r="BFC13"/>
      <c r="BFD13"/>
      <c r="BFE13"/>
      <c r="BFF13"/>
      <c r="BFG13"/>
      <c r="BFH13"/>
      <c r="BFI13"/>
      <c r="BFJ13"/>
      <c r="BFK13"/>
      <c r="BFL13"/>
      <c r="BFM13"/>
      <c r="BFN13"/>
      <c r="BFO13"/>
      <c r="BFP13"/>
      <c r="BFQ13"/>
      <c r="BFR13"/>
      <c r="BFS13"/>
      <c r="BFT13"/>
      <c r="BFU13"/>
      <c r="BFV13"/>
      <c r="BFW13"/>
      <c r="BFX13"/>
      <c r="BFY13"/>
      <c r="BFZ13"/>
      <c r="BGA13"/>
      <c r="BGB13"/>
      <c r="BGC13"/>
      <c r="BGD13"/>
      <c r="BGE13"/>
      <c r="BGF13"/>
      <c r="BGG13"/>
      <c r="BGH13"/>
      <c r="BGI13"/>
      <c r="BGJ13"/>
      <c r="BGK13"/>
      <c r="BGL13"/>
      <c r="BGM13"/>
      <c r="BGN13"/>
      <c r="BGO13"/>
      <c r="BGP13"/>
      <c r="BGQ13"/>
      <c r="BGR13"/>
      <c r="BGS13"/>
      <c r="BGT13"/>
      <c r="BGU13"/>
      <c r="BGV13"/>
      <c r="BGW13"/>
      <c r="BGX13"/>
      <c r="BGY13"/>
      <c r="BGZ13"/>
      <c r="BHA13"/>
      <c r="BHB13"/>
      <c r="BHC13"/>
      <c r="BHD13"/>
      <c r="BHE13"/>
      <c r="BHF13"/>
      <c r="BHG13"/>
      <c r="BHH13"/>
      <c r="BHI13"/>
      <c r="BHJ13"/>
      <c r="BHK13"/>
      <c r="BHL13"/>
      <c r="BHM13"/>
      <c r="BHN13"/>
      <c r="BHO13"/>
      <c r="BHP13"/>
      <c r="BHQ13"/>
      <c r="BHR13"/>
      <c r="BHS13"/>
      <c r="BHT13"/>
      <c r="BHU13"/>
      <c r="BHV13"/>
      <c r="BHW13"/>
      <c r="BHX13"/>
      <c r="BHY13"/>
      <c r="BHZ13"/>
      <c r="BIA13"/>
      <c r="BIB13"/>
      <c r="BIC13"/>
      <c r="BID13"/>
      <c r="BIE13"/>
      <c r="BIF13"/>
      <c r="BIG13"/>
      <c r="BIH13"/>
      <c r="BII13"/>
      <c r="BIJ13"/>
      <c r="BIK13"/>
      <c r="BIL13"/>
      <c r="BIM13"/>
      <c r="BIN13"/>
      <c r="BIO13"/>
      <c r="BIP13"/>
      <c r="BIQ13"/>
      <c r="BIR13"/>
      <c r="BIS13"/>
      <c r="BIT13"/>
      <c r="BIU13"/>
      <c r="BIV13"/>
      <c r="BIW13"/>
      <c r="BIX13"/>
      <c r="BIY13"/>
      <c r="BIZ13"/>
      <c r="BJA13"/>
      <c r="BJB13"/>
      <c r="BJC13"/>
      <c r="BJD13"/>
      <c r="BJE13"/>
      <c r="BJF13"/>
      <c r="BJG13"/>
      <c r="BJH13"/>
      <c r="BJI13"/>
      <c r="BJJ13"/>
      <c r="BJK13"/>
      <c r="BJL13"/>
      <c r="BJM13"/>
      <c r="BJN13"/>
      <c r="BJO13"/>
      <c r="BJP13"/>
      <c r="BJQ13"/>
      <c r="BJR13"/>
      <c r="BJS13"/>
      <c r="BJT13"/>
      <c r="BJU13"/>
      <c r="BJV13"/>
      <c r="BJW13"/>
      <c r="BJX13"/>
      <c r="BJY13"/>
      <c r="BJZ13"/>
      <c r="BKA13"/>
      <c r="BKB13"/>
      <c r="BKC13"/>
      <c r="BKD13"/>
      <c r="BKE13"/>
      <c r="BKF13"/>
      <c r="BKG13"/>
      <c r="BKH13"/>
      <c r="BKI13"/>
      <c r="BKJ13"/>
      <c r="BKK13"/>
      <c r="BKL13"/>
      <c r="BKM13"/>
      <c r="BKN13"/>
      <c r="BKO13"/>
      <c r="BKP13"/>
      <c r="BKQ13"/>
      <c r="BKR13"/>
      <c r="BKS13"/>
      <c r="BKT13"/>
      <c r="BKU13"/>
      <c r="BKV13"/>
      <c r="BKW13"/>
      <c r="BKX13"/>
      <c r="BKY13"/>
      <c r="BKZ13"/>
      <c r="BLA13"/>
      <c r="BLB13"/>
      <c r="BLC13"/>
      <c r="BLD13"/>
      <c r="BLE13"/>
      <c r="BLF13"/>
      <c r="BLG13"/>
      <c r="BLH13"/>
      <c r="BLI13"/>
      <c r="BLJ13"/>
      <c r="BLK13"/>
    </row>
    <row r="14" spans="1:1675" s="137" customFormat="1" ht="14.45" customHeight="1" thickBot="1">
      <c r="A14" s="186"/>
      <c r="B14" s="1160"/>
      <c r="C14" s="1161"/>
      <c r="D14" s="1164"/>
      <c r="E14" s="1164"/>
      <c r="F14" s="1165"/>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row>
    <row r="15" spans="1:1675" s="137" customFormat="1" ht="14.45" customHeight="1" thickTop="1" thickBot="1">
      <c r="A15" s="186"/>
      <c r="B15" s="713"/>
      <c r="C15" s="713"/>
      <c r="D15" s="714"/>
      <c r="E15" s="714"/>
      <c r="F15" s="714"/>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row>
    <row r="16" spans="1:1675" ht="14.45" customHeight="1" thickTop="1">
      <c r="A16" s="186"/>
      <c r="B16" s="1166" t="s">
        <v>10</v>
      </c>
      <c r="C16" s="1167"/>
      <c r="D16" s="1162" t="s">
        <v>11</v>
      </c>
      <c r="E16" s="1162"/>
      <c r="F16" s="1163"/>
      <c r="G16" s="693"/>
      <c r="H16" s="1203" t="s">
        <v>12</v>
      </c>
      <c r="I16" s="1204"/>
      <c r="J16" s="1204"/>
      <c r="K16" s="1162" t="s">
        <v>13</v>
      </c>
      <c r="L16" s="1163"/>
    </row>
    <row r="17" spans="1:19" ht="14.45" customHeight="1" thickBot="1">
      <c r="A17" s="186"/>
      <c r="B17" s="1168"/>
      <c r="C17" s="1169"/>
      <c r="D17" s="1164"/>
      <c r="E17" s="1164"/>
      <c r="F17" s="1165"/>
      <c r="G17" s="694"/>
      <c r="H17" s="1205"/>
      <c r="I17" s="1206"/>
      <c r="J17" s="1206"/>
      <c r="K17" s="1164"/>
      <c r="L17" s="1165"/>
      <c r="N17" s="186"/>
    </row>
    <row r="18" spans="1:19" ht="14.45" customHeight="1" thickTop="1">
      <c r="A18" s="186"/>
      <c r="N18" s="186"/>
    </row>
    <row r="19" spans="1:19" ht="14.45" customHeight="1" thickBot="1">
      <c r="A19" s="186"/>
      <c r="B19" s="597" t="s">
        <v>14</v>
      </c>
      <c r="C19" s="138"/>
      <c r="D19" s="1282" t="s">
        <v>15</v>
      </c>
      <c r="E19" s="1282"/>
      <c r="F19" s="1282"/>
      <c r="G19" s="702"/>
      <c r="L19" s="399"/>
      <c r="N19" s="186"/>
    </row>
    <row r="20" spans="1:19" ht="14.45" customHeight="1" thickTop="1">
      <c r="A20" s="186"/>
      <c r="B20" s="1195" t="s">
        <v>16</v>
      </c>
      <c r="C20" s="1196"/>
      <c r="D20" s="1199" t="s">
        <v>17</v>
      </c>
      <c r="E20" s="1199"/>
      <c r="F20" s="1200"/>
      <c r="G20" s="687"/>
      <c r="H20" s="1195" t="s">
        <v>18</v>
      </c>
      <c r="I20" s="1196"/>
      <c r="J20" s="1199"/>
      <c r="K20" s="1199"/>
      <c r="L20" s="1200"/>
      <c r="N20" s="186"/>
    </row>
    <row r="21" spans="1:19" ht="14.45" customHeight="1" thickBot="1">
      <c r="A21" s="186"/>
      <c r="B21" s="1197"/>
      <c r="C21" s="1198"/>
      <c r="D21" s="1201"/>
      <c r="E21" s="1201"/>
      <c r="F21" s="1202"/>
      <c r="G21" s="688"/>
      <c r="H21" s="1197"/>
      <c r="I21" s="1198"/>
      <c r="J21" s="1201"/>
      <c r="K21" s="1201"/>
      <c r="L21" s="1202"/>
      <c r="N21" s="186"/>
    </row>
    <row r="22" spans="1:19" ht="14.45" customHeight="1" thickTop="1">
      <c r="A22" s="186"/>
      <c r="B22" s="555"/>
      <c r="C22" s="555"/>
      <c r="N22" s="186"/>
    </row>
    <row r="23" spans="1:19" ht="14.45" customHeight="1" thickBot="1">
      <c r="A23" s="186"/>
      <c r="B23" s="560" t="s">
        <v>19</v>
      </c>
      <c r="C23" s="555"/>
      <c r="D23" s="555"/>
      <c r="E23" s="555"/>
      <c r="F23" s="683"/>
      <c r="G23" s="683"/>
      <c r="N23" s="186"/>
    </row>
    <row r="24" spans="1:19" ht="14.45" customHeight="1" thickTop="1">
      <c r="A24" s="186"/>
      <c r="B24" s="1203" t="s">
        <v>20</v>
      </c>
      <c r="C24" s="1204"/>
      <c r="D24" s="1199"/>
      <c r="E24" s="1199"/>
      <c r="F24" s="1200"/>
      <c r="G24" s="687"/>
      <c r="H24" s="1203" t="s">
        <v>21</v>
      </c>
      <c r="I24" s="1204"/>
      <c r="J24" s="1199"/>
      <c r="K24" s="1199"/>
      <c r="L24" s="1200"/>
      <c r="M24" s="196"/>
      <c r="N24" s="186"/>
      <c r="R24" s="641"/>
    </row>
    <row r="25" spans="1:19" ht="14.45" customHeight="1" thickBot="1">
      <c r="A25" s="186"/>
      <c r="B25" s="1205"/>
      <c r="C25" s="1206"/>
      <c r="D25" s="1201"/>
      <c r="E25" s="1201"/>
      <c r="F25" s="1202"/>
      <c r="G25" s="688"/>
      <c r="H25" s="1205"/>
      <c r="I25" s="1206"/>
      <c r="J25" s="1201"/>
      <c r="K25" s="1201"/>
      <c r="L25" s="1202"/>
      <c r="M25" s="196"/>
      <c r="N25" s="186"/>
      <c r="R25" s="641"/>
    </row>
    <row r="26" spans="1:19" ht="14.45" customHeight="1" thickTop="1">
      <c r="A26" s="186"/>
      <c r="B26" s="602"/>
      <c r="C26" s="602"/>
      <c r="D26" s="640"/>
      <c r="E26" s="640"/>
      <c r="F26" s="640"/>
      <c r="G26" s="640"/>
      <c r="H26" s="602"/>
      <c r="I26" s="602"/>
      <c r="J26" s="640"/>
      <c r="K26" s="640"/>
      <c r="L26" s="640"/>
      <c r="N26" s="186"/>
      <c r="R26" s="641"/>
    </row>
    <row r="27" spans="1:19" ht="14.45" customHeight="1">
      <c r="A27" s="186"/>
      <c r="B27" s="1176" t="s">
        <v>22</v>
      </c>
      <c r="C27" s="1176"/>
      <c r="D27" s="1176"/>
      <c r="E27" s="1176"/>
      <c r="F27" s="1176"/>
      <c r="G27" s="581"/>
      <c r="N27" s="186"/>
      <c r="R27" s="641"/>
    </row>
    <row r="28" spans="1:19" ht="14.45" customHeight="1">
      <c r="A28" s="186"/>
      <c r="B28" s="1176"/>
      <c r="C28" s="1176"/>
      <c r="D28" s="1176"/>
      <c r="E28" s="1176"/>
      <c r="F28" s="1176"/>
      <c r="G28" s="581"/>
      <c r="N28" s="186"/>
      <c r="R28" s="641"/>
    </row>
    <row r="29" spans="1:19" ht="14.45" customHeight="1" thickBot="1">
      <c r="A29" s="186"/>
      <c r="B29"/>
      <c r="N29" s="186"/>
      <c r="R29" s="641"/>
    </row>
    <row r="30" spans="1:19" ht="14.45" customHeight="1" thickTop="1">
      <c r="A30" s="186"/>
      <c r="B30" s="554" t="str">
        <f>IF($D$16='Menu déroulant'!$B$20,"Mur / Wall (4-) :","Mur / Wall (w-) :")</f>
        <v>Mur / Wall (w-) :</v>
      </c>
      <c r="E30" s="606"/>
      <c r="H30" s="1268" t="str">
        <f>IF(OR(ISBLANK(E30),ISBLANK(E31)),"","PASSEZ DIRECTEMENT À L'ÉTAPE 4.")</f>
        <v/>
      </c>
      <c r="I30" s="1269"/>
      <c r="J30" s="1269"/>
      <c r="K30" s="1269"/>
      <c r="L30" s="1270"/>
      <c r="N30" s="186"/>
      <c r="Q30" s="667"/>
    </row>
    <row r="31" spans="1:19" ht="14.45" customHeight="1" thickBot="1">
      <c r="A31" s="186"/>
      <c r="B31" s="554" t="str">
        <f>IF($D$16='Menu déroulant'!$B$20,"Coin de mur / Wall corner (5-) :","Coin de mur / Wall corner (e-) :")</f>
        <v>Coin de mur / Wall corner (e-) :</v>
      </c>
      <c r="E31" s="606"/>
      <c r="H31" s="1271"/>
      <c r="I31" s="1272"/>
      <c r="J31" s="1272"/>
      <c r="K31" s="1272"/>
      <c r="L31" s="1273"/>
      <c r="N31" s="186"/>
      <c r="Q31" s="667"/>
    </row>
    <row r="32" spans="1:19" ht="14.45" customHeight="1" thickTop="1">
      <c r="A32" s="186"/>
      <c r="B32" s="1281"/>
      <c r="C32" s="1281"/>
      <c r="E32" s="661"/>
      <c r="N32" s="186"/>
      <c r="R32" s="1280"/>
      <c r="S32" s="1280"/>
    </row>
    <row r="33" spans="1:22" ht="14.45" customHeight="1">
      <c r="A33" s="186"/>
      <c r="B33" s="1176" t="s">
        <v>23</v>
      </c>
      <c r="C33" s="1176"/>
      <c r="D33" s="1176"/>
      <c r="E33" s="1176"/>
      <c r="F33" s="1176"/>
      <c r="G33" s="581"/>
      <c r="N33" s="186"/>
      <c r="R33" s="641"/>
    </row>
    <row r="34" spans="1:22" ht="14.45" customHeight="1">
      <c r="A34" s="186"/>
      <c r="B34" s="1176"/>
      <c r="C34" s="1176"/>
      <c r="D34" s="1176"/>
      <c r="E34" s="1176"/>
      <c r="F34" s="1176"/>
      <c r="G34" s="581"/>
      <c r="M34" s="550"/>
      <c r="N34" s="186"/>
    </row>
    <row r="35" spans="1:22" ht="14.45" customHeight="1" thickBot="1">
      <c r="A35" s="186"/>
      <c r="M35" s="550"/>
      <c r="N35" s="186"/>
      <c r="R35" s="642"/>
    </row>
    <row r="36" spans="1:22" ht="14.45" customHeight="1" thickTop="1">
      <c r="A36" s="186"/>
      <c r="B36" s="1190" t="s">
        <v>24</v>
      </c>
      <c r="C36" s="1191"/>
      <c r="D36" s="1183">
        <v>80</v>
      </c>
      <c r="E36" s="1183"/>
      <c r="F36" s="1185" t="str">
        <f>IF($K$16='Menu déroulant'!$AA$56,'Menu déroulant'!$AA$23,'Menu déroulant'!$AA$24)</f>
        <v>pieds / foot</v>
      </c>
      <c r="G36" s="685"/>
      <c r="H36" s="1190" t="s">
        <v>25</v>
      </c>
      <c r="I36" s="1191"/>
      <c r="J36" s="1183">
        <v>80</v>
      </c>
      <c r="K36" s="1183"/>
      <c r="L36" s="1185" t="str">
        <f>IF($K$16='Menu déroulant'!$AA$56,'Menu déroulant'!$AA$23,'Menu déroulant'!$AA$24)</f>
        <v>pieds / foot</v>
      </c>
      <c r="M36" s="550"/>
      <c r="N36" s="186"/>
      <c r="R36" s="642"/>
    </row>
    <row r="37" spans="1:22" ht="14.45" customHeight="1" thickBot="1">
      <c r="A37" s="186"/>
      <c r="B37" s="1177"/>
      <c r="C37" s="1178"/>
      <c r="D37" s="1283"/>
      <c r="E37" s="1283"/>
      <c r="F37" s="1189"/>
      <c r="G37" s="689"/>
      <c r="H37" s="1179"/>
      <c r="I37" s="1180"/>
      <c r="J37" s="1184"/>
      <c r="K37" s="1184"/>
      <c r="L37" s="1186"/>
      <c r="N37" s="186"/>
      <c r="R37" s="642"/>
    </row>
    <row r="38" spans="1:22" ht="14.45" customHeight="1" thickTop="1">
      <c r="A38" s="186"/>
      <c r="B38" s="1177" t="s">
        <v>26</v>
      </c>
      <c r="C38" s="1178"/>
      <c r="D38" s="1187">
        <v>29</v>
      </c>
      <c r="E38" s="1187"/>
      <c r="F38" s="1189" t="str">
        <f>IF($K$16='Menu déroulant'!$AA$56,'Menu déroulant'!$AA$23,'Menu déroulant'!$AA$24)</f>
        <v>pieds / foot</v>
      </c>
      <c r="G38" s="602"/>
      <c r="L38" s="175"/>
      <c r="N38" s="186"/>
      <c r="R38" s="642"/>
    </row>
    <row r="39" spans="1:22" ht="14.45" customHeight="1" thickBot="1">
      <c r="A39" s="186"/>
      <c r="B39" s="1179"/>
      <c r="C39" s="1180"/>
      <c r="D39" s="1188"/>
      <c r="E39" s="1188"/>
      <c r="F39" s="1186"/>
      <c r="G39" s="602"/>
      <c r="N39" s="186"/>
    </row>
    <row r="40" spans="1:22" ht="14.45" customHeight="1" thickTop="1">
      <c r="A40" s="186"/>
      <c r="B40" s="1176" t="s">
        <v>27</v>
      </c>
      <c r="C40" s="1176"/>
      <c r="D40" s="1176"/>
      <c r="E40" s="1176"/>
      <c r="F40" s="1176"/>
      <c r="G40" s="581"/>
      <c r="N40" s="186"/>
    </row>
    <row r="41" spans="1:22" ht="14.45" customHeight="1">
      <c r="A41" s="186"/>
      <c r="B41" s="1176"/>
      <c r="C41" s="1176"/>
      <c r="D41" s="1176"/>
      <c r="E41" s="1176"/>
      <c r="F41" s="1176"/>
      <c r="G41" s="581"/>
      <c r="N41" s="186"/>
    </row>
    <row r="42" spans="1:22" ht="14.45" customHeight="1" thickBot="1">
      <c r="A42" s="186"/>
      <c r="N42" s="186"/>
    </row>
    <row r="43" spans="1:22" ht="14.45" customHeight="1" thickTop="1">
      <c r="A43" s="186"/>
      <c r="B43" s="1170" t="s">
        <v>14</v>
      </c>
      <c r="C43" s="1171"/>
      <c r="D43" s="1171"/>
      <c r="E43" s="1171"/>
      <c r="F43" s="1172"/>
      <c r="G43" s="703"/>
      <c r="H43" s="1265" t="s">
        <v>19</v>
      </c>
      <c r="I43" s="1266"/>
      <c r="J43" s="1266"/>
      <c r="K43" s="1266"/>
      <c r="L43" s="1267"/>
      <c r="N43" s="186"/>
    </row>
    <row r="44" spans="1:22" ht="14.45" customHeight="1">
      <c r="A44" s="186"/>
      <c r="B44" s="1173"/>
      <c r="C44" s="1174"/>
      <c r="D44" s="1174"/>
      <c r="E44" s="1174"/>
      <c r="F44" s="1175"/>
      <c r="G44" s="704"/>
      <c r="H44" s="1278" t="s">
        <v>28</v>
      </c>
      <c r="I44" s="1279"/>
      <c r="J44" s="556"/>
      <c r="K44" s="556"/>
      <c r="L44" s="557"/>
      <c r="N44" s="186"/>
      <c r="S44" s="129"/>
      <c r="T44" s="129"/>
      <c r="U44" s="129"/>
      <c r="V44" s="643"/>
    </row>
    <row r="45" spans="1:22" ht="14.45" customHeight="1">
      <c r="A45" s="186"/>
      <c r="B45" s="1217" t="s">
        <v>29</v>
      </c>
      <c r="C45" s="1218"/>
      <c r="D45" s="1218"/>
      <c r="E45" s="1211" t="s">
        <v>30</v>
      </c>
      <c r="F45" s="1212"/>
      <c r="G45" s="686"/>
      <c r="H45" s="1217" t="s">
        <v>31</v>
      </c>
      <c r="I45" s="1218"/>
      <c r="J45" s="1218"/>
      <c r="K45" s="1274"/>
      <c r="L45" s="1275"/>
      <c r="N45" s="186"/>
      <c r="S45" s="129"/>
      <c r="T45" s="129"/>
      <c r="U45" s="129"/>
      <c r="V45" s="643"/>
    </row>
    <row r="46" spans="1:22" ht="14.45" customHeight="1">
      <c r="A46" s="186"/>
      <c r="B46" s="1219"/>
      <c r="C46" s="1220"/>
      <c r="D46" s="1220"/>
      <c r="E46" s="1213"/>
      <c r="F46" s="1214"/>
      <c r="G46" s="686"/>
      <c r="H46" s="1219"/>
      <c r="I46" s="1220"/>
      <c r="J46" s="1220"/>
      <c r="K46" s="1276"/>
      <c r="L46" s="1277"/>
      <c r="N46" s="186"/>
      <c r="Q46" s="129"/>
      <c r="R46" s="129"/>
      <c r="S46" s="129"/>
      <c r="T46" s="129"/>
      <c r="U46" s="129"/>
      <c r="V46" s="643"/>
    </row>
    <row r="47" spans="1:22" ht="14.45" customHeight="1">
      <c r="A47" s="186"/>
      <c r="B47" s="1217" t="s">
        <v>32</v>
      </c>
      <c r="C47" s="1218"/>
      <c r="D47" s="1218"/>
      <c r="E47" s="1211" t="s">
        <v>33</v>
      </c>
      <c r="F47" s="1212"/>
      <c r="G47" s="686"/>
      <c r="H47" s="1217" t="s">
        <v>34</v>
      </c>
      <c r="I47" s="1218"/>
      <c r="J47" s="1218"/>
      <c r="K47" s="1209"/>
      <c r="L47" s="1210"/>
      <c r="N47" s="186"/>
      <c r="V47" s="643"/>
    </row>
    <row r="48" spans="1:22" ht="14.45" customHeight="1">
      <c r="A48" s="186"/>
      <c r="B48" s="1219"/>
      <c r="C48" s="1220"/>
      <c r="D48" s="1220"/>
      <c r="E48" s="1213"/>
      <c r="F48" s="1214"/>
      <c r="G48" s="686"/>
      <c r="H48" s="1219"/>
      <c r="I48" s="1220"/>
      <c r="J48" s="1220"/>
      <c r="K48" s="1215"/>
      <c r="L48" s="1216"/>
      <c r="M48" s="408"/>
      <c r="N48" s="186"/>
      <c r="V48" s="643"/>
    </row>
    <row r="49" spans="1:42" ht="14.45" customHeight="1">
      <c r="A49" s="186"/>
      <c r="B49" s="1217" t="s">
        <v>35</v>
      </c>
      <c r="C49" s="1218"/>
      <c r="D49" s="1218"/>
      <c r="E49" s="1209" t="s">
        <v>36</v>
      </c>
      <c r="F49" s="1210"/>
      <c r="G49" s="684"/>
      <c r="H49" s="1217" t="s">
        <v>37</v>
      </c>
      <c r="I49" s="1218"/>
      <c r="J49" s="1218"/>
      <c r="K49" s="1209"/>
      <c r="L49" s="1210"/>
      <c r="M49" s="408"/>
      <c r="N49" s="186"/>
      <c r="V49" s="643"/>
    </row>
    <row r="50" spans="1:42" ht="14.45" customHeight="1">
      <c r="A50" s="186"/>
      <c r="B50" s="1219"/>
      <c r="C50" s="1220"/>
      <c r="D50" s="1220"/>
      <c r="E50" s="1215"/>
      <c r="F50" s="1216"/>
      <c r="G50" s="692"/>
      <c r="H50" s="1219"/>
      <c r="I50" s="1220"/>
      <c r="J50" s="1220"/>
      <c r="K50" s="1215"/>
      <c r="L50" s="1216"/>
      <c r="M50" s="408"/>
      <c r="N50" s="186"/>
      <c r="V50" s="643"/>
    </row>
    <row r="51" spans="1:42" ht="14.45" customHeight="1">
      <c r="A51" s="186"/>
      <c r="B51" s="1207" t="s">
        <v>38</v>
      </c>
      <c r="C51" s="1208"/>
      <c r="D51" s="1208"/>
      <c r="E51" s="1209" t="s">
        <v>39</v>
      </c>
      <c r="F51" s="1210"/>
      <c r="G51" s="690"/>
      <c r="H51" s="1207" t="s">
        <v>38</v>
      </c>
      <c r="I51" s="1208"/>
      <c r="J51" s="1208"/>
      <c r="K51" s="1209"/>
      <c r="L51" s="1210"/>
      <c r="N51" s="186"/>
      <c r="V51" s="643"/>
    </row>
    <row r="52" spans="1:42" ht="12.95" customHeight="1" thickBot="1">
      <c r="A52" s="186"/>
      <c r="B52" s="1205"/>
      <c r="C52" s="1206"/>
      <c r="D52" s="1206"/>
      <c r="E52" s="1201"/>
      <c r="F52" s="1202"/>
      <c r="G52" s="691"/>
      <c r="H52" s="1205"/>
      <c r="I52" s="1206"/>
      <c r="J52" s="1206"/>
      <c r="K52" s="1201"/>
      <c r="L52" s="1202"/>
      <c r="N52" s="186"/>
      <c r="V52" s="643"/>
    </row>
    <row r="53" spans="1:42" ht="6.95" hidden="1" customHeight="1" thickTop="1" thickBot="1">
      <c r="A53" s="186"/>
      <c r="B53" s="602"/>
      <c r="C53" s="602"/>
      <c r="D53" s="602"/>
      <c r="E53" s="640"/>
      <c r="F53" s="640"/>
      <c r="G53" s="640"/>
      <c r="H53" s="580"/>
      <c r="I53" s="580"/>
      <c r="J53" s="580"/>
      <c r="K53" s="607"/>
      <c r="L53" s="607"/>
      <c r="N53" s="186"/>
      <c r="V53" s="643"/>
    </row>
    <row r="54" spans="1:42" ht="14.45" customHeight="1" thickTop="1">
      <c r="A54" s="186"/>
      <c r="B54" s="602"/>
      <c r="C54" s="602"/>
      <c r="D54" s="602"/>
      <c r="E54" s="640"/>
      <c r="F54" s="640"/>
      <c r="G54" s="640"/>
      <c r="H54" s="1225" t="str">
        <f>IF(OR($E$51='Menu déroulant'!$AE$57,$K$51='Menu déroulant'!$AE$57),"Avertissement : Ce fichier ne supporte pas les terrains qui ont une pente plus grande que 10° d'inclinaison.","")</f>
        <v/>
      </c>
      <c r="I54" s="1226"/>
      <c r="J54" s="1226"/>
      <c r="K54" s="1226"/>
      <c r="L54" s="1227"/>
      <c r="N54" s="186"/>
      <c r="V54" s="643"/>
    </row>
    <row r="55" spans="1:42" ht="14.45" customHeight="1" thickBot="1">
      <c r="A55" s="186"/>
      <c r="B55" s="1221" t="s">
        <v>40</v>
      </c>
      <c r="C55" s="1221"/>
      <c r="D55" s="1221"/>
      <c r="E55" s="1221"/>
      <c r="F55" s="1221"/>
      <c r="G55" s="695"/>
      <c r="H55" s="1228"/>
      <c r="I55" s="1229"/>
      <c r="J55" s="1229"/>
      <c r="K55" s="1229"/>
      <c r="L55" s="1230"/>
      <c r="N55" s="186"/>
      <c r="V55" s="643"/>
    </row>
    <row r="56" spans="1:42" ht="14.45" customHeight="1" thickTop="1">
      <c r="A56" s="186"/>
      <c r="B56" s="1221"/>
      <c r="C56" s="1221"/>
      <c r="D56" s="1221"/>
      <c r="E56" s="1221"/>
      <c r="F56" s="1221"/>
      <c r="G56" s="695"/>
      <c r="H56" s="1225" t="str">
        <f>IF(OR($E$51='Menu déroulant'!$AE$57,$K$51='Menu déroulant'!$AE$57),"Warning : This calculation tool does not support terrain with an incline greater than 10°.","")</f>
        <v/>
      </c>
      <c r="I56" s="1226"/>
      <c r="J56" s="1226"/>
      <c r="K56" s="1226"/>
      <c r="L56" s="1227"/>
      <c r="N56" s="186"/>
      <c r="V56" s="643"/>
    </row>
    <row r="57" spans="1:42" ht="10.9" customHeight="1" thickBot="1">
      <c r="A57" s="186"/>
      <c r="H57" s="1228"/>
      <c r="I57" s="1229"/>
      <c r="J57" s="1229"/>
      <c r="K57" s="1229"/>
      <c r="L57" s="1230"/>
      <c r="N57" s="186"/>
      <c r="V57" s="643"/>
    </row>
    <row r="58" spans="1:42" ht="14.45" hidden="1" customHeight="1" thickTop="1">
      <c r="A58" s="186"/>
      <c r="H58" s="550"/>
      <c r="I58" s="550"/>
      <c r="J58" s="550"/>
      <c r="K58" s="550"/>
      <c r="L58" s="550"/>
      <c r="N58" s="186"/>
      <c r="V58" s="643"/>
    </row>
    <row r="59" spans="1:42" ht="75.400000000000006" customHeight="1" thickTop="1">
      <c r="A59" s="186"/>
      <c r="C59" s="1232" t="s">
        <v>41</v>
      </c>
      <c r="D59" s="1233"/>
      <c r="E59" s="303" t="s">
        <v>42</v>
      </c>
      <c r="F59" s="381" t="s">
        <v>43</v>
      </c>
      <c r="G59" s="381"/>
      <c r="H59" s="381" t="s">
        <v>44</v>
      </c>
      <c r="I59" s="303" t="s">
        <v>45</v>
      </c>
      <c r="J59" s="381" t="s">
        <v>46</v>
      </c>
      <c r="K59" s="668" t="s">
        <v>47</v>
      </c>
      <c r="L59" s="669"/>
      <c r="N59" s="186"/>
      <c r="AJ59" s="643"/>
    </row>
    <row r="60" spans="1:42" ht="30.4" customHeight="1">
      <c r="A60" s="186"/>
      <c r="B60" s="246" t="s">
        <v>48</v>
      </c>
      <c r="C60" s="598" t="s">
        <v>49</v>
      </c>
      <c r="D60" s="599" t="s">
        <v>50</v>
      </c>
      <c r="E60" s="598">
        <v>6</v>
      </c>
      <c r="F60" s="598">
        <v>36</v>
      </c>
      <c r="G60" s="598"/>
      <c r="H60" s="598">
        <v>26</v>
      </c>
      <c r="I60" s="600">
        <v>26</v>
      </c>
      <c r="J60" s="601" t="s">
        <v>51</v>
      </c>
      <c r="K60" s="601" t="s">
        <v>52</v>
      </c>
      <c r="L60" s="670"/>
      <c r="M60" s="671"/>
      <c r="N60" s="186"/>
      <c r="AE60" s="450"/>
      <c r="AF60" s="644" t="s">
        <v>53</v>
      </c>
      <c r="AG60" s="643"/>
      <c r="AH60" s="645"/>
      <c r="AI60" s="643"/>
      <c r="AJ60" s="643"/>
    </row>
    <row r="61" spans="1:42" ht="30.4" customHeight="1" thickBot="1">
      <c r="A61" s="186"/>
      <c r="B61" s="246" t="s">
        <v>54</v>
      </c>
      <c r="C61" s="598" t="s">
        <v>49</v>
      </c>
      <c r="D61" s="599" t="s">
        <v>50</v>
      </c>
      <c r="E61" s="598">
        <v>4</v>
      </c>
      <c r="F61" s="598">
        <v>36</v>
      </c>
      <c r="G61" s="598"/>
      <c r="H61" s="598">
        <v>26</v>
      </c>
      <c r="I61" s="600">
        <v>26</v>
      </c>
      <c r="J61" s="601" t="s">
        <v>51</v>
      </c>
      <c r="K61" s="601" t="s">
        <v>52</v>
      </c>
      <c r="L61" s="670"/>
      <c r="M61" s="671"/>
      <c r="N61" s="186"/>
    </row>
    <row r="62" spans="1:42" ht="30.4" customHeight="1" thickTop="1">
      <c r="A62" s="186"/>
      <c r="B62" s="246" t="s">
        <v>55</v>
      </c>
      <c r="C62" s="598" t="s">
        <v>56</v>
      </c>
      <c r="D62" s="599"/>
      <c r="E62" s="598">
        <v>8</v>
      </c>
      <c r="F62" s="598">
        <v>42.5</v>
      </c>
      <c r="G62" s="598"/>
      <c r="H62" s="598">
        <v>26</v>
      </c>
      <c r="I62" s="600">
        <v>26</v>
      </c>
      <c r="J62" s="601" t="s">
        <v>57</v>
      </c>
      <c r="K62" s="601" t="s">
        <v>52</v>
      </c>
      <c r="L62" s="669"/>
      <c r="M62" s="408"/>
      <c r="N62" s="186"/>
      <c r="AE62" s="1248" t="s">
        <v>58</v>
      </c>
      <c r="AF62" s="1259" t="s">
        <v>59</v>
      </c>
      <c r="AG62" s="1260"/>
      <c r="AH62" s="1242" t="s">
        <v>60</v>
      </c>
      <c r="AI62" s="1245" t="s">
        <v>61</v>
      </c>
      <c r="AJ62" s="1238" t="s">
        <v>62</v>
      </c>
      <c r="AK62" s="1239"/>
      <c r="AL62" s="1234" t="str" cm="1">
        <f t="array" ref="AL62">_xlfn.IFS(ISBLANK(AH65),"",ISERROR('Infos Techniques'!D214),"Partially Open / Enclosed",ISERROR('Infos Techniques'!D215),"Partially Open / Enclosed",ISERROR('Infos Techniques'!D216),"Partially Open / Enclosed",'Infos Techniques'!D214="1","Partially Enclosed (S)")</f>
        <v>Partially Enclosed (S)</v>
      </c>
      <c r="AM62" s="1234"/>
      <c r="AN62" s="1235"/>
    </row>
    <row r="63" spans="1:42" ht="14.45" customHeight="1" thickBot="1">
      <c r="A63" s="186"/>
      <c r="B63" s="302"/>
      <c r="C63" s="302"/>
      <c r="D63" s="302"/>
      <c r="E63" s="302"/>
      <c r="F63" s="302"/>
      <c r="M63" s="409"/>
      <c r="N63" s="186"/>
      <c r="AE63" s="1249"/>
      <c r="AF63" s="1261"/>
      <c r="AG63" s="1262"/>
      <c r="AH63" s="1243"/>
      <c r="AI63" s="1246"/>
      <c r="AJ63" s="1240"/>
      <c r="AK63" s="1241"/>
      <c r="AL63" s="1236"/>
      <c r="AM63" s="1236"/>
      <c r="AN63" s="1237"/>
    </row>
    <row r="64" spans="1:42" ht="14.45" customHeight="1" thickTop="1">
      <c r="A64" s="186"/>
      <c r="B64" s="1176" t="s">
        <v>63</v>
      </c>
      <c r="C64" s="1176"/>
      <c r="D64" s="1176"/>
      <c r="E64" s="1176"/>
      <c r="F64" s="1176"/>
      <c r="G64" s="581"/>
      <c r="I64" s="449"/>
      <c r="J64" s="409"/>
      <c r="K64" s="409"/>
      <c r="L64" s="409"/>
      <c r="M64" s="409"/>
      <c r="N64" s="186"/>
      <c r="AE64" s="1250"/>
      <c r="AF64" s="1263"/>
      <c r="AG64" s="1264"/>
      <c r="AH64" s="1244"/>
      <c r="AI64" s="1247"/>
      <c r="AJ64" s="646" t="s">
        <v>64</v>
      </c>
      <c r="AK64" s="1217"/>
      <c r="AL64" s="1218"/>
      <c r="AM64" s="1218"/>
      <c r="AN64" s="1255"/>
      <c r="AO64" s="1256"/>
      <c r="AP64" s="304" t="s">
        <v>65</v>
      </c>
    </row>
    <row r="65" spans="1:41" ht="14.45" customHeight="1" thickBot="1">
      <c r="A65" s="186"/>
      <c r="B65" s="1176"/>
      <c r="C65" s="1176"/>
      <c r="D65" s="1176"/>
      <c r="E65" s="1176"/>
      <c r="F65" s="1176"/>
      <c r="G65" s="581"/>
      <c r="I65" s="449"/>
      <c r="J65" s="409"/>
      <c r="K65" s="409"/>
      <c r="L65" s="409"/>
      <c r="M65" s="409"/>
      <c r="N65" s="186"/>
      <c r="AE65" s="647">
        <v>1</v>
      </c>
      <c r="AF65" s="648">
        <v>50</v>
      </c>
      <c r="AG65" s="649" t="str">
        <f>IF($K$16='Menu déroulant'!$AA$56,"ft.","m")</f>
        <v>ft.</v>
      </c>
      <c r="AH65" s="650">
        <v>1000</v>
      </c>
      <c r="AI65" s="650">
        <v>200</v>
      </c>
      <c r="AJ65" s="651" t="str">
        <f>IF($K$16='Menu déroulant'!$AA$56,'Menu déroulant'!$AA$53,'Menu déroulant'!$AA$54)</f>
        <v>sq.ft.</v>
      </c>
      <c r="AK65" s="1197"/>
      <c r="AL65" s="1198"/>
      <c r="AM65" s="1198"/>
      <c r="AN65" s="1257"/>
      <c r="AO65" s="1258"/>
    </row>
    <row r="66" spans="1:41" ht="14.45" customHeight="1" thickTop="1" thickBot="1">
      <c r="A66" s="186"/>
      <c r="B66" s="558"/>
      <c r="C66" s="558"/>
      <c r="D66" s="558"/>
      <c r="E66" s="558"/>
      <c r="F66" s="240"/>
      <c r="G66" s="240"/>
      <c r="M66" s="409"/>
      <c r="N66" s="186"/>
      <c r="AE66" s="647">
        <v>2</v>
      </c>
      <c r="AF66" s="648">
        <v>50</v>
      </c>
      <c r="AG66" s="649" t="str">
        <f>IF($K$16='Menu déroulant'!$AA$56,"ft.","m")</f>
        <v>ft.</v>
      </c>
      <c r="AH66" s="650">
        <v>1000</v>
      </c>
      <c r="AI66" s="650">
        <v>0</v>
      </c>
      <c r="AJ66" s="651" t="str">
        <f>$AJ$65</f>
        <v>sq.ft.</v>
      </c>
      <c r="AL66" s="1253" t="s">
        <v>66</v>
      </c>
      <c r="AM66" s="1253" t="s">
        <v>67</v>
      </c>
    </row>
    <row r="67" spans="1:41" ht="14.45" customHeight="1" thickTop="1">
      <c r="A67" s="186"/>
      <c r="B67" s="1166" t="str">
        <f>IF(AND($D$16='Menu déroulant'!$B$20,OR($D$13='Menu déroulant'!$AA$3,$D$13='Menu déroulant'!$AA$4)),"Vitesse de vent FM (USA) / FM Wind Speed (USA only) :","")</f>
        <v/>
      </c>
      <c r="C67" s="1167"/>
      <c r="D67" s="1222"/>
      <c r="E67" s="1222"/>
      <c r="F67" s="1224"/>
      <c r="G67" s="705"/>
      <c r="M67" s="409"/>
      <c r="N67" s="186"/>
      <c r="AE67" s="647">
        <v>3</v>
      </c>
      <c r="AF67" s="648">
        <v>50</v>
      </c>
      <c r="AG67" s="649" t="str">
        <f>IF($K$16='Menu déroulant'!$AA$56,"ft.","m")</f>
        <v>ft.</v>
      </c>
      <c r="AH67" s="650">
        <v>1000</v>
      </c>
      <c r="AI67" s="650">
        <v>0</v>
      </c>
      <c r="AJ67" s="651" t="str">
        <f>$AJ$65</f>
        <v>sq.ft.</v>
      </c>
      <c r="AL67" s="1253"/>
      <c r="AM67" s="1253"/>
    </row>
    <row r="68" spans="1:41" ht="14.45" customHeight="1" thickBot="1">
      <c r="A68" s="186"/>
      <c r="B68" s="1168"/>
      <c r="C68" s="1169"/>
      <c r="D68" s="1223"/>
      <c r="E68" s="1223"/>
      <c r="F68" s="1224"/>
      <c r="G68" s="705"/>
      <c r="M68" s="409"/>
      <c r="N68" s="186"/>
      <c r="AE68" s="647">
        <v>4</v>
      </c>
      <c r="AF68" s="648">
        <v>50</v>
      </c>
      <c r="AG68" s="649" t="str">
        <f>IF($K$16='Menu déroulant'!$AA$56,"ft.","m")</f>
        <v>ft.</v>
      </c>
      <c r="AH68" s="650">
        <v>1000</v>
      </c>
      <c r="AI68" s="648">
        <v>0</v>
      </c>
      <c r="AJ68" s="651" t="str">
        <f>$AJ$65</f>
        <v>sq.ft.</v>
      </c>
      <c r="AL68" s="1253"/>
      <c r="AM68" s="1253"/>
    </row>
    <row r="69" spans="1:41" ht="13.9" customHeight="1" thickTop="1" thickBot="1">
      <c r="A69" s="186"/>
      <c r="H69" s="1252"/>
      <c r="I69" s="1252"/>
      <c r="J69" s="1252"/>
      <c r="K69" s="1252"/>
      <c r="L69" s="1252"/>
      <c r="N69" s="186"/>
      <c r="AE69" s="652" t="s">
        <v>68</v>
      </c>
      <c r="AF69" s="653">
        <v>2</v>
      </c>
      <c r="AG69" s="654"/>
      <c r="AH69" s="655">
        <v>1000</v>
      </c>
      <c r="AI69" s="656">
        <v>0</v>
      </c>
      <c r="AJ69" s="657" t="str">
        <f>$AJ$65</f>
        <v>sq.ft.</v>
      </c>
      <c r="AL69" s="1254"/>
      <c r="AM69" s="1254"/>
    </row>
    <row r="70" spans="1:41" ht="13.9" customHeight="1" thickTop="1">
      <c r="A70" s="186"/>
      <c r="B70" s="1251" t="str">
        <f>IF(AND($D$16='Menu déroulant'!$B$20,OR($D$13='Menu déroulant'!$AA$3,$D$13='Menu déroulant'!$AA$4)),"Cartes vitesse de vent USA / USA Wind Speed Maps","")</f>
        <v/>
      </c>
      <c r="C70" s="1251"/>
      <c r="D70" s="1251"/>
      <c r="E70" s="1251"/>
      <c r="H70" s="1252"/>
      <c r="I70" s="1252"/>
      <c r="J70" s="1252"/>
      <c r="K70" s="1252"/>
      <c r="L70" s="1252"/>
      <c r="N70" s="186"/>
      <c r="AH70" s="15"/>
      <c r="AI70" s="15"/>
      <c r="AJ70" s="658"/>
      <c r="AK70" s="450" t="s">
        <v>48</v>
      </c>
      <c r="AL70" s="659" t="s">
        <v>69</v>
      </c>
      <c r="AM70" s="660" t="s">
        <v>70</v>
      </c>
    </row>
    <row r="71" spans="1:41" ht="14.45" customHeight="1">
      <c r="A71" s="186"/>
      <c r="N71" s="186"/>
      <c r="AK71" s="450" t="s">
        <v>54</v>
      </c>
      <c r="AL71" s="659" t="s">
        <v>69</v>
      </c>
      <c r="AM71" s="660" t="s">
        <v>70</v>
      </c>
    </row>
    <row r="72" spans="1:41" ht="14.45" customHeight="1">
      <c r="A72" s="186"/>
      <c r="N72" s="186"/>
      <c r="AK72" s="450" t="s">
        <v>55</v>
      </c>
      <c r="AL72" s="659" t="s">
        <v>69</v>
      </c>
      <c r="AM72" s="660" t="s">
        <v>70</v>
      </c>
    </row>
    <row r="73" spans="1:41">
      <c r="A73" s="186"/>
      <c r="N73" s="186"/>
    </row>
    <row r="74" spans="1:41">
      <c r="A74" s="186"/>
      <c r="N74" s="186"/>
    </row>
    <row r="75" spans="1:41">
      <c r="A75" s="186"/>
      <c r="N75" s="186"/>
    </row>
    <row r="76" spans="1:41">
      <c r="A76" s="186"/>
      <c r="D76" s="1231"/>
      <c r="E76" s="1231"/>
      <c r="F76" s="187"/>
      <c r="G76" s="187"/>
      <c r="H76" s="187"/>
      <c r="N76" s="186"/>
    </row>
    <row r="77" spans="1:41">
      <c r="A77" s="186"/>
      <c r="D77" s="186"/>
      <c r="E77" s="186"/>
      <c r="F77" s="187"/>
      <c r="G77" s="187"/>
      <c r="H77" s="187"/>
      <c r="N77" s="186"/>
    </row>
    <row r="78" spans="1:41">
      <c r="A78" s="186"/>
      <c r="D78" s="186"/>
      <c r="E78" s="186"/>
      <c r="F78" s="187"/>
      <c r="G78" s="187"/>
      <c r="H78" s="187"/>
      <c r="N78" s="186"/>
    </row>
    <row r="79" spans="1:41">
      <c r="A79" s="186"/>
      <c r="D79" s="186"/>
      <c r="E79" s="186"/>
      <c r="F79" s="187"/>
      <c r="G79" s="187"/>
      <c r="H79" s="187"/>
      <c r="N79" s="186"/>
    </row>
    <row r="80" spans="1:41">
      <c r="A80" s="186"/>
      <c r="D80" s="186"/>
      <c r="E80" s="186"/>
      <c r="F80" s="187"/>
      <c r="G80" s="187"/>
      <c r="H80" s="187"/>
      <c r="N80" s="186"/>
      <c r="O80" s="186"/>
    </row>
    <row r="81" spans="1:14">
      <c r="A81" s="186"/>
      <c r="D81" s="186"/>
      <c r="E81" s="186"/>
      <c r="F81" s="187"/>
      <c r="G81" s="187"/>
      <c r="H81" s="187"/>
      <c r="N81" s="186"/>
    </row>
    <row r="82" spans="1:14">
      <c r="A82" s="186"/>
      <c r="D82" s="186"/>
      <c r="E82" s="186"/>
      <c r="F82" s="187"/>
      <c r="G82" s="187"/>
      <c r="H82" s="187"/>
      <c r="N82" s="186"/>
    </row>
    <row r="83" spans="1:14">
      <c r="A83" s="186"/>
      <c r="D83" s="186"/>
      <c r="E83" s="186"/>
      <c r="F83" s="187"/>
      <c r="G83" s="187"/>
      <c r="H83" s="187"/>
      <c r="N83" s="186"/>
    </row>
    <row r="84" spans="1:14">
      <c r="A84" s="186"/>
      <c r="D84" s="186"/>
      <c r="E84" s="186"/>
      <c r="F84" s="187"/>
      <c r="G84" s="187"/>
      <c r="H84" s="187"/>
      <c r="N84" s="186"/>
    </row>
    <row r="85" spans="1:14">
      <c r="A85" s="186"/>
      <c r="D85" s="147"/>
      <c r="E85" s="147"/>
      <c r="F85" s="554"/>
      <c r="G85" s="554"/>
      <c r="I85" s="554"/>
      <c r="N85" s="186"/>
    </row>
    <row r="86" spans="1:14" ht="15.95" customHeight="1">
      <c r="A86" s="186"/>
      <c r="I86" s="554"/>
      <c r="N86" s="186"/>
    </row>
    <row r="87" spans="1:14">
      <c r="A87" s="186"/>
      <c r="N87" s="186"/>
    </row>
    <row r="88" spans="1:14">
      <c r="A88" s="186"/>
      <c r="N88" s="186"/>
    </row>
    <row r="89" spans="1:14">
      <c r="A89" s="186"/>
      <c r="N89" s="186"/>
    </row>
    <row r="90" spans="1:14">
      <c r="A90" s="186"/>
      <c r="N90" s="186"/>
    </row>
    <row r="91" spans="1:14">
      <c r="A91" s="186"/>
      <c r="N91" s="186"/>
    </row>
    <row r="92" spans="1:14">
      <c r="A92" s="186"/>
      <c r="N92" s="186"/>
    </row>
    <row r="93" spans="1:14">
      <c r="A93" s="186"/>
      <c r="N93" s="186"/>
    </row>
    <row r="94" spans="1:14">
      <c r="A94" s="186"/>
      <c r="N94" s="186"/>
    </row>
    <row r="95" spans="1:14">
      <c r="A95" s="186"/>
      <c r="N95" s="186"/>
    </row>
    <row r="96" spans="1:14">
      <c r="A96" s="186"/>
      <c r="N96" s="186"/>
    </row>
    <row r="97" spans="1:14">
      <c r="A97" s="186"/>
      <c r="N97" s="186"/>
    </row>
    <row r="98" spans="1:14">
      <c r="A98" s="186"/>
      <c r="N98" s="186"/>
    </row>
    <row r="99" spans="1:14">
      <c r="A99" s="186"/>
      <c r="N99" s="186"/>
    </row>
  </sheetData>
  <sheetProtection algorithmName="SHA-512" hashValue="MvE0aeD0LTE/3nuDdOqgyBQzaDjS3GqacJjbwIr79h//8F9pyvqx0PmF6Yvsd/xWCkvp1KcBb8xfUiMxxpAZVA==" saltValue="RIEvJKdPAyelesEGIbisNw==" spinCount="100000" sheet="1" formatCells="0" formatColumns="0" formatRows="0" insertColumns="0" insertRows="0" insertHyperlinks="0" deleteColumns="0" deleteRows="0" sort="0" autoFilter="0" pivotTables="0"/>
  <mergeCells count="76">
    <mergeCell ref="R32:S32"/>
    <mergeCell ref="F36:F37"/>
    <mergeCell ref="H16:J17"/>
    <mergeCell ref="H20:I21"/>
    <mergeCell ref="J20:L21"/>
    <mergeCell ref="B33:F34"/>
    <mergeCell ref="B32:C32"/>
    <mergeCell ref="D24:F25"/>
    <mergeCell ref="D19:F19"/>
    <mergeCell ref="K16:L17"/>
    <mergeCell ref="J24:L25"/>
    <mergeCell ref="D36:E37"/>
    <mergeCell ref="B36:C37"/>
    <mergeCell ref="H43:L43"/>
    <mergeCell ref="H51:J52"/>
    <mergeCell ref="K51:L52"/>
    <mergeCell ref="H24:I25"/>
    <mergeCell ref="H30:L31"/>
    <mergeCell ref="K47:L48"/>
    <mergeCell ref="K49:L50"/>
    <mergeCell ref="K45:L46"/>
    <mergeCell ref="H45:J46"/>
    <mergeCell ref="H47:J48"/>
    <mergeCell ref="H49:J50"/>
    <mergeCell ref="H44:I44"/>
    <mergeCell ref="D76:E76"/>
    <mergeCell ref="C59:D59"/>
    <mergeCell ref="AK64:AM65"/>
    <mergeCell ref="AL62:AN63"/>
    <mergeCell ref="AJ62:AK63"/>
    <mergeCell ref="AH62:AH64"/>
    <mergeCell ref="AI62:AI64"/>
    <mergeCell ref="AE62:AE64"/>
    <mergeCell ref="B70:E70"/>
    <mergeCell ref="H69:L70"/>
    <mergeCell ref="AM66:AM69"/>
    <mergeCell ref="AL66:AL69"/>
    <mergeCell ref="AN64:AO65"/>
    <mergeCell ref="AF62:AG64"/>
    <mergeCell ref="B55:F56"/>
    <mergeCell ref="D67:E68"/>
    <mergeCell ref="F67:F68"/>
    <mergeCell ref="B67:C68"/>
    <mergeCell ref="H54:L55"/>
    <mergeCell ref="H56:L57"/>
    <mergeCell ref="B51:D52"/>
    <mergeCell ref="E51:F52"/>
    <mergeCell ref="E45:F46"/>
    <mergeCell ref="E47:F48"/>
    <mergeCell ref="E49:F50"/>
    <mergeCell ref="B49:D50"/>
    <mergeCell ref="B45:D46"/>
    <mergeCell ref="B47:D48"/>
    <mergeCell ref="K2:L2"/>
    <mergeCell ref="D9:H9"/>
    <mergeCell ref="B27:F28"/>
    <mergeCell ref="B64:F65"/>
    <mergeCell ref="J36:K37"/>
    <mergeCell ref="L36:L37"/>
    <mergeCell ref="D38:E39"/>
    <mergeCell ref="F38:F39"/>
    <mergeCell ref="H36:I37"/>
    <mergeCell ref="D8:H8"/>
    <mergeCell ref="E5:F5"/>
    <mergeCell ref="E4:F4"/>
    <mergeCell ref="B9:C9"/>
    <mergeCell ref="B20:C21"/>
    <mergeCell ref="D20:F21"/>
    <mergeCell ref="B24:C25"/>
    <mergeCell ref="B13:C14"/>
    <mergeCell ref="D13:F14"/>
    <mergeCell ref="D16:F17"/>
    <mergeCell ref="B16:C17"/>
    <mergeCell ref="B43:F44"/>
    <mergeCell ref="B40:F41"/>
    <mergeCell ref="B38:C39"/>
  </mergeCells>
  <phoneticPr fontId="33" type="noConversion"/>
  <conditionalFormatting sqref="R24:R32 B13">
    <cfRule type="containsText" dxfId="359" priority="164" operator="containsText" text="Norbec">
      <formula>NOT(ISERROR(SEARCH("Norbec",B13)))</formula>
    </cfRule>
  </conditionalFormatting>
  <conditionalFormatting sqref="I85:I86">
    <cfRule type="containsText" dxfId="358" priority="161" operator="containsText" text="Incompatible">
      <formula>NOT(ISERROR(SEARCH("Incompatible",I85)))</formula>
    </cfRule>
  </conditionalFormatting>
  <conditionalFormatting sqref="F85:G85">
    <cfRule type="containsText" dxfId="357" priority="158" operator="containsText" text="Incompatible">
      <formula>NOT(ISERROR(SEARCH("Incompatible",F85)))</formula>
    </cfRule>
  </conditionalFormatting>
  <conditionalFormatting sqref="O100:O1048576 A7:A99 N7:N9 N17:N99 B27:B32">
    <cfRule type="containsText" dxfId="356" priority="157" operator="containsText" text="!!">
      <formula>NOT(ISERROR(SEARCH("!!",A7)))</formula>
    </cfRule>
  </conditionalFormatting>
  <conditionalFormatting sqref="H20 B20">
    <cfRule type="containsText" dxfId="355" priority="155" operator="containsText" text="!!!">
      <formula>NOT(ISERROR(SEARCH("!!!",B20)))</formula>
    </cfRule>
  </conditionalFormatting>
  <conditionalFormatting sqref="H24 B24">
    <cfRule type="containsText" dxfId="354" priority="154" operator="containsText" text="!!!">
      <formula>NOT(ISERROR(SEARCH("!!!",B24)))</formula>
    </cfRule>
  </conditionalFormatting>
  <conditionalFormatting sqref="M19:M21 H16">
    <cfRule type="containsText" dxfId="353" priority="153" operator="containsText" text="!!!!">
      <formula>NOT(ISERROR(SEARCH("!!!!",H16)))</formula>
    </cfRule>
  </conditionalFormatting>
  <conditionalFormatting sqref="B22">
    <cfRule type="containsText" dxfId="352" priority="152" operator="containsText" text="!!!!">
      <formula>NOT(ISERROR(SEARCH("!!!!",B22)))</formula>
    </cfRule>
  </conditionalFormatting>
  <conditionalFormatting sqref="F23:G23">
    <cfRule type="containsText" dxfId="351" priority="151" operator="containsText" text="!!!">
      <formula>NOT(ISERROR(SEARCH("!!!",F23)))</formula>
    </cfRule>
  </conditionalFormatting>
  <conditionalFormatting sqref="F38:G38">
    <cfRule type="containsText" dxfId="350" priority="150" operator="containsText" text="incompatible">
      <formula>NOT(ISERROR(SEARCH("incompatible",F38)))</formula>
    </cfRule>
  </conditionalFormatting>
  <conditionalFormatting sqref="F38:G38">
    <cfRule type="containsText" dxfId="349" priority="149" operator="containsText" text="Bâtiment compatible">
      <formula>NOT(ISERROR(SEARCH("Bâtiment compatible",F38)))</formula>
    </cfRule>
  </conditionalFormatting>
  <conditionalFormatting sqref="K49 E45 E47 E49 G45:G50">
    <cfRule type="expression" dxfId="348" priority="52">
      <formula>ISTEXT(E45)</formula>
    </cfRule>
  </conditionalFormatting>
  <conditionalFormatting sqref="K16">
    <cfRule type="expression" dxfId="347" priority="121">
      <formula>ISTEXT(K16)</formula>
    </cfRule>
  </conditionalFormatting>
  <conditionalFormatting sqref="J20">
    <cfRule type="expression" dxfId="346" priority="117">
      <formula>ISTEXT(J20)</formula>
    </cfRule>
  </conditionalFormatting>
  <conditionalFormatting sqref="D24">
    <cfRule type="expression" dxfId="345" priority="115">
      <formula>ISTEXT(D24)</formula>
    </cfRule>
  </conditionalFormatting>
  <conditionalFormatting sqref="J24">
    <cfRule type="expression" dxfId="344" priority="51">
      <formula>ISTEXT(J24)</formula>
    </cfRule>
  </conditionalFormatting>
  <conditionalFormatting sqref="D36:E37 K45">
    <cfRule type="expression" dxfId="343" priority="46">
      <formula>ISNUMBER(D36)</formula>
    </cfRule>
  </conditionalFormatting>
  <conditionalFormatting sqref="J36:K37">
    <cfRule type="expression" dxfId="342" priority="72">
      <formula>ISNUMBER(J36)</formula>
    </cfRule>
  </conditionalFormatting>
  <conditionalFormatting sqref="D38:E39">
    <cfRule type="expression" dxfId="341" priority="70">
      <formula>ISNUMBER(D38)</formula>
    </cfRule>
  </conditionalFormatting>
  <conditionalFormatting sqref="C60">
    <cfRule type="expression" dxfId="340" priority="103">
      <formula>ISTEXT(C60)</formula>
    </cfRule>
  </conditionalFormatting>
  <conditionalFormatting sqref="D60">
    <cfRule type="expression" dxfId="339" priority="99">
      <formula>$C$60="Noroc"</formula>
    </cfRule>
    <cfRule type="expression" dxfId="338" priority="100">
      <formula>ISTEXT(D60)</formula>
    </cfRule>
  </conditionalFormatting>
  <conditionalFormatting sqref="E60">
    <cfRule type="expression" dxfId="337" priority="94">
      <formula>ISNUMBER(E60)</formula>
    </cfRule>
  </conditionalFormatting>
  <conditionalFormatting sqref="F60:G60">
    <cfRule type="expression" dxfId="336" priority="91">
      <formula>ISNUMBER(F60)</formula>
    </cfRule>
  </conditionalFormatting>
  <conditionalFormatting sqref="H60">
    <cfRule type="expression" dxfId="335" priority="88">
      <formula>ISNUMBER(H60)</formula>
    </cfRule>
  </conditionalFormatting>
  <conditionalFormatting sqref="I60">
    <cfRule type="expression" dxfId="334" priority="85">
      <formula>ISNUMBER(I60)</formula>
    </cfRule>
  </conditionalFormatting>
  <conditionalFormatting sqref="J60">
    <cfRule type="expression" dxfId="333" priority="82">
      <formula>ISTEXT(J60)</formula>
    </cfRule>
  </conditionalFormatting>
  <conditionalFormatting sqref="AN64:AO65">
    <cfRule type="expression" dxfId="332" priority="79">
      <formula>ISTEXT(AN64)</formula>
    </cfRule>
  </conditionalFormatting>
  <conditionalFormatting sqref="K60:M60 L61:M61">
    <cfRule type="expression" dxfId="331" priority="77">
      <formula>ISTEXT(K60)</formula>
    </cfRule>
  </conditionalFormatting>
  <conditionalFormatting sqref="D20">
    <cfRule type="expression" dxfId="330" priority="75">
      <formula>ISTEXT(D20)</formula>
    </cfRule>
  </conditionalFormatting>
  <conditionalFormatting sqref="K51:L53">
    <cfRule type="expression" dxfId="329" priority="69">
      <formula>ISTEXT(K51)</formula>
    </cfRule>
  </conditionalFormatting>
  <conditionalFormatting sqref="E51">
    <cfRule type="expression" dxfId="328" priority="53">
      <formula>ISTEXT(E51)</formula>
    </cfRule>
  </conditionalFormatting>
  <conditionalFormatting sqref="H30:L31">
    <cfRule type="expression" dxfId="327" priority="333">
      <formula>OR(ISBLANK(E30),ISBLANK(E31))</formula>
    </cfRule>
  </conditionalFormatting>
  <conditionalFormatting sqref="D67">
    <cfRule type="expression" dxfId="326" priority="61">
      <formula>ISNUMBER(D67)</formula>
    </cfRule>
  </conditionalFormatting>
  <conditionalFormatting sqref="D13:F14">
    <cfRule type="expression" dxfId="325" priority="58">
      <formula>ISTEXT(D13)</formula>
    </cfRule>
  </conditionalFormatting>
  <conditionalFormatting sqref="D8:H8">
    <cfRule type="expression" dxfId="324" priority="57">
      <formula>ISTEXT(D8)</formula>
    </cfRule>
  </conditionalFormatting>
  <conditionalFormatting sqref="D9:H9">
    <cfRule type="expression" dxfId="323" priority="56">
      <formula>ISTEXT(D9)</formula>
    </cfRule>
  </conditionalFormatting>
  <conditionalFormatting sqref="K47:L48">
    <cfRule type="expression" dxfId="322" priority="55">
      <formula>ISTEXT(K47)</formula>
    </cfRule>
  </conditionalFormatting>
  <conditionalFormatting sqref="D16:F17">
    <cfRule type="expression" dxfId="321" priority="54">
      <formula>ISTEXT(D16)</formula>
    </cfRule>
  </conditionalFormatting>
  <conditionalFormatting sqref="D36:E39 J36 E45:F52 K45:L52">
    <cfRule type="expression" dxfId="320" priority="73">
      <formula>AND(ISNUMBER($E$30),ISNUMBER($E$31))</formula>
    </cfRule>
  </conditionalFormatting>
  <conditionalFormatting sqref="C62">
    <cfRule type="expression" dxfId="319" priority="18">
      <formula>ISTEXT(C62)</formula>
    </cfRule>
  </conditionalFormatting>
  <conditionalFormatting sqref="D62">
    <cfRule type="expression" dxfId="318" priority="16">
      <formula>$C$62="Noroc"</formula>
    </cfRule>
    <cfRule type="expression" dxfId="317" priority="17">
      <formula>ISTEXT(D62)</formula>
    </cfRule>
  </conditionalFormatting>
  <conditionalFormatting sqref="E62">
    <cfRule type="expression" dxfId="316" priority="15">
      <formula>ISNUMBER(E62)</formula>
    </cfRule>
  </conditionalFormatting>
  <conditionalFormatting sqref="F62:G62">
    <cfRule type="expression" dxfId="315" priority="14">
      <formula>ISNUMBER(F62)</formula>
    </cfRule>
  </conditionalFormatting>
  <conditionalFormatting sqref="H62">
    <cfRule type="expression" dxfId="314" priority="13">
      <formula>ISNUMBER(H62)</formula>
    </cfRule>
  </conditionalFormatting>
  <conditionalFormatting sqref="I62">
    <cfRule type="expression" dxfId="313" priority="12">
      <formula>ISNUMBER(I62)</formula>
    </cfRule>
  </conditionalFormatting>
  <conditionalFormatting sqref="J62">
    <cfRule type="expression" dxfId="312" priority="11">
      <formula>ISTEXT(J62)</formula>
    </cfRule>
  </conditionalFormatting>
  <conditionalFormatting sqref="K62">
    <cfRule type="expression" dxfId="311" priority="10">
      <formula>ISTEXT(K62)</formula>
    </cfRule>
  </conditionalFormatting>
  <conditionalFormatting sqref="C61">
    <cfRule type="expression" dxfId="310" priority="9">
      <formula>ISTEXT(C61)</formula>
    </cfRule>
  </conditionalFormatting>
  <conditionalFormatting sqref="D61">
    <cfRule type="expression" dxfId="309" priority="7">
      <formula>$C$61="Noroc"</formula>
    </cfRule>
    <cfRule type="expression" dxfId="308" priority="8">
      <formula>ISTEXT(D61)</formula>
    </cfRule>
  </conditionalFormatting>
  <conditionalFormatting sqref="E61">
    <cfRule type="expression" dxfId="307" priority="6">
      <formula>ISNUMBER(E61)</formula>
    </cfRule>
  </conditionalFormatting>
  <conditionalFormatting sqref="F61:G61">
    <cfRule type="expression" dxfId="306" priority="5">
      <formula>ISNUMBER(F61)</formula>
    </cfRule>
  </conditionalFormatting>
  <conditionalFormatting sqref="H61">
    <cfRule type="expression" dxfId="305" priority="4">
      <formula>ISNUMBER(H61)</formula>
    </cfRule>
  </conditionalFormatting>
  <conditionalFormatting sqref="I61">
    <cfRule type="expression" dxfId="304" priority="3">
      <formula>ISNUMBER(I61)</formula>
    </cfRule>
  </conditionalFormatting>
  <conditionalFormatting sqref="J61">
    <cfRule type="expression" dxfId="303" priority="2">
      <formula>ISTEXT(J61)</formula>
    </cfRule>
  </conditionalFormatting>
  <conditionalFormatting sqref="K61">
    <cfRule type="expression" dxfId="302" priority="1">
      <formula>ISTEXT(K61)</formula>
    </cfRule>
  </conditionalFormatting>
  <dataValidations count="7">
    <dataValidation type="list" allowBlank="1" showInputMessage="1" showErrorMessage="1" sqref="C60:C62" xr:uid="{A4731163-96E3-4380-92B7-693809D715F7}">
      <formula1>Type_Panneau</formula1>
    </dataValidation>
    <dataValidation type="list" allowBlank="1" showInputMessage="1" showErrorMessage="1" sqref="D16" xr:uid="{1D35D841-09AD-49A9-AABF-D2CD9B52F660}">
      <formula1>Pays</formula1>
    </dataValidation>
    <dataValidation type="list" allowBlank="1" showInputMessage="1" showErrorMessage="1" sqref="D60:D62" xr:uid="{DC8C5926-8BF6-4B6F-8379-1321D1F58DE0}">
      <formula1>INDIRECT(CONCATENATE("Type_",C60))</formula1>
    </dataValidation>
    <dataValidation type="list" allowBlank="1" showInputMessage="1" showErrorMessage="1" sqref="E60:E62" xr:uid="{8F2F1ED9-3F4C-4747-82F9-4FA0B58D9D32}">
      <formula1>INDIRECT(CONCATENATE("Épaisseur_",C60,"_",D60))</formula1>
    </dataValidation>
    <dataValidation type="list" allowBlank="1" showInputMessage="1" showErrorMessage="1" sqref="F60:G62" xr:uid="{BDC247D3-3E26-4813-B0AC-4982757B3775}">
      <formula1>INDIRECT(CONCATENATE("Largeur_",C60,"_",D60))</formula1>
    </dataValidation>
    <dataValidation type="list" allowBlank="1" showInputMessage="1" showErrorMessage="1" sqref="D20" xr:uid="{0B01EAE2-B137-4A13-BDC0-C6284B0AF5FA}">
      <formula1>Province</formula1>
    </dataValidation>
    <dataValidation type="list" allowBlank="1" showInputMessage="1" sqref="J20:L21" xr:uid="{C9EA2459-0DCA-4A27-A3EB-F61E06046FD0}">
      <formula1>Villes</formula1>
    </dataValidation>
  </dataValidations>
  <hyperlinks>
    <hyperlink ref="H44" r:id="rId1" display="https://hazards.atcouncil.org/" xr:uid="{EA29B2CD-082D-4934-861B-9FDD4D3A9D59}"/>
    <hyperlink ref="D19:F19" r:id="rId2" display="Localiser une ville canadienne" xr:uid="{3A104BF6-6CCF-48DB-9B9F-1156AA1E8A26}"/>
    <hyperlink ref="B70:E70" r:id="rId3" display="../../Charges de vent FM/ANNEXE_USATEST.pdf" xr:uid="{CABFB91F-6EF3-4228-A40D-5883EADD3347}"/>
    <hyperlink ref="E5:F5" r:id="rId4" display="PowerPoint" xr:uid="{92DB3B8A-EC49-4D00-AFBF-B0FE15DCF5E9}"/>
    <hyperlink ref="E4:F4" r:id="rId5" display="Vidéo - Saisie des données" xr:uid="{60AC7F47-0516-4A4E-916B-CA3622D2945B}"/>
  </hyperlinks>
  <pageMargins left="0.7" right="0.7" top="0.75" bottom="0.75" header="0.3" footer="0.3"/>
  <pageSetup scale="46"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097" r:id="rId9" name="Button 1">
              <controlPr defaultSize="0" print="0" autoFill="0" autoPict="0" macro="[0]!PDF_FR">
                <anchor moveWithCells="1" sizeWithCells="1">
                  <from>
                    <xdr:col>9</xdr:col>
                    <xdr:colOff>259080</xdr:colOff>
                    <xdr:row>6</xdr:row>
                    <xdr:rowOff>175260</xdr:rowOff>
                  </from>
                  <to>
                    <xdr:col>10</xdr:col>
                    <xdr:colOff>335280</xdr:colOff>
                    <xdr:row>8</xdr:row>
                    <xdr:rowOff>205740</xdr:rowOff>
                  </to>
                </anchor>
              </controlPr>
            </control>
          </mc:Choice>
        </mc:AlternateContent>
        <mc:AlternateContent xmlns:mc="http://schemas.openxmlformats.org/markup-compatibility/2006">
          <mc:Choice Requires="x14">
            <control shapeId="4098" r:id="rId10" name="Button 2">
              <controlPr defaultSize="0" print="0" autoFill="0" autoPict="0" macro="[0]!ClearAll2">
                <anchor moveWithCells="1" sizeWithCells="1">
                  <from>
                    <xdr:col>9</xdr:col>
                    <xdr:colOff>236220</xdr:colOff>
                    <xdr:row>9</xdr:row>
                    <xdr:rowOff>22860</xdr:rowOff>
                  </from>
                  <to>
                    <xdr:col>10</xdr:col>
                    <xdr:colOff>335280</xdr:colOff>
                    <xdr:row>10</xdr:row>
                    <xdr:rowOff>236220</xdr:rowOff>
                  </to>
                </anchor>
              </controlPr>
            </control>
          </mc:Choice>
        </mc:AlternateContent>
        <mc:AlternateContent xmlns:mc="http://schemas.openxmlformats.org/markup-compatibility/2006">
          <mc:Choice Requires="x14">
            <control shapeId="4106" r:id="rId11" name="Button 10">
              <controlPr defaultSize="0" print="0" autoFill="0" autoPict="0" macro="[0]!PDF_EN">
                <anchor moveWithCells="1" sizeWithCells="1">
                  <from>
                    <xdr:col>10</xdr:col>
                    <xdr:colOff>502920</xdr:colOff>
                    <xdr:row>6</xdr:row>
                    <xdr:rowOff>175260</xdr:rowOff>
                  </from>
                  <to>
                    <xdr:col>11</xdr:col>
                    <xdr:colOff>891540</xdr:colOff>
                    <xdr:row>8</xdr:row>
                    <xdr:rowOff>213360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8" id="{6487CB0D-FCF2-4AA5-A959-D67571F99149}">
            <xm:f>$D$16='Menu déroulant'!$B$21</xm:f>
            <x14:dxf>
              <fill>
                <patternFill>
                  <bgColor rgb="FFFF0000"/>
                </patternFill>
              </fill>
            </x14:dxf>
          </x14:cfRule>
          <xm:sqref>J20 E45 E47 E49 G45:G50</xm:sqref>
        </x14:conditionalFormatting>
        <x14:conditionalFormatting xmlns:xm="http://schemas.microsoft.com/office/excel/2006/main">
          <x14:cfRule type="expression" priority="122" id="{410BEF56-D2CD-474E-AFAE-0366CFDE049F}">
            <xm:f>$D$16='Menu déroulant'!$B$20</xm:f>
            <x14:dxf>
              <fill>
                <patternFill>
                  <bgColor rgb="FFFF0000"/>
                </patternFill>
              </fill>
            </x14:dxf>
          </x14:cfRule>
          <xm:sqref>K47</xm:sqref>
        </x14:conditionalFormatting>
        <x14:conditionalFormatting xmlns:xm="http://schemas.microsoft.com/office/excel/2006/main">
          <x14:cfRule type="expression" priority="116" id="{78457176-9335-4052-9153-D43805B34160}">
            <xm:f>$D$16='Menu déroulant'!$B$20</xm:f>
            <x14:dxf>
              <fill>
                <patternFill>
                  <bgColor rgb="FFFF0000"/>
                </patternFill>
              </fill>
            </x14:dxf>
          </x14:cfRule>
          <xm:sqref>D24</xm:sqref>
        </x14:conditionalFormatting>
        <x14:conditionalFormatting xmlns:xm="http://schemas.microsoft.com/office/excel/2006/main">
          <x14:cfRule type="expression" priority="76" id="{27A97887-3D5F-4A46-98AD-CCFD4AB15DFA}">
            <xm:f>$D$16='Menu déroulant'!$B$21</xm:f>
            <x14:dxf>
              <fill>
                <patternFill>
                  <bgColor rgb="FFFF0000"/>
                </patternFill>
              </fill>
            </x14:dxf>
          </x14:cfRule>
          <xm:sqref>D20</xm:sqref>
        </x14:conditionalFormatting>
        <x14:conditionalFormatting xmlns:xm="http://schemas.microsoft.com/office/excel/2006/main">
          <x14:cfRule type="expression" priority="110" id="{9E16CA90-CF22-4C9B-9A2E-9ED2E0C53F35}">
            <xm:f>$D$16='Menu déroulant'!$B$20</xm:f>
            <x14:dxf>
              <fill>
                <patternFill>
                  <bgColor rgb="FFFF0000"/>
                </patternFill>
              </fill>
            </x14:dxf>
          </x14:cfRule>
          <xm:sqref>K51:L53</xm:sqref>
        </x14:conditionalFormatting>
        <x14:conditionalFormatting xmlns:xm="http://schemas.microsoft.com/office/excel/2006/main">
          <x14:cfRule type="expression" priority="65" id="{88A00615-E35E-4F15-B926-73E6642467D2}">
            <xm:f>OR($E$51='Menu déroulant'!$AE$56,$K$51='Menu déroulant'!$AE$56,ISBLANK($E$51),ISBLANK($K$62))</xm:f>
            <x14:dxf>
              <border>
                <left/>
                <right/>
                <top/>
                <bottom/>
                <vertical/>
                <horizontal/>
              </border>
            </x14:dxf>
          </x14:cfRule>
          <xm:sqref>H54:L55</xm:sqref>
        </x14:conditionalFormatting>
        <x14:conditionalFormatting xmlns:xm="http://schemas.microsoft.com/office/excel/2006/main">
          <x14:cfRule type="expression" priority="63" id="{01A63A45-D448-46E8-999C-F3DF3667BE1E}">
            <xm:f>OR($E$51='Menu déroulant'!$AE$56,$K$51='Menu déroulant'!$AE$56,ISBLANK($E$51),ISBLANK($K$61))</xm:f>
            <x14:dxf>
              <border>
                <left/>
                <right/>
                <top/>
                <bottom/>
                <vertical/>
                <horizontal/>
              </border>
            </x14:dxf>
          </x14:cfRule>
          <xm:sqref>H56:L57</xm:sqref>
        </x14:conditionalFormatting>
        <x14:conditionalFormatting xmlns:xm="http://schemas.microsoft.com/office/excel/2006/main">
          <x14:cfRule type="expression" priority="111" id="{95E41FDA-2C6B-4D48-9163-78ACDAE7EFD9}">
            <xm:f>$D$16='Menu déroulant'!$B$21</xm:f>
            <x14:dxf>
              <fill>
                <patternFill>
                  <bgColor rgb="FFFF0000"/>
                </patternFill>
              </fill>
            </x14:dxf>
          </x14:cfRule>
          <xm:sqref>E51</xm:sqref>
        </x14:conditionalFormatting>
        <x14:conditionalFormatting xmlns:xm="http://schemas.microsoft.com/office/excel/2006/main">
          <x14:cfRule type="expression" priority="339" id="{93890D0E-E1C2-4DFC-85D1-4C689EA30CDE}">
            <xm:f>AND($D$16='Menu déroulant'!$B$20,OR($D$13='Menu déroulant'!$AA$3,$D$13='Menu déroulant'!$AA$4))</xm:f>
            <x14:dxf>
              <fill>
                <patternFill>
                  <bgColor rgb="FFFF0000"/>
                </patternFill>
              </fill>
            </x14:dxf>
          </x14:cfRule>
          <xm:sqref>D67</xm:sqref>
        </x14:conditionalFormatting>
        <x14:conditionalFormatting xmlns:xm="http://schemas.microsoft.com/office/excel/2006/main">
          <x14:cfRule type="expression" priority="114" id="{FC2E0F90-FC8A-469C-A9C7-D0303A651FF7}">
            <xm:f>$D$16='Menu déroulant'!$B$20</xm:f>
            <x14:dxf>
              <fill>
                <patternFill>
                  <bgColor rgb="FFFF0000"/>
                </patternFill>
              </fill>
            </x14:dxf>
          </x14:cfRule>
          <xm:sqref>K49:L50</xm:sqref>
        </x14:conditionalFormatting>
        <x14:conditionalFormatting xmlns:xm="http://schemas.microsoft.com/office/excel/2006/main">
          <x14:cfRule type="expression" priority="112" id="{6B6032B0-DD2F-4328-B231-85FB44DD338A}">
            <xm:f>$D$16='Menu déroulant'!$B$20</xm:f>
            <x14:dxf>
              <fill>
                <patternFill>
                  <bgColor rgb="FFFF0000"/>
                </patternFill>
              </fill>
            </x14:dxf>
          </x14:cfRule>
          <xm:sqref>K45:L46</xm:sqref>
        </x14:conditionalFormatting>
        <x14:conditionalFormatting xmlns:xm="http://schemas.microsoft.com/office/excel/2006/main">
          <x14:cfRule type="expression" priority="113" id="{9035E9D6-4550-4D0F-BAC4-C019819F67DC}">
            <xm:f>$D$16='Menu déroulant'!$B$20</xm:f>
            <x14:dxf>
              <fill>
                <patternFill>
                  <bgColor rgb="FFFF0000"/>
                </patternFill>
              </fill>
            </x14:dxf>
          </x14:cfRule>
          <xm:sqref>J24:L25</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F2ECFA15-BAE6-4821-985F-8A117E693352}">
          <x14:formula1>
            <xm:f>'Menu déroulant'!$AA$25:$AA$26</xm:f>
          </x14:formula1>
          <xm:sqref>AJ70</xm:sqref>
        </x14:dataValidation>
        <x14:dataValidation type="list" allowBlank="1" showInputMessage="1" showErrorMessage="1" xr:uid="{58D89FBB-FF32-493F-B52A-1BEBB3C172C4}">
          <x14:formula1>
            <xm:f>'Menu déroulant'!$AA$8:$AA$11</xm:f>
          </x14:formula1>
          <xm:sqref>E45</xm:sqref>
        </x14:dataValidation>
        <x14:dataValidation type="list" allowBlank="1" showInputMessage="1" showErrorMessage="1" xr:uid="{CB3004BD-374D-43E3-B7BF-A3C6226C8420}">
          <x14:formula1>
            <xm:f>'Menu déroulant'!$AA$15:$AA$17</xm:f>
          </x14:formula1>
          <xm:sqref>E47</xm:sqref>
        </x14:dataValidation>
        <x14:dataValidation type="list" allowBlank="1" showInputMessage="1" showErrorMessage="1" xr:uid="{C5D4C33A-5094-4ABA-90E0-44EC1C0F3330}">
          <x14:formula1>
            <xm:f>'Infos Techniques'!$U$15:$U$43</xm:f>
          </x14:formula1>
          <xm:sqref>J60:J62</xm:sqref>
        </x14:dataValidation>
        <x14:dataValidation type="list" allowBlank="1" showInputMessage="1" showErrorMessage="1" xr:uid="{315D3DBD-1669-48FE-8B55-5B553A3C6330}">
          <x14:formula1>
            <xm:f>'Menu déroulant'!$AA$33:$AA$34</xm:f>
          </x14:formula1>
          <xm:sqref>K60:K62</xm:sqref>
        </x14:dataValidation>
        <x14:dataValidation type="list" allowBlank="1" showInputMessage="1" showErrorMessage="1" xr:uid="{92AB3510-4AAF-4306-8049-63C73A638E99}">
          <x14:formula1>
            <xm:f>'Menu déroulant'!$AG$17:$AG$18</xm:f>
          </x14:formula1>
          <xm:sqref>AN64</xm:sqref>
        </x14:dataValidation>
        <x14:dataValidation type="list" allowBlank="1" showInputMessage="1" showErrorMessage="1" xr:uid="{EB46FD9E-F378-44DD-87DD-1464AB83202E}">
          <x14:formula1>
            <xm:f>'Menu déroulant'!$AA$49:$AA$51</xm:f>
          </x14:formula1>
          <xm:sqref>K49 L64:L65</xm:sqref>
        </x14:dataValidation>
        <x14:dataValidation type="list" allowBlank="1" showInputMessage="1" showErrorMessage="1" xr:uid="{A3F7E6DA-356C-4B7B-B807-3C8AE3EFE64D}">
          <x14:formula1>
            <xm:f>'Menu déroulant'!$AC$29:$AC$31</xm:f>
          </x14:formula1>
          <xm:sqref>H60:I62</xm:sqref>
        </x14:dataValidation>
        <x14:dataValidation type="list" allowBlank="1" showInputMessage="1" showErrorMessage="1" xr:uid="{EAF4A1ED-170A-4B1E-AFF6-63EC959CA1D3}">
          <x14:formula1>
            <xm:f>'Menu déroulant'!$AA$27:$AA$28</xm:f>
          </x14:formula1>
          <xm:sqref>AM70:AM72</xm:sqref>
        </x14:dataValidation>
        <x14:dataValidation type="list" allowBlank="1" showInputMessage="1" showErrorMessage="1" xr:uid="{544C3A29-B820-4374-839C-EC1BB2CA3402}">
          <x14:formula1>
            <xm:f>'Menu déroulant'!$AG$49:$AG$51</xm:f>
          </x14:formula1>
          <xm:sqref>AL70:AL72</xm:sqref>
        </x14:dataValidation>
        <x14:dataValidation type="list" allowBlank="1" showInputMessage="1" showErrorMessage="1" xr:uid="{91ACA9B8-144C-4085-B08E-27043D42FC95}">
          <x14:formula1>
            <xm:f>'Menu déroulant'!$AA$55:$AA$56</xm:f>
          </x14:formula1>
          <xm:sqref>K16</xm:sqref>
        </x14:dataValidation>
        <x14:dataValidation type="list" allowBlank="1" showInputMessage="1" showErrorMessage="1" xr:uid="{5F7B5F2C-7C9F-4F0A-8351-191CBC8AFE8C}">
          <x14:formula1>
            <xm:f>'Menu déroulant'!$AE$56:$AE$57</xm:f>
          </x14:formula1>
          <xm:sqref>K51:L53 E51:G53</xm:sqref>
        </x14:dataValidation>
        <x14:dataValidation type="list" allowBlank="1" showInputMessage="1" showErrorMessage="1" xr:uid="{FB506888-628D-4CEB-B3A6-B089BD4441C2}">
          <x14:formula1>
            <xm:f>'Menu déroulant'!$AA$3:$AA$5</xm:f>
          </x14:formula1>
          <xm:sqref>G67:G68 D13:F15</xm:sqref>
        </x14:dataValidation>
        <x14:dataValidation type="list" allowBlank="1" showInputMessage="1" showErrorMessage="1" xr:uid="{A1034109-8238-44F5-AFF4-645D7C992575}">
          <x14:formula1>
            <xm:f>'Menu déroulant'!$AA$12:$AA$13</xm:f>
          </x14:formula1>
          <xm:sqref>E49</xm:sqref>
        </x14:dataValidation>
        <x14:dataValidation type="list" allowBlank="1" showInputMessage="1" showErrorMessage="1" xr:uid="{A98AE784-1354-4393-8C6A-132F353AB3FE}">
          <x14:formula1>
            <xm:f>'Menu déroulant'!$AA$44:$AA$46</xm:f>
          </x14:formula1>
          <xm:sqref>K47</xm:sqref>
        </x14:dataValidation>
        <x14:dataValidation type="decimal" operator="lessThanOrEqual" showInputMessage="1" showErrorMessage="1" errorTitle="ERREUR" error="Attention : Hauteur non supportée!_x000a__x000a_Se référer au paragraphe 1 de l'article 4.1.7.2 du CNBC pour plus de détails." xr:uid="{4B467DE4-7BAA-41A1-A204-F3E4985DDAF5}">
          <x14:formula1>
            <xm:f>IF(K16='Menu déroulant'!AA65,60,60*3.28083989501312)</xm:f>
          </x14:formula1>
          <xm:sqref>D38:E39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4D94-3B19-4E8F-A495-6776CEF57FAB}">
  <sheetPr published="0"/>
  <dimension ref="A1"/>
  <sheetViews>
    <sheetView workbookViewId="0">
      <selection activeCell="B3" sqref="B3:K6"/>
    </sheetView>
  </sheetViews>
  <sheetFormatPr defaultColWidth="11.5703125" defaultRowHeight="14.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22D44-FA0D-4325-A581-1D3B08C75C70}">
  <sheetPr published="0" codeName="Feuil3">
    <pageSetUpPr fitToPage="1"/>
  </sheetPr>
  <dimension ref="A1:CS541"/>
  <sheetViews>
    <sheetView topLeftCell="A17" zoomScale="70" zoomScaleNormal="70" workbookViewId="0">
      <selection activeCell="B3" sqref="B3:K6"/>
    </sheetView>
  </sheetViews>
  <sheetFormatPr defaultColWidth="11.42578125" defaultRowHeight="14.45"/>
  <cols>
    <col min="1" max="4" width="2.85546875" customWidth="1"/>
    <col min="5" max="5" width="9" customWidth="1"/>
    <col min="6" max="6" width="5.5703125" customWidth="1"/>
    <col min="7" max="7" width="14.28515625" customWidth="1"/>
    <col min="8" max="8" width="15.140625" customWidth="1"/>
    <col min="9" max="9" width="16.5703125" customWidth="1"/>
    <col min="10" max="12" width="17.5703125" customWidth="1"/>
    <col min="13" max="13" width="15.42578125" customWidth="1"/>
    <col min="14" max="14" width="17.140625" customWidth="1"/>
    <col min="15" max="15" width="15.42578125" customWidth="1"/>
    <col min="16" max="16" width="1.140625" customWidth="1"/>
    <col min="17" max="17" width="17.140625" customWidth="1"/>
    <col min="18" max="18" width="15.42578125" customWidth="1"/>
    <col min="19" max="19" width="17.42578125" customWidth="1"/>
    <col min="20" max="20" width="15.42578125" customWidth="1"/>
    <col min="21" max="21" width="16.5703125" customWidth="1"/>
    <col min="22" max="22" width="24" customWidth="1"/>
    <col min="23" max="23" width="12.7109375" bestFit="1" customWidth="1"/>
    <col min="24" max="24" width="5.42578125" style="129" customWidth="1"/>
    <col min="25" max="25" width="10.85546875" style="129" customWidth="1"/>
    <col min="26" max="26" width="11.42578125" style="129" customWidth="1"/>
    <col min="27" max="27" width="15.42578125" customWidth="1"/>
    <col min="28" max="28" width="15.85546875" customWidth="1"/>
    <col min="29" max="29" width="6.7109375" customWidth="1"/>
    <col min="30" max="30" width="9.28515625" customWidth="1"/>
    <col min="31" max="32" width="11.85546875" customWidth="1"/>
    <col min="33" max="34" width="10.7109375" customWidth="1"/>
    <col min="35" max="36" width="6" customWidth="1"/>
    <col min="37" max="37" width="27.42578125" customWidth="1"/>
    <col min="38" max="41" width="7.5703125" customWidth="1"/>
    <col min="42" max="42" width="18.42578125" customWidth="1"/>
    <col min="43" max="47" width="5" customWidth="1"/>
    <col min="48" max="48" width="11.85546875" customWidth="1"/>
    <col min="49" max="50" width="4.5703125" customWidth="1"/>
    <col min="51" max="51" width="17.5703125" customWidth="1"/>
    <col min="52" max="52" width="11.5703125" customWidth="1"/>
    <col min="53" max="53" width="15.140625" customWidth="1"/>
    <col min="56" max="56" width="11.5703125" customWidth="1"/>
    <col min="57" max="57" width="15.28515625" customWidth="1"/>
    <col min="60" max="60" width="11.5703125" customWidth="1"/>
    <col min="61" max="61" width="15.140625" customWidth="1"/>
    <col min="64" max="64" width="11.5703125" customWidth="1"/>
    <col min="65" max="65" width="14.28515625" customWidth="1"/>
  </cols>
  <sheetData>
    <row r="1" spans="1:96">
      <c r="A1" s="137"/>
      <c r="B1" s="137"/>
      <c r="C1" s="137"/>
      <c r="D1" s="1442">
        <f ca="1">TODAY()</f>
        <v>46136</v>
      </c>
      <c r="E1" s="1442"/>
      <c r="F1" s="1442"/>
      <c r="G1" s="1442"/>
      <c r="H1" s="1442"/>
      <c r="I1" s="137"/>
      <c r="J1" s="137"/>
      <c r="K1" s="137"/>
      <c r="L1" s="137"/>
      <c r="M1" s="137"/>
      <c r="N1" s="137"/>
      <c r="O1" s="137"/>
      <c r="P1" s="137"/>
      <c r="Q1" s="137"/>
      <c r="R1" s="137"/>
      <c r="S1" s="137"/>
      <c r="T1" s="137"/>
      <c r="U1" s="137"/>
      <c r="V1" s="756"/>
    </row>
    <row r="2" spans="1:96" ht="20.45" customHeight="1">
      <c r="A2" s="137"/>
      <c r="B2" s="137"/>
      <c r="C2" s="137"/>
      <c r="D2" s="137"/>
      <c r="E2" s="137"/>
      <c r="F2" s="137"/>
      <c r="G2" s="137"/>
      <c r="H2" s="137"/>
      <c r="I2" s="137"/>
      <c r="J2" s="137"/>
      <c r="K2" s="137"/>
      <c r="L2" s="137"/>
      <c r="M2" s="137"/>
      <c r="N2" s="137"/>
      <c r="O2" s="137"/>
      <c r="P2" s="137"/>
      <c r="Q2" s="137"/>
      <c r="R2" s="137"/>
      <c r="S2" s="137"/>
      <c r="T2" s="137"/>
      <c r="U2" s="137"/>
      <c r="AA2" s="755"/>
    </row>
    <row r="3" spans="1:96" ht="29.1" customHeight="1">
      <c r="A3" s="137"/>
      <c r="B3" s="137"/>
      <c r="C3" s="137"/>
      <c r="D3" s="1440" t="s">
        <v>71</v>
      </c>
      <c r="E3" s="1440"/>
      <c r="F3" s="1440"/>
      <c r="G3" s="1440"/>
      <c r="H3" s="1440"/>
      <c r="I3" s="1440"/>
      <c r="J3" s="1440"/>
      <c r="K3" s="137"/>
      <c r="L3" s="137"/>
      <c r="M3" s="137"/>
      <c r="N3" s="137"/>
      <c r="O3" s="137"/>
      <c r="P3" s="137"/>
      <c r="Q3" s="137"/>
      <c r="R3" s="137"/>
      <c r="S3" s="137"/>
      <c r="T3" s="137"/>
      <c r="U3" s="137"/>
      <c r="X3" s="752"/>
    </row>
    <row r="4" spans="1:96" ht="26.45" customHeight="1">
      <c r="A4" s="137"/>
      <c r="B4" s="137"/>
      <c r="C4" s="137"/>
      <c r="D4" s="137"/>
      <c r="E4" s="137"/>
      <c r="F4" s="137"/>
      <c r="G4" s="137"/>
      <c r="H4" s="137"/>
      <c r="I4" s="137"/>
      <c r="J4" s="137"/>
      <c r="K4" s="137"/>
      <c r="L4" s="137"/>
      <c r="M4" s="137"/>
      <c r="N4" s="137"/>
      <c r="O4" s="137"/>
      <c r="P4" s="137"/>
      <c r="Q4" s="137"/>
      <c r="R4" s="137"/>
      <c r="S4" s="137"/>
      <c r="T4" s="137"/>
      <c r="U4" s="137"/>
      <c r="CR4" s="1404"/>
    </row>
    <row r="5" spans="1:96" ht="27.4" customHeight="1">
      <c r="A5" s="137"/>
      <c r="B5" s="137"/>
      <c r="C5" s="137"/>
      <c r="D5" s="1422" t="s">
        <v>72</v>
      </c>
      <c r="E5" s="1422"/>
      <c r="F5" s="1422"/>
      <c r="G5" s="1422"/>
      <c r="H5" s="1422"/>
      <c r="I5" s="137"/>
      <c r="J5" s="137"/>
      <c r="K5" s="137"/>
      <c r="L5" s="137"/>
      <c r="M5" s="137"/>
      <c r="N5" s="137"/>
      <c r="O5" s="137"/>
      <c r="P5" s="137"/>
      <c r="Q5" s="137"/>
      <c r="R5" s="137"/>
      <c r="S5" s="137"/>
      <c r="T5" s="137"/>
      <c r="U5" s="608"/>
      <c r="V5" s="13"/>
      <c r="W5" s="13"/>
      <c r="CR5" s="1404"/>
    </row>
    <row r="6" spans="1:96" ht="33.6" customHeight="1">
      <c r="A6" s="137"/>
      <c r="B6" s="137"/>
      <c r="C6" s="137"/>
      <c r="D6" s="1281" t="s">
        <v>73</v>
      </c>
      <c r="E6" s="1281"/>
      <c r="F6" s="1290" t="str">
        <f>'Saisie de données'!D9</f>
        <v>Formation sur l'outil de calcul d'espacement des entremises</v>
      </c>
      <c r="G6" s="1290"/>
      <c r="H6" s="1290"/>
      <c r="I6" s="1290"/>
      <c r="J6" s="1290"/>
      <c r="K6" s="1290"/>
      <c r="L6" s="1290"/>
      <c r="M6" s="1290"/>
      <c r="N6" s="1290"/>
      <c r="O6" s="1290"/>
      <c r="P6" s="1290"/>
      <c r="Q6" s="1290"/>
      <c r="R6" s="1290"/>
      <c r="S6" s="1290"/>
      <c r="T6" s="1290"/>
      <c r="U6" s="1290"/>
      <c r="V6" s="13"/>
      <c r="W6" s="13"/>
      <c r="CR6" s="1404"/>
    </row>
    <row r="7" spans="1:96" ht="33.950000000000003" customHeight="1">
      <c r="A7" s="137"/>
      <c r="B7" s="137"/>
      <c r="C7" s="137"/>
      <c r="D7" s="1281" t="s">
        <v>74</v>
      </c>
      <c r="E7" s="1281"/>
      <c r="F7" s="1290" t="str">
        <f>'Saisie de données'!D8</f>
        <v>Norbec</v>
      </c>
      <c r="G7" s="1290"/>
      <c r="H7" s="1290"/>
      <c r="I7" s="1290"/>
      <c r="J7" s="1290"/>
      <c r="K7" s="1290"/>
      <c r="L7" s="1290"/>
      <c r="M7" s="1290"/>
      <c r="N7" s="1290"/>
      <c r="O7" s="1290"/>
      <c r="P7" s="1290"/>
      <c r="Q7" s="1290"/>
      <c r="R7" s="1290"/>
      <c r="S7" s="1290"/>
      <c r="T7" s="1290"/>
      <c r="U7" s="1290"/>
      <c r="V7" s="13"/>
      <c r="W7" s="13"/>
      <c r="CR7" s="1404"/>
    </row>
    <row r="8" spans="1:96" ht="30.6" customHeight="1">
      <c r="A8" s="137"/>
      <c r="B8" s="137"/>
      <c r="C8" s="137"/>
      <c r="D8" s="1443" t="s">
        <v>75</v>
      </c>
      <c r="E8" s="1443"/>
      <c r="F8" s="1443"/>
      <c r="G8" s="1443"/>
      <c r="H8" s="610" t="str">
        <f>IF('Saisie de données'!$D$16='Menu déroulant'!$B$21,'Saisie de données'!$J$20&amp;", "&amp;'Saisie de données'!$D$20,'Saisie de données'!J24&amp;", "&amp;'Saisie de données'!D24)</f>
        <v>, Ontario</v>
      </c>
      <c r="I8" s="137"/>
      <c r="J8" s="137"/>
      <c r="K8" s="137"/>
      <c r="L8" s="137"/>
      <c r="M8" s="137"/>
      <c r="N8" s="137"/>
      <c r="O8" s="137"/>
      <c r="P8" s="137"/>
      <c r="Q8" s="137"/>
      <c r="R8" s="137"/>
      <c r="S8" s="137"/>
      <c r="T8" s="137"/>
      <c r="U8" s="608"/>
      <c r="V8" s="13"/>
      <c r="W8" s="13"/>
      <c r="CR8" s="1404"/>
    </row>
    <row r="9" spans="1:96">
      <c r="A9" s="137"/>
      <c r="B9" s="137"/>
      <c r="C9" s="137"/>
      <c r="D9" s="137"/>
      <c r="E9" s="137"/>
      <c r="F9" s="137"/>
      <c r="G9" s="137"/>
      <c r="H9" s="611"/>
      <c r="I9" s="137"/>
      <c r="J9" s="137"/>
      <c r="K9" s="137"/>
      <c r="L9" s="137"/>
      <c r="M9" s="137"/>
      <c r="N9" s="137"/>
      <c r="O9" s="454"/>
      <c r="P9" s="454"/>
      <c r="Q9" s="137"/>
      <c r="R9" s="137"/>
      <c r="S9" s="137"/>
      <c r="T9" s="608"/>
      <c r="U9" s="608"/>
      <c r="V9" s="13"/>
      <c r="W9" s="13"/>
      <c r="CR9" s="1404"/>
    </row>
    <row r="10" spans="1:96" ht="14.45" customHeight="1">
      <c r="A10" s="137"/>
      <c r="B10" s="137"/>
      <c r="C10" s="137"/>
      <c r="D10" s="1422" t="s">
        <v>76</v>
      </c>
      <c r="E10" s="1422"/>
      <c r="F10" s="1422"/>
      <c r="G10" s="1422"/>
      <c r="H10" s="1422"/>
      <c r="I10" s="137"/>
      <c r="J10" s="137"/>
      <c r="K10" s="137"/>
      <c r="L10" s="612"/>
      <c r="M10" s="608"/>
      <c r="N10" s="137"/>
      <c r="O10" s="454"/>
      <c r="P10" s="454"/>
      <c r="Q10" s="137"/>
      <c r="R10" s="137"/>
      <c r="S10" s="137"/>
      <c r="T10" s="608"/>
      <c r="U10" s="608"/>
      <c r="V10" s="13"/>
      <c r="W10" s="13"/>
      <c r="CR10" s="1404"/>
    </row>
    <row r="11" spans="1:96">
      <c r="A11" s="137"/>
      <c r="B11" s="137"/>
      <c r="C11" s="137"/>
      <c r="D11" s="1444" t="s">
        <v>77</v>
      </c>
      <c r="E11" s="1444"/>
      <c r="F11" s="1444"/>
      <c r="G11" s="1444"/>
      <c r="H11" s="610" t="str" cm="1">
        <f t="array" ref="H11">_xlfn.IFS(OR(ISNUMBER('Saisie de données'!E30),ISNUMBER('Saisie de données'!E31)),"",'Saisie de données'!$D$16='Menu déroulant'!$B$21,"CNBC 2020",'Saisie de données'!$D$16='Menu déroulant'!$B$20,"ASCE 7-16")</f>
        <v>CNBC 2020</v>
      </c>
      <c r="I11" s="137"/>
      <c r="J11" s="137"/>
      <c r="K11" s="137"/>
      <c r="L11" s="612"/>
      <c r="M11" s="608"/>
      <c r="N11" s="137"/>
      <c r="O11" s="137"/>
      <c r="P11" s="137"/>
      <c r="Q11" s="137"/>
      <c r="R11" s="137"/>
      <c r="S11" s="137"/>
      <c r="T11" s="608"/>
      <c r="U11" s="608"/>
      <c r="V11" s="13"/>
      <c r="W11" s="13"/>
      <c r="CR11" s="1404"/>
    </row>
    <row r="12" spans="1:96" ht="15" customHeight="1">
      <c r="A12" s="137"/>
      <c r="B12" s="137"/>
      <c r="C12" s="137"/>
      <c r="D12" s="1444" t="s">
        <v>78</v>
      </c>
      <c r="E12" s="1444"/>
      <c r="F12" s="1444"/>
      <c r="G12" s="1444"/>
      <c r="H12" s="610" t="str">
        <f>VLOOKUP('Saisie de données'!D13,'Menu déroulant'!AA3:AD17,2,0)</f>
        <v>Non</v>
      </c>
      <c r="I12" s="137"/>
      <c r="J12" s="137"/>
      <c r="K12" s="137"/>
      <c r="L12" s="240"/>
      <c r="M12" s="137"/>
      <c r="N12" s="137"/>
      <c r="O12" s="454"/>
      <c r="P12" s="454"/>
      <c r="Q12" s="137"/>
      <c r="R12" s="137"/>
      <c r="S12" s="137"/>
      <c r="T12" s="608"/>
      <c r="U12" s="608"/>
      <c r="V12" s="13"/>
      <c r="W12" s="13"/>
      <c r="X12" s="735"/>
      <c r="Y12" s="735"/>
      <c r="Z12" s="735"/>
      <c r="AA12" s="13"/>
      <c r="CR12" s="1404"/>
    </row>
    <row r="13" spans="1:96" ht="13.9" customHeight="1">
      <c r="A13" s="137"/>
      <c r="B13" s="137"/>
      <c r="C13" s="137"/>
      <c r="D13" s="1443" t="str">
        <f>IF('Saisie de données'!$D$16='Menu déroulant'!$B$21,"Catégorie de risque de bâtiment :","Vitesse du vent de base :")</f>
        <v>Catégorie de risque de bâtiment :</v>
      </c>
      <c r="E13" s="1443"/>
      <c r="F13" s="1443"/>
      <c r="G13" s="1443"/>
      <c r="H13" s="610" t="str" cm="1">
        <f t="array" ref="H13">_xlfn.IFS(OR(ISNUMBER('Saisie de données'!E30),ISNUMBER('Saisie de données'!E31)),"",'Saisie de données'!$D$16='Menu déroulant'!$B$21,VLOOKUP('Saisie de données'!E45,'Menu déroulant'!AA4:AD17,2,0),'Saisie de données'!$D$16='Menu déroulant'!$B$20,'Saisie de données'!$K$45&amp;" "&amp;"mph")</f>
        <v>Normal</v>
      </c>
      <c r="I13" s="137"/>
      <c r="J13" s="137"/>
      <c r="K13" s="137"/>
      <c r="L13" s="137"/>
      <c r="M13" s="137"/>
      <c r="N13" s="137"/>
      <c r="O13" s="137"/>
      <c r="P13" s="137"/>
      <c r="Q13" s="137"/>
      <c r="R13" s="137"/>
      <c r="S13" s="137"/>
      <c r="T13" s="137"/>
      <c r="U13" s="137"/>
      <c r="V13" s="13"/>
      <c r="W13" s="13"/>
      <c r="X13" s="735"/>
      <c r="Y13" s="735"/>
      <c r="Z13" s="735"/>
      <c r="AA13" s="13"/>
      <c r="CR13" s="1404"/>
    </row>
    <row r="14" spans="1:96" ht="13.9" customHeight="1">
      <c r="A14" s="137"/>
      <c r="B14" s="137"/>
      <c r="C14" s="137"/>
      <c r="D14" s="1443" t="str">
        <f>IF('Saisie de données'!$D$16='Menu déroulant'!$B$21,"Catégorie de terrain de bâtiment :","Classe d'exposition du bâtiment :")</f>
        <v>Catégorie de terrain de bâtiment :</v>
      </c>
      <c r="E14" s="1443"/>
      <c r="F14" s="1443"/>
      <c r="G14" s="1443"/>
      <c r="H14" s="610" t="str" cm="1">
        <f t="array" ref="H14">_xlfn.IFS(OR(ISNUMBER('Saisie de données'!E30),ISNUMBER('Saisie de données'!E31)),"",'Saisie de données'!$D$16='Menu déroulant'!$B$21,VLOOKUP('Saisie de données'!E49,'Menu déroulant'!AA4:AD17,2,0),'Saisie de données'!$D$16='Menu déroulant'!$B$20,'Saisie de données'!$K$49)</f>
        <v>À découvert</v>
      </c>
      <c r="I14" s="137"/>
      <c r="J14" s="137"/>
      <c r="K14" s="137"/>
      <c r="L14" s="137"/>
      <c r="M14" s="137"/>
      <c r="N14" s="137"/>
      <c r="O14" s="137"/>
      <c r="P14" s="137"/>
      <c r="Q14" s="137"/>
      <c r="R14" s="137"/>
      <c r="S14" s="137"/>
      <c r="T14" s="137"/>
      <c r="U14" s="137"/>
      <c r="V14" s="13"/>
      <c r="W14" s="13"/>
      <c r="X14" s="735"/>
      <c r="Y14" s="735"/>
      <c r="Z14" s="735"/>
      <c r="AA14" s="13"/>
      <c r="CR14" s="1404"/>
    </row>
    <row r="15" spans="1:96" ht="13.9" customHeight="1">
      <c r="A15" s="137"/>
      <c r="B15" s="137"/>
      <c r="C15" s="137"/>
      <c r="D15" s="1443" t="s">
        <v>79</v>
      </c>
      <c r="E15" s="1443"/>
      <c r="F15" s="1443"/>
      <c r="G15" s="1443"/>
      <c r="H15" s="610" t="str" cm="1">
        <f t="array" ref="H15">_xlfn.IFS(OR(ISNUMBER('Saisie de données'!E30),ISNUMBER('Saisie de données'!E31)),"",'Saisie de données'!$D$16='Menu déroulant'!$B$21,VLOOKUP('Saisie de données'!E47,'Menu déroulant'!AA4:AD17,2,0),'Saisie de données'!$D$16='Menu déroulant'!$B$20,VLOOKUP('Saisie de données'!$K$47,'Menu déroulant'!$AA$44:$AD$46,4,0))</f>
        <v>Catégorie 2</v>
      </c>
      <c r="I15" s="137"/>
      <c r="J15" s="137"/>
      <c r="K15" s="137"/>
      <c r="L15" s="137"/>
      <c r="M15" s="137"/>
      <c r="N15" s="137"/>
      <c r="O15" s="137"/>
      <c r="P15" s="137"/>
      <c r="R15" s="137"/>
      <c r="S15" s="137"/>
      <c r="T15" s="137"/>
      <c r="U15" s="137"/>
      <c r="V15" s="13"/>
      <c r="W15" s="13"/>
      <c r="X15" s="735"/>
      <c r="Y15" s="735"/>
      <c r="Z15" s="735"/>
      <c r="AA15" s="13"/>
      <c r="BC15" s="129"/>
      <c r="BD15" s="327"/>
      <c r="CR15" s="1404"/>
    </row>
    <row r="16" spans="1:96" ht="16.899999999999999" customHeight="1">
      <c r="A16" s="137"/>
      <c r="B16" s="137"/>
      <c r="C16" s="137"/>
      <c r="D16" s="1281" t="s">
        <v>80</v>
      </c>
      <c r="E16" s="1281"/>
      <c r="F16" s="1281"/>
      <c r="G16" s="1281"/>
      <c r="H16" s="138" t="str" cm="1">
        <f t="array" ref="H16">_xlfn.IFS(OR(ISNUMBER('Saisie de données'!E30),ISNUMBER('Saisie de données'!E31)),"",OR('Saisie de données'!E51='Menu déroulant'!AE56,'Saisie de données'!K51='Menu déroulant'!AE56),'Menu déroulant'!$AF$56,OR('Saisie de données'!E51='Menu déroulant'!AE57,'Saisie de données'!K51='Menu déroulant'!AE57),'Menu déroulant'!AH57)</f>
        <v>Terrain plat</v>
      </c>
      <c r="I16" s="137"/>
      <c r="J16" s="137"/>
      <c r="K16" s="137"/>
      <c r="L16" s="137"/>
      <c r="M16" s="137"/>
      <c r="N16" s="137"/>
      <c r="O16" s="137"/>
      <c r="P16" s="137"/>
      <c r="Q16" s="137"/>
      <c r="R16" s="137"/>
      <c r="S16" s="137"/>
      <c r="T16" s="137"/>
      <c r="U16" s="137"/>
      <c r="V16" s="14"/>
      <c r="W16" s="736"/>
      <c r="X16"/>
      <c r="Y16"/>
      <c r="Z16" s="735"/>
      <c r="AA16" s="13"/>
      <c r="AJ16" s="16"/>
      <c r="AR16" s="16"/>
      <c r="AU16" s="1397"/>
      <c r="AV16" s="1397"/>
      <c r="BC16" s="129"/>
      <c r="BD16" s="327"/>
      <c r="CR16" s="1404"/>
    </row>
    <row r="17" spans="1:96" ht="16.899999999999999" customHeight="1">
      <c r="A17" s="137"/>
      <c r="B17" s="137"/>
      <c r="C17" s="137"/>
      <c r="D17" s="1281"/>
      <c r="E17" s="1281"/>
      <c r="F17" s="1281"/>
      <c r="G17" s="1281"/>
      <c r="H17" s="589"/>
      <c r="I17" s="137"/>
      <c r="J17" s="137"/>
      <c r="K17" s="137"/>
      <c r="L17" s="137"/>
      <c r="M17" s="137"/>
      <c r="N17" s="137"/>
      <c r="O17" s="137"/>
      <c r="P17" s="137"/>
      <c r="Q17" s="137"/>
      <c r="R17" s="137"/>
      <c r="S17" s="137"/>
      <c r="T17" s="137"/>
      <c r="U17" s="137"/>
      <c r="V17" s="736"/>
      <c r="W17" s="736"/>
      <c r="X17"/>
      <c r="Y17"/>
      <c r="Z17" s="735"/>
      <c r="AA17" s="13"/>
      <c r="AJ17" s="16"/>
      <c r="AR17" s="16"/>
      <c r="AU17" s="129"/>
      <c r="AV17" s="129"/>
      <c r="BC17" s="129"/>
      <c r="BD17" s="327"/>
      <c r="CR17" s="1404"/>
    </row>
    <row r="18" spans="1:96" ht="16.899999999999999" customHeight="1">
      <c r="A18" s="137"/>
      <c r="B18" s="137"/>
      <c r="C18" s="137"/>
      <c r="D18" s="554"/>
      <c r="E18" s="554"/>
      <c r="F18" s="554"/>
      <c r="G18" s="554"/>
      <c r="H18" s="589"/>
      <c r="I18" s="137"/>
      <c r="J18" s="137"/>
      <c r="K18" s="137"/>
      <c r="L18" s="137"/>
      <c r="M18" s="137"/>
      <c r="N18" s="137"/>
      <c r="O18" s="137"/>
      <c r="P18" s="137"/>
      <c r="Q18" s="137"/>
      <c r="R18" s="137"/>
      <c r="S18" s="137"/>
      <c r="T18" s="137"/>
      <c r="U18" s="137"/>
      <c r="V18" s="736"/>
      <c r="W18" s="736"/>
      <c r="X18"/>
      <c r="Y18"/>
      <c r="Z18" s="735"/>
      <c r="AA18" s="13"/>
      <c r="AJ18" s="16"/>
      <c r="AR18" s="16"/>
      <c r="AU18" s="129"/>
      <c r="AV18" s="129"/>
      <c r="BC18" s="129"/>
      <c r="BD18" s="327"/>
      <c r="CR18" s="1404"/>
    </row>
    <row r="19" spans="1:96" ht="16.899999999999999" customHeight="1">
      <c r="A19" s="137"/>
      <c r="B19" s="137"/>
      <c r="C19" s="137"/>
      <c r="D19" s="1422" t="s">
        <v>81</v>
      </c>
      <c r="E19" s="1422"/>
      <c r="F19" s="1422"/>
      <c r="G19" s="1422"/>
      <c r="H19" s="1422"/>
      <c r="I19" s="137"/>
      <c r="J19" s="137"/>
      <c r="K19" s="137"/>
      <c r="L19" s="137"/>
      <c r="M19" s="137"/>
      <c r="N19" s="137"/>
      <c r="O19" s="137"/>
      <c r="P19" s="137"/>
      <c r="Q19" s="137"/>
      <c r="R19" s="137"/>
      <c r="S19" s="137"/>
      <c r="T19" s="137"/>
      <c r="U19" s="137"/>
      <c r="V19" s="736"/>
      <c r="W19" s="736"/>
      <c r="X19"/>
      <c r="Y19"/>
      <c r="Z19" s="735"/>
      <c r="AA19" s="13"/>
      <c r="AJ19" s="16"/>
      <c r="AR19" s="16"/>
      <c r="AU19" s="129"/>
      <c r="AV19" s="129"/>
      <c r="BC19" s="129"/>
      <c r="BD19" s="327"/>
      <c r="CR19" s="1404"/>
    </row>
    <row r="20" spans="1:96" ht="16.899999999999999" customHeight="1">
      <c r="A20" s="137"/>
      <c r="B20" s="137"/>
      <c r="C20" s="137"/>
      <c r="D20" s="554"/>
      <c r="E20" s="554"/>
      <c r="F20" s="554"/>
      <c r="G20" s="554"/>
      <c r="H20" s="589"/>
      <c r="I20" s="137"/>
      <c r="J20" s="137"/>
      <c r="K20" s="137"/>
      <c r="L20" s="137"/>
      <c r="M20" s="137"/>
      <c r="N20" s="137"/>
      <c r="O20" s="137"/>
      <c r="P20" s="137"/>
      <c r="Q20" s="137"/>
      <c r="R20" s="137"/>
      <c r="S20" s="137"/>
      <c r="T20" s="137"/>
      <c r="U20" s="137"/>
      <c r="V20" s="736"/>
      <c r="W20" s="736"/>
      <c r="X20"/>
      <c r="Y20"/>
      <c r="Z20" s="735"/>
      <c r="AA20" s="13"/>
      <c r="AJ20" s="16"/>
      <c r="AR20" s="16"/>
      <c r="AU20" s="129"/>
      <c r="AV20" s="129"/>
      <c r="BC20" s="129"/>
      <c r="BD20" s="327"/>
      <c r="CR20" s="1404"/>
    </row>
    <row r="21" spans="1:96" ht="16.899999999999999" customHeight="1">
      <c r="A21" s="137"/>
      <c r="B21" s="137"/>
      <c r="C21" s="137"/>
      <c r="D21" s="137" t="s">
        <v>82</v>
      </c>
      <c r="E21" s="137"/>
      <c r="F21" s="137"/>
      <c r="G21" s="137"/>
      <c r="H21" s="611"/>
      <c r="I21" s="613" t="e" cm="1">
        <f t="array" ref="I21">IF(ISBLANK('Saisie de données'!$E$31),_xlfn.IFS(OR('Saisie de données'!D13='Menu déroulant'!AA3,'Saisie de données'!D13='Menu déroulant'!AA4),'Charges de ventFM'!D22,'Saisie de données'!$D$16='Menu déroulant'!B21,'Charges de vent'!$D$21*20.885,'Saisie de données'!$D$16='Menu déroulant'!B20,'Charges de ventUSA'!$D$22),'Saisie de données'!$E$31)</f>
        <v>#N/A</v>
      </c>
      <c r="J21" s="137"/>
      <c r="K21" s="137"/>
      <c r="L21" s="137"/>
      <c r="M21" s="137"/>
      <c r="N21" s="137"/>
      <c r="O21" s="137"/>
      <c r="P21" s="137"/>
      <c r="Q21" s="137"/>
      <c r="R21" s="137"/>
      <c r="S21" s="137"/>
      <c r="T21" s="137"/>
      <c r="U21" s="137"/>
      <c r="V21" s="736"/>
      <c r="W21" s="736"/>
      <c r="X21"/>
      <c r="Y21"/>
      <c r="Z21" s="735"/>
      <c r="AA21" s="13"/>
      <c r="AJ21" s="16"/>
      <c r="AR21" s="16"/>
      <c r="AU21" s="129"/>
      <c r="AV21" s="129"/>
      <c r="BC21" s="129"/>
      <c r="BD21" s="327"/>
      <c r="CR21" s="1404"/>
    </row>
    <row r="22" spans="1:96" ht="16.899999999999999" customHeight="1">
      <c r="A22" s="137"/>
      <c r="B22" s="137"/>
      <c r="C22" s="137"/>
      <c r="D22" s="137" t="s">
        <v>83</v>
      </c>
      <c r="E22" s="554"/>
      <c r="F22" s="554"/>
      <c r="G22" s="554"/>
      <c r="H22" s="611"/>
      <c r="I22" s="614" t="e" cm="1">
        <f t="array" ref="I22">IF(ISBLANK('Saisie de données'!$E$30),_xlfn.IFS(OR('Saisie de données'!D13='Menu déroulant'!AA3,'Saisie de données'!D13='Menu déroulant'!AA4),'Charges de ventFM'!E22,'Saisie de données'!$D$16='Menu déroulant'!B21,'Charges de vent'!$E$21*20.885,'Saisie de données'!$D$16='Menu déroulant'!B20,'Charges de ventUSA'!$E$22),'Saisie de données'!$E$30)</f>
        <v>#N/A</v>
      </c>
      <c r="J22" s="137"/>
      <c r="K22" s="137"/>
      <c r="L22" s="137"/>
      <c r="M22" s="137"/>
      <c r="N22" s="137"/>
      <c r="O22" s="137"/>
      <c r="P22" s="137"/>
      <c r="Q22" s="137"/>
      <c r="R22" s="137"/>
      <c r="S22" s="137"/>
      <c r="T22" s="137"/>
      <c r="U22" s="137"/>
      <c r="V22" s="736"/>
      <c r="W22" s="736"/>
      <c r="X22"/>
      <c r="Y22"/>
      <c r="Z22" s="735"/>
      <c r="AA22" s="13"/>
      <c r="AJ22" s="16"/>
      <c r="AR22" s="16"/>
      <c r="AU22" s="129"/>
      <c r="AV22" s="129"/>
      <c r="BC22" s="129"/>
      <c r="BD22" s="327"/>
      <c r="CR22" s="1404"/>
    </row>
    <row r="23" spans="1:96" ht="16.899999999999999" customHeight="1">
      <c r="A23" s="137"/>
      <c r="B23" s="137"/>
      <c r="C23" s="137"/>
      <c r="D23" s="137"/>
      <c r="E23" s="137"/>
      <c r="F23" s="137"/>
      <c r="G23" s="137"/>
      <c r="H23" s="137"/>
      <c r="I23" s="137"/>
      <c r="J23" s="137"/>
      <c r="K23" s="137"/>
      <c r="L23" s="137"/>
      <c r="M23" s="137"/>
      <c r="N23" s="137"/>
      <c r="O23" s="137"/>
      <c r="P23" s="137"/>
      <c r="Q23" s="137"/>
      <c r="R23" s="137"/>
      <c r="S23" s="137"/>
      <c r="T23" s="137"/>
      <c r="U23" s="137"/>
      <c r="V23" s="18"/>
      <c r="AJ23" s="16"/>
      <c r="AM23" s="17"/>
      <c r="AR23" s="16"/>
      <c r="AU23" s="129"/>
      <c r="AV23" s="129"/>
      <c r="BC23" s="129"/>
      <c r="BD23" s="327"/>
      <c r="CR23" s="1404"/>
    </row>
    <row r="24" spans="1:96" ht="20.65" customHeight="1">
      <c r="A24" s="137"/>
      <c r="B24" s="137"/>
      <c r="C24" s="137"/>
      <c r="D24" s="137"/>
      <c r="E24" s="1325" t="s">
        <v>84</v>
      </c>
      <c r="F24" s="1325"/>
      <c r="G24" s="1325"/>
      <c r="H24" s="1325"/>
      <c r="I24" s="1325"/>
      <c r="J24" s="1325"/>
      <c r="K24" s="1325"/>
      <c r="L24" s="1325"/>
      <c r="M24" s="1325"/>
      <c r="N24" s="137"/>
      <c r="O24" s="137"/>
      <c r="P24" s="137"/>
      <c r="Q24" s="137"/>
      <c r="R24" s="137"/>
      <c r="S24" s="615"/>
      <c r="T24" s="137"/>
      <c r="U24" s="137"/>
      <c r="V24" s="18"/>
      <c r="AD24" s="131"/>
      <c r="AE24" s="131"/>
      <c r="AF24" s="131"/>
      <c r="AX24" s="1418"/>
      <c r="AY24" s="1418"/>
      <c r="AZ24" s="379"/>
      <c r="BC24" s="129"/>
      <c r="BD24" s="327"/>
      <c r="CR24" s="1404"/>
    </row>
    <row r="25" spans="1:96" ht="16.899999999999999" customHeight="1" thickBot="1">
      <c r="A25" s="137"/>
      <c r="B25" s="137"/>
      <c r="C25" s="137"/>
      <c r="D25" s="137"/>
      <c r="E25" s="1441"/>
      <c r="F25" s="1441"/>
      <c r="G25" s="1441"/>
      <c r="H25" s="1441"/>
      <c r="I25" s="1441"/>
      <c r="J25" s="1441"/>
      <c r="K25" s="1441"/>
      <c r="L25" s="1441"/>
      <c r="M25" s="1441"/>
      <c r="N25" s="137"/>
      <c r="O25" s="137"/>
      <c r="P25" s="137"/>
      <c r="Q25" s="137"/>
      <c r="R25" s="137"/>
      <c r="S25" s="137"/>
      <c r="T25" s="137"/>
      <c r="U25" s="137"/>
      <c r="V25" s="18"/>
      <c r="AD25" s="131"/>
      <c r="AE25" s="131"/>
      <c r="AF25" s="131"/>
      <c r="AX25" s="129"/>
      <c r="AY25" s="129"/>
      <c r="CR25" s="1404"/>
    </row>
    <row r="26" spans="1:96" ht="16.899999999999999" customHeight="1" thickTop="1" thickBot="1">
      <c r="A26" s="137"/>
      <c r="B26" s="137"/>
      <c r="C26" s="137"/>
      <c r="D26" s="137"/>
      <c r="E26" s="476"/>
      <c r="F26" s="477"/>
      <c r="G26" s="477"/>
      <c r="H26" s="478"/>
      <c r="I26" s="1410" t="s">
        <v>85</v>
      </c>
      <c r="J26" s="1411"/>
      <c r="K26" s="1411"/>
      <c r="L26" s="1411"/>
      <c r="M26" s="1411"/>
      <c r="N26" s="1411"/>
      <c r="O26" s="1411"/>
      <c r="P26" s="1411"/>
      <c r="Q26" s="1411"/>
      <c r="R26" s="1411"/>
      <c r="S26" s="1411"/>
      <c r="T26" s="1411"/>
      <c r="U26" s="1412"/>
      <c r="V26" s="18"/>
      <c r="AE26" s="129"/>
      <c r="AX26" s="129"/>
      <c r="CR26" s="1404"/>
    </row>
    <row r="27" spans="1:96" ht="21" customHeight="1" thickTop="1" thickBot="1">
      <c r="A27" s="137"/>
      <c r="B27" s="137"/>
      <c r="C27" s="137"/>
      <c r="D27" s="137"/>
      <c r="E27" s="473"/>
      <c r="F27" s="474"/>
      <c r="G27" s="474"/>
      <c r="H27" s="475"/>
      <c r="I27" s="1335" t="str">
        <f>I53</f>
        <v>Norex-L 6" (36")</v>
      </c>
      <c r="J27" s="1336"/>
      <c r="K27" s="1336"/>
      <c r="L27" s="1337"/>
      <c r="M27" s="1335" t="str">
        <f>M53</f>
        <v>Norex-L 4" (36")</v>
      </c>
      <c r="N27" s="1336"/>
      <c r="O27" s="1336"/>
      <c r="P27" s="1336"/>
      <c r="Q27" s="1337"/>
      <c r="R27" s="1335" t="str">
        <f>R53</f>
        <v>Noroc- 8" (42,5")</v>
      </c>
      <c r="S27" s="1336"/>
      <c r="T27" s="1336"/>
      <c r="U27" s="1337"/>
      <c r="AE27" s="129"/>
      <c r="AX27" s="129"/>
      <c r="CR27" s="1404"/>
    </row>
    <row r="28" spans="1:96" ht="21.95" customHeight="1" thickTop="1">
      <c r="A28" s="137"/>
      <c r="B28" s="137"/>
      <c r="C28" s="137"/>
      <c r="D28" s="137"/>
      <c r="E28" s="753" t="s">
        <v>86</v>
      </c>
      <c r="F28" s="754"/>
      <c r="G28" s="754"/>
      <c r="H28" s="767"/>
      <c r="I28" s="1309">
        <f>IF('Saisie de données'!C60='Menu déroulant'!AA31,VLOOKUP('Saisie de données'!E60,'Infos Techniques'!A18:D23,2,0),VLOOKUP('Saisie de données'!E60,'Infos Techniques'!A18:D23,4,0))</f>
        <v>44.7</v>
      </c>
      <c r="J28" s="1310"/>
      <c r="K28" s="1191" t="s">
        <v>87</v>
      </c>
      <c r="L28" s="1191"/>
      <c r="M28" s="1309">
        <f>IF('Saisie de données'!C61='Menu déroulant'!AA31,VLOOKUP('Saisie de données'!E61,'Infos Techniques'!A18:D23,2,0),VLOOKUP('Saisie de données'!E61,'Infos Techniques'!A18:D25,4,0))</f>
        <v>29.8</v>
      </c>
      <c r="N28" s="1310"/>
      <c r="O28" s="1191" t="str">
        <f>K28</f>
        <v>pi2 F/BTU</v>
      </c>
      <c r="P28" s="1191"/>
      <c r="Q28" s="1185"/>
      <c r="R28" s="1309">
        <f>IF('Saisie de données'!C62='Menu déroulant'!AA31,VLOOKUP('Saisie de données'!E62,'Infos Techniques'!A18:D23,2,0),VLOOKUP('Saisie de données'!E62,'Infos Techniques'!A18:D23,4,0))</f>
        <v>32</v>
      </c>
      <c r="S28" s="1310"/>
      <c r="T28" s="1191" t="str">
        <f>K28</f>
        <v>pi2 F/BTU</v>
      </c>
      <c r="U28" s="1185"/>
      <c r="AE28" s="129"/>
      <c r="AX28" s="129"/>
      <c r="CR28" s="1404"/>
    </row>
    <row r="29" spans="1:96" ht="21.95" customHeight="1">
      <c r="A29" s="137"/>
      <c r="B29" s="137"/>
      <c r="C29" s="137"/>
      <c r="D29" s="137"/>
      <c r="E29" s="768" t="s">
        <v>88</v>
      </c>
      <c r="F29" s="757"/>
      <c r="G29" s="757"/>
      <c r="H29" s="758"/>
      <c r="I29" s="1381">
        <f>IF('Saisie de données'!C60='Menu déroulant'!AA31,VLOOKUP('Saisie de données'!E60,'Infos Techniques'!A18:E23,3,0),VLOOKUP('Saisie de données'!E60,'Infos Techniques'!A18:E23,5,0))</f>
        <v>40.67</v>
      </c>
      <c r="J29" s="1382"/>
      <c r="K29" s="1178" t="s">
        <v>87</v>
      </c>
      <c r="L29" s="1178"/>
      <c r="M29" s="1381">
        <f>IF('Saisie de données'!C61='Menu déroulant'!AA31,VLOOKUP('Saisie de données'!E61,'Infos Techniques'!A18:E23,3,0),VLOOKUP('Saisie de données'!E61,'Infos Techniques'!A18:E23,5,0))</f>
        <v>25.77</v>
      </c>
      <c r="N29" s="1382"/>
      <c r="O29" s="1178" t="str">
        <f>K29</f>
        <v>pi2 F/BTU</v>
      </c>
      <c r="P29" s="1178"/>
      <c r="Q29" s="1189"/>
      <c r="R29" s="1381">
        <f>IF('Saisie de données'!C62='Menu déroulant'!AA31,VLOOKUP('Saisie de données'!E62,'Infos Techniques'!A18:E23,3,0),VLOOKUP('Saisie de données'!E62,'Infos Techniques'!A18:E23,5,0))</f>
        <v>26.44</v>
      </c>
      <c r="S29" s="1382"/>
      <c r="T29" s="1178" t="str">
        <f>K29</f>
        <v>pi2 F/BTU</v>
      </c>
      <c r="U29" s="1189"/>
      <c r="AE29" s="129"/>
      <c r="AX29" s="129"/>
      <c r="CR29" s="1404"/>
    </row>
    <row r="30" spans="1:96" ht="21.95" customHeight="1">
      <c r="A30" s="137"/>
      <c r="B30" s="137"/>
      <c r="C30" s="137"/>
      <c r="D30" s="137"/>
      <c r="E30" s="1284" t="s">
        <v>89</v>
      </c>
      <c r="F30" s="1285"/>
      <c r="G30" s="1285"/>
      <c r="H30" s="1286"/>
      <c r="I30" s="1381">
        <f>IF('Saisie de données'!C60='Menu déroulant'!AA31,0,VLOOKUP('Saisie de données'!E60,'Infos Techniques'!G18:I23,3,0))</f>
        <v>0</v>
      </c>
      <c r="J30" s="1382"/>
      <c r="K30" s="1178" t="s">
        <v>90</v>
      </c>
      <c r="L30" s="1178"/>
      <c r="M30" s="1381">
        <f>IF('Saisie de données'!C61='Menu déroulant'!AA31,0,VLOOKUP('Saisie de données'!E61,'Infos Techniques'!G18:I23,3,0))</f>
        <v>0</v>
      </c>
      <c r="N30" s="1382"/>
      <c r="O30" s="1178" t="str">
        <f t="shared" ref="O30:O32" si="0">K30</f>
        <v>heures</v>
      </c>
      <c r="P30" s="1178"/>
      <c r="Q30" s="1189"/>
      <c r="R30" s="1381">
        <f>IF('Saisie de données'!C62='Menu déroulant'!AA31,0,VLOOKUP('Saisie de données'!E62,'Infos Techniques'!G18:I23,3,0))</f>
        <v>3</v>
      </c>
      <c r="S30" s="1382"/>
      <c r="T30" s="1178" t="str">
        <f t="shared" ref="T30:T32" si="1">K30</f>
        <v>heures</v>
      </c>
      <c r="U30" s="1189"/>
      <c r="AE30" s="129"/>
      <c r="AX30" s="129"/>
      <c r="CR30" s="1404"/>
    </row>
    <row r="31" spans="1:96" ht="21.95" customHeight="1">
      <c r="A31" s="137"/>
      <c r="B31" s="137"/>
      <c r="C31" s="137"/>
      <c r="D31" s="137"/>
      <c r="E31" s="1287" t="s">
        <v>91</v>
      </c>
      <c r="F31" s="1288"/>
      <c r="G31" s="1288"/>
      <c r="H31" s="1289"/>
      <c r="I31" s="1445">
        <f>IF('Saisie de données'!C60='Menu déroulant'!AA31,MIN((Longueur_Panneau!F12)/12,52.25),MIN((Longueur_Panneau!F12)/12,40))</f>
        <v>25.793780947950893</v>
      </c>
      <c r="J31" s="1446"/>
      <c r="K31" s="1288" t="s">
        <v>92</v>
      </c>
      <c r="L31" s="1288"/>
      <c r="M31" s="1445">
        <f>IF('Saisie de données'!C61='Menu déroulant'!AA31,MIN((Longueur_Panneau!N12)/12,52.25),MIN((Longueur_Panneau!N12)/12,40))</f>
        <v>25.793780947950893</v>
      </c>
      <c r="N31" s="1446"/>
      <c r="O31" s="1288" t="str">
        <f t="shared" si="0"/>
        <v>pieds</v>
      </c>
      <c r="P31" s="1288"/>
      <c r="Q31" s="1289"/>
      <c r="R31" s="1445">
        <f>IF('Saisie de données'!C62='Menu déroulant'!AA31,MIN((Longueur_Panneau!F24)/12,52.25),MIN((Longueur_Panneau!F24)/12,40))</f>
        <v>40</v>
      </c>
      <c r="S31" s="1446"/>
      <c r="T31" s="1288" t="str">
        <f t="shared" si="1"/>
        <v>pieds</v>
      </c>
      <c r="U31" s="1289"/>
      <c r="V31" s="18"/>
      <c r="W31" s="42"/>
      <c r="X31" s="42"/>
      <c r="AF31" s="129"/>
      <c r="AG31" s="129"/>
      <c r="AH31" s="129"/>
      <c r="AX31" s="129"/>
      <c r="AY31" s="380"/>
      <c r="CR31" s="1404"/>
    </row>
    <row r="32" spans="1:96" ht="21.95" customHeight="1">
      <c r="A32" s="137"/>
      <c r="B32" s="137"/>
      <c r="C32" s="137"/>
      <c r="D32" s="170"/>
      <c r="E32" s="1329" t="s">
        <v>93</v>
      </c>
      <c r="F32" s="1330"/>
      <c r="G32" s="1330"/>
      <c r="H32" s="1331"/>
      <c r="I32" s="1423">
        <f>IF('Saisie de données'!C60='Menu déroulant'!AA31,(VLOOKUP('Saisie de données'!E60,'Infos Techniques'!K35:M40,3,0)),(VLOOKUP('Saisie de données'!E60,'Infos Techniques'!K35:M40,2,0)))+VLOOKUP('Saisie de données'!H60,'Infos Techniques'!L27:M29,2,0)+VLOOKUP('Saisie de données'!I60,'Infos Techniques'!L27:M29,2,0)</f>
        <v>3.0207200000000007</v>
      </c>
      <c r="J32" s="1424"/>
      <c r="K32" s="1178" t="s">
        <v>94</v>
      </c>
      <c r="L32" s="1178"/>
      <c r="M32" s="1423">
        <f>IF('Saisie de données'!C61='Menu déroulant'!AA31,(VLOOKUP('Saisie de données'!E61,'Infos Techniques'!K35:M40,3,0)),(VLOOKUP('Saisie de données'!E61,'Infos Techniques'!K35:M40,2,0)))+VLOOKUP('Saisie de données'!H61,'Infos Techniques'!L27:M29,2,0)+VLOOKUP('Saisie de données'!I61,'Infos Techniques'!L27:M29,2,0)</f>
        <v>2.6040533333333338</v>
      </c>
      <c r="N32" s="1424"/>
      <c r="O32" s="1178" t="str">
        <f t="shared" si="0"/>
        <v>lbs/pi2</v>
      </c>
      <c r="P32" s="1178"/>
      <c r="Q32" s="1189"/>
      <c r="R32" s="1423">
        <f>IF('Saisie de données'!C62='Menu déroulant'!AA31,(VLOOKUP('Saisie de données'!E62,'Infos Techniques'!K35:M40,3,0)),(VLOOKUP('Saisie de données'!E62,'Infos Techniques'!K35:M40,2,0)))+VLOOKUP('Saisie de données'!H62,'Infos Techniques'!L27:M29,2,0)+VLOOKUP('Saisie de données'!I62,'Infos Techniques'!L27:M29,2,0)</f>
        <v>7.4373866666666668</v>
      </c>
      <c r="S32" s="1424"/>
      <c r="T32" s="1178" t="str">
        <f t="shared" si="1"/>
        <v>lbs/pi2</v>
      </c>
      <c r="U32" s="1189"/>
      <c r="V32" s="33"/>
      <c r="W32" s="42"/>
      <c r="X32" s="42"/>
      <c r="AA32" s="129"/>
      <c r="AF32" s="129"/>
      <c r="AG32" s="19"/>
      <c r="AH32" s="19"/>
      <c r="AX32" s="129"/>
      <c r="CR32" s="1404"/>
    </row>
    <row r="33" spans="1:96" ht="21.95" customHeight="1" thickBot="1">
      <c r="A33" s="137"/>
      <c r="B33" s="137"/>
      <c r="C33" s="137"/>
      <c r="D33" s="170"/>
      <c r="E33" s="750" t="s">
        <v>95</v>
      </c>
      <c r="F33" s="751"/>
      <c r="G33" s="765"/>
      <c r="H33" s="766"/>
      <c r="I33" s="1338">
        <f>ROUNDUP((I$31*I$32)/('Infos Techniques'!$K$52*12),1)</f>
        <v>0.7</v>
      </c>
      <c r="J33" s="1339"/>
      <c r="K33" s="1428" t="s">
        <v>96</v>
      </c>
      <c r="L33" s="1428"/>
      <c r="M33" s="1338">
        <f>ROUNDUP((M$31*M$32)/('Infos Techniques'!$K$52*12),1)</f>
        <v>0.6</v>
      </c>
      <c r="N33" s="1339"/>
      <c r="O33" s="1428" t="str">
        <f t="shared" ref="O33" si="2">K33</f>
        <v>pouces</v>
      </c>
      <c r="P33" s="1428"/>
      <c r="Q33" s="1429"/>
      <c r="R33" s="1338">
        <f>ROUNDUP((R$31*R$32)/('Infos Techniques'!$K$52*12),1)</f>
        <v>2.5</v>
      </c>
      <c r="S33" s="1339"/>
      <c r="T33" s="1428" t="str">
        <f t="shared" ref="T33" si="3">K33</f>
        <v>pouces</v>
      </c>
      <c r="U33" s="1429"/>
      <c r="V33" s="682"/>
      <c r="W33" s="42"/>
      <c r="X33" s="42"/>
      <c r="Z33" s="188"/>
      <c r="AA33" s="188"/>
      <c r="AB33" s="129"/>
      <c r="AF33" s="129"/>
      <c r="AG33" s="19"/>
      <c r="AH33" s="19"/>
      <c r="AX33" s="129"/>
      <c r="CR33" s="1404"/>
    </row>
    <row r="34" spans="1:96" ht="21.95" customHeight="1" thickTop="1">
      <c r="A34" s="137"/>
      <c r="B34" s="137"/>
      <c r="C34" s="137"/>
      <c r="D34" s="170"/>
      <c r="E34" s="675"/>
      <c r="F34" s="675"/>
      <c r="G34" s="675"/>
      <c r="H34" s="675"/>
      <c r="I34" s="616"/>
      <c r="J34" s="616"/>
      <c r="K34" s="617"/>
      <c r="L34" s="617"/>
      <c r="M34" s="616"/>
      <c r="N34" s="616"/>
      <c r="O34" s="617"/>
      <c r="P34" s="617"/>
      <c r="Q34" s="617"/>
      <c r="R34" s="616"/>
      <c r="S34" s="616"/>
      <c r="T34" s="617"/>
      <c r="U34" s="617"/>
      <c r="V34" s="682"/>
      <c r="W34" s="42"/>
      <c r="X34" s="42"/>
      <c r="Z34" s="188"/>
      <c r="AA34" s="188"/>
      <c r="AB34" s="129"/>
      <c r="AF34" s="129"/>
      <c r="AG34" s="19"/>
      <c r="AH34" s="19"/>
      <c r="AX34" s="129"/>
      <c r="CR34" s="1404"/>
    </row>
    <row r="35" spans="1:96" ht="21.95" customHeight="1">
      <c r="A35" s="137"/>
      <c r="B35" s="137"/>
      <c r="C35" s="137"/>
      <c r="D35" s="137"/>
      <c r="E35" s="1325" t="s">
        <v>97</v>
      </c>
      <c r="F35" s="1325"/>
      <c r="G35" s="1325"/>
      <c r="H35" s="1325"/>
      <c r="I35" s="1325"/>
      <c r="J35" s="1325"/>
      <c r="K35" s="1325"/>
      <c r="L35" s="1325"/>
      <c r="M35" s="1325"/>
      <c r="N35" s="616"/>
      <c r="O35" s="617"/>
      <c r="P35" s="617"/>
      <c r="Q35" s="617"/>
      <c r="R35" s="616"/>
      <c r="S35" s="616"/>
      <c r="T35" s="617"/>
      <c r="U35" s="617"/>
      <c r="V35" s="682"/>
      <c r="W35" s="42"/>
      <c r="X35" s="42"/>
      <c r="Z35" s="188"/>
      <c r="AA35" s="188"/>
      <c r="AB35" s="129"/>
      <c r="AF35" s="129"/>
      <c r="AG35" s="19"/>
      <c r="AH35" s="19"/>
      <c r="AX35" s="129"/>
      <c r="CR35" s="1404"/>
    </row>
    <row r="36" spans="1:96" ht="6" customHeight="1">
      <c r="A36" s="137"/>
      <c r="B36" s="137"/>
      <c r="C36" s="137"/>
      <c r="D36" s="137"/>
      <c r="E36" s="1325"/>
      <c r="F36" s="1325"/>
      <c r="G36" s="1325"/>
      <c r="H36" s="1325"/>
      <c r="I36" s="1325"/>
      <c r="J36" s="1325"/>
      <c r="K36" s="1325"/>
      <c r="L36" s="1325"/>
      <c r="M36" s="1325"/>
      <c r="N36" s="616"/>
      <c r="O36" s="617"/>
      <c r="P36" s="617"/>
      <c r="Q36" s="617"/>
      <c r="R36" s="616"/>
      <c r="S36" s="616"/>
      <c r="T36" s="617"/>
      <c r="U36" s="617"/>
      <c r="V36" s="682"/>
      <c r="W36" s="42"/>
      <c r="X36" s="42"/>
      <c r="Z36" s="188"/>
      <c r="AA36" s="188"/>
      <c r="AB36" s="129"/>
      <c r="AF36" s="129"/>
      <c r="AG36" s="19"/>
      <c r="AH36" s="19"/>
      <c r="AX36" s="129"/>
      <c r="CR36" s="1404"/>
    </row>
    <row r="37" spans="1:96" ht="26.45" customHeight="1">
      <c r="A37" s="137"/>
      <c r="B37" s="137"/>
      <c r="C37" s="137"/>
      <c r="D37" s="137"/>
      <c r="E37" s="1328" t="s">
        <v>98</v>
      </c>
      <c r="F37" s="1328"/>
      <c r="G37" s="1328"/>
      <c r="H37" s="1328"/>
      <c r="I37" s="1328"/>
      <c r="J37" s="1328"/>
      <c r="K37" s="1328"/>
      <c r="L37" s="1328"/>
      <c r="M37" s="1328"/>
      <c r="N37" s="1328"/>
      <c r="O37" s="1328"/>
      <c r="P37" s="1328"/>
      <c r="Q37" s="1328"/>
      <c r="R37" s="1301" t="s">
        <v>99</v>
      </c>
      <c r="S37" s="1301"/>
      <c r="T37" s="1301"/>
      <c r="U37" s="1301"/>
      <c r="V37" s="682"/>
      <c r="W37" s="42"/>
      <c r="X37" s="42"/>
      <c r="Z37" s="188"/>
      <c r="AA37" s="188"/>
      <c r="AB37" s="129"/>
      <c r="AF37" s="129"/>
      <c r="AG37" s="19"/>
      <c r="AH37" s="19"/>
      <c r="AX37" s="129"/>
      <c r="CR37" s="1404"/>
    </row>
    <row r="38" spans="1:96" ht="26.45" customHeight="1">
      <c r="A38" s="137"/>
      <c r="B38" s="137"/>
      <c r="C38" s="137"/>
      <c r="D38" s="137"/>
      <c r="E38" s="1326" t="s">
        <v>100</v>
      </c>
      <c r="F38" s="1326"/>
      <c r="G38" s="1326"/>
      <c r="H38" s="1326"/>
      <c r="I38" s="1326"/>
      <c r="J38" s="1326"/>
      <c r="K38" s="1326"/>
      <c r="L38" s="1326"/>
      <c r="M38" s="1326"/>
      <c r="N38" s="1326"/>
      <c r="O38" s="1326"/>
      <c r="P38" s="711"/>
      <c r="Q38" s="711"/>
      <c r="R38" s="1281"/>
      <c r="S38" s="1281"/>
      <c r="T38" s="1281"/>
      <c r="U38" s="1281"/>
      <c r="V38" s="682"/>
      <c r="W38" s="42"/>
      <c r="X38" s="42"/>
      <c r="Z38" s="188"/>
      <c r="AA38" s="188"/>
      <c r="AB38" s="129"/>
      <c r="AF38" s="129"/>
      <c r="AG38" s="19"/>
      <c r="AH38" s="19"/>
      <c r="AX38" s="129"/>
      <c r="CR38" s="1404"/>
    </row>
    <row r="39" spans="1:96" ht="26.45" customHeight="1">
      <c r="A39" s="137"/>
      <c r="B39" s="137"/>
      <c r="C39" s="137"/>
      <c r="D39" s="137"/>
      <c r="E39" s="1327" t="str">
        <f>IF(OR('Saisie de données'!K60='Menu déroulant'!AA34,'Saisie de données'!K61='Menu déroulant'!AA34,'Saisie de données'!K62='Menu déroulant'!AA34),"***Mise en garde (Option non-standard) : Au moins un des panneaux sélectionnés utilisent une portée simple. Une portée simple implique une fixation avec seulement deux points d'appuis, soit le bas du panneau et le haut du panneau.","")</f>
        <v/>
      </c>
      <c r="F39" s="1327"/>
      <c r="G39" s="1327"/>
      <c r="H39" s="1327"/>
      <c r="I39" s="1327"/>
      <c r="J39" s="1327"/>
      <c r="K39" s="1327"/>
      <c r="L39" s="1327"/>
      <c r="M39" s="1327"/>
      <c r="N39" s="1327"/>
      <c r="O39" s="1327"/>
      <c r="P39" s="711"/>
      <c r="Q39" s="711"/>
      <c r="R39" s="1421" t="str">
        <f>IF(OR('Saisie de données'!K60='Menu déroulant'!AA34,'Saisie de données'!K61='Menu déroulant'!AA34,'Saisie de données'!K62='Menu déroulant'!AA34),"Se référer à la fiche ASTM E72 du produit pour plus d'informations.","")</f>
        <v/>
      </c>
      <c r="S39" s="1421"/>
      <c r="T39" s="1421"/>
      <c r="U39" s="1421"/>
      <c r="V39" s="682"/>
      <c r="W39" s="42"/>
      <c r="X39" s="42"/>
      <c r="Z39" s="188"/>
      <c r="AA39" s="188"/>
      <c r="AB39" s="129"/>
      <c r="AF39" s="129"/>
      <c r="AG39" s="19"/>
      <c r="AH39" s="19"/>
      <c r="AX39" s="129"/>
      <c r="CR39" s="1404"/>
    </row>
    <row r="40" spans="1:96" ht="31.15" customHeight="1">
      <c r="A40" s="137"/>
      <c r="B40" s="137"/>
      <c r="C40" s="137"/>
      <c r="D40" s="710"/>
      <c r="E40" s="1305" t="str">
        <f>IF(AND(ISBLANK('Saisie de données'!E47),ISBLANK('Saisie de données'!K47)),"",IF('Saisie de données'!$D$16='Menu déroulant'!$B$20,VLOOKUP('Saisie de données'!K47,'Menu déroulant'!$AN$4:$AP$10,2,0),VLOOKUP('Saisie de données'!E47,'Menu déroulant'!$AJ$4:$AL$13,2,0)))</f>
        <v/>
      </c>
      <c r="F40" s="1305"/>
      <c r="G40" s="1305"/>
      <c r="H40" s="1305"/>
      <c r="I40" s="1305"/>
      <c r="J40" s="1305"/>
      <c r="K40" s="1305"/>
      <c r="L40" s="1305"/>
      <c r="M40" s="1305"/>
      <c r="N40" s="1305"/>
      <c r="O40" s="1305"/>
      <c r="P40" s="408"/>
      <c r="Q40" s="408"/>
      <c r="R40" s="1305" t="str">
        <f>IF(AND(ISBLANK('Saisie de données'!E47),ISBLANK('Saisie de données'!K47)),"",IF('Saisie de données'!$D$16='Menu déroulant'!$B$20,VLOOKUP('Saisie de données'!K47,'Menu déroulant'!$AN$19:$AP$25,2,0),VLOOKUP('Saisie de données'!E47,'Menu déroulant'!$AJ$19:$AL$28,2,0)))</f>
        <v/>
      </c>
      <c r="S40" s="1305"/>
      <c r="T40" s="1305"/>
      <c r="U40" s="1305"/>
      <c r="V40" s="682"/>
      <c r="W40" s="42"/>
      <c r="X40" s="42"/>
      <c r="Z40" s="188"/>
      <c r="AA40" s="737"/>
      <c r="AB40" s="129"/>
      <c r="AF40" s="129"/>
      <c r="AG40" s="19"/>
      <c r="AH40" s="19"/>
      <c r="AX40" s="129"/>
      <c r="CR40" s="1404"/>
    </row>
    <row r="41" spans="1:96" ht="31.15" customHeight="1">
      <c r="A41" s="137"/>
      <c r="B41" s="137"/>
      <c r="C41" s="137"/>
      <c r="D41" s="408"/>
      <c r="E41" s="1305" t="str">
        <f>IF(AND(ISBLANK('Saisie de données'!E49),ISBLANK('Saisie de données'!K49)),"",IF('Saisie de données'!$D$16='Menu déroulant'!$B$20,VLOOKUP('Saisie de données'!K49,'Menu déroulant'!$AN$4:$AP$10,2,0),VLOOKUP('Saisie de données'!E49,'Menu déroulant'!$AJ$4:$AL$13,2,0)))</f>
        <v/>
      </c>
      <c r="F41" s="1305"/>
      <c r="G41" s="1305"/>
      <c r="H41" s="1305"/>
      <c r="I41" s="1305"/>
      <c r="J41" s="1305"/>
      <c r="K41" s="1305"/>
      <c r="L41" s="1305"/>
      <c r="M41" s="1305"/>
      <c r="N41" s="1305"/>
      <c r="O41" s="1305"/>
      <c r="P41" s="408"/>
      <c r="Q41" s="408"/>
      <c r="R41" s="1305" t="str">
        <f>IF(AND(ISBLANK('Saisie de données'!E49),ISBLANK('Saisie de données'!K49)),"",IF('Saisie de données'!$D$16='Menu déroulant'!$B$20,VLOOKUP('Saisie de données'!K49,'Menu déroulant'!$AN$19:$AP$25,2,0),VLOOKUP('Saisie de données'!E49,'Menu déroulant'!$AJ$19:$AL$28,2,0)))</f>
        <v/>
      </c>
      <c r="S41" s="1305"/>
      <c r="T41" s="1305"/>
      <c r="U41" s="1305"/>
      <c r="V41" s="682"/>
      <c r="W41" s="42"/>
      <c r="X41" s="42"/>
      <c r="Z41" s="188"/>
      <c r="AA41" s="188"/>
      <c r="AB41" s="129"/>
      <c r="AF41" s="129"/>
      <c r="AG41" s="19"/>
      <c r="AH41" s="19"/>
      <c r="AX41" s="129"/>
      <c r="CR41" s="1404"/>
    </row>
    <row r="42" spans="1:96" ht="31.15" customHeight="1">
      <c r="A42" s="137"/>
      <c r="B42" s="137"/>
      <c r="C42" s="137"/>
      <c r="D42" s="611"/>
      <c r="E42" s="1305" t="str">
        <f>IF(ISBLANK('Saisie de données'!E45),"",IF('Saisie de données'!$D$16='Menu déroulant'!$B$20,"",VLOOKUP('Saisie de données'!E45,'Menu déroulant'!$AJ$4:$AL$13,2,0)))</f>
        <v/>
      </c>
      <c r="F42" s="1305"/>
      <c r="G42" s="1305"/>
      <c r="H42" s="1305"/>
      <c r="I42" s="1305"/>
      <c r="J42" s="1305"/>
      <c r="K42" s="1305"/>
      <c r="L42" s="1305"/>
      <c r="M42" s="1305"/>
      <c r="N42" s="1305"/>
      <c r="O42" s="1305"/>
      <c r="P42" s="408"/>
      <c r="Q42" s="408"/>
      <c r="R42" s="1419" t="str">
        <f>IF(AND(ISBLANK('Saisie de données'!E45),ISBLANK('Saisie de données'!K45)),"",IF('Saisie de données'!$D$16='Menu déroulant'!$B$20,"",VLOOKUP('Saisie de données'!E45,'Menu déroulant'!$AJ$19:$AL$28,2,0)))</f>
        <v/>
      </c>
      <c r="S42" s="1419"/>
      <c r="T42" s="1419"/>
      <c r="U42" s="1419"/>
      <c r="V42" s="682"/>
      <c r="W42" s="42"/>
      <c r="X42" s="42"/>
      <c r="Z42" s="188"/>
      <c r="AA42" s="188"/>
      <c r="AB42" s="129"/>
      <c r="AF42" s="129"/>
      <c r="AG42" s="19"/>
      <c r="AH42" s="19"/>
      <c r="AX42" s="129"/>
      <c r="CR42" s="1404"/>
    </row>
    <row r="43" spans="1:96" ht="31.15" customHeight="1">
      <c r="A43" s="137"/>
      <c r="B43" s="137"/>
      <c r="C43" s="137"/>
      <c r="D43" s="170"/>
      <c r="E43" s="1305" t="str">
        <f>IF(AND(ISBLANK('Saisie de données'!E51),ISBLANK('Saisie de données'!K51)),"",IF('Saisie de données'!$D$16='Menu déroulant'!$B$20,VLOOKUP('Saisie de données'!K51,'Menu déroulant'!$AN$4:$AP$12,2,0),VLOOKUP('Saisie de données'!E51,'Menu déroulant'!$AJ$4:$AL$15,2,0)))</f>
        <v/>
      </c>
      <c r="F43" s="1305"/>
      <c r="G43" s="1305"/>
      <c r="H43" s="1305"/>
      <c r="I43" s="1305"/>
      <c r="J43" s="1305"/>
      <c r="K43" s="1305"/>
      <c r="L43" s="1305"/>
      <c r="M43" s="1305"/>
      <c r="N43" s="1305"/>
      <c r="O43" s="1305"/>
      <c r="P43" s="408"/>
      <c r="Q43" s="408"/>
      <c r="R43" s="1420" t="str">
        <f>IF(AND(ISBLANK('Saisie de données'!E51),ISBLANK('Saisie de données'!K51)),"",IF('Saisie de données'!$D$16='Menu déroulant'!$B$20,VLOOKUP('Saisie de données'!K51,'Menu déroulant'!$AN$19:$AP$27,2,0),VLOOKUP('Saisie de données'!E51,'Menu déroulant'!$AJ$19:$AL$30,2,0)))</f>
        <v/>
      </c>
      <c r="S43" s="1421"/>
      <c r="T43" s="1421"/>
      <c r="U43" s="1421"/>
      <c r="V43" s="682"/>
      <c r="W43" s="42"/>
      <c r="X43" s="42"/>
      <c r="Z43" s="188"/>
      <c r="AA43" s="188"/>
      <c r="AB43" s="129"/>
      <c r="AF43" s="129"/>
      <c r="AG43" s="19"/>
      <c r="AH43" s="19"/>
      <c r="AX43" s="129"/>
      <c r="CR43" s="1404"/>
    </row>
    <row r="44" spans="1:96" ht="31.9" customHeight="1">
      <c r="A44" s="137"/>
      <c r="B44" s="137"/>
      <c r="C44" s="137"/>
      <c r="D44" s="170"/>
      <c r="E44" s="712"/>
      <c r="F44" s="712"/>
      <c r="G44" s="712"/>
      <c r="H44" s="675"/>
      <c r="I44" s="616"/>
      <c r="J44" s="616"/>
      <c r="K44" s="617"/>
      <c r="L44" s="617"/>
      <c r="M44" s="616"/>
      <c r="N44" s="616"/>
      <c r="O44" s="617"/>
      <c r="P44" s="617"/>
      <c r="Q44" s="617"/>
      <c r="R44" s="616"/>
      <c r="S44" s="616"/>
      <c r="T44" s="617"/>
      <c r="U44" s="617"/>
      <c r="V44" s="682"/>
      <c r="W44" s="42"/>
      <c r="X44" s="42"/>
      <c r="Z44" s="188"/>
      <c r="AA44" s="188"/>
      <c r="AB44" s="129"/>
      <c r="AF44" s="129"/>
      <c r="AG44" s="19"/>
      <c r="AH44" s="19"/>
      <c r="AX44" s="129"/>
      <c r="CR44" s="1404"/>
    </row>
    <row r="45" spans="1:96" ht="31.9" customHeight="1">
      <c r="A45" s="137"/>
      <c r="B45" s="137"/>
      <c r="C45" s="137"/>
      <c r="D45" s="170"/>
      <c r="E45" s="675"/>
      <c r="F45" s="675"/>
      <c r="G45" s="675"/>
      <c r="H45" s="675"/>
      <c r="I45" s="616"/>
      <c r="J45" s="616"/>
      <c r="K45" s="617"/>
      <c r="L45" s="617"/>
      <c r="M45" s="616"/>
      <c r="N45" s="616"/>
      <c r="O45" s="617"/>
      <c r="P45" s="617"/>
      <c r="Q45" s="617"/>
      <c r="R45" s="616"/>
      <c r="S45" s="616"/>
      <c r="T45" s="617"/>
      <c r="U45" s="617"/>
      <c r="V45" s="682"/>
      <c r="W45" s="42"/>
      <c r="X45" s="42"/>
      <c r="Z45" s="188"/>
      <c r="AA45" s="188"/>
      <c r="AB45" s="129"/>
      <c r="AF45" s="129"/>
      <c r="AG45" s="19"/>
      <c r="AH45" s="19"/>
      <c r="AX45" s="129"/>
      <c r="CR45" s="1404"/>
    </row>
    <row r="46" spans="1:96" ht="31.9" customHeight="1">
      <c r="A46" s="137"/>
      <c r="B46" s="137"/>
      <c r="C46" s="137"/>
      <c r="D46" s="170"/>
      <c r="E46" s="675"/>
      <c r="F46" s="675"/>
      <c r="G46" s="675"/>
      <c r="H46" s="675"/>
      <c r="I46" s="616"/>
      <c r="J46" s="616"/>
      <c r="K46" s="617"/>
      <c r="L46" s="617"/>
      <c r="M46" s="616"/>
      <c r="N46" s="616"/>
      <c r="O46" s="617"/>
      <c r="P46" s="617"/>
      <c r="Q46" s="617"/>
      <c r="R46" s="616"/>
      <c r="S46" s="616"/>
      <c r="T46" s="617"/>
      <c r="U46" s="617"/>
      <c r="V46" s="682"/>
      <c r="W46" s="42"/>
      <c r="X46" s="42"/>
      <c r="Z46" s="188"/>
      <c r="AA46" s="188"/>
      <c r="AB46" s="129"/>
      <c r="AF46" s="129"/>
      <c r="AG46" s="19"/>
      <c r="AH46" s="19"/>
      <c r="AX46" s="129"/>
      <c r="CR46" s="1404"/>
    </row>
    <row r="47" spans="1:96" ht="20.45" customHeight="1">
      <c r="A47" s="137"/>
      <c r="B47" s="137"/>
      <c r="C47" s="137"/>
      <c r="D47" s="137"/>
      <c r="E47" s="137"/>
      <c r="F47" s="137"/>
      <c r="G47" s="137"/>
      <c r="H47" s="137"/>
      <c r="I47" s="137"/>
      <c r="J47" s="137"/>
      <c r="K47" s="137"/>
      <c r="L47" s="137"/>
      <c r="M47" s="137"/>
      <c r="N47" s="137"/>
      <c r="O47" s="137"/>
      <c r="P47" s="137"/>
      <c r="Q47" s="137"/>
      <c r="R47" s="137"/>
      <c r="S47" s="137"/>
      <c r="T47" s="137"/>
      <c r="U47" s="137"/>
      <c r="V47" s="33"/>
      <c r="W47" s="42"/>
      <c r="X47" s="42"/>
      <c r="Y47" s="42"/>
      <c r="Z47" s="42"/>
      <c r="AA47" s="129"/>
      <c r="AB47" s="24"/>
      <c r="AX47" s="129"/>
      <c r="AY47" s="129"/>
      <c r="CR47" s="1404"/>
    </row>
    <row r="48" spans="1:96" ht="20.45" customHeight="1">
      <c r="A48" s="137"/>
      <c r="B48" s="137"/>
      <c r="D48" s="865"/>
      <c r="E48" s="865"/>
      <c r="F48" s="865"/>
      <c r="G48" s="865"/>
      <c r="H48" s="865"/>
      <c r="I48" s="137"/>
      <c r="J48" s="137"/>
      <c r="K48" s="618"/>
      <c r="L48" s="612"/>
      <c r="M48" s="608"/>
      <c r="N48" s="137"/>
      <c r="O48" s="137"/>
      <c r="P48" s="137"/>
      <c r="Q48" s="137"/>
      <c r="R48" s="137"/>
      <c r="S48" s="137"/>
      <c r="T48" s="618"/>
      <c r="U48" s="618"/>
      <c r="V48" s="33"/>
      <c r="W48" s="42"/>
      <c r="X48" s="42"/>
      <c r="Y48" s="42"/>
      <c r="Z48" s="42"/>
      <c r="AA48" s="129"/>
      <c r="AB48" s="24"/>
      <c r="AX48" s="1418"/>
      <c r="AY48" s="1418"/>
      <c r="CR48" s="1404"/>
    </row>
    <row r="49" spans="1:96" ht="20.45" customHeight="1">
      <c r="A49" s="137"/>
      <c r="B49" s="137"/>
      <c r="C49" s="865" t="str">
        <f>"Espacement Entremise ("&amp;VLOOKUP('Saisie de données'!F38,'Menu déroulant'!AA18:AC19,2,1)&amp;")"</f>
        <v>Espacement Entremise (pieds)</v>
      </c>
      <c r="D49" s="865"/>
      <c r="E49" s="865"/>
      <c r="F49" s="865"/>
      <c r="G49" s="865"/>
      <c r="H49" s="865"/>
      <c r="I49" s="137"/>
      <c r="J49" s="137"/>
      <c r="K49" s="618"/>
      <c r="L49" s="618"/>
      <c r="M49" s="618"/>
      <c r="N49" s="618"/>
      <c r="O49" s="619"/>
      <c r="P49" s="618"/>
      <c r="Q49" s="618"/>
      <c r="R49" s="618"/>
      <c r="S49" s="618"/>
      <c r="T49" s="618"/>
      <c r="U49" s="618"/>
      <c r="V49" s="33"/>
      <c r="W49" s="42"/>
      <c r="X49" s="42"/>
      <c r="Y49" s="42"/>
      <c r="Z49" s="42"/>
      <c r="AA49" s="129"/>
      <c r="AB49" s="24"/>
      <c r="AX49" s="387"/>
      <c r="AY49" s="387"/>
      <c r="CR49" s="1404"/>
    </row>
    <row r="50" spans="1:96" ht="20.45" customHeight="1">
      <c r="A50" s="137"/>
      <c r="B50" s="137"/>
      <c r="C50" s="137"/>
      <c r="D50" s="137"/>
      <c r="E50" s="619"/>
      <c r="F50" s="620"/>
      <c r="G50" s="620"/>
      <c r="H50" s="620"/>
      <c r="I50" s="1316" t="s">
        <v>101</v>
      </c>
      <c r="J50" s="1316"/>
      <c r="K50" s="1316"/>
      <c r="L50" s="1316"/>
      <c r="M50" s="1316"/>
      <c r="N50" s="1316"/>
      <c r="O50" s="1316"/>
      <c r="P50" s="1316"/>
      <c r="Q50" s="1316"/>
      <c r="R50" s="1316"/>
      <c r="S50" s="1316"/>
      <c r="T50" s="1316"/>
      <c r="U50" s="1316"/>
      <c r="V50" s="33"/>
      <c r="W50" s="42"/>
      <c r="X50" s="42"/>
      <c r="Y50" s="42"/>
      <c r="Z50" s="42"/>
      <c r="AA50" s="129"/>
      <c r="AB50" s="24"/>
      <c r="AX50" s="387"/>
      <c r="AY50" s="387"/>
      <c r="CR50" s="1404"/>
    </row>
    <row r="51" spans="1:96" ht="20.45" customHeight="1" thickBot="1">
      <c r="A51" s="137"/>
      <c r="B51" s="137"/>
      <c r="C51" s="137"/>
      <c r="D51" s="137"/>
      <c r="E51" s="619"/>
      <c r="F51" s="621"/>
      <c r="G51" s="621"/>
      <c r="H51" s="621"/>
      <c r="I51" s="1317"/>
      <c r="J51" s="1317"/>
      <c r="K51" s="1317"/>
      <c r="L51" s="1317"/>
      <c r="M51" s="1317"/>
      <c r="N51" s="1317"/>
      <c r="O51" s="1317"/>
      <c r="P51" s="1317"/>
      <c r="Q51" s="1317"/>
      <c r="R51" s="1317"/>
      <c r="S51" s="1317"/>
      <c r="T51" s="1317"/>
      <c r="U51" s="1317"/>
      <c r="V51" s="427"/>
      <c r="W51" s="42"/>
      <c r="X51" s="42"/>
      <c r="Y51" s="42"/>
      <c r="Z51" s="42"/>
      <c r="AA51" s="129"/>
      <c r="AB51" s="24"/>
      <c r="AX51" s="387"/>
      <c r="AY51" s="387"/>
      <c r="CR51" s="1404"/>
    </row>
    <row r="52" spans="1:96" ht="20.45" customHeight="1" thickTop="1" thickBot="1">
      <c r="A52" s="137"/>
      <c r="B52" s="137"/>
      <c r="C52" s="137"/>
      <c r="D52" s="137"/>
      <c r="E52" s="1320"/>
      <c r="F52" s="1471"/>
      <c r="G52" s="1472"/>
      <c r="H52" s="1473"/>
      <c r="I52" s="1410" t="s">
        <v>85</v>
      </c>
      <c r="J52" s="1411"/>
      <c r="K52" s="1411"/>
      <c r="L52" s="1411"/>
      <c r="M52" s="1411"/>
      <c r="N52" s="1411"/>
      <c r="O52" s="1411"/>
      <c r="P52" s="1411"/>
      <c r="Q52" s="1411"/>
      <c r="R52" s="1411"/>
      <c r="S52" s="1411"/>
      <c r="T52" s="1411"/>
      <c r="U52" s="1412"/>
      <c r="V52" s="427"/>
      <c r="W52" s="42"/>
      <c r="X52" s="42"/>
      <c r="Y52" s="42"/>
      <c r="Z52" s="42"/>
      <c r="AA52" s="129"/>
      <c r="AB52" s="24"/>
      <c r="AX52" s="387"/>
      <c r="AY52" s="387"/>
      <c r="CR52" s="1404"/>
    </row>
    <row r="53" spans="1:96" ht="20.45" customHeight="1" thickTop="1" thickBot="1">
      <c r="A53" s="137"/>
      <c r="B53" s="137"/>
      <c r="C53" s="137"/>
      <c r="D53" s="137"/>
      <c r="E53" s="1320"/>
      <c r="F53" s="1474"/>
      <c r="G53" s="1475"/>
      <c r="H53" s="1476"/>
      <c r="I53" s="1315" t="str">
        <f>IF('Saisie de données'!$C$60='Menu déroulant'!$AA$31,HYPERLINK("https://norbec.com/wp-content/uploads/2021/06/NOREX-Fiche-technique-3.pdf",'Saisie de données'!C60&amp;"-"&amp;'Saisie de données'!D60&amp;" "&amp;'Saisie de données'!E60&amp;""" ("&amp;'Saisie de données'!F60&amp;""")"),HYPERLINK("https://norbec.com/wp-content/uploads/2021/06/NOROC_Fiche-technique-3.pdf",'Saisie de données'!C60&amp;"-"&amp;'Saisie de données'!D60&amp;" "&amp;'Saisie de données'!E60&amp;""" ("&amp;'Saisie de données'!F60&amp;""")"))</f>
        <v>Norex-L 6" (36")</v>
      </c>
      <c r="J53" s="1315"/>
      <c r="K53" s="1315"/>
      <c r="L53" s="1315"/>
      <c r="M53" s="1335" t="str">
        <f>IF('Saisie de données'!$C$61='Menu déroulant'!$AA$31,HYPERLINK("https://norbec.com/wp-content/uploads/2021/06/NOREX-Fiche-technique-3.pdf",'Saisie de données'!C61&amp;"-"&amp;'Saisie de données'!D61&amp;" "&amp;'Saisie de données'!E61&amp;""" ("&amp;'Saisie de données'!F61&amp;""")"),HYPERLINK("https://norbec.com/wp-content/uploads/2021/06/NOROC_Fiche-technique-3.pdf",'Saisie de données'!C61&amp;"-"&amp;'Saisie de données'!D61&amp;" "&amp;'Saisie de données'!E61&amp;""" ("&amp;'Saisie de données'!F61&amp;""")"))</f>
        <v>Norex-L 4" (36")</v>
      </c>
      <c r="N53" s="1336"/>
      <c r="O53" s="1336"/>
      <c r="P53" s="1336"/>
      <c r="Q53" s="1337"/>
      <c r="R53" s="1335" t="str">
        <f>IF('Saisie de données'!$C$62='Menu déroulant'!$AA$31,HYPERLINK("https://norbec.com/wp-content/uploads/2021/06/NOREX-Fiche-technique-3.pdf",'Saisie de données'!C62&amp;"-"&amp;'Saisie de données'!D62&amp;" "&amp;'Saisie de données'!E62&amp;""" ("&amp;'Saisie de données'!F62&amp;""")"),HYPERLINK("https://norbec.com/wp-content/uploads/2021/06/NOROC_Fiche-technique-3.pdf",'Saisie de données'!C62&amp;"-"&amp;'Saisie de données'!D62&amp;" "&amp;'Saisie de données'!E62&amp;""" ("&amp;'Saisie de données'!F62&amp;""")"))</f>
        <v>Noroc- 8" (42,5")</v>
      </c>
      <c r="S53" s="1336"/>
      <c r="T53" s="1336"/>
      <c r="U53" s="1337"/>
      <c r="V53" s="427"/>
      <c r="W53" s="42"/>
      <c r="X53" s="42"/>
      <c r="Y53" s="42"/>
      <c r="Z53" s="42"/>
      <c r="AA53" s="129"/>
      <c r="AB53" s="24"/>
      <c r="AX53" s="387"/>
      <c r="AY53" s="387"/>
      <c r="CR53" s="1404"/>
    </row>
    <row r="54" spans="1:96" ht="20.45" customHeight="1" thickBot="1">
      <c r="A54" s="137"/>
      <c r="B54" s="137"/>
      <c r="C54" s="137"/>
      <c r="D54" s="137"/>
      <c r="E54" s="1320"/>
      <c r="F54" s="481"/>
      <c r="G54" s="479"/>
      <c r="H54" s="480"/>
      <c r="I54" s="1333" t="s">
        <v>102</v>
      </c>
      <c r="J54" s="1334"/>
      <c r="K54" s="1334"/>
      <c r="L54" s="1304"/>
      <c r="M54" s="1333" t="s">
        <v>102</v>
      </c>
      <c r="N54" s="1334"/>
      <c r="O54" s="1334"/>
      <c r="P54" s="1334"/>
      <c r="Q54" s="1304"/>
      <c r="R54" s="1333" t="s">
        <v>102</v>
      </c>
      <c r="S54" s="1334"/>
      <c r="T54" s="1334"/>
      <c r="U54" s="1304"/>
      <c r="V54" s="427"/>
      <c r="W54" s="42"/>
      <c r="X54" s="42"/>
      <c r="Y54" s="42"/>
      <c r="Z54" s="42"/>
      <c r="AA54" s="129"/>
      <c r="AB54" s="24"/>
      <c r="AX54" s="387"/>
      <c r="AY54" s="387"/>
      <c r="CR54" s="1404"/>
    </row>
    <row r="55" spans="1:96" ht="20.45" customHeight="1" thickBot="1">
      <c r="A55" s="137"/>
      <c r="B55" s="137"/>
      <c r="C55" s="137"/>
      <c r="D55" s="137"/>
      <c r="E55" s="1320"/>
      <c r="F55" s="473"/>
      <c r="G55" s="474"/>
      <c r="H55" s="475"/>
      <c r="I55" s="1302" t="s">
        <v>103</v>
      </c>
      <c r="J55" s="1302"/>
      <c r="K55" s="1321" t="s">
        <v>104</v>
      </c>
      <c r="L55" s="1322"/>
      <c r="M55" s="1332" t="s">
        <v>103</v>
      </c>
      <c r="N55" s="1332"/>
      <c r="O55" s="1318" t="s">
        <v>104</v>
      </c>
      <c r="P55" s="1487"/>
      <c r="Q55" s="1319"/>
      <c r="R55" s="1323" t="s">
        <v>103</v>
      </c>
      <c r="S55" s="1324"/>
      <c r="T55" s="1318" t="s">
        <v>104</v>
      </c>
      <c r="U55" s="1319"/>
      <c r="V55" s="427"/>
      <c r="W55" s="42"/>
      <c r="X55" s="42"/>
      <c r="Z55" s="42"/>
      <c r="AA55" s="129"/>
      <c r="AB55" s="24"/>
      <c r="AX55" s="387"/>
      <c r="AY55" s="387"/>
      <c r="CR55" s="1404"/>
    </row>
    <row r="56" spans="1:96" ht="20.45" customHeight="1" thickBot="1">
      <c r="A56" s="137"/>
      <c r="B56" s="137"/>
      <c r="C56" s="137"/>
      <c r="D56" s="137"/>
      <c r="E56" s="1320"/>
      <c r="F56" s="1474"/>
      <c r="G56" s="1475"/>
      <c r="H56" s="1476"/>
      <c r="I56" s="1333" t="s">
        <v>105</v>
      </c>
      <c r="J56" s="1347"/>
      <c r="K56" s="1303" t="s">
        <v>105</v>
      </c>
      <c r="L56" s="1304"/>
      <c r="M56" s="1333" t="s">
        <v>105</v>
      </c>
      <c r="N56" s="1347"/>
      <c r="O56" s="1303" t="s">
        <v>105</v>
      </c>
      <c r="P56" s="1334"/>
      <c r="Q56" s="1304"/>
      <c r="R56" s="1333" t="s">
        <v>105</v>
      </c>
      <c r="S56" s="1347"/>
      <c r="T56" s="1303" t="s">
        <v>105</v>
      </c>
      <c r="U56" s="1304"/>
      <c r="V56" s="427"/>
      <c r="W56" s="42"/>
      <c r="X56" s="42"/>
      <c r="Z56" s="42"/>
      <c r="AA56" s="129"/>
      <c r="AB56" s="24"/>
      <c r="AX56" s="387"/>
      <c r="AY56" s="387"/>
      <c r="CR56" s="1404"/>
    </row>
    <row r="57" spans="1:96" ht="20.45" customHeight="1" thickBot="1">
      <c r="A57" s="137"/>
      <c r="B57" s="137"/>
      <c r="C57" s="137"/>
      <c r="D57" s="137"/>
      <c r="E57" s="1320"/>
      <c r="F57" s="1306"/>
      <c r="G57" s="1307"/>
      <c r="H57" s="1308"/>
      <c r="I57" s="707" t="str">
        <f>IF('Saisie de données'!$D$16='Menu déroulant'!$B$20,"5-","e- (coin)")</f>
        <v>e- (coin)</v>
      </c>
      <c r="J57" s="708" t="str">
        <f>IF('Saisie de données'!$D$16='Menu déroulant'!$B$20,"4-","w- (centre)")</f>
        <v>w- (centre)</v>
      </c>
      <c r="K57" s="708" t="str">
        <f>IF('Saisie de données'!$D$16='Menu déroulant'!$B$20,"5-","e- (coin)")</f>
        <v>e- (coin)</v>
      </c>
      <c r="L57" s="708" t="str">
        <f>IF('Saisie de données'!$D$16='Menu déroulant'!$B$20,"4-","w- (centre)")</f>
        <v>w- (centre)</v>
      </c>
      <c r="M57" s="707" t="str">
        <f>IF('Saisie de données'!$D$16='Menu déroulant'!$B$20,"5-","e- (coin)")</f>
        <v>e- (coin)</v>
      </c>
      <c r="N57" s="708" t="str">
        <f>IF('Saisie de données'!$D$16='Menu déroulant'!$B$20,"4-","w- (centre)")</f>
        <v>w- (centre)</v>
      </c>
      <c r="O57" s="1346" t="str">
        <f>IF('Saisie de données'!$D$16='Menu déroulant'!$B$20,"5-","e- (coin)")</f>
        <v>e- (coin)</v>
      </c>
      <c r="P57" s="1346"/>
      <c r="Q57" s="708" t="str">
        <f>IF('Saisie de données'!$D$16='Menu déroulant'!$B$20,"4-","w- (centre)")</f>
        <v>w- (centre)</v>
      </c>
      <c r="R57" s="707" t="str">
        <f>IF('Saisie de données'!$D$16='Menu déroulant'!$B$20,"5-","e- (coin)")</f>
        <v>e- (coin)</v>
      </c>
      <c r="S57" s="708" t="str">
        <f>IF('Saisie de données'!$D$16='Menu déroulant'!$B$20,"4-","w- (centre)")</f>
        <v>w- (centre)</v>
      </c>
      <c r="T57" s="708" t="str">
        <f>IF('Saisie de données'!$D$16='Menu déroulant'!$B$20,"5-","e- (coin)")</f>
        <v>e- (coin)</v>
      </c>
      <c r="U57" s="709" t="str">
        <f>IF('Saisie de données'!$D$16='Menu déroulant'!$B$20,"4-","w- (centre)")</f>
        <v>w- (centre)</v>
      </c>
      <c r="V57" s="427"/>
      <c r="W57" s="42"/>
      <c r="X57" s="42"/>
      <c r="Y57" s="42"/>
      <c r="Z57" s="42"/>
      <c r="AA57" s="129"/>
      <c r="AB57" s="24"/>
      <c r="AX57" s="387"/>
      <c r="AY57" s="387"/>
      <c r="CR57" s="1404"/>
    </row>
    <row r="58" spans="1:96" ht="19.899999999999999" customHeight="1" thickTop="1">
      <c r="A58" s="137"/>
      <c r="B58" s="137"/>
      <c r="C58" s="137"/>
      <c r="D58" s="137"/>
      <c r="E58" s="1320"/>
      <c r="F58" s="1477" t="str">
        <f>IF(AND(ISBLANK('Saisie de données'!E30),ISBLANK('Saisie de données'!E31)),"0 à "&amp;'Saisie de données'!D38&amp;VLOOKUP('Saisie de données'!F38,'Menu déroulant'!AA23:AC24,2,0),"Mur")</f>
        <v>0 à 29'</v>
      </c>
      <c r="G58" s="1480" t="s">
        <v>106</v>
      </c>
      <c r="H58" s="84" t="s">
        <v>107</v>
      </c>
      <c r="I58" s="533" t="str">
        <f ca="1">IFERROR(MIN('Synthèse résultat'!$B$86,'Synthèse résultat'!$R11,'Synthèse résultat'!$P$11,'Synthèse résultat'!$AQ$11,'Synthèse résultat'!$AR$11),"N/D")</f>
        <v>N/D</v>
      </c>
      <c r="J58" s="542" t="str">
        <f ca="1">IF(OR($I$58="N/D",$I$59="N/D",$I$60="N/D"),"N/D",MIN('Synthèse résultat'!$C$86,'Synthèse résultat'!$R12,'Synthèse résultat'!$P$12,'Synthèse résultat'!$AQ$12,'Synthèse résultat'!$AR$12))</f>
        <v>N/D</v>
      </c>
      <c r="K58" s="565" t="str">
        <f ca="1">IFERROR(IF(OR('Saisie de données'!$D$13='Menu déroulant'!$AA$4,'Saisie de données'!$D$13='Menu déroulant'!$AA$3),"N/D",MIN('Synthèse résultat'!$B$86,'Synthèse résultat'!$W11,'Synthèse résultat'!$P$11,'Synthèse résultat'!$AQ$11,'Synthèse résultat'!$AR$11)),"N/D")</f>
        <v>N/D</v>
      </c>
      <c r="L58" s="566" t="str">
        <f ca="1">IFERROR(IF(OR('Saisie de données'!$D$13='Menu déroulant'!$AA$4,'Saisie de données'!$D$13='Menu déroulant'!$AA$3),"N/D",MIN('Synthèse résultat'!$C$86,'Synthèse résultat'!$W12,'Synthèse résultat'!$P$12,'Synthèse résultat'!$AQ$12,'Synthèse résultat'!$AR$12)),"N/D")</f>
        <v>N/D</v>
      </c>
      <c r="M58" s="533" t="str">
        <f ca="1">IFERROR(MIN('Synthèse résultat'!$D$86,'Synthèse résultat'!$R15,'Synthèse résultat'!$P$15,'Synthèse résultat'!$AQ$15,'Synthèse résultat'!$AR$15),"N/D")</f>
        <v>N/D</v>
      </c>
      <c r="N58" s="542" t="str">
        <f ca="1">IF(OR($M$58="N/D",$M$59="N/D",$M$60="N/D"),"N/D",MIN('Synthèse résultat'!$E$86,'Synthèse résultat'!$R16,'Synthèse résultat'!$P$16,'Synthèse résultat'!$AQ$16,'Synthèse résultat'!$AR$16))</f>
        <v>N/D</v>
      </c>
      <c r="O58" s="1466" t="str">
        <f ca="1">IFERROR(IF(OR('Saisie de données'!$D$13='Menu déroulant'!$AA$4,'Saisie de données'!$D$13='Menu déroulant'!$AA$3),"N/D",MIN('Synthèse résultat'!$D$86,'Synthèse résultat'!$W15,'Synthèse résultat'!$P$15,'Synthèse résultat'!$AQ$15,'Synthèse résultat'!$AR$15)),"N/D")</f>
        <v>N/D</v>
      </c>
      <c r="P58" s="1467"/>
      <c r="Q58" s="567" t="str">
        <f ca="1">IFERROR(IF(OR('Saisie de données'!$D$13='Menu déroulant'!$AA$4,'Saisie de données'!$D$13='Menu déroulant'!$AA$3),"N/D",MIN('Synthèse résultat'!$E$86,'Synthèse résultat'!$W16,'Synthèse résultat'!$P$16,'Synthèse résultat'!$AQ$16,'Synthèse résultat'!$AR$16)),"N/D")</f>
        <v>N/D</v>
      </c>
      <c r="R58" s="533" t="str">
        <f ca="1">IFERROR(MIN('Synthèse résultat'!$F$86,'Synthèse résultat'!$R19,'Synthèse résultat'!$P$19,'Synthèse résultat'!$AQ$19,'Synthèse résultat'!$AR$19),"N/D")</f>
        <v>N/D</v>
      </c>
      <c r="S58" s="542" t="str">
        <f ca="1">IF(OR($R$58="N/D",$R$59="N/D",$R$60="N/D"),"N/D",MIN('Synthèse résultat'!$G$86,'Synthèse résultat'!$R20,'Synthèse résultat'!$P$20,'Synthèse résultat'!$AQ$20,'Synthèse résultat'!$AR$20))</f>
        <v>N/D</v>
      </c>
      <c r="T58" s="565" t="str">
        <f ca="1">IFERROR(IF(OR('Saisie de données'!$D$13='Menu déroulant'!$AA$4,'Saisie de données'!$D$13='Menu déroulant'!$AA$3),"N/D",MIN('Synthèse résultat'!$F$86,'Synthèse résultat'!$W19,'Synthèse résultat'!$P$19,'Synthèse résultat'!$AQ$19,'Synthèse résultat'!$AR$19)),"N/D")</f>
        <v>N/D</v>
      </c>
      <c r="U58" s="566" t="str">
        <f ca="1">IFERROR(IF(OR('Saisie de données'!$D$13='Menu déroulant'!$AA$4,'Saisie de données'!$D$13='Menu déroulant'!$AA$3),"N/D",MIN('Synthèse résultat'!$G$86,'Synthèse résultat'!$W20,'Synthèse résultat'!$P$20,'Synthèse résultat'!$AQ$20,'Synthèse résultat'!$AR$20)),"N/D")</f>
        <v>N/D</v>
      </c>
      <c r="V58" s="427"/>
      <c r="W58" s="42"/>
      <c r="X58" s="42"/>
      <c r="Y58" s="42"/>
      <c r="Z58" s="42"/>
      <c r="AA58" s="129"/>
      <c r="AB58" s="24"/>
      <c r="AX58" s="387"/>
      <c r="AY58" s="387"/>
      <c r="CR58" s="1404"/>
    </row>
    <row r="59" spans="1:96" ht="19.899999999999999" customHeight="1">
      <c r="A59" s="137"/>
      <c r="B59" s="137"/>
      <c r="C59" s="137"/>
      <c r="D59" s="137"/>
      <c r="E59" s="1320"/>
      <c r="F59" s="1478"/>
      <c r="G59" s="1481"/>
      <c r="H59" s="80" t="s">
        <v>108</v>
      </c>
      <c r="I59" s="534" t="str">
        <f ca="1">IFERROR(MIN('Synthèse résultat'!$B$86,'Synthèse résultat'!$S11,'Synthèse résultat'!$P$11,'Synthèse résultat'!$AQ$11,'Synthèse résultat'!$AR$11),"N/D")</f>
        <v>N/D</v>
      </c>
      <c r="J59" s="536" t="str">
        <f ca="1">IF(OR($I$58="N/D",$I$59="N/D",$I$60="N/D"),"N/D",MIN('Synthèse résultat'!$C$86,'Synthèse résultat'!$S12,'Synthèse résultat'!$P$12,'Synthèse résultat'!$AQ$12,'Synthèse résultat'!$AR$12))</f>
        <v>N/D</v>
      </c>
      <c r="K59" s="552" t="str">
        <f ca="1">IFERROR(IF(OR('Saisie de données'!$D$13='Menu déroulant'!$AA$4,'Saisie de données'!$D$13='Menu déroulant'!$AA$3),"N/D",MIN('Synthèse résultat'!$B$86,'Synthèse résultat'!$X11,'Synthèse résultat'!$P$11,'Synthèse résultat'!$AQ$11,'Synthèse résultat'!$AR$11)),"N/D")</f>
        <v>N/D</v>
      </c>
      <c r="L59" s="539" t="str">
        <f ca="1">IFERROR(IF(OR('Saisie de données'!$D$13='Menu déroulant'!$AA$4,'Saisie de données'!$D$13='Menu déroulant'!$AA$3),"N/D",MIN('Synthèse résultat'!$C$86,'Synthèse résultat'!$X12,'Synthèse résultat'!$P$12,'Synthèse résultat'!$AQ$12,'Synthèse résultat'!$AR$12)),"N/D")</f>
        <v>N/D</v>
      </c>
      <c r="M59" s="534" t="str">
        <f ca="1">IFERROR(MIN('Synthèse résultat'!$D$86,'Synthèse résultat'!$S15,'Synthèse résultat'!$P$15,'Synthèse résultat'!$AQ$15,'Synthèse résultat'!$AR$15),"N/D")</f>
        <v>N/D</v>
      </c>
      <c r="N59" s="536" t="str">
        <f ca="1">IF(OR($M$58="N/D",$M$59="N/D",$M$60="N/D"),"N/D",MIN('Synthèse résultat'!$E$86,'Synthèse résultat'!$S16,'Synthèse résultat'!$P$16,'Synthèse résultat'!$AQ$16,'Synthèse résultat'!$AR$16))</f>
        <v>N/D</v>
      </c>
      <c r="O59" s="1464" t="str">
        <f ca="1">IFERROR(IF(OR('Saisie de données'!$D$13='Menu déroulant'!$AA$4,'Saisie de données'!$D$13='Menu déroulant'!$AA$3),"N/D",MIN('Synthèse résultat'!$D$86,'Synthèse résultat'!$X15,'Synthèse résultat'!$P$15,'Synthèse résultat'!$AQ$15,'Synthèse résultat'!$AR$15)),"N/D")</f>
        <v>N/D</v>
      </c>
      <c r="P59" s="1465"/>
      <c r="Q59" s="543" t="str">
        <f ca="1">IFERROR(IF(OR('Saisie de données'!$D$13='Menu déroulant'!$AA$4,'Saisie de données'!$D$13='Menu déroulant'!$AA$3),"N/D",MIN('Synthèse résultat'!$E$86,'Synthèse résultat'!$X16,'Synthèse résultat'!$P$16,'Synthèse résultat'!$AQ$16,'Synthèse résultat'!$AR$16)),"N/D")</f>
        <v>N/D</v>
      </c>
      <c r="R59" s="534" t="str">
        <f ca="1">IFERROR(MIN('Synthèse résultat'!$F$86,'Synthèse résultat'!$S19,'Synthèse résultat'!$P$19,'Synthèse résultat'!$AQ$19,'Synthèse résultat'!$AR$19),"N/D")</f>
        <v>N/D</v>
      </c>
      <c r="S59" s="536" t="str">
        <f ca="1">IF(OR($R$58="N/D",$R$59="N/D",$R$60="N/D"),"N/D",MIN('Synthèse résultat'!$G$86,'Synthèse résultat'!$S20,'Synthèse résultat'!$P$20,'Synthèse résultat'!$AQ$20,'Synthèse résultat'!$AR$20))</f>
        <v>N/D</v>
      </c>
      <c r="T59" s="552" t="str">
        <f ca="1">IFERROR(IF(OR('Saisie de données'!$D$13='Menu déroulant'!$AA$4,'Saisie de données'!$D$13='Menu déroulant'!$AA$3),"N/D",MIN('Synthèse résultat'!$F$86,'Synthèse résultat'!$X19,'Synthèse résultat'!$P$19,'Synthèse résultat'!$AQ$19,'Synthèse résultat'!$AR$19)),"N/D")</f>
        <v>N/D</v>
      </c>
      <c r="U59" s="539" t="str">
        <f ca="1">IFERROR(IF(OR('Saisie de données'!$D$13='Menu déroulant'!$AA$4,'Saisie de données'!$D$13='Menu déroulant'!$AA$3),"N/D",MIN('Synthèse résultat'!$G$86,'Synthèse résultat'!$X20,'Synthèse résultat'!$P$20,'Synthèse résultat'!$AQ$20,'Synthèse résultat'!$AR$20)),"N/D")</f>
        <v>N/D</v>
      </c>
      <c r="V59" s="33"/>
      <c r="W59" s="42"/>
      <c r="X59" s="42"/>
      <c r="Y59" s="42"/>
      <c r="Z59" s="42"/>
      <c r="AA59" s="129"/>
      <c r="AB59" s="24"/>
      <c r="AX59" s="387"/>
      <c r="AY59" s="387"/>
      <c r="CR59" s="1404"/>
    </row>
    <row r="60" spans="1:96" ht="19.899999999999999" customHeight="1">
      <c r="A60" s="137"/>
      <c r="B60" s="137"/>
      <c r="C60" s="137"/>
      <c r="D60" s="137"/>
      <c r="E60" s="1320"/>
      <c r="F60" s="1478"/>
      <c r="G60" s="1481"/>
      <c r="H60" s="80" t="s">
        <v>109</v>
      </c>
      <c r="I60" s="534" t="str">
        <f ca="1">IFERROR(MIN('Synthèse résultat'!$B$86,'Synthèse résultat'!$T11,'Synthèse résultat'!$P$11,'Synthèse résultat'!$AQ$11,'Synthèse résultat'!$AR$11),"N/D")</f>
        <v>N/D</v>
      </c>
      <c r="J60" s="536" t="str">
        <f ca="1">IF(OR($I$58="N/D",$I$59="N/D",$I$60="N/D"),"N/D",MIN('Synthèse résultat'!$C$86,'Synthèse résultat'!$T12,'Synthèse résultat'!$P$12,'Synthèse résultat'!$AQ$12,'Synthèse résultat'!$AR$12))</f>
        <v>N/D</v>
      </c>
      <c r="K60" s="552" t="str">
        <f ca="1">IFERROR(IF(OR('Saisie de données'!$D$13='Menu déroulant'!$AA$4,'Saisie de données'!$D$13='Menu déroulant'!$AA$3),"N/D",MIN('Synthèse résultat'!$B$86,'Synthèse résultat'!$Y11,'Synthèse résultat'!$P$11,'Synthèse résultat'!$AQ$11,'Synthèse résultat'!$AR$11)),"N/D")</f>
        <v>N/D</v>
      </c>
      <c r="L60" s="539" t="str">
        <f ca="1">IFERROR(IF(OR('Saisie de données'!$D$13='Menu déroulant'!$AA$4,'Saisie de données'!$D$13='Menu déroulant'!$AA$3),"N/D",MIN('Synthèse résultat'!$C$86,'Synthèse résultat'!$Y12,'Synthèse résultat'!$P$12,'Synthèse résultat'!$AQ$12,'Synthèse résultat'!$AR$12)),"N/D")</f>
        <v>N/D</v>
      </c>
      <c r="M60" s="534" t="str">
        <f ca="1">IFERROR(MIN('Synthèse résultat'!$D$86,'Synthèse résultat'!$T15,'Synthèse résultat'!$P$15,'Synthèse résultat'!$AQ$15,'Synthèse résultat'!$AR$15),"N/D")</f>
        <v>N/D</v>
      </c>
      <c r="N60" s="536" t="str">
        <f ca="1">IF(OR($M$58="N/D",$M$59="N/D",$M$60="N/D"),"N/D",MIN('Synthèse résultat'!$E$86,'Synthèse résultat'!$T16,'Synthèse résultat'!$P$16,'Synthèse résultat'!$AQ$16,'Synthèse résultat'!$AR$16))</f>
        <v>N/D</v>
      </c>
      <c r="O60" s="1464" t="str">
        <f ca="1">IFERROR(IF(OR('Saisie de données'!$D$13='Menu déroulant'!$AA$4,'Saisie de données'!$D$13='Menu déroulant'!$AA$3),"N/D",MIN('Synthèse résultat'!$D$86,'Synthèse résultat'!$Y15,'Synthèse résultat'!$P$15,'Synthèse résultat'!$AQ$15,'Synthèse résultat'!$AR$15)),"N/D")</f>
        <v>N/D</v>
      </c>
      <c r="P60" s="1465"/>
      <c r="Q60" s="543" t="str">
        <f ca="1">IFERROR(IF(OR('Saisie de données'!$D$13='Menu déroulant'!$AA$4,'Saisie de données'!$D$13='Menu déroulant'!$AA$3),"N/D",MIN('Synthèse résultat'!$E$86,'Synthèse résultat'!$Y16,'Synthèse résultat'!$P$16,'Synthèse résultat'!$AQ$16,'Synthèse résultat'!$AR$16)),"N/D")</f>
        <v>N/D</v>
      </c>
      <c r="R60" s="534" t="str">
        <f ca="1">IFERROR(MIN('Synthèse résultat'!$F$86,'Synthèse résultat'!$T19,'Synthèse résultat'!$P$19,'Synthèse résultat'!$AQ$19,'Synthèse résultat'!$AR$19),"N/D")</f>
        <v>N/D</v>
      </c>
      <c r="S60" s="536" t="str">
        <f ca="1">IF(OR($R$58="N/D",$R$59="N/D",$R$60="N/D"),"N/D",MIN('Synthèse résultat'!$G$86,'Synthèse résultat'!$T20,'Synthèse résultat'!$P$20,'Synthèse résultat'!$AQ$20,'Synthèse résultat'!$AR$20))</f>
        <v>N/D</v>
      </c>
      <c r="T60" s="552" t="str">
        <f ca="1">IFERROR(IF(OR('Saisie de données'!$D$13='Menu déroulant'!$AA$4,'Saisie de données'!$D$13='Menu déroulant'!$AA$3),"N/D",MIN('Synthèse résultat'!$F$86,'Synthèse résultat'!$Y19,'Synthèse résultat'!$P$19,'Synthèse résultat'!$AQ$19,'Synthèse résultat'!$AR$19)),"N/D")</f>
        <v>N/D</v>
      </c>
      <c r="U60" s="539" t="str">
        <f ca="1">IFERROR(IF(OR('Saisie de données'!$D$13='Menu déroulant'!$AA$4,'Saisie de données'!$D$13='Menu déroulant'!$AA$3),"N/D",MIN('Synthèse résultat'!$G$86,'Synthèse résultat'!$Y20,'Synthèse résultat'!$P$20,'Synthèse résultat'!$AQ$20,'Synthèse résultat'!$AR$20)),"N/D")</f>
        <v>N/D</v>
      </c>
      <c r="V60" s="33"/>
      <c r="W60" s="42"/>
      <c r="X60" s="42"/>
      <c r="Y60" s="42"/>
      <c r="Z60" s="42"/>
      <c r="AA60" s="129"/>
      <c r="AB60" s="24"/>
      <c r="AX60" s="387"/>
      <c r="AY60" s="387"/>
      <c r="CR60" s="1404"/>
    </row>
    <row r="61" spans="1:96" ht="19.899999999999999" customHeight="1" thickBot="1">
      <c r="A61" s="137"/>
      <c r="B61" s="137"/>
      <c r="C61" s="137"/>
      <c r="D61" s="137"/>
      <c r="E61" s="1320"/>
      <c r="F61" s="1479"/>
      <c r="G61" s="1482"/>
      <c r="H61" s="85" t="s">
        <v>110</v>
      </c>
      <c r="I61" s="535" t="str">
        <f ca="1">IFERROR(IF(OR('Saisie de données'!$D$13='Menu déroulant'!$AA$4,'Saisie de données'!$D$13='Menu déroulant'!$AA$3),"N/D",MIN('Synthèse résultat'!$B$86,'Synthèse résultat'!U11,'Synthèse résultat'!P11,'Synthèse résultat'!$AQ$11,'Synthèse résultat'!$AR$11)),"N/D")</f>
        <v>N/D</v>
      </c>
      <c r="J61" s="537" t="str">
        <f ca="1">IFERROR(IF(OR('Saisie de données'!$D$13='Menu déroulant'!$AA$4,'Saisie de données'!$D$13='Menu déroulant'!$AA$3),"N/D",MIN('Synthèse résultat'!$C$86,'Synthèse résultat'!U12,'Synthèse résultat'!P12,'Synthèse résultat'!$AQ$12,'Synthèse résultat'!$AR$12)),"N/D")</f>
        <v>N/D</v>
      </c>
      <c r="K61" s="540" t="str">
        <f ca="1">IFERROR(IF(OR('Saisie de données'!$D$13='Menu déroulant'!$AA$4,'Saisie de données'!$D$13='Menu déroulant'!$AA$3),"N/D",MIN('Synthèse résultat'!$B$86,'Synthèse résultat'!$Z11,'Synthèse résultat'!$P$11,'Synthèse résultat'!$AQ$11,'Synthèse résultat'!$AR$11)),"N/D")</f>
        <v>N/D</v>
      </c>
      <c r="L61" s="541" t="str">
        <f ca="1">IFERROR(IF(OR('Saisie de données'!$D$13='Menu déroulant'!$AA$4,'Saisie de données'!$D$13='Menu déroulant'!$AA$3),"N/D",MIN('Synthèse résultat'!$C$86,'Synthèse résultat'!$Z12,'Synthèse résultat'!$P$12,'Synthèse résultat'!$AQ$12,'Synthèse résultat'!$AR$12)),"N/D")</f>
        <v>N/D</v>
      </c>
      <c r="M61" s="535" t="str">
        <f ca="1">IFERROR(IF(OR('Saisie de données'!$D$13='Menu déroulant'!$AA$4,'Saisie de données'!$D$13='Menu déroulant'!$AA$3),"N/D",MIN('Synthèse résultat'!$D$86,'Synthèse résultat'!$U15,'Synthèse résultat'!$P$15,'Synthèse résultat'!$AQ$15,'Synthèse résultat'!$AR$15)),"N/D")</f>
        <v>N/D</v>
      </c>
      <c r="N61" s="537" t="str">
        <f ca="1">IFERROR(IF(OR('Saisie de données'!$D$13='Menu déroulant'!$AA$4,'Saisie de données'!$D$13='Menu déroulant'!$AA$3),"N/D",MIN('Synthèse résultat'!$E$86,'Synthèse résultat'!$U16,'Synthèse résultat'!$P$16,'Synthèse résultat'!$AQ$16,'Synthèse résultat'!$AR$16)),"N/D")</f>
        <v>N/D</v>
      </c>
      <c r="O61" s="1468" t="str">
        <f ca="1">IFERROR(IF(OR('Saisie de données'!$D$13='Menu déroulant'!$AA$4,'Saisie de données'!$D$13='Menu déroulant'!$AA$3),"N/D",MIN('Synthèse résultat'!$D$86,'Synthèse résultat'!$Z15,'Synthèse résultat'!$P$15,'Synthèse résultat'!$AQ$15,'Synthèse résultat'!$AR$15)),"N/D")</f>
        <v>N/D</v>
      </c>
      <c r="P61" s="1469"/>
      <c r="Q61" s="544" t="str">
        <f ca="1">IFERROR(IF(OR('Saisie de données'!$D$13='Menu déroulant'!$AA$4,'Saisie de données'!$D$13='Menu déroulant'!$AA$3),"N/D",MIN('Synthèse résultat'!$E$86,'Synthèse résultat'!$Z16,'Synthèse résultat'!$P$16,'Synthèse résultat'!$AQ$16,'Synthèse résultat'!$AR$16)),"N/D")</f>
        <v>N/D</v>
      </c>
      <c r="R61" s="535" t="str">
        <f ca="1">IFERROR(IF(OR('Saisie de données'!$D$13='Menu déroulant'!$AA$4,'Saisie de données'!$D$13='Menu déroulant'!$AA$3),"N/D",MIN('Synthèse résultat'!$F$86,'Synthèse résultat'!$U19,'Synthèse résultat'!$P$19,'Synthèse résultat'!$AQ$19,'Synthèse résultat'!$AR$19)),"N/D")</f>
        <v>N/D</v>
      </c>
      <c r="S61" s="537" t="str">
        <f ca="1">IFERROR(IF(OR('Saisie de données'!$D$13='Menu déroulant'!$AA$4,'Saisie de données'!$D$13='Menu déroulant'!$AA$3),"N/D",MIN('Synthèse résultat'!$G$86,'Synthèse résultat'!$U20,'Synthèse résultat'!$P$20,'Synthèse résultat'!$AQ$20,'Synthèse résultat'!$AR$20)),"N/D")</f>
        <v>N/D</v>
      </c>
      <c r="T61" s="540" t="str">
        <f ca="1">IFERROR(IF(OR('Saisie de données'!$D$13='Menu déroulant'!$AA$4,'Saisie de données'!$D$13='Menu déroulant'!$AA$3),"N/D",MIN('Synthèse résultat'!$F$86,'Synthèse résultat'!$Z19,'Synthèse résultat'!$P$19,'Synthèse résultat'!$AQ$19,'Synthèse résultat'!$AR$19)),"N/D")</f>
        <v>N/D</v>
      </c>
      <c r="U61" s="541" t="str">
        <f ca="1">IFERROR(IF(OR('Saisie de données'!$D$13='Menu déroulant'!$AA$4,'Saisie de données'!$D$13='Menu déroulant'!$AA$3),"N/D",MIN('Synthèse résultat'!$G$86,'Synthèse résultat'!$Z20,'Synthèse résultat'!$P$20,'Synthèse résultat'!$AQ$20,'Synthèse résultat'!$AR$20)),"N/D")</f>
        <v>N/D</v>
      </c>
      <c r="V61" s="33"/>
      <c r="W61" s="42"/>
      <c r="X61" s="42"/>
      <c r="Y61" s="42"/>
      <c r="Z61" s="42"/>
      <c r="AA61" s="129"/>
      <c r="AB61" s="24"/>
      <c r="AX61" s="387"/>
      <c r="AY61" s="387"/>
      <c r="CR61" s="1404"/>
    </row>
    <row r="62" spans="1:96" ht="19.899999999999999" customHeight="1" thickTop="1">
      <c r="A62" s="137"/>
      <c r="B62" s="137"/>
      <c r="C62" s="137"/>
      <c r="D62" s="137"/>
      <c r="E62" s="1320"/>
      <c r="F62" s="1483" t="s">
        <v>111</v>
      </c>
      <c r="G62" s="1480" t="s">
        <v>106</v>
      </c>
      <c r="H62" s="84" t="s">
        <v>107</v>
      </c>
      <c r="I62" s="533" t="str">
        <f ca="1">IFERROR(MIN('Synthèse résultat'!$B$87,'Synthèse résultat'!$R13,'Synthèse résultat'!$P$13,'Synthèse résultat'!$AQ$13,'Synthèse résultat'!$AR$13),"N/D")</f>
        <v>N/D</v>
      </c>
      <c r="J62" s="542" t="str">
        <f ca="1">IF(OR($I$62="N/D",$I$63="N/D",$I$64="N/D"),"N/D",MIN('Synthèse résultat'!$C$87,'Synthèse résultat'!$R14,'Synthèse résultat'!$P$14,'Synthèse résultat'!$AQ$14,'Synthèse résultat'!$AR$14))</f>
        <v>N/D</v>
      </c>
      <c r="K62" s="565" t="str">
        <f ca="1">IFERROR(IF(OR('Saisie de données'!$D$13='Menu déroulant'!$AA$4,'Saisie de données'!$D$13='Menu déroulant'!$AA$3),"N/D",MIN('Synthèse résultat'!$B$87,'Synthèse résultat'!$W13,'Synthèse résultat'!$P$13,'Synthèse résultat'!$AQ$13,'Synthèse résultat'!$AR$13)),"N/D")</f>
        <v>N/D</v>
      </c>
      <c r="L62" s="566" t="str">
        <f ca="1">IFERROR(IF(OR('Saisie de données'!$D$13='Menu déroulant'!$AA$4,'Saisie de données'!$D$13='Menu déroulant'!$AA$3),"N/D",MIN('Synthèse résultat'!$C$87,'Synthèse résultat'!$W14,'Synthèse résultat'!$P$14,'Synthèse résultat'!$AQ$14,'Synthèse résultat'!$AR$14)),"N/D")</f>
        <v>N/D</v>
      </c>
      <c r="M62" s="533" t="str">
        <f ca="1">IFERROR(MIN('Synthèse résultat'!$D$87,'Synthèse résultat'!$R17,'Synthèse résultat'!$P$17,'Synthèse résultat'!$AQ$17,'Synthèse résultat'!$AR$17),"N/D")</f>
        <v>N/D</v>
      </c>
      <c r="N62" s="542" t="str">
        <f ca="1">IF(OR($M$62="N/D",$M$63="N/D",$M$64="N/D"),"N/D",MIN('Synthèse résultat'!$E$87,'Synthèse résultat'!$R18,'Synthèse résultat'!$P$18,'Synthèse résultat'!$AQ$18,'Synthèse résultat'!$AR$18))</f>
        <v>N/D</v>
      </c>
      <c r="O62" s="1466" t="str">
        <f ca="1">IFERROR(IF(OR('Saisie de données'!$D$13='Menu déroulant'!$AA$4,'Saisie de données'!$D$13='Menu déroulant'!$AA$3),"N/D",MIN('Synthèse résultat'!$D$87,'Synthèse résultat'!$W17,'Synthèse résultat'!$P$17,'Synthèse résultat'!$AQ$17,'Synthèse résultat'!$AR$17)),"N/D")</f>
        <v>N/D</v>
      </c>
      <c r="P62" s="1467"/>
      <c r="Q62" s="567" t="str">
        <f ca="1">IFERROR(IF(OR('Saisie de données'!$D$13='Menu déroulant'!$AA$4,'Saisie de données'!$D$13='Menu déroulant'!$AA$3),"N/D",MIN('Synthèse résultat'!$E$87,'Synthèse résultat'!$W18,'Synthèse résultat'!$P$18,'Synthèse résultat'!$P$18,'Synthèse résultat'!$AQ$18,'Synthèse résultat'!$AR$18)),"N/D")</f>
        <v>N/D</v>
      </c>
      <c r="R62" s="533" t="str">
        <f ca="1">IFERROR(MIN('Synthèse résultat'!$F$87,'Synthèse résultat'!$R21,'Synthèse résultat'!$P$21,'Synthèse résultat'!$AQ$21,'Synthèse résultat'!$AR$21),"N/D")</f>
        <v>N/D</v>
      </c>
      <c r="S62" s="542" t="str">
        <f ca="1">IF(OR($R$62="N/D",$R$63="N/D",$R$64="N/D"),"N/D",MIN('Synthèse résultat'!$G$87,'Synthèse résultat'!$R22,'Synthèse résultat'!$P$22,'Synthèse résultat'!$AQ$22,'Synthèse résultat'!$AR$22))</f>
        <v>N/D</v>
      </c>
      <c r="T62" s="565" t="str">
        <f ca="1">IFERROR(IF(OR('Saisie de données'!$D$13='Menu déroulant'!$AA$4,'Saisie de données'!$D$13='Menu déroulant'!$AA$3),"N/D",MIN('Synthèse résultat'!$F$87,'Synthèse résultat'!$W21,'Synthèse résultat'!$P$21,'Synthèse résultat'!$AQ$21,'Synthèse résultat'!$AR$21)),"N/D")</f>
        <v>N/D</v>
      </c>
      <c r="U62" s="566" t="str">
        <f ca="1">IFERROR(IF(OR('Saisie de données'!$D$13='Menu déroulant'!$AA$4,'Saisie de données'!$D$13='Menu déroulant'!$AA$3),"N/D",MIN('Synthèse résultat'!$G$87,'Synthèse résultat'!$W22,'Synthèse résultat'!$P$22,'Synthèse résultat'!$AQ$22,'Synthèse résultat'!$AR$22)),"N/D")</f>
        <v>N/D</v>
      </c>
      <c r="V62" s="33"/>
      <c r="W62" s="21"/>
      <c r="Z62" s="24"/>
      <c r="AA62" s="129"/>
      <c r="AB62" s="24"/>
      <c r="AX62" s="129"/>
      <c r="AY62" s="129"/>
      <c r="CR62" s="1404"/>
    </row>
    <row r="63" spans="1:96" ht="19.899999999999999" customHeight="1">
      <c r="A63" s="137"/>
      <c r="B63" s="137"/>
      <c r="C63" s="137"/>
      <c r="D63" s="137"/>
      <c r="E63" s="1320"/>
      <c r="F63" s="1484"/>
      <c r="G63" s="1481"/>
      <c r="H63" s="80" t="s">
        <v>108</v>
      </c>
      <c r="I63" s="534" t="str">
        <f ca="1">IFERROR(MIN('Synthèse résultat'!$B$87,'Synthèse résultat'!$S13,'Synthèse résultat'!$P$13,'Synthèse résultat'!$AQ$13,'Synthèse résultat'!$AR$13),"N/D")</f>
        <v>N/D</v>
      </c>
      <c r="J63" s="536" t="str">
        <f ca="1">IF(OR($I$62="N/D",$I$63="N/D",$I$64="N/D"),"N/D",MIN('Synthèse résultat'!$C$87,'Synthèse résultat'!$S14,'Synthèse résultat'!$P$14,'Synthèse résultat'!$AQ$14,'Synthèse résultat'!$AR$14))</f>
        <v>N/D</v>
      </c>
      <c r="K63" s="552" t="str">
        <f ca="1">IFERROR(IF(OR('Saisie de données'!$D$13='Menu déroulant'!$AA$4,'Saisie de données'!$D$13='Menu déroulant'!$AA$3),"N/D",MIN('Synthèse résultat'!$B$87,'Synthèse résultat'!$X13,'Synthèse résultat'!$P$13,'Synthèse résultat'!$AQ$13,'Synthèse résultat'!$AR$13)),"N/D")</f>
        <v>N/D</v>
      </c>
      <c r="L63" s="539" t="str">
        <f ca="1">IFERROR(IF(OR('Saisie de données'!$D$13='Menu déroulant'!$AA$4,'Saisie de données'!$D$13='Menu déroulant'!$AA$3),"N/D",MIN('Synthèse résultat'!$C$87,'Synthèse résultat'!$X14,'Synthèse résultat'!$P$14,'Synthèse résultat'!$AQ$14,'Synthèse résultat'!$AR$14)),"N/D")</f>
        <v>N/D</v>
      </c>
      <c r="M63" s="534" t="str">
        <f ca="1">IFERROR(MIN('Synthèse résultat'!$D$87,'Synthèse résultat'!$S17,'Synthèse résultat'!$P$17,'Synthèse résultat'!$AQ$17,'Synthèse résultat'!$AR$17),"N/D")</f>
        <v>N/D</v>
      </c>
      <c r="N63" s="536" t="str">
        <f ca="1">IF(OR($M$62="N/D",$M$63="N/D",$M$64="N/D"),"N/D",MIN('Synthèse résultat'!$E$87,'Synthèse résultat'!$S18,'Synthèse résultat'!$P$18,'Synthèse résultat'!$P$18,'Synthèse résultat'!$AQ$18,'Synthèse résultat'!$AR$18))</f>
        <v>N/D</v>
      </c>
      <c r="O63" s="1464" t="str">
        <f ca="1">IFERROR(IF(OR('Saisie de données'!$D$13='Menu déroulant'!$AA$4,'Saisie de données'!$D$13='Menu déroulant'!$AA$3),"N/D",MIN('Synthèse résultat'!$D$87,'Synthèse résultat'!$X17,'Synthèse résultat'!$P$17,'Synthèse résultat'!$AQ$17,'Synthèse résultat'!$AR$17)),"N/D")</f>
        <v>N/D</v>
      </c>
      <c r="P63" s="1465"/>
      <c r="Q63" s="543" t="str">
        <f ca="1">IFERROR(IF(OR('Saisie de données'!$D$13='Menu déroulant'!$AA$4,'Saisie de données'!$D$13='Menu déroulant'!$AA$3),"N/D",MIN('Synthèse résultat'!$E$87,'Synthèse résultat'!$X18,'Synthèse résultat'!$P$18,'Synthèse résultat'!$P$18,'Synthèse résultat'!$AQ$18,'Synthèse résultat'!$AR$18)),"N/D")</f>
        <v>N/D</v>
      </c>
      <c r="R63" s="534" t="str">
        <f ca="1">IFERROR(MIN('Synthèse résultat'!$F$87,'Synthèse résultat'!$S21,'Synthèse résultat'!$P$21,'Synthèse résultat'!$AQ$21,'Synthèse résultat'!$AR$21),"N/D")</f>
        <v>N/D</v>
      </c>
      <c r="S63" s="536" t="str">
        <f ca="1">IF(OR($R$62="N/D",$R$63="N/D",$R$64="N/D"),"N/D",MIN('Synthèse résultat'!$G$87,'Synthèse résultat'!$S22,'Synthèse résultat'!$P$22,'Synthèse résultat'!$AQ$22,'Synthèse résultat'!$AR$22))</f>
        <v>N/D</v>
      </c>
      <c r="T63" s="552" t="str">
        <f ca="1">IFERROR(IF(OR('Saisie de données'!$D$13='Menu déroulant'!$AA$4,'Saisie de données'!$D$13='Menu déroulant'!$AA$3),"N/D",MIN('Synthèse résultat'!$F$87,'Synthèse résultat'!$X21,'Synthèse résultat'!$P$21,'Synthèse résultat'!$AQ$21,'Synthèse résultat'!$AR$21)),"N/D")</f>
        <v>N/D</v>
      </c>
      <c r="U63" s="539" t="str">
        <f ca="1">IFERROR(IF(OR('Saisie de données'!$D$13='Menu déroulant'!$AA$4,'Saisie de données'!$D$13='Menu déroulant'!$AA$3),"N/D",MIN('Synthèse résultat'!$G$87,'Synthèse résultat'!$X22,'Synthèse résultat'!$P$22,'Synthèse résultat'!$AQ$22,'Synthèse résultat'!$AR$22)),"N/D")</f>
        <v>N/D</v>
      </c>
      <c r="V63" s="33"/>
      <c r="W63" s="21"/>
      <c r="Z63" s="24"/>
      <c r="AA63" s="129"/>
      <c r="AB63" s="24"/>
      <c r="AX63" s="129"/>
      <c r="AY63" s="380"/>
      <c r="CR63" s="1404"/>
    </row>
    <row r="64" spans="1:96" ht="19.899999999999999" customHeight="1">
      <c r="A64" s="137"/>
      <c r="B64" s="137"/>
      <c r="C64" s="137"/>
      <c r="D64" s="137"/>
      <c r="E64" s="1320"/>
      <c r="F64" s="1484"/>
      <c r="G64" s="1481"/>
      <c r="H64" s="80" t="s">
        <v>109</v>
      </c>
      <c r="I64" s="534" t="str">
        <f ca="1">IFERROR(MIN('Synthèse résultat'!$B$87,'Synthèse résultat'!$T13,'Synthèse résultat'!$P$13,'Synthèse résultat'!$AQ$13,'Synthèse résultat'!$AR$13),"N/D")</f>
        <v>N/D</v>
      </c>
      <c r="J64" s="536" t="str">
        <f ca="1">IF(OR($I$62="N/D",$I$63="N/D",$I$64="N/D"),"N/D",MIN('Synthèse résultat'!$C$87,'Synthèse résultat'!$T14,'Synthèse résultat'!$P$14,'Synthèse résultat'!$AQ$14,'Synthèse résultat'!$AR$14))</f>
        <v>N/D</v>
      </c>
      <c r="K64" s="552" t="str">
        <f ca="1">IFERROR(IF(OR('Saisie de données'!$D$13='Menu déroulant'!$AA$4,'Saisie de données'!$D$13='Menu déroulant'!$AA$3),"N/D",MIN('Synthèse résultat'!$B$87,'Synthèse résultat'!$Y13,'Synthèse résultat'!$P$13,'Synthèse résultat'!$AQ$13,'Synthèse résultat'!$AR$13)),"N/D")</f>
        <v>N/D</v>
      </c>
      <c r="L64" s="539" t="str">
        <f ca="1">IFERROR(IF(OR('Saisie de données'!$D$13='Menu déroulant'!$AA$4,'Saisie de données'!$D$13='Menu déroulant'!$AA$3),"N/D",MIN('Synthèse résultat'!$C$87,'Synthèse résultat'!$Y14,'Synthèse résultat'!$P$14,'Synthèse résultat'!$AQ$14,'Synthèse résultat'!$AR$14)),"N/D")</f>
        <v>N/D</v>
      </c>
      <c r="M64" s="534" t="str">
        <f ca="1">IFERROR(MIN('Synthèse résultat'!$D$87,'Synthèse résultat'!$T17,'Synthèse résultat'!$P$17,'Synthèse résultat'!$AQ$17,'Synthèse résultat'!$AR$17),"N/D")</f>
        <v>N/D</v>
      </c>
      <c r="N64" s="536" t="str">
        <f ca="1">IF(OR($M$62="N/D",$M$63="N/D",$M$64="N/D"),"N/D",MIN('Synthèse résultat'!$E$87,'Synthèse résultat'!$T18,'Synthèse résultat'!$P$18,'Synthèse résultat'!$P$18,'Synthèse résultat'!$AQ$18,'Synthèse résultat'!$AR$18))</f>
        <v>N/D</v>
      </c>
      <c r="O64" s="1464" t="str">
        <f ca="1">IFERROR(IF(OR('Saisie de données'!$D$13='Menu déroulant'!$AA$4,'Saisie de données'!$D$13='Menu déroulant'!$AA$3),"N/D",MIN('Synthèse résultat'!$D$87,'Synthèse résultat'!$Y17,'Synthèse résultat'!$P$17,'Synthèse résultat'!$AQ$17,'Synthèse résultat'!$AR$17)),"N/D")</f>
        <v>N/D</v>
      </c>
      <c r="P64" s="1465"/>
      <c r="Q64" s="543" t="str">
        <f ca="1">IFERROR(IF(OR('Saisie de données'!$D$13='Menu déroulant'!$AA$4,'Saisie de données'!$D$13='Menu déroulant'!$AA$3),"N/D",MIN('Synthèse résultat'!$E$87,'Synthèse résultat'!$Y18,'Synthèse résultat'!$P$18,'Synthèse résultat'!$P$18,'Synthèse résultat'!$AQ$18,'Synthèse résultat'!$AR$18)),"N/D")</f>
        <v>N/D</v>
      </c>
      <c r="R64" s="534" t="str">
        <f ca="1">IFERROR(MIN('Synthèse résultat'!$F$87,'Synthèse résultat'!$T21,'Synthèse résultat'!$P$21,'Synthèse résultat'!$AQ$21,'Synthèse résultat'!$AR$21),"N/D")</f>
        <v>N/D</v>
      </c>
      <c r="S64" s="536" t="str">
        <f ca="1">IF(OR($R$62="N/D",$R$63="N/D",$R$64="N/D"),"N/D",MIN('Synthèse résultat'!$G$87,'Synthèse résultat'!$T22,'Synthèse résultat'!$P$22,'Synthèse résultat'!$AQ$22,'Synthèse résultat'!$AR$22))</f>
        <v>N/D</v>
      </c>
      <c r="T64" s="552" t="str">
        <f ca="1">IFERROR(IF(OR('Saisie de données'!$D$13='Menu déroulant'!$AA$4,'Saisie de données'!$D$13='Menu déroulant'!$AA$3),"N/D",MIN('Synthèse résultat'!$F$87,'Synthèse résultat'!$Y21,'Synthèse résultat'!$P$21,'Synthèse résultat'!$AQ$21,'Synthèse résultat'!$AR$21)),"N/D")</f>
        <v>N/D</v>
      </c>
      <c r="U64" s="539" t="str">
        <f ca="1">IFERROR(IF(OR('Saisie de données'!$D$13='Menu déroulant'!$AA$4,'Saisie de données'!$D$13='Menu déroulant'!$AA$3),"N/D",MIN('Synthèse résultat'!$G$87,'Synthèse résultat'!$Y22,'Synthèse résultat'!$P$22,'Synthèse résultat'!$AQ$22,'Synthèse résultat'!$AR$22)),"N/D")</f>
        <v>N/D</v>
      </c>
      <c r="V64" s="33"/>
      <c r="W64" s="21"/>
      <c r="Y64" s="17"/>
      <c r="Z64" s="24"/>
      <c r="AA64" s="129"/>
      <c r="AB64" s="24"/>
      <c r="AX64" s="129"/>
      <c r="CR64" s="1404"/>
    </row>
    <row r="65" spans="1:96" ht="19.899999999999999" customHeight="1" thickBot="1">
      <c r="A65" s="137"/>
      <c r="B65" s="137"/>
      <c r="C65" s="137"/>
      <c r="D65" s="137"/>
      <c r="E65" s="1320"/>
      <c r="F65" s="1485"/>
      <c r="G65" s="1482"/>
      <c r="H65" s="86" t="s">
        <v>110</v>
      </c>
      <c r="I65" s="568" t="str">
        <f ca="1">IFERROR(IF(OR('Saisie de données'!$D$13='Menu déroulant'!$AA$4,'Saisie de données'!$D$13='Menu déroulant'!$AA$3),"N/D",MIN('Synthèse résultat'!$B$87,'Synthèse résultat'!$U13,'Synthèse résultat'!$P$13,'Synthèse résultat'!$AQ$13,'Synthèse résultat'!$AR$13)),"N/D")</f>
        <v>N/D</v>
      </c>
      <c r="J65" s="569" t="str">
        <f ca="1">IFERROR(IF(OR('Saisie de données'!$D$13='Menu déroulant'!$AA$4,'Saisie de données'!$D$13='Menu déroulant'!$AA$3),"N/D",MIN('Synthèse résultat'!$C$87,'Synthèse résultat'!$U14,'Synthèse résultat'!$P$14,'Synthèse résultat'!$AQ$14,'Synthèse résultat'!$AR$14)),"N/D")</f>
        <v>N/D</v>
      </c>
      <c r="K65" s="551" t="str">
        <f ca="1">IFERROR(IF(OR('Saisie de données'!$D$13='Menu déroulant'!$AA$4,'Saisie de données'!$D$13='Menu déroulant'!$AA$3),"N/D",MIN('Synthèse résultat'!$B$87,'Synthèse résultat'!$Z13,'Synthèse résultat'!$P$13,'Synthèse résultat'!$AQ$13,'Synthèse résultat'!$AR$13)),"N/D")</f>
        <v>N/D</v>
      </c>
      <c r="L65" s="570" t="str">
        <f ca="1">IFERROR(IF(OR('Saisie de données'!$D$13='Menu déroulant'!$AA$4,'Saisie de données'!$D$13='Menu déroulant'!$AA$3),"N/D",MIN('Synthèse résultat'!$C$87,'Synthèse résultat'!$Z14,'Synthèse résultat'!$P$14,'Synthèse résultat'!$AQ$14,'Synthèse résultat'!$AR$14)),"N/D")</f>
        <v>N/D</v>
      </c>
      <c r="M65" s="568" t="str">
        <f ca="1">IFERROR(IF(OR('Saisie de données'!$D$13='Menu déroulant'!$AA$4,'Saisie de données'!$D$13='Menu déroulant'!$AA$3),"N/D",MIN('Synthèse résultat'!$D$87,'Synthèse résultat'!$U17,'Synthèse résultat'!$P$17,'Synthèse résultat'!$AQ$17,'Synthèse résultat'!$AR$17)),"N/D")</f>
        <v>N/D</v>
      </c>
      <c r="N65" s="569" t="str">
        <f ca="1">IFERROR(IF(OR('Saisie de données'!$D$13='Menu déroulant'!$AA$4,'Saisie de données'!$D$13='Menu déroulant'!$AA$3),"N/D",MIN('Synthèse résultat'!$E$87,'Synthèse résultat'!$U18,'Synthèse résultat'!$P$18,'Synthèse résultat'!$P$18,'Synthèse résultat'!$AQ$18,'Synthèse résultat'!$AR$18)),"N/D")</f>
        <v>N/D</v>
      </c>
      <c r="O65" s="1468" t="str">
        <f ca="1">IFERROR(IF(OR('Saisie de données'!$D$13='Menu déroulant'!$AA$4,'Saisie de données'!$D$13='Menu déroulant'!$AA$3),"N/D",MIN('Synthèse résultat'!$D$87,'Synthèse résultat'!$Z17,'Synthèse résultat'!$P$17,'Synthèse résultat'!$AQ$17,'Synthèse résultat'!$AR$17)),"N/D")</f>
        <v>N/D</v>
      </c>
      <c r="P65" s="1469"/>
      <c r="Q65" s="571" t="str">
        <f ca="1">IFERROR(IF(OR('Saisie de données'!$D$13='Menu déroulant'!$AA$4,'Saisie de données'!$D$13='Menu déroulant'!$AA$3),"N/D",MIN('Synthèse résultat'!$E$87,'Synthèse résultat'!$Z18,'Synthèse résultat'!$P$18,'Synthèse résultat'!$P$18,'Synthèse résultat'!$AQ$18,'Synthèse résultat'!$AR$18)),"N/D")</f>
        <v>N/D</v>
      </c>
      <c r="R65" s="568" t="str">
        <f ca="1">IFERROR(IF(OR('Saisie de données'!$D$13='Menu déroulant'!$AA$4,'Saisie de données'!$D$13='Menu déroulant'!$AA$3),"N/D",MIN('Synthèse résultat'!$F$87,'Synthèse résultat'!$U21,'Synthèse résultat'!$P$21,'Synthèse résultat'!$AQ$21,'Synthèse résultat'!$AR$21)),"N/D")</f>
        <v>N/D</v>
      </c>
      <c r="S65" s="569" t="str">
        <f ca="1">IFERROR(IF(OR('Saisie de données'!$D$13='Menu déroulant'!$AA$4,'Saisie de données'!$D$13='Menu déroulant'!$AA$3),"N/D",MIN('Synthèse résultat'!$G$87,'Synthèse résultat'!$U22,'Synthèse résultat'!$P$22,'Synthèse résultat'!$AQ$22,'Synthèse résultat'!$AR$22)),"N/D")</f>
        <v>N/D</v>
      </c>
      <c r="T65" s="551" t="str">
        <f ca="1">IFERROR(IF(OR('Saisie de données'!$D$13='Menu déroulant'!$AA$4,'Saisie de données'!$D$13='Menu déroulant'!$AA$3),"N/D",MIN('Synthèse résultat'!$F$87,'Synthèse résultat'!$Z21,'Synthèse résultat'!$P$21,'Synthèse résultat'!$AQ$21,'Synthèse résultat'!$AR$21)),"N/D")</f>
        <v>N/D</v>
      </c>
      <c r="U65" s="570" t="str">
        <f ca="1">IFERROR(IF(OR('Saisie de données'!$D$13='Menu déroulant'!$AA$4,'Saisie de données'!$D$13='Menu déroulant'!$AA$3),"N/D",MIN('Synthèse résultat'!$G$87,'Synthèse résultat'!$Z22,'Synthèse résultat'!$P$22,'Synthèse résultat'!$AQ$22,'Synthèse résultat'!$AR$22)),"N/D")</f>
        <v>N/D</v>
      </c>
      <c r="Z65" s="24"/>
      <c r="AA65" s="129"/>
      <c r="AB65" s="24"/>
      <c r="AX65" s="129"/>
      <c r="CR65" s="1404"/>
    </row>
    <row r="66" spans="1:96" ht="14.45" customHeight="1" thickTop="1">
      <c r="A66" s="137"/>
      <c r="B66" s="137"/>
      <c r="C66" s="137"/>
      <c r="D66" s="137"/>
      <c r="E66" s="622"/>
      <c r="F66" s="623"/>
      <c r="G66" s="622"/>
      <c r="H66" s="582"/>
      <c r="I66" s="624"/>
      <c r="J66" s="624"/>
      <c r="K66" s="624"/>
      <c r="L66" s="624"/>
      <c r="M66" s="624"/>
      <c r="N66" s="624"/>
      <c r="O66" s="624"/>
      <c r="P66" s="624"/>
      <c r="Q66" s="624"/>
      <c r="R66" s="625"/>
      <c r="S66" s="624"/>
      <c r="T66" s="624"/>
      <c r="U66" s="624"/>
      <c r="Z66" s="24"/>
      <c r="AA66" s="129"/>
      <c r="AB66" s="24"/>
      <c r="AM66" s="19"/>
      <c r="AN66" s="22"/>
      <c r="AX66" s="129"/>
      <c r="CR66" s="1404"/>
    </row>
    <row r="67" spans="1:96" ht="14.65" customHeight="1">
      <c r="A67" s="137"/>
      <c r="B67" s="137"/>
      <c r="C67" s="137"/>
      <c r="D67" s="137"/>
      <c r="E67" s="622"/>
      <c r="F67" s="623"/>
      <c r="G67" s="622"/>
      <c r="H67" s="582"/>
      <c r="I67" s="624"/>
      <c r="J67" s="624"/>
      <c r="K67" s="624"/>
      <c r="L67" s="624"/>
      <c r="M67" s="624"/>
      <c r="N67" s="624"/>
      <c r="O67" s="624"/>
      <c r="P67" s="624"/>
      <c r="Q67" s="624"/>
      <c r="R67" s="624"/>
      <c r="S67" s="624"/>
      <c r="T67" s="624"/>
      <c r="U67" s="624"/>
      <c r="Y67" s="132"/>
      <c r="Z67" s="132"/>
      <c r="AA67" s="132"/>
      <c r="AM67" s="19"/>
      <c r="AN67" s="22"/>
      <c r="AX67" s="129"/>
      <c r="AY67" s="380"/>
      <c r="CR67" s="1404"/>
    </row>
    <row r="68" spans="1:96" ht="14.45" customHeight="1">
      <c r="A68" s="137"/>
      <c r="B68" s="137"/>
      <c r="C68" s="137"/>
      <c r="D68" s="137"/>
      <c r="E68" s="618"/>
      <c r="F68" s="620"/>
      <c r="G68" s="620"/>
      <c r="H68" s="620"/>
      <c r="I68" s="1316" t="s">
        <v>112</v>
      </c>
      <c r="J68" s="1316"/>
      <c r="K68" s="1316"/>
      <c r="L68" s="1316"/>
      <c r="M68" s="1316"/>
      <c r="N68" s="1316"/>
      <c r="O68" s="1316"/>
      <c r="P68" s="1316"/>
      <c r="Q68" s="1316"/>
      <c r="R68" s="1316"/>
      <c r="S68" s="1316"/>
      <c r="T68" s="1316"/>
      <c r="U68" s="1316"/>
      <c r="AA68" s="132"/>
      <c r="AM68" s="19"/>
      <c r="AN68" s="22"/>
      <c r="AX68" s="129"/>
      <c r="CR68" s="1404"/>
    </row>
    <row r="69" spans="1:96" ht="14.65" customHeight="1" thickBot="1">
      <c r="A69" s="137"/>
      <c r="B69" s="137"/>
      <c r="C69" s="137"/>
      <c r="D69" s="137"/>
      <c r="E69" s="618"/>
      <c r="F69" s="621"/>
      <c r="G69" s="621"/>
      <c r="H69" s="621"/>
      <c r="I69" s="1317"/>
      <c r="J69" s="1317"/>
      <c r="K69" s="1317"/>
      <c r="L69" s="1317"/>
      <c r="M69" s="1317"/>
      <c r="N69" s="1317"/>
      <c r="O69" s="1317"/>
      <c r="P69" s="1317"/>
      <c r="Q69" s="1317"/>
      <c r="R69" s="1317"/>
      <c r="S69" s="1317"/>
      <c r="T69" s="1317"/>
      <c r="U69" s="1317"/>
      <c r="V69" s="130"/>
      <c r="W69" s="130"/>
      <c r="X69" s="26"/>
      <c r="AA69" s="132"/>
      <c r="AM69" s="19"/>
      <c r="AN69" s="22"/>
      <c r="AX69" s="129"/>
      <c r="CR69" s="1404"/>
    </row>
    <row r="70" spans="1:96" ht="15" customHeight="1" thickTop="1" thickBot="1">
      <c r="A70" s="137"/>
      <c r="B70" s="137"/>
      <c r="C70" s="137"/>
      <c r="D70" s="137"/>
      <c r="E70" s="1486"/>
      <c r="F70" s="476"/>
      <c r="G70" s="477"/>
      <c r="H70" s="478"/>
      <c r="I70" s="1410" t="s">
        <v>85</v>
      </c>
      <c r="J70" s="1411"/>
      <c r="K70" s="1411"/>
      <c r="L70" s="1411"/>
      <c r="M70" s="1411"/>
      <c r="N70" s="1411"/>
      <c r="O70" s="1411"/>
      <c r="P70" s="1411"/>
      <c r="Q70" s="1411"/>
      <c r="R70" s="1411"/>
      <c r="S70" s="1411"/>
      <c r="T70" s="1411"/>
      <c r="U70" s="1412"/>
      <c r="AX70" s="129"/>
      <c r="CR70" s="1404"/>
    </row>
    <row r="71" spans="1:96" ht="19.149999999999999" thickTop="1" thickBot="1">
      <c r="A71" s="137"/>
      <c r="B71" s="137"/>
      <c r="C71" s="137"/>
      <c r="D71" s="137"/>
      <c r="E71" s="1486"/>
      <c r="F71" s="473"/>
      <c r="G71" s="474"/>
      <c r="H71" s="475"/>
      <c r="I71" s="1405" t="str">
        <f>'Saisie de données'!C60&amp;"-"&amp;'Saisie de données'!D60&amp;" "&amp;'Saisie de données'!E60&amp;""" ("&amp;'Saisie de données'!F60&amp;""")"</f>
        <v>Norex-L 6" (36")</v>
      </c>
      <c r="J71" s="1406"/>
      <c r="K71" s="1406"/>
      <c r="L71" s="1407"/>
      <c r="M71" s="1405" t="str">
        <f>'Saisie de données'!C61&amp;"-"&amp;'Saisie de données'!D61&amp;" "&amp;'Saisie de données'!E61&amp;""" ("&amp;'Saisie de données'!F61&amp;""")"</f>
        <v>Norex-L 4" (36")</v>
      </c>
      <c r="N71" s="1406"/>
      <c r="O71" s="1406"/>
      <c r="P71" s="1406"/>
      <c r="Q71" s="1407"/>
      <c r="R71" s="1405" t="str">
        <f>'Saisie de données'!C62&amp;"-"&amp;'Saisie de données'!D62&amp;" "&amp;'Saisie de données'!E62&amp;""" ("&amp;'Saisie de données'!F62&amp;""")"</f>
        <v>Noroc- 8" (42,5")</v>
      </c>
      <c r="S71" s="1406"/>
      <c r="T71" s="1406"/>
      <c r="U71" s="1407"/>
      <c r="W71" s="21"/>
      <c r="X71"/>
      <c r="AX71" s="129"/>
      <c r="CR71" s="1404"/>
    </row>
    <row r="72" spans="1:96" ht="28.15" customHeight="1" thickBot="1">
      <c r="A72" s="137"/>
      <c r="B72" s="137"/>
      <c r="C72" s="137"/>
      <c r="D72" s="137"/>
      <c r="E72" s="1486"/>
      <c r="F72" s="473"/>
      <c r="G72" s="474"/>
      <c r="H72" s="475"/>
      <c r="I72" s="1408" t="s">
        <v>113</v>
      </c>
      <c r="J72" s="1409"/>
      <c r="K72" s="1425" t="s">
        <v>114</v>
      </c>
      <c r="L72" s="1426"/>
      <c r="M72" s="1408" t="s">
        <v>113</v>
      </c>
      <c r="N72" s="1409"/>
      <c r="O72" s="1425" t="s">
        <v>114</v>
      </c>
      <c r="P72" s="1488"/>
      <c r="Q72" s="1426"/>
      <c r="R72" s="1408" t="s">
        <v>113</v>
      </c>
      <c r="S72" s="1409"/>
      <c r="T72" s="1425" t="s">
        <v>114</v>
      </c>
      <c r="U72" s="1426"/>
      <c r="X72"/>
      <c r="AX72" s="129"/>
      <c r="BQ72" s="1397"/>
      <c r="CR72" s="1404"/>
    </row>
    <row r="73" spans="1:96" ht="19.149999999999999" customHeight="1" thickTop="1" thickBot="1">
      <c r="A73" s="137"/>
      <c r="B73" s="137"/>
      <c r="C73" s="137"/>
      <c r="D73" s="137"/>
      <c r="E73" s="1486"/>
      <c r="F73" s="473"/>
      <c r="G73" s="474"/>
      <c r="H73" s="475"/>
      <c r="I73" s="1333" t="s">
        <v>105</v>
      </c>
      <c r="J73" s="1347"/>
      <c r="K73" s="1303" t="s">
        <v>105</v>
      </c>
      <c r="L73" s="1304"/>
      <c r="M73" s="1333" t="s">
        <v>105</v>
      </c>
      <c r="N73" s="1347"/>
      <c r="O73" s="1303" t="s">
        <v>105</v>
      </c>
      <c r="P73" s="1334"/>
      <c r="Q73" s="1304"/>
      <c r="R73" s="1333" t="s">
        <v>105</v>
      </c>
      <c r="S73" s="1347"/>
      <c r="T73" s="1303" t="s">
        <v>105</v>
      </c>
      <c r="U73" s="1304"/>
      <c r="V73" s="20"/>
      <c r="W73" s="20"/>
      <c r="X73" s="20"/>
      <c r="AX73" s="129"/>
      <c r="BQ73" s="1397"/>
      <c r="CR73" s="1404"/>
    </row>
    <row r="74" spans="1:96" ht="23.1" customHeight="1" thickBot="1">
      <c r="A74" s="137"/>
      <c r="B74" s="137"/>
      <c r="C74" s="137"/>
      <c r="D74" s="137"/>
      <c r="E74" s="1486"/>
      <c r="F74" s="1348"/>
      <c r="G74" s="1349"/>
      <c r="H74" s="1350"/>
      <c r="I74" s="707" t="str">
        <f>IF('Saisie de données'!$D$16='Menu déroulant'!$B$20,"5-","e-")</f>
        <v>e-</v>
      </c>
      <c r="J74" s="708" t="str">
        <f>IF('Saisie de données'!$D$16='Menu déroulant'!$B$20,"4-","w-")</f>
        <v>w-</v>
      </c>
      <c r="K74" s="708" t="str">
        <f>IF('Saisie de données'!$D$16='Menu déroulant'!$B$20,"5-","e-")</f>
        <v>e-</v>
      </c>
      <c r="L74" s="708" t="str">
        <f>IF('Saisie de données'!$D$16='Menu déroulant'!$B$20,"4-","w-")</f>
        <v>w-</v>
      </c>
      <c r="M74" s="707" t="str">
        <f>IF('Saisie de données'!$D$16='Menu déroulant'!$B$20,"5-","e-")</f>
        <v>e-</v>
      </c>
      <c r="N74" s="708" t="str">
        <f>IF('Saisie de données'!$D$16='Menu déroulant'!$B$20,"4-","w-")</f>
        <v>w-</v>
      </c>
      <c r="O74" s="1346" t="str">
        <f>IF('Saisie de données'!$D$16='Menu déroulant'!$B$20,"5-","e-")</f>
        <v>e-</v>
      </c>
      <c r="P74" s="1346"/>
      <c r="Q74" s="708" t="str">
        <f>IF('Saisie de données'!$D$16='Menu déroulant'!$B$20,"4-","w-")</f>
        <v>w-</v>
      </c>
      <c r="R74" s="707" t="str">
        <f>IF('Saisie de données'!$D$16='Menu déroulant'!$B$20,"5-","e-")</f>
        <v>e-</v>
      </c>
      <c r="S74" s="708" t="str">
        <f>IF('Saisie de données'!$D$16='Menu déroulant'!$B$20,"4-","w-")</f>
        <v>w-</v>
      </c>
      <c r="T74" s="708" t="str">
        <f>IF('Saisie de données'!$D$16='Menu déroulant'!$B$20,"5-","e-")</f>
        <v>e-</v>
      </c>
      <c r="U74" s="709" t="str">
        <f>IF('Saisie de données'!$D$16='Menu déroulant'!$B$20,"4-","w-")</f>
        <v>w-</v>
      </c>
      <c r="V74" s="132"/>
      <c r="W74" s="42"/>
      <c r="X74"/>
      <c r="AA74" s="23"/>
      <c r="AB74" s="23"/>
      <c r="AC74" s="23"/>
      <c r="BQ74" s="1397"/>
      <c r="CR74" s="1404"/>
    </row>
    <row r="75" spans="1:96" ht="23.1" customHeight="1" thickTop="1" thickBot="1">
      <c r="A75" s="137"/>
      <c r="B75" s="137"/>
      <c r="C75" s="137"/>
      <c r="D75" s="137"/>
      <c r="E75" s="1486"/>
      <c r="F75" s="1291" t="str">
        <f>IF(AND(ISBLANK('Saisie de données'!E30),ISBLANK('Saisie de données'!E31)),"0 à "&amp;'Saisie de données'!D38&amp;VLOOKUP('Saisie de données'!F38,'Menu déroulant'!AA23:AC24,2,0),"Mur")</f>
        <v>0 à 29'</v>
      </c>
      <c r="G75" s="1292"/>
      <c r="H75" s="1293"/>
      <c r="I75" s="533" t="str">
        <f ca="1">IFERROR(IF(OR('Saisie de données'!$D$13='Menu déroulant'!$AA$4,'Saisie de données'!$D$13='Menu déroulant'!$AA$3),"N/D",MIN('Synthèse résultat'!$K$86,'Synthèse résultat'!$B$86,'Synthèse résultat'!$P$11,'Synthèse résultat'!$AR$11)),"N/D")</f>
        <v>N/D</v>
      </c>
      <c r="J75" s="542" t="str">
        <f ca="1">IFERROR(IF(OR('Saisie de données'!$D$13='Menu déroulant'!$AA$4,'Saisie de données'!$D$13='Menu déroulant'!$AA$3),"N/D",MIN('Synthèse résultat'!$L$86,'Synthèse résultat'!$C$86,'Synthèse résultat'!$P$12,'Synthèse résultat'!$AR$12)),"N/D")</f>
        <v>N/D</v>
      </c>
      <c r="K75" s="565" t="str">
        <f ca="1">IFERROR(IF(OR('Saisie de données'!$D$13='Menu déroulant'!$AA$4,'Saisie de données'!$D$13='Menu déroulant'!$AA$3),"N/D",MIN('Synthèse résultat'!$T$86,'Synthèse résultat'!$B$86,'Synthèse résultat'!$P$11,'Synthèse résultat'!$AR$11)),"N/D")</f>
        <v>N/D</v>
      </c>
      <c r="L75" s="566" t="str">
        <f ca="1">IFERROR(IF(OR('Saisie de données'!$D$13='Menu déroulant'!$AA$4,'Saisie de données'!$D$13='Menu déroulant'!$AA$3),"N/D",MIN('Synthèse résultat'!$U$86,'Synthèse résultat'!$C$86,'Synthèse résultat'!$P$12,'Synthèse résultat'!$AR$12)),"N/D")</f>
        <v>N/D</v>
      </c>
      <c r="M75" s="533" t="str">
        <f ca="1">IFERROR(IF(OR('Saisie de données'!$D$13='Menu déroulant'!$AA$4,'Saisie de données'!$D$13='Menu déroulant'!$AA$3),"N/D",MIN('Synthèse résultat'!$M$86,'Synthèse résultat'!$D$86,'Synthèse résultat'!$P$15,'Synthèse résultat'!$AR$15)),"N/D")</f>
        <v>N/D</v>
      </c>
      <c r="N75" s="542" t="str">
        <f ca="1">IFERROR(IF(OR('Saisie de données'!$D$13='Menu déroulant'!$AA$4,'Saisie de données'!$D$13='Menu déroulant'!$AA$3),"N/D",MIN('Synthèse résultat'!$N$86,'Synthèse résultat'!$E$86,'Synthèse résultat'!$P$16,'Synthèse résultat'!$AR$15)),"N/D")</f>
        <v>N/D</v>
      </c>
      <c r="O75" s="1466" t="str">
        <f ca="1">IFERROR(IF(OR('Saisie de données'!$D$13='Menu déroulant'!$AA$4,'Saisie de données'!$D$13='Menu déroulant'!$AA$3),"N/D",MIN('Synthèse résultat'!$V$86,'Synthèse résultat'!$D$86,'Synthèse résultat'!$P$15,'Synthèse résultat'!$AR$15)),"N/D")</f>
        <v>N/D</v>
      </c>
      <c r="P75" s="1467"/>
      <c r="Q75" s="567" t="str">
        <f ca="1">IFERROR(IF(OR('Saisie de données'!$D$13='Menu déroulant'!$AA$4,'Saisie de données'!$D$13='Menu déroulant'!$AA$3),"N/D",MIN('Synthèse résultat'!$W$86,'Synthèse résultat'!$E$86,'Synthèse résultat'!$P$16,'Synthèse résultat'!$AR$15)),"N/D")</f>
        <v>N/D</v>
      </c>
      <c r="R75" s="533" t="str">
        <f ca="1">IFERROR(IF(OR('Saisie de données'!$D$13='Menu déroulant'!$AA$4,'Saisie de données'!$D$13='Menu déroulant'!$AA$3),"N/D",MIN('Synthèse résultat'!$O$86,'Synthèse résultat'!$F$86,'Synthèse résultat'!$P$19,'Synthèse résultat'!$AR$20)),"N/D")</f>
        <v>N/D</v>
      </c>
      <c r="S75" s="542" t="str">
        <f ca="1">IFERROR(IF(OR('Saisie de données'!$D$13='Menu déroulant'!$AA$4,'Saisie de données'!$D$13='Menu déroulant'!$AA$3),"N/D",MIN('Synthèse résultat'!$P$86,'Synthèse résultat'!$G$86,'Synthèse résultat'!$P$20,'Synthèse résultat'!$AR$20)),"N/D")</f>
        <v>N/D</v>
      </c>
      <c r="T75" s="565" t="str">
        <f ca="1">IFERROR(IF(OR('Saisie de données'!$D$13='Menu déroulant'!$AA$4,'Saisie de données'!$D$13='Menu déroulant'!$AA$3),"N/D",MIN('Synthèse résultat'!$X$86,'Synthèse résultat'!$F$86,'Synthèse résultat'!$P$19,'Synthèse résultat'!$AR$20)),"N/D")</f>
        <v>N/D</v>
      </c>
      <c r="U75" s="566" t="str">
        <f ca="1">IFERROR(IF(OR('Saisie de données'!$D$13='Menu déroulant'!$AA$4,'Saisie de données'!$D$13='Menu déroulant'!$AA$3),"N/D",MIN('Synthèse résultat'!$Y$86,'Synthèse résultat'!$G$86,'Synthèse résultat'!$P$20,'Synthèse résultat'!$AR$20)),"N/D")</f>
        <v>N/D</v>
      </c>
      <c r="V75" s="132"/>
      <c r="W75" s="42"/>
      <c r="X75"/>
      <c r="AA75" s="23"/>
      <c r="AB75" s="23"/>
      <c r="AC75" s="23"/>
      <c r="BQ75" s="1397"/>
      <c r="CR75" s="1404"/>
    </row>
    <row r="76" spans="1:96" ht="23.1" customHeight="1" thickBot="1">
      <c r="A76" s="137"/>
      <c r="B76" s="137"/>
      <c r="C76" s="137"/>
      <c r="D76" s="137"/>
      <c r="E76" s="1486"/>
      <c r="F76" s="1294" t="s">
        <v>111</v>
      </c>
      <c r="G76" s="1295"/>
      <c r="H76" s="1296"/>
      <c r="I76" s="568" t="str">
        <f ca="1">IFERROR(IF(OR('Saisie de données'!$D$13='Menu déroulant'!$AA$4,'Saisie de données'!$D$13='Menu déroulant'!$AA$3),"N/D",MIN('Synthèse résultat'!$K$87,'Synthèse résultat'!$B$87,'Synthèse résultat'!$P$13,'Synthèse résultat'!$AR$13)),"N/D")</f>
        <v>N/D</v>
      </c>
      <c r="J76" s="569" t="str">
        <f ca="1">IFERROR(IF(OR('Saisie de données'!$D$13='Menu déroulant'!$AA$4,'Saisie de données'!$D$13='Menu déroulant'!$AA$3),"N/D",MIN('Synthèse résultat'!$L$87,'Synthèse résultat'!$C$87,'Synthèse résultat'!$P$14,'Synthèse résultat'!$AR$14)),"N/D")</f>
        <v>N/D</v>
      </c>
      <c r="K76" s="551" t="str">
        <f ca="1">IFERROR(IF(OR('Saisie de données'!$D$13='Menu déroulant'!$AA$4,'Saisie de données'!$D$13='Menu déroulant'!$AA$3),"N/D",MIN('Synthèse résultat'!$T$87,'Synthèse résultat'!$B$87,'Synthèse résultat'!$P$13,'Synthèse résultat'!$AR$13)),"N/D")</f>
        <v>N/D</v>
      </c>
      <c r="L76" s="570" t="str">
        <f ca="1">IFERROR(IF(OR('Saisie de données'!$D$13='Menu déroulant'!$AA$4,'Saisie de données'!$D$13='Menu déroulant'!$AA$3),"N/D",MIN('Synthèse résultat'!$U$87,'Synthèse résultat'!$C$87,'Synthèse résultat'!$P$14,'Synthèse résultat'!$AR$14)),"N/D")</f>
        <v>N/D</v>
      </c>
      <c r="M76" s="568" t="str">
        <f ca="1">IFERROR(IF(OR('Saisie de données'!$D$13='Menu déroulant'!$AA$4,'Saisie de données'!$D$13='Menu déroulant'!$AA$3),"N/D",MIN('Synthèse résultat'!$M$87,'Synthèse résultat'!$D$87,'Synthèse résultat'!$P$17,'Synthèse résultat'!$AR$15)),"N/D")</f>
        <v>N/D</v>
      </c>
      <c r="N76" s="569" t="str">
        <f ca="1">IFERROR(IF(OR('Saisie de données'!$D$13='Menu déroulant'!$AA$4,'Saisie de données'!$D$13='Menu déroulant'!$AA$3),"N/D",MIN('Synthèse résultat'!$N$87,'Synthèse résultat'!$E$87,'Synthèse résultat'!$P$18,'Synthèse résultat'!$AR$15)),"N/D")</f>
        <v>N/D</v>
      </c>
      <c r="O76" s="1468" t="str">
        <f ca="1">IFERROR(IF(OR('Saisie de données'!$D$13='Menu déroulant'!$AA$4,'Saisie de données'!$D$13='Menu déroulant'!$AA$3),"N/D",MIN('Synthèse résultat'!$V$87,'Synthèse résultat'!$D$87,'Synthèse résultat'!$P$17,'Synthèse résultat'!$AR$15)),"N/D")</f>
        <v>N/D</v>
      </c>
      <c r="P76" s="1469"/>
      <c r="Q76" s="571" t="str">
        <f ca="1">IFERROR(IF(OR('Saisie de données'!$D$13='Menu déroulant'!$AA$4,'Saisie de données'!$D$13='Menu déroulant'!$AA$3),"N/D",MIN('Synthèse résultat'!$W$87,'Synthèse résultat'!$E$87,'Synthèse résultat'!$P$18,'Synthèse résultat'!$AR$15)),"N/D")</f>
        <v>N/D</v>
      </c>
      <c r="R76" s="568" t="str">
        <f ca="1">IFERROR(IF(OR('Saisie de données'!$D$13='Menu déroulant'!$AA$4,'Saisie de données'!$D$13='Menu déroulant'!$AA$3),"N/D",MIN('Synthèse résultat'!$O$87,'Synthèse résultat'!$F$87,'Synthèse résultat'!$P$21,'Synthèse résultat'!$AR$20)),"N/D")</f>
        <v>N/D</v>
      </c>
      <c r="S76" s="569" t="str">
        <f ca="1">IFERROR(IF(OR('Saisie de données'!$D$13='Menu déroulant'!$AA$4,'Saisie de données'!$D$13='Menu déroulant'!$AA$3),"N/D",MIN('Synthèse résultat'!$P$87,'Synthèse résultat'!$G$87,'Synthèse résultat'!$P$22,'Synthèse résultat'!$AR$20)),"N/D")</f>
        <v>N/D</v>
      </c>
      <c r="T76" s="551" t="str">
        <f ca="1">IFERROR(IF(OR('Saisie de données'!$D$13='Menu déroulant'!$AA$4,'Saisie de données'!$D$13='Menu déroulant'!$AA$3),"N/D",MIN('Synthèse résultat'!$X$87,'Synthèse résultat'!$F$87,'Synthèse résultat'!$P$21,'Synthèse résultat'!$AR$20)),"N/D")</f>
        <v>N/D</v>
      </c>
      <c r="U76" s="570" t="str">
        <f ca="1">IFERROR(IF(OR('Saisie de données'!$D$13='Menu déroulant'!$AA$4,'Saisie de données'!$D$13='Menu déroulant'!$AA$3),"N/D",MIN('Synthèse résultat'!$Y$87,'Synthèse résultat'!$G$87,'Synthèse résultat'!$P$22,'Synthèse résultat'!$AR$20)),"N/D")</f>
        <v>N/D</v>
      </c>
      <c r="X76"/>
      <c r="AA76" s="23"/>
      <c r="AB76" s="23"/>
      <c r="AC76" s="23"/>
      <c r="BQ76" s="1397"/>
      <c r="CR76" s="1404"/>
    </row>
    <row r="77" spans="1:96" ht="23.1" customHeight="1" thickTop="1">
      <c r="A77" s="137"/>
      <c r="B77" s="137"/>
      <c r="C77" s="137"/>
      <c r="D77" s="137"/>
      <c r="E77" s="137"/>
      <c r="F77" s="137"/>
      <c r="G77" s="137"/>
      <c r="H77" s="137"/>
      <c r="I77" s="137"/>
      <c r="J77" s="137"/>
      <c r="K77" s="137"/>
      <c r="L77" s="137"/>
      <c r="M77" s="137"/>
      <c r="N77" s="137"/>
      <c r="O77" s="137"/>
      <c r="P77" s="137"/>
      <c r="Q77" s="137"/>
      <c r="R77" s="137"/>
      <c r="S77" s="137"/>
      <c r="T77" s="137"/>
      <c r="U77" s="137"/>
      <c r="X77"/>
      <c r="AA77" s="23"/>
      <c r="AB77" s="23"/>
      <c r="AC77" s="23"/>
      <c r="BQ77" s="1397"/>
      <c r="CR77" s="1404"/>
    </row>
    <row r="78" spans="1:96" ht="17.649999999999999" customHeight="1">
      <c r="A78" s="137"/>
      <c r="B78" s="137"/>
      <c r="C78" s="137"/>
      <c r="D78" s="137"/>
      <c r="E78" s="1252" t="s">
        <v>115</v>
      </c>
      <c r="F78" s="1252"/>
      <c r="G78" s="1252"/>
      <c r="H78" s="1252"/>
      <c r="I78" s="1252"/>
      <c r="J78" s="137"/>
      <c r="K78" s="1345" t="s">
        <v>116</v>
      </c>
      <c r="L78" s="1345"/>
      <c r="M78" s="1351" t="str">
        <f>IF(OR('Saisie de données'!$AL$70='Menu déroulant'!$AG$50,'Saisie de données'!$AL$71='Menu déroulant'!$AG$50,'Saisie de données'!$AL$72='Menu déroulant'!$AG$50),"Mur de massonnerie","")</f>
        <v/>
      </c>
      <c r="N78" s="1351"/>
      <c r="O78" s="137"/>
      <c r="P78" s="137"/>
      <c r="Q78" s="137"/>
      <c r="R78" s="137"/>
      <c r="S78" s="137"/>
      <c r="T78" s="137"/>
      <c r="U78" s="137"/>
      <c r="X78"/>
      <c r="Y78" s="133"/>
      <c r="Z78" s="133"/>
      <c r="AA78" s="23"/>
      <c r="AB78" s="23"/>
      <c r="AC78" s="23"/>
      <c r="BQ78" s="1397"/>
      <c r="CR78" s="1404"/>
    </row>
    <row r="79" spans="1:96" ht="17.649999999999999" customHeight="1">
      <c r="A79" s="137"/>
      <c r="B79" s="137"/>
      <c r="C79" s="137"/>
      <c r="D79" s="137"/>
      <c r="E79" s="626"/>
      <c r="F79" s="626"/>
      <c r="G79" s="626"/>
      <c r="H79" s="627"/>
      <c r="I79" s="137"/>
      <c r="J79" s="137"/>
      <c r="K79" s="1470" t="s">
        <v>117</v>
      </c>
      <c r="L79" s="1470"/>
      <c r="M79" s="554"/>
      <c r="N79" s="628"/>
      <c r="O79" s="137"/>
      <c r="P79" s="137"/>
      <c r="Q79" s="137"/>
      <c r="R79" s="137"/>
      <c r="S79" s="137"/>
      <c r="T79" s="137"/>
      <c r="U79" s="137"/>
      <c r="X79"/>
      <c r="BQ79" s="1397"/>
      <c r="CR79" s="1404"/>
    </row>
    <row r="80" spans="1:96" ht="17.649999999999999" customHeight="1">
      <c r="A80" s="137"/>
      <c r="B80" s="137"/>
      <c r="C80" s="137"/>
      <c r="D80" s="137"/>
      <c r="E80" s="137"/>
      <c r="F80" s="629"/>
      <c r="G80" s="629"/>
      <c r="H80" s="630"/>
      <c r="I80" s="137"/>
      <c r="J80" s="137"/>
      <c r="K80" s="1427" t="s">
        <v>118</v>
      </c>
      <c r="L80" s="1427"/>
      <c r="M80" s="628"/>
      <c r="N80" s="628"/>
      <c r="O80" s="137"/>
      <c r="P80" s="137"/>
      <c r="Q80" s="137"/>
      <c r="R80" s="137"/>
      <c r="S80" s="137"/>
      <c r="T80" s="137"/>
      <c r="U80" s="137"/>
      <c r="BQ80" s="1397"/>
      <c r="CR80" s="1404"/>
    </row>
    <row r="81" spans="1:96" ht="17.649999999999999" customHeight="1">
      <c r="A81" s="137"/>
      <c r="B81" s="137"/>
      <c r="C81" s="137"/>
      <c r="D81" s="137"/>
      <c r="E81" s="137"/>
      <c r="F81" s="629"/>
      <c r="G81" s="629"/>
      <c r="H81" s="630"/>
      <c r="I81" s="137"/>
      <c r="J81" s="706"/>
      <c r="K81" s="1231" t="str" cm="1">
        <f t="array" ref="K81">IFERROR(_xlfn.IFS('Saisie de données'!$D$13='Menu déroulant'!$AA$3,"FM 4881",'Saisie de données'!$D$13='Menu déroulant'!$AA$4,"FM 4881",'Saisie de données'!$D$13='Menu déroulant'!$AA$5,""),"")</f>
        <v/>
      </c>
      <c r="L81" s="1231"/>
      <c r="M81" s="706"/>
      <c r="N81" s="706"/>
      <c r="O81" s="706"/>
      <c r="P81" s="706"/>
      <c r="Q81" s="706"/>
      <c r="R81" s="706"/>
      <c r="S81" s="706"/>
      <c r="T81" s="706"/>
      <c r="U81" s="706"/>
      <c r="W81" s="603"/>
      <c r="X81" s="603"/>
      <c r="BQ81" s="1397"/>
      <c r="CR81" s="1404"/>
    </row>
    <row r="82" spans="1:96" ht="22.5" customHeight="1" thickBot="1">
      <c r="A82" s="137"/>
      <c r="B82" s="137"/>
      <c r="C82" s="852" t="s">
        <v>119</v>
      </c>
      <c r="D82" s="762"/>
      <c r="E82" s="762"/>
      <c r="F82" s="762"/>
      <c r="I82" s="1317" t="s">
        <v>120</v>
      </c>
      <c r="J82" s="1317"/>
      <c r="K82" s="1317"/>
      <c r="L82" s="1317"/>
      <c r="M82" s="1317"/>
      <c r="N82" s="1317"/>
      <c r="O82" s="1317"/>
      <c r="P82" s="1317"/>
      <c r="Q82" s="1317"/>
      <c r="R82" s="1317"/>
      <c r="S82" s="1317"/>
      <c r="T82" s="1317"/>
      <c r="U82" s="1317"/>
      <c r="W82" s="603"/>
      <c r="X82" s="603"/>
      <c r="BQ82" s="1397"/>
      <c r="CR82" s="1404"/>
    </row>
    <row r="83" spans="1:96" ht="22.5" customHeight="1" thickTop="1" thickBot="1">
      <c r="A83" s="137"/>
      <c r="B83" s="137"/>
      <c r="C83" s="137"/>
      <c r="D83" s="137"/>
      <c r="E83" s="137"/>
      <c r="F83" s="137"/>
      <c r="G83" s="137"/>
      <c r="H83" s="137"/>
      <c r="I83" s="1415" t="s">
        <v>85</v>
      </c>
      <c r="J83" s="1416"/>
      <c r="K83" s="1416"/>
      <c r="L83" s="1416"/>
      <c r="M83" s="1416"/>
      <c r="N83" s="1416"/>
      <c r="O83" s="1416"/>
      <c r="P83" s="1416"/>
      <c r="Q83" s="1416"/>
      <c r="R83" s="1416"/>
      <c r="S83" s="1416"/>
      <c r="T83" s="1416"/>
      <c r="U83" s="1417"/>
      <c r="BQ83" s="1397"/>
      <c r="CR83" s="1404"/>
    </row>
    <row r="84" spans="1:96" ht="30.95" customHeight="1" thickTop="1" thickBot="1">
      <c r="A84" s="137"/>
      <c r="B84" s="137"/>
      <c r="C84" s="1495" t="s">
        <v>121</v>
      </c>
      <c r="D84" s="1496"/>
      <c r="E84" s="1496"/>
      <c r="F84" s="1497"/>
      <c r="G84" s="604" t="s">
        <v>122</v>
      </c>
      <c r="H84" s="605" t="s">
        <v>123</v>
      </c>
      <c r="I84" s="1360" t="str">
        <f>$I$53</f>
        <v>Norex-L 6" (36")</v>
      </c>
      <c r="J84" s="1361"/>
      <c r="K84" s="1361"/>
      <c r="L84" s="1362"/>
      <c r="M84" s="1360" t="str">
        <f>$M$53</f>
        <v>Norex-L 4" (36")</v>
      </c>
      <c r="N84" s="1361"/>
      <c r="O84" s="1361"/>
      <c r="P84" s="1361"/>
      <c r="Q84" s="1362"/>
      <c r="R84" s="1360" t="str">
        <f>$R$53</f>
        <v>Noroc- 8" (42,5")</v>
      </c>
      <c r="S84" s="1361"/>
      <c r="T84" s="1361"/>
      <c r="U84" s="1362"/>
      <c r="BQ84" s="1397"/>
      <c r="CR84" s="1404"/>
    </row>
    <row r="85" spans="1:96" ht="16.149999999999999" customHeight="1" thickTop="1" thickBot="1">
      <c r="A85" s="137"/>
      <c r="B85" s="137"/>
      <c r="C85" s="1489" t="s">
        <v>124</v>
      </c>
      <c r="D85" s="1490"/>
      <c r="E85" s="1498" t="s">
        <v>125</v>
      </c>
      <c r="F85" s="1499"/>
      <c r="G85" s="871" t="s">
        <v>126</v>
      </c>
      <c r="H85" s="870" t="s">
        <v>127</v>
      </c>
      <c r="I85" s="1309" t="str">
        <f>IF('Saisie de données'!$D$60='Menu déroulant'!$AB$31,"Teks 3 - "&amp;HLOOKUP('Saisie de données'!E60,'Infos Techniques'!$AC$50:$AE$60,3,0),"Teks 3 - "&amp;HLOOKUP('Saisie de données'!E60,'Infos Techniques'!$AC$70:$AH$80,3,0))</f>
        <v>Teks 3 - N/D</v>
      </c>
      <c r="J85" s="1310"/>
      <c r="K85" s="1310"/>
      <c r="L85" s="1311"/>
      <c r="M85" s="1309" t="str">
        <f>IF('Saisie de données'!$D$61='Menu déroulant'!$AB$31,"Teks 3 - "&amp;HLOOKUP('Saisie de données'!E61,'Infos Techniques'!$AC$50:$AE$60,3,0),"Teks 3 - "&amp;HLOOKUP('Saisie de données'!E61,'Infos Techniques'!$AC$70:$AH$80,3,0))</f>
        <v>Teks 3 - 4'' (1429000)</v>
      </c>
      <c r="N85" s="1310"/>
      <c r="O85" s="1310"/>
      <c r="P85" s="1310"/>
      <c r="Q85" s="1311"/>
      <c r="R85" s="1309" t="str">
        <f>IF('Saisie de données'!$D$62='Menu déroulant'!$AB$31,"Teks 3 - "&amp;HLOOKUP('Saisie de données'!E62,'Infos Techniques'!$AC$50:$AE$55,3,0),"Teks 3 - "&amp;HLOOKUP('Saisie de données'!E62,'Infos Techniques'!$AC$70:$AH$75,3,0))</f>
        <v>Teks 3 - N/D</v>
      </c>
      <c r="S85" s="1310"/>
      <c r="T85" s="1310"/>
      <c r="U85" s="1311"/>
      <c r="BQ85" s="1397"/>
      <c r="CR85" s="1404"/>
    </row>
    <row r="86" spans="1:96" ht="16.149999999999999" customHeight="1" thickBot="1">
      <c r="A86" s="137"/>
      <c r="B86" s="137"/>
      <c r="C86" s="1491"/>
      <c r="D86" s="1492"/>
      <c r="E86" s="1500"/>
      <c r="F86" s="1501"/>
      <c r="G86" s="872" t="s">
        <v>128</v>
      </c>
      <c r="H86" s="869" t="s">
        <v>129</v>
      </c>
      <c r="I86" s="1297" t="str">
        <f>IF('Saisie de données'!$D$60='Menu déroulant'!$AB$31,"Teks 5 - "&amp;HLOOKUP('Saisie de données'!E60,'Infos Techniques'!$AC$50:$AE$55,4,0),"Teks 5 - "&amp;HLOOKUP('Saisie de données'!E60,'Infos Techniques'!$AC$70:$AH$75,4,0))</f>
        <v>Teks 5 - 8'' (1619000)</v>
      </c>
      <c r="J86" s="1298"/>
      <c r="K86" s="1298"/>
      <c r="L86" s="1299"/>
      <c r="M86" s="1297" t="str">
        <f>IF('Saisie de données'!$D$61='Menu déroulant'!$AB$31,"Teks 3 - "&amp;HLOOKUP('Saisie de données'!E61,'Infos Techniques'!$AC$50:$AE$55,4,0),"Teks 3 - "&amp;HLOOKUP('Saisie de données'!E61,'Infos Techniques'!$AC$70:$AH$75,4,0))</f>
        <v>Teks 3 - 5'' (1647000)</v>
      </c>
      <c r="N86" s="1298"/>
      <c r="O86" s="1298"/>
      <c r="P86" s="1298"/>
      <c r="Q86" s="1299"/>
      <c r="R86" s="1297" t="str">
        <f>IF('Saisie de données'!$D$62='Menu déroulant'!$AB$31,"Teks 3 - "&amp;HLOOKUP('Saisie de données'!E62,'Infos Techniques'!$AC$50:$AE$55,4,0),"Teks 3 - "&amp;HLOOKUP('Saisie de données'!E62,'Infos Techniques'!$AC$70:$AH$75,4,0))</f>
        <v>Teks 3 - N/D</v>
      </c>
      <c r="S86" s="1298"/>
      <c r="T86" s="1298"/>
      <c r="U86" s="1299"/>
      <c r="BQ86" s="1397"/>
      <c r="CR86" s="1404"/>
    </row>
    <row r="87" spans="1:96" ht="16.149999999999999" customHeight="1" thickBot="1">
      <c r="A87" s="137"/>
      <c r="B87" s="137"/>
      <c r="C87" s="1491"/>
      <c r="D87" s="1492"/>
      <c r="E87" s="1500" t="s">
        <v>130</v>
      </c>
      <c r="F87" s="1501"/>
      <c r="G87" s="871" t="s">
        <v>131</v>
      </c>
      <c r="H87" s="868" t="s">
        <v>127</v>
      </c>
      <c r="I87" s="1312" t="str">
        <f>IF('Saisie de données'!$D$60='Menu déroulant'!$AB$31,"UDRILLS - "&amp;HLOOKUP('Saisie de données'!E60,'Infos Techniques'!$AC$50:$AE$55,5,0),"UDRILLS - "&amp;HLOOKUP('Saisie de données'!E60,'Infos Techniques'!$AC$70:$AH$75,5,0))</f>
        <v>UDRILLS - 6'' (THW 146B)</v>
      </c>
      <c r="J87" s="1313"/>
      <c r="K87" s="1313"/>
      <c r="L87" s="1314"/>
      <c r="M87" s="1312" t="str">
        <f>IF('Saisie de données'!$D$61='Menu déroulant'!$AB$31,"UDRILLS - "&amp;HLOOKUP('Saisie de données'!E61,'Infos Techniques'!$AC$50:$AE$55,5,0),"UDRILLS - "&amp;HLOOKUP('Saisie de données'!E61,'Infos Techniques'!$AC$70:$AH$75,5,0))</f>
        <v>UDRILLS - 4'' (THW 144BN)</v>
      </c>
      <c r="N87" s="1313"/>
      <c r="O87" s="1313"/>
      <c r="P87" s="1313"/>
      <c r="Q87" s="1314"/>
      <c r="R87" s="1312" t="str">
        <f>IF('Saisie de données'!$D$62='Menu déroulant'!$AB$31,"UDRILLS - "&amp;HLOOKUP('Saisie de données'!E62,'Infos Techniques'!$AC$50:$AE$55,5,0),"UDRILLS - "&amp;HLOOKUP('Saisie de données'!E62,'Infos Techniques'!$AC$70:$AH$75,5,0))</f>
        <v>UDRILLS - N/D</v>
      </c>
      <c r="S87" s="1313"/>
      <c r="T87" s="1313"/>
      <c r="U87" s="1314"/>
      <c r="BQ87" s="1397"/>
      <c r="CR87" s="1404"/>
    </row>
    <row r="88" spans="1:96" ht="16.149999999999999" customHeight="1" thickBot="1">
      <c r="A88" s="137"/>
      <c r="B88" s="137"/>
      <c r="C88" s="1491"/>
      <c r="D88" s="1492"/>
      <c r="E88" s="1502"/>
      <c r="F88" s="1503"/>
      <c r="G88" s="872" t="s">
        <v>132</v>
      </c>
      <c r="H88" s="869" t="s">
        <v>129</v>
      </c>
      <c r="I88" s="1297" t="str">
        <f>IF('Saisie de données'!$D$60='Menu déroulant'!$AB$31,"UDRILLS - "&amp;HLOOKUP('Saisie de données'!E60,'Infos Techniques'!$AC$50:$AE$55,6,0),"UDRILLS - "&amp;HLOOKUP('Saisie de données'!E60,'Infos Techniques'!$AC$70:$AH$75,6,0))</f>
        <v>UDRILLS - 6'' (TRH 146B5N)</v>
      </c>
      <c r="J88" s="1298"/>
      <c r="K88" s="1298"/>
      <c r="L88" s="1299"/>
      <c r="M88" s="1297" t="str">
        <f>IF('Saisie de données'!$D$61='Menu déroulant'!$AB$31,"UDRILLS - "&amp;HLOOKUP('Saisie de données'!E61,'Infos Techniques'!$AC$50:$AE$55,6,0),"UDRILLS - "&amp;HLOOKUP('Saisie de données'!E61,'Infos Techniques'!$AC$70:$AH$75,6,0))</f>
        <v>UDRILLS - 4'' (TRH 144B5N)</v>
      </c>
      <c r="N88" s="1298"/>
      <c r="O88" s="1298"/>
      <c r="P88" s="1298"/>
      <c r="Q88" s="1299"/>
      <c r="R88" s="1297" t="str">
        <f>IF('Saisie de données'!$D$62='Menu déroulant'!$AB$31,"UDRILLS - "&amp;HLOOKUP('Saisie de données'!E62,'Infos Techniques'!$AC$50:$AE$55,6,0),"UDRILLS - "&amp;HLOOKUP('Saisie de données'!E62,'Infos Techniques'!$AC$70:$AH$75,6,0))</f>
        <v>UDRILLS - 8" (TRH 148B5)</v>
      </c>
      <c r="S88" s="1298"/>
      <c r="T88" s="1298"/>
      <c r="U88" s="1299"/>
      <c r="BQ88" s="1397"/>
      <c r="CR88" s="1404"/>
    </row>
    <row r="89" spans="1:96" ht="16.149999999999999" customHeight="1" thickBot="1">
      <c r="A89" s="137"/>
      <c r="B89" s="137"/>
      <c r="C89" s="1491"/>
      <c r="D89" s="1492"/>
      <c r="E89" s="1515" t="s">
        <v>133</v>
      </c>
      <c r="F89" s="1515"/>
      <c r="G89" s="871" t="s">
        <v>134</v>
      </c>
      <c r="H89" s="866" t="s">
        <v>127</v>
      </c>
      <c r="I89" s="1312" t="str">
        <f>IF('Saisie de données'!$D$60='Menu déroulant'!$AB$31,"Blazers - "&amp;HLOOKUP('Saisie de données'!E60,'Infos Techniques'!$AC$50:$AE$60,7,0),"Blazers - "&amp;HLOOKUP('Saisie de données'!E60,'Infos Techniques'!$AC$70:$AH$80,7,0))</f>
        <v>Blazers - 8"</v>
      </c>
      <c r="J89" s="1313"/>
      <c r="K89" s="1313"/>
      <c r="L89" s="1314"/>
      <c r="M89" s="1312" t="str">
        <f>IF('Saisie de données'!$D$61='Menu déroulant'!$AB$31,"Blazers - "&amp;HLOOKUP('Saisie de données'!E61,'Infos Techniques'!$AC$50:$AE$60,7,0),"Blazers - "&amp;HLOOKUP('Saisie de données'!E61,'Infos Techniques'!$AC$70:$AH$80,7,0))</f>
        <v>Blazers - 5"</v>
      </c>
      <c r="N89" s="1313"/>
      <c r="O89" s="1313"/>
      <c r="P89" s="1313"/>
      <c r="Q89" s="1314"/>
      <c r="R89" s="1312" t="str">
        <f>IF('Saisie de données'!$D$62='Menu déroulant'!$AB$31,"Blazers - "&amp;HLOOKUP('Saisie de données'!E62,'Infos Techniques'!$AC$50:$AE$60,7,0),"Blazers - "&amp;HLOOKUP('Saisie de données'!E62,'Infos Techniques'!$AC$70:$AH$80,7,0))</f>
        <v>Blazers - 10"</v>
      </c>
      <c r="S89" s="1313"/>
      <c r="T89" s="1313"/>
      <c r="U89" s="1314"/>
      <c r="BQ89" s="1397"/>
      <c r="CR89" s="1404"/>
    </row>
    <row r="90" spans="1:96" ht="16.149999999999999" customHeight="1" thickBot="1">
      <c r="A90" s="137"/>
      <c r="B90" s="137"/>
      <c r="C90" s="1491"/>
      <c r="D90" s="1492"/>
      <c r="E90" s="1515"/>
      <c r="F90" s="1515"/>
      <c r="G90" s="872" t="s">
        <v>135</v>
      </c>
      <c r="H90" s="867" t="s">
        <v>136</v>
      </c>
      <c r="I90" s="1297" t="str">
        <f>IF('Saisie de données'!$D$60='Menu déroulant'!$AB$31,"Blazers - "&amp;HLOOKUP('Saisie de données'!E60,'Infos Techniques'!$AC$50:$AE$60,8,0),"Blazers - "&amp;HLOOKUP('Saisie de données'!E60,'Infos Techniques'!$AC$70:$AH$80,8,0))</f>
        <v>Blazers - 7"</v>
      </c>
      <c r="J90" s="1298"/>
      <c r="K90" s="1298"/>
      <c r="L90" s="1299"/>
      <c r="M90" s="1297" t="str">
        <f>IF('Saisie de données'!$D$61='Menu déroulant'!$AB$31,"Blazers - "&amp;HLOOKUP('Saisie de données'!E61,'Infos Techniques'!$AC$50:$AE$60,8,0),"Blazers - "&amp;HLOOKUP('Saisie de données'!E61,'Infos Techniques'!$AC$70:$AH$80,8,0))</f>
        <v>Blazers - 5"</v>
      </c>
      <c r="N90" s="1298"/>
      <c r="O90" s="1298"/>
      <c r="P90" s="1298"/>
      <c r="Q90" s="1299"/>
      <c r="R90" s="1297" t="str">
        <f>IF('Saisie de données'!$D$62='Menu déroulant'!$AB$31,"Blazers - "&amp;HLOOKUP('Saisie de données'!E62,'Infos Techniques'!$AC$50:$AE$60,8,0),"Blazers - "&amp;HLOOKUP('Saisie de données'!E62,'Infos Techniques'!$AC$70:$AH$80,8,0))</f>
        <v>Blazers - N/D</v>
      </c>
      <c r="S90" s="1298"/>
      <c r="T90" s="1298"/>
      <c r="U90" s="1299"/>
      <c r="BQ90" s="1397"/>
      <c r="CR90" s="1404"/>
    </row>
    <row r="91" spans="1:96" ht="16.149999999999999" customHeight="1" thickBot="1">
      <c r="A91" s="137"/>
      <c r="B91" s="137"/>
      <c r="C91" s="1491"/>
      <c r="D91" s="1492"/>
      <c r="E91" s="1515" t="s">
        <v>137</v>
      </c>
      <c r="F91" s="1515"/>
      <c r="G91" s="871" t="s">
        <v>138</v>
      </c>
      <c r="H91" s="866" t="s">
        <v>127</v>
      </c>
      <c r="I91" s="1312" t="str">
        <f>IF('Saisie de données'!$D$60='Menu déroulant'!$AB$31,"Master Drillers - "&amp;HLOOKUP('Saisie de données'!E60,'Infos Techniques'!$AC$50:$AE$60,9,0),"Master Drillers - "&amp;HLOOKUP('Saisie de données'!E60,'Infos Techniques'!$AC$70:$AH$80,9,0))</f>
        <v>Master Drillers - 8"</v>
      </c>
      <c r="J91" s="1313"/>
      <c r="K91" s="1313"/>
      <c r="L91" s="1314"/>
      <c r="M91" s="1312" t="str">
        <f>IF('Saisie de données'!$D$61='Menu déroulant'!$AB$31,"Master Drillers - "&amp;HLOOKUP('Saisie de données'!E61,'Infos Techniques'!$AC$50:$AE$60,9,0),"Master Drillers - "&amp;HLOOKUP('Saisie de données'!E61,'Infos Techniques'!$AC$70:$AH$80,9,0))</f>
        <v>Master Drillers - 5"</v>
      </c>
      <c r="N91" s="1313"/>
      <c r="O91" s="1313"/>
      <c r="P91" s="1313"/>
      <c r="Q91" s="1314"/>
      <c r="R91" s="1312" t="str">
        <f>IF('Saisie de données'!$D$62='Menu déroulant'!$AB$31,"Master Drillers - "&amp;HLOOKUP('Saisie de données'!E62,'Infos Techniques'!$AC$50:$AE$60,9,0),"Master Drillers - "&amp;HLOOKUP('Saisie de données'!E62,'Infos Techniques'!$AC$70:$AH$80,9,0))</f>
        <v>Master Drillers - 10"</v>
      </c>
      <c r="S91" s="1313"/>
      <c r="T91" s="1313"/>
      <c r="U91" s="1314"/>
      <c r="BQ91" s="1397"/>
      <c r="CR91" s="1404"/>
    </row>
    <row r="92" spans="1:96" ht="16.149999999999999" customHeight="1" thickBot="1">
      <c r="A92" s="137"/>
      <c r="B92" s="137"/>
      <c r="C92" s="1491"/>
      <c r="D92" s="1492"/>
      <c r="E92" s="1515"/>
      <c r="F92" s="1515"/>
      <c r="G92" s="872" t="s">
        <v>139</v>
      </c>
      <c r="H92" s="867" t="s">
        <v>136</v>
      </c>
      <c r="I92" s="1297" t="str">
        <f>IF('Saisie de données'!$D$60='Menu déroulant'!$AB$31,"Master Drillers - "&amp;HLOOKUP('Saisie de données'!E60,'Infos Techniques'!$AC$50:$AE$60,10,0),"Master Drillers - "&amp;HLOOKUP('Saisie de données'!E60,'Infos Techniques'!$AC$70:$AH$80,10,0))</f>
        <v>Master Drillers - 7"</v>
      </c>
      <c r="J92" s="1298"/>
      <c r="K92" s="1298"/>
      <c r="L92" s="1299"/>
      <c r="M92" s="1297" t="str">
        <f>IF('Saisie de données'!$D$61='Menu déroulant'!$AB$31,"Master Drillers - "&amp;HLOOKUP('Saisie de données'!E61,'Infos Techniques'!$AC$50:$AE$60,10,0),"Master Drillers - "&amp;HLOOKUP('Saisie de données'!E61,'Infos Techniques'!$AC$70:$AH$80,10,0))</f>
        <v>Master Drillers - 5"</v>
      </c>
      <c r="N92" s="1298"/>
      <c r="O92" s="1298"/>
      <c r="P92" s="1298"/>
      <c r="Q92" s="1299"/>
      <c r="R92" s="1297" t="str">
        <f>IF('Saisie de données'!$D$62='Menu déroulant'!$AB$31,"Master Drillers - "&amp;HLOOKUP('Saisie de données'!E62,'Infos Techniques'!$AC$50:$AE$60,10,0),"Master Drillers - "&amp;HLOOKUP('Saisie de données'!E62,'Infos Techniques'!$AC$70:$AH$80,10,0))</f>
        <v>Master Drillers - N/D</v>
      </c>
      <c r="S92" s="1298"/>
      <c r="T92" s="1298"/>
      <c r="U92" s="1299"/>
      <c r="BQ92" s="1397"/>
      <c r="CR92" s="1404"/>
    </row>
    <row r="93" spans="1:96" ht="16.149999999999999" customHeight="1" thickBot="1">
      <c r="A93" s="137"/>
      <c r="B93" s="137"/>
      <c r="C93" s="1493"/>
      <c r="D93" s="1494"/>
      <c r="E93" s="1516" t="s">
        <v>140</v>
      </c>
      <c r="F93" s="1516"/>
      <c r="G93" s="873" t="s">
        <v>141</v>
      </c>
      <c r="H93" s="864" t="s">
        <v>127</v>
      </c>
      <c r="I93" s="1517" t="str">
        <f>IF('Saisie de données'!$D$60='Menu déroulant'!$AB$31,"JT2 D6H - "&amp;HLOOKUP('Saisie de données'!E60,'Infos Techniques'!$AC$50:$AE$60,11,0),"JT2 D6H - "&amp;HLOOKUP('Saisie de données'!E60,'Infos Techniques'!$AC$70:$AH$80,11,0))</f>
        <v>JT2 D6H - 7-1/2"</v>
      </c>
      <c r="J93" s="1518"/>
      <c r="K93" s="1518"/>
      <c r="L93" s="1519"/>
      <c r="M93" s="1517" t="str">
        <f>IF('Saisie de données'!$D$61='Menu déroulant'!$AB$31,"JT2 D6H - "&amp;HLOOKUP('Saisie de données'!E61,'Infos Techniques'!$AC$50:$AE$60,11,0),"JT2 D6H - "&amp;HLOOKUP('Saisie de données'!E61,'Infos Techniques'!$AC$70:$AH$80,11,0))</f>
        <v>JT2 D6H - 5"</v>
      </c>
      <c r="N93" s="1518"/>
      <c r="O93" s="1518"/>
      <c r="P93" s="1518"/>
      <c r="Q93" s="1519"/>
      <c r="R93" s="1517" t="str">
        <f>IF('Saisie de données'!$D$62='Menu déroulant'!$AB$31,"JT2 D6H - "&amp;HLOOKUP('Saisie de données'!E62,'Infos Techniques'!$AC$50:$AE$60,11,0),"JT2 D6H - "&amp;HLOOKUP('Saisie de données'!E62,'Infos Techniques'!$AC$70:$AH$80,11,0))</f>
        <v>JT2 D6H - 8-1/3"</v>
      </c>
      <c r="S93" s="1518"/>
      <c r="T93" s="1518"/>
      <c r="U93" s="1519"/>
      <c r="BQ93" s="1397"/>
      <c r="CR93" s="1404"/>
    </row>
    <row r="94" spans="1:96" ht="16.899999999999999" customHeight="1" thickTop="1">
      <c r="A94" s="137"/>
      <c r="B94" s="137"/>
      <c r="C94" s="137"/>
      <c r="D94" s="137"/>
      <c r="E94" s="137"/>
      <c r="F94" s="137"/>
      <c r="G94" s="137"/>
      <c r="H94" s="137"/>
      <c r="I94" s="706"/>
      <c r="J94" s="706"/>
      <c r="K94" s="706"/>
      <c r="L94" s="706"/>
      <c r="M94" s="706"/>
      <c r="N94" s="706"/>
      <c r="O94" s="706"/>
      <c r="P94" s="706"/>
      <c r="Q94" s="706"/>
      <c r="R94" s="706"/>
      <c r="S94" s="706"/>
      <c r="T94" s="706"/>
      <c r="U94" s="706"/>
      <c r="BQ94" s="1397"/>
      <c r="CR94" s="1404"/>
    </row>
    <row r="95" spans="1:96" ht="24.4" customHeight="1" thickBot="1">
      <c r="A95" s="137"/>
      <c r="B95" s="137"/>
      <c r="C95" s="137"/>
      <c r="D95" s="137"/>
      <c r="E95" s="137"/>
      <c r="F95" s="137"/>
      <c r="G95" s="137"/>
      <c r="H95" s="137"/>
      <c r="I95" s="1317" t="s">
        <v>142</v>
      </c>
      <c r="J95" s="1317"/>
      <c r="K95" s="1317"/>
      <c r="L95" s="1317"/>
      <c r="M95" s="1317"/>
      <c r="N95" s="1317"/>
      <c r="O95" s="1317"/>
      <c r="P95" s="1317"/>
      <c r="Q95" s="1317"/>
      <c r="R95" s="1317"/>
      <c r="S95" s="1317"/>
      <c r="T95" s="1317"/>
      <c r="U95" s="1317"/>
      <c r="BQ95" s="1397"/>
      <c r="CR95" s="1404"/>
    </row>
    <row r="96" spans="1:96" ht="24" customHeight="1" thickTop="1" thickBot="1">
      <c r="A96" s="137"/>
      <c r="B96" s="137"/>
      <c r="C96" s="137"/>
      <c r="D96" s="137"/>
      <c r="E96" s="137"/>
      <c r="F96" s="137"/>
      <c r="G96" s="137"/>
      <c r="H96" s="137"/>
      <c r="I96" s="1415" t="s">
        <v>85</v>
      </c>
      <c r="J96" s="1416"/>
      <c r="K96" s="1416"/>
      <c r="L96" s="1416"/>
      <c r="M96" s="1416"/>
      <c r="N96" s="1416"/>
      <c r="O96" s="1416"/>
      <c r="P96" s="1416"/>
      <c r="Q96" s="1416"/>
      <c r="R96" s="1416"/>
      <c r="S96" s="1416"/>
      <c r="T96" s="1416"/>
      <c r="U96" s="1417"/>
      <c r="BQ96" s="1397"/>
      <c r="CR96" s="1404"/>
    </row>
    <row r="97" spans="1:97" ht="24" customHeight="1" thickTop="1" thickBot="1">
      <c r="A97" s="137"/>
      <c r="B97" s="137"/>
      <c r="C97" s="1512" t="s">
        <v>121</v>
      </c>
      <c r="D97" s="1513"/>
      <c r="E97" s="1513"/>
      <c r="F97" s="1514"/>
      <c r="G97" s="1355" t="s">
        <v>143</v>
      </c>
      <c r="H97" s="1356"/>
      <c r="I97" s="1360" t="str">
        <f>$I$53</f>
        <v>Norex-L 6" (36")</v>
      </c>
      <c r="J97" s="1361"/>
      <c r="K97" s="1361"/>
      <c r="L97" s="1362"/>
      <c r="M97" s="1360" t="str">
        <f>$M$53</f>
        <v>Norex-L 4" (36")</v>
      </c>
      <c r="N97" s="1361"/>
      <c r="O97" s="1361"/>
      <c r="P97" s="1361"/>
      <c r="Q97" s="1362"/>
      <c r="R97" s="1360" t="str">
        <f>$R$53</f>
        <v>Noroc- 8" (42,5")</v>
      </c>
      <c r="S97" s="1361"/>
      <c r="T97" s="1361"/>
      <c r="U97" s="1362"/>
      <c r="BQ97" s="1397"/>
      <c r="CR97" s="1404"/>
    </row>
    <row r="98" spans="1:97" ht="16.899999999999999" customHeight="1" thickTop="1" thickBot="1">
      <c r="A98" s="137"/>
      <c r="B98" s="137"/>
      <c r="C98" s="1504" t="s">
        <v>144</v>
      </c>
      <c r="D98" s="1505"/>
      <c r="E98" s="1508" t="s">
        <v>145</v>
      </c>
      <c r="F98" s="1509"/>
      <c r="G98" s="1520" t="s">
        <v>146</v>
      </c>
      <c r="H98" s="1521"/>
      <c r="I98" s="1451" t="str">
        <f>IFERROR("2 x Stardrive GPR Flat head - "&amp;HLOOKUP('Saisie de données'!$E$60,'Infos Techniques'!$AB$89:$AF$92,3,0),"N/D")</f>
        <v>2 x Stardrive GPR Flat head - N/D</v>
      </c>
      <c r="J98" s="1452"/>
      <c r="K98" s="1452"/>
      <c r="L98" s="1453"/>
      <c r="M98" s="1451" t="str">
        <f>IFERROR("2 x Stardrive GPR Flat head - "&amp;HLOOKUP('Saisie de données'!$E$61,'Infos Techniques'!$AB$89:$AF$92,3,0),"N/D")</f>
        <v>2 x Stardrive GPR Flat head - 7 1/6"</v>
      </c>
      <c r="N98" s="1452"/>
      <c r="O98" s="1452"/>
      <c r="P98" s="1452"/>
      <c r="Q98" s="1453"/>
      <c r="R98" s="1451" t="str">
        <f>IFERROR("2 x Stardrive GPR Flat head - "&amp;HLOOKUP('Saisie de données'!$E$62,'Infos Techniques'!$AB$89:$AF$92,3,0),"N/D")</f>
        <v>N/D</v>
      </c>
      <c r="S98" s="1452"/>
      <c r="T98" s="1452"/>
      <c r="U98" s="1453"/>
      <c r="V98" s="451"/>
      <c r="W98" s="451"/>
      <c r="X98" s="451"/>
      <c r="Y98" s="451"/>
      <c r="Z98" s="517"/>
      <c r="AA98" s="517"/>
      <c r="AB98" s="517"/>
      <c r="AC98" s="517"/>
      <c r="AD98" s="517"/>
      <c r="AE98" s="517"/>
      <c r="AF98" s="517"/>
      <c r="AG98" s="517"/>
      <c r="AH98" s="518"/>
      <c r="AI98" s="451"/>
      <c r="AJ98" s="451"/>
      <c r="AK98" s="451"/>
      <c r="AL98" s="519"/>
      <c r="AM98" s="519"/>
      <c r="AN98" s="519"/>
      <c r="AO98" s="519"/>
      <c r="AP98" s="519"/>
      <c r="BQ98" s="1397"/>
      <c r="CR98" s="1404"/>
    </row>
    <row r="99" spans="1:97" ht="16.899999999999999" customHeight="1" thickBot="1">
      <c r="A99" s="137"/>
      <c r="B99" s="137"/>
      <c r="C99" s="1506"/>
      <c r="D99" s="1507"/>
      <c r="E99" s="1510"/>
      <c r="F99" s="1511"/>
      <c r="G99" s="1398" t="s">
        <v>147</v>
      </c>
      <c r="H99" s="1399"/>
      <c r="I99" s="1448" t="str">
        <f>IFERROR("2 x Stardrive GPR Flat head - "&amp;HLOOKUP('Saisie de données'!$E$60,'Infos Techniques'!$AB$89:$AF$92,4,0),"N/D")</f>
        <v>2 x Stardrive GPR Flat head - 10 1/4"</v>
      </c>
      <c r="J99" s="1449"/>
      <c r="K99" s="1449"/>
      <c r="L99" s="1450"/>
      <c r="M99" s="1448" t="str">
        <f>IFERROR("2 x Stardrive GPR Flat head - "&amp;HLOOKUP('Saisie de données'!$E$61,'Infos Techniques'!$AB$89:$AF$92,4,0),"N/D")</f>
        <v>2 x Stardrive GPR Flat head - 7 7/8"</v>
      </c>
      <c r="N99" s="1449"/>
      <c r="O99" s="1449"/>
      <c r="P99" s="1449"/>
      <c r="Q99" s="1450"/>
      <c r="R99" s="1448" t="str">
        <f>IFERROR("2 x Stardrive GPR Flat head - "&amp;HLOOKUP('Saisie de données'!$E$62,'Infos Techniques'!$AB$89:$AF$92,4,0),"N/D")</f>
        <v>N/D</v>
      </c>
      <c r="S99" s="1449"/>
      <c r="T99" s="1449"/>
      <c r="U99" s="1450"/>
      <c r="W99" s="451"/>
      <c r="X99" s="451"/>
      <c r="Y99" s="451"/>
      <c r="Z99" s="517"/>
      <c r="AA99" s="517"/>
      <c r="AB99" s="517"/>
      <c r="AC99" s="517"/>
      <c r="AD99" s="517"/>
      <c r="AE99" s="517"/>
      <c r="AF99" s="517"/>
      <c r="AG99" s="517"/>
      <c r="AH99" s="518"/>
      <c r="AI99" s="451"/>
      <c r="AJ99" s="451"/>
      <c r="AK99" s="451"/>
      <c r="AL99" s="519"/>
      <c r="AM99" s="519"/>
      <c r="AN99" s="519"/>
      <c r="AO99" s="519"/>
      <c r="AP99" s="519"/>
      <c r="BQ99" s="1397"/>
      <c r="CR99" s="1404"/>
    </row>
    <row r="100" spans="1:97" ht="34.15" customHeight="1" thickTop="1">
      <c r="A100" s="1340" t="s">
        <v>148</v>
      </c>
      <c r="B100" s="1340"/>
      <c r="C100" s="1340"/>
      <c r="D100" s="1340"/>
      <c r="E100" s="1340"/>
      <c r="F100" s="1340"/>
      <c r="G100" s="1340"/>
      <c r="H100" s="1340"/>
      <c r="I100" s="1340"/>
      <c r="J100" s="1340"/>
      <c r="K100" s="1340"/>
      <c r="L100" s="1340"/>
      <c r="M100" s="1340"/>
      <c r="N100" s="1340"/>
      <c r="O100" s="137"/>
      <c r="P100" s="137"/>
      <c r="Q100" s="137"/>
      <c r="R100" s="137"/>
      <c r="S100" s="137"/>
      <c r="T100" s="137"/>
      <c r="U100" s="137"/>
      <c r="BQ100" s="1397"/>
      <c r="CR100" s="1404"/>
    </row>
    <row r="101" spans="1:97" ht="24" customHeight="1">
      <c r="A101" s="137"/>
      <c r="B101" s="137"/>
      <c r="C101" s="137"/>
      <c r="D101" s="137"/>
      <c r="E101" s="137"/>
      <c r="F101" s="137"/>
      <c r="G101" s="137"/>
      <c r="H101" s="137"/>
      <c r="I101" s="137"/>
      <c r="J101" s="137"/>
      <c r="K101" s="137"/>
      <c r="L101" s="137"/>
      <c r="M101" s="137"/>
      <c r="N101" s="137"/>
      <c r="O101" s="137"/>
      <c r="P101" s="137"/>
      <c r="Q101" s="137"/>
      <c r="R101" s="137"/>
      <c r="S101" s="137"/>
      <c r="T101" s="137"/>
      <c r="U101" s="137"/>
      <c r="BQ101" s="1397"/>
      <c r="CR101" s="1404"/>
    </row>
    <row r="102" spans="1:97" ht="24" customHeight="1">
      <c r="A102" s="137"/>
      <c r="B102" s="137"/>
      <c r="C102" s="137"/>
      <c r="D102" s="137"/>
      <c r="E102" s="137"/>
      <c r="F102" s="137"/>
      <c r="G102" s="137"/>
      <c r="H102" s="137"/>
      <c r="I102" s="137"/>
      <c r="J102" s="137"/>
      <c r="K102" s="137"/>
      <c r="L102" s="137"/>
      <c r="M102" s="137"/>
      <c r="N102" s="137"/>
      <c r="O102" s="137"/>
      <c r="P102" s="137"/>
      <c r="Q102" s="137"/>
      <c r="R102" s="137"/>
      <c r="S102" s="137"/>
      <c r="T102" s="137"/>
      <c r="U102" s="137"/>
      <c r="BQ102" s="1397"/>
      <c r="CR102" s="1404"/>
    </row>
    <row r="103" spans="1:97" ht="24" customHeight="1">
      <c r="A103" s="137"/>
      <c r="B103" s="137"/>
      <c r="C103" s="137"/>
      <c r="D103" s="137"/>
      <c r="E103" s="137"/>
      <c r="F103" s="137"/>
      <c r="G103" s="137"/>
      <c r="H103" s="137"/>
      <c r="I103" s="137"/>
      <c r="J103" s="137"/>
      <c r="K103" s="137"/>
      <c r="L103" s="137"/>
      <c r="M103" s="137"/>
      <c r="N103" s="137"/>
      <c r="O103" s="137"/>
      <c r="P103" s="137"/>
      <c r="Q103" s="137"/>
      <c r="R103" s="137"/>
      <c r="S103" s="137"/>
      <c r="T103" s="137"/>
      <c r="U103" s="137"/>
      <c r="BQ103" s="1397"/>
      <c r="CR103" s="1404"/>
    </row>
    <row r="104" spans="1:97" ht="24" customHeight="1">
      <c r="A104" s="137"/>
      <c r="B104" s="137"/>
      <c r="C104" s="137"/>
      <c r="D104" s="137"/>
      <c r="E104" s="137"/>
      <c r="F104" s="137"/>
      <c r="G104" s="137"/>
      <c r="H104" s="137"/>
      <c r="I104" s="137"/>
      <c r="J104" s="137"/>
      <c r="K104" s="137"/>
      <c r="L104" s="137"/>
      <c r="M104" s="137"/>
      <c r="N104" s="137"/>
      <c r="O104" s="137"/>
      <c r="P104" s="137"/>
      <c r="Q104" s="137"/>
      <c r="R104" s="137"/>
      <c r="S104" s="137"/>
      <c r="T104" s="137"/>
      <c r="U104" s="137"/>
      <c r="BQ104" s="1397"/>
      <c r="BX104" s="1430"/>
      <c r="BY104" s="1430"/>
      <c r="BZ104" s="1430"/>
      <c r="CA104" s="1430"/>
      <c r="CR104" s="1404"/>
      <c r="CS104" s="1397"/>
    </row>
    <row r="105" spans="1:97" ht="24" customHeight="1">
      <c r="A105" s="137"/>
      <c r="B105" s="137"/>
      <c r="C105" s="137"/>
      <c r="D105" s="137"/>
      <c r="E105" s="137"/>
      <c r="F105" s="137"/>
      <c r="G105" s="137"/>
      <c r="H105" s="137"/>
      <c r="I105" s="137"/>
      <c r="J105" s="137"/>
      <c r="K105" s="137"/>
      <c r="L105" s="137"/>
      <c r="M105" s="137"/>
      <c r="N105" s="137"/>
      <c r="O105" s="137"/>
      <c r="P105" s="137"/>
      <c r="Q105" s="137"/>
      <c r="R105" s="137"/>
      <c r="S105" s="137"/>
      <c r="T105" s="137"/>
      <c r="U105" s="137"/>
      <c r="AW105" s="530"/>
      <c r="AX105" s="531"/>
      <c r="AY105" s="532"/>
      <c r="AZ105" s="451"/>
      <c r="BA105" s="451"/>
      <c r="BB105" s="451"/>
      <c r="BC105" s="451"/>
      <c r="BD105" s="451"/>
      <c r="BE105" s="451"/>
      <c r="BF105" s="451"/>
      <c r="BG105" s="451"/>
      <c r="BH105" s="451"/>
      <c r="BI105" s="451"/>
      <c r="BJ105" s="451"/>
      <c r="BK105" s="451"/>
      <c r="BL105" s="451"/>
      <c r="BM105" s="451"/>
      <c r="BN105" s="451"/>
      <c r="BO105" s="451"/>
      <c r="BQ105" s="1397"/>
      <c r="CR105" s="1404"/>
      <c r="CS105" s="1397"/>
    </row>
    <row r="106" spans="1:97" ht="24" customHeight="1">
      <c r="A106" s="137"/>
      <c r="B106" s="137"/>
      <c r="C106" s="137"/>
      <c r="D106" s="137"/>
      <c r="E106" s="137"/>
      <c r="F106" s="137"/>
      <c r="G106" s="137"/>
      <c r="H106" s="137"/>
      <c r="I106" s="137"/>
      <c r="J106" s="137"/>
      <c r="K106" s="137"/>
      <c r="L106" s="137"/>
      <c r="M106" s="137"/>
      <c r="N106" s="137"/>
      <c r="O106" s="137"/>
      <c r="P106" s="137"/>
      <c r="Q106" s="137"/>
      <c r="R106" s="137"/>
      <c r="S106" s="137"/>
      <c r="T106" s="137"/>
      <c r="U106" s="137"/>
      <c r="AX106" s="531"/>
      <c r="AY106" s="532"/>
      <c r="AZ106" s="451"/>
      <c r="BA106" s="451"/>
      <c r="BB106" s="451"/>
      <c r="BC106" s="451"/>
      <c r="BD106" s="451"/>
      <c r="BE106" s="451"/>
      <c r="BF106" s="451"/>
      <c r="BG106" s="451"/>
      <c r="BH106" s="451"/>
      <c r="BI106" s="451"/>
      <c r="BJ106" s="451"/>
      <c r="BK106" s="451"/>
      <c r="BL106" s="451"/>
      <c r="BM106" s="451"/>
      <c r="BN106" s="451"/>
      <c r="BO106" s="451"/>
      <c r="BQ106" s="1397"/>
      <c r="BX106" s="11"/>
      <c r="CR106" s="1404"/>
      <c r="CS106" s="1397"/>
    </row>
    <row r="107" spans="1:97" ht="24" customHeight="1">
      <c r="A107" s="137"/>
      <c r="B107" s="137"/>
      <c r="C107" s="137"/>
      <c r="D107" s="137"/>
      <c r="E107" s="137"/>
      <c r="F107" s="137"/>
      <c r="G107" s="137"/>
      <c r="H107" s="137"/>
      <c r="I107" s="137"/>
      <c r="J107" s="137"/>
      <c r="K107" s="137"/>
      <c r="L107" s="137"/>
      <c r="M107" s="137"/>
      <c r="N107" s="137"/>
      <c r="O107" s="137"/>
      <c r="P107" s="137"/>
      <c r="Q107" s="137"/>
      <c r="R107" s="137"/>
      <c r="S107" s="137"/>
      <c r="T107" s="137"/>
      <c r="U107" s="137"/>
      <c r="AX107" s="531"/>
      <c r="AY107" s="532"/>
      <c r="AZ107" s="451"/>
      <c r="BA107" s="451"/>
      <c r="BB107" s="451"/>
      <c r="BC107" s="451"/>
      <c r="BD107" s="451"/>
      <c r="BE107" s="451"/>
      <c r="BF107" s="451"/>
      <c r="BG107" s="451"/>
      <c r="BH107" s="451"/>
      <c r="BI107" s="451"/>
      <c r="BJ107" s="451"/>
      <c r="BK107" s="451"/>
      <c r="BL107" s="451"/>
      <c r="BM107" s="451"/>
      <c r="BN107" s="451"/>
      <c r="BO107" s="451"/>
      <c r="BQ107" s="1397"/>
      <c r="CR107" s="1404"/>
      <c r="CS107" s="1397"/>
    </row>
    <row r="108" spans="1:97" ht="24" customHeight="1">
      <c r="A108" s="137"/>
      <c r="B108" s="137"/>
      <c r="C108" s="137"/>
      <c r="D108" s="137"/>
      <c r="E108" s="137"/>
      <c r="F108" s="137"/>
      <c r="G108" s="137"/>
      <c r="H108" s="137"/>
      <c r="I108" s="137"/>
      <c r="J108" s="137"/>
      <c r="K108" s="137"/>
      <c r="L108" s="137"/>
      <c r="M108" s="137"/>
      <c r="N108" s="137"/>
      <c r="O108" s="137"/>
      <c r="P108" s="137"/>
      <c r="Q108" s="137"/>
      <c r="R108" s="137"/>
      <c r="S108" s="137"/>
      <c r="T108" s="137"/>
      <c r="U108" s="137"/>
      <c r="AX108" s="451"/>
      <c r="AY108" s="532"/>
      <c r="AZ108" s="451"/>
      <c r="BA108" s="451"/>
      <c r="BB108" s="451"/>
      <c r="BC108" s="451"/>
      <c r="BD108" s="451"/>
      <c r="BE108" s="451"/>
      <c r="BF108" s="451"/>
      <c r="BG108" s="451"/>
      <c r="BH108" s="451"/>
      <c r="BI108" s="451"/>
      <c r="BJ108" s="451"/>
      <c r="BK108" s="451"/>
      <c r="BL108" s="451"/>
      <c r="BM108" s="451"/>
      <c r="BN108" s="451"/>
      <c r="BO108" s="451"/>
      <c r="BQ108" s="1397"/>
      <c r="BW108" s="1431"/>
      <c r="BX108" s="1431"/>
      <c r="BY108" s="1431"/>
      <c r="BZ108" s="1431"/>
      <c r="CA108" s="1431"/>
      <c r="CM108" s="13"/>
      <c r="CN108" s="13"/>
      <c r="CO108" s="13"/>
      <c r="CP108" s="13"/>
      <c r="CQ108" s="13"/>
      <c r="CR108" s="1404"/>
      <c r="CS108" s="1397"/>
    </row>
    <row r="109" spans="1:97" ht="24" customHeight="1">
      <c r="A109" s="137"/>
      <c r="B109" s="137"/>
      <c r="C109" s="137"/>
      <c r="D109" s="137"/>
      <c r="E109" s="137"/>
      <c r="F109" s="137"/>
      <c r="G109" s="137"/>
      <c r="H109" s="137"/>
      <c r="I109" s="137"/>
      <c r="J109" s="137"/>
      <c r="K109" s="137"/>
      <c r="L109" s="137"/>
      <c r="M109" s="137"/>
      <c r="N109" s="137"/>
      <c r="O109" s="137"/>
      <c r="P109" s="137"/>
      <c r="Q109" s="137"/>
      <c r="R109" s="137"/>
      <c r="S109" s="137"/>
      <c r="T109" s="137"/>
      <c r="U109" s="137"/>
      <c r="AX109" s="451"/>
      <c r="AY109" s="451"/>
      <c r="AZ109" s="451"/>
      <c r="BA109" s="451"/>
      <c r="BB109" s="451"/>
      <c r="BC109" s="451"/>
      <c r="BD109" s="451"/>
      <c r="BE109" s="451"/>
      <c r="BF109" s="451"/>
      <c r="BG109" s="451"/>
      <c r="BH109" s="451"/>
      <c r="BI109" s="451"/>
      <c r="BJ109" s="451"/>
      <c r="BK109" s="451"/>
      <c r="BL109" s="451"/>
      <c r="BM109" s="451"/>
      <c r="BN109" s="451"/>
      <c r="BO109" s="451"/>
      <c r="BQ109" s="1397"/>
      <c r="BW109" s="1397"/>
      <c r="BX109" s="1397"/>
      <c r="BY109" s="10"/>
      <c r="CF109" s="383"/>
      <c r="CM109" s="13"/>
      <c r="CN109" s="13"/>
      <c r="CO109" s="13"/>
      <c r="CP109" s="13"/>
      <c r="CQ109" s="13"/>
      <c r="CR109" s="1404"/>
      <c r="CS109" s="1397"/>
    </row>
    <row r="110" spans="1:97" ht="24" customHeight="1">
      <c r="A110" s="137"/>
      <c r="B110" s="137"/>
      <c r="C110" s="137"/>
      <c r="D110" s="137"/>
      <c r="E110" s="137"/>
      <c r="F110" s="137"/>
      <c r="G110" s="137"/>
      <c r="H110" s="137"/>
      <c r="I110" s="137"/>
      <c r="J110" s="137"/>
      <c r="K110" s="137"/>
      <c r="L110" s="137"/>
      <c r="M110" s="137"/>
      <c r="N110" s="137"/>
      <c r="O110" s="137"/>
      <c r="P110" s="137"/>
      <c r="Q110" s="137"/>
      <c r="R110" s="137"/>
      <c r="S110" s="137"/>
      <c r="T110" s="137"/>
      <c r="U110" s="137"/>
      <c r="AX110" s="451"/>
      <c r="AY110" s="451"/>
      <c r="AZ110" s="451"/>
      <c r="BA110" s="451"/>
      <c r="BB110" s="451"/>
      <c r="BC110" s="451"/>
      <c r="BD110" s="451"/>
      <c r="BE110" s="451"/>
      <c r="BF110" s="451"/>
      <c r="BG110" s="451"/>
      <c r="BH110" s="451"/>
      <c r="BI110" s="451"/>
      <c r="BJ110" s="451"/>
      <c r="BK110" s="451"/>
      <c r="BL110" s="451"/>
      <c r="BM110" s="451"/>
      <c r="BN110" s="451"/>
      <c r="BO110" s="451"/>
      <c r="BQ110" s="1397"/>
      <c r="BW110" s="1397"/>
      <c r="BX110" s="1397"/>
      <c r="BY110" s="10"/>
      <c r="CM110" s="13"/>
      <c r="CN110" s="13"/>
      <c r="CO110" s="13"/>
      <c r="CP110" s="13"/>
      <c r="CQ110" s="13"/>
      <c r="CR110" s="1404"/>
      <c r="CS110" s="1397"/>
    </row>
    <row r="111" spans="1:97" ht="24" customHeight="1">
      <c r="A111" s="137"/>
      <c r="B111" s="137"/>
      <c r="C111" s="137"/>
      <c r="D111" s="137"/>
      <c r="E111" s="137"/>
      <c r="F111" s="137"/>
      <c r="G111" s="137"/>
      <c r="H111" s="137"/>
      <c r="I111" s="137"/>
      <c r="J111" s="137"/>
      <c r="K111" s="137"/>
      <c r="L111" s="137"/>
      <c r="M111" s="137"/>
      <c r="N111" s="137"/>
      <c r="O111" s="137"/>
      <c r="P111" s="137"/>
      <c r="Q111" s="137"/>
      <c r="R111" s="137"/>
      <c r="S111" s="137"/>
      <c r="T111" s="137"/>
      <c r="U111" s="137"/>
      <c r="AX111" s="451"/>
      <c r="AY111" s="451"/>
      <c r="AZ111" s="451"/>
      <c r="BA111" s="451"/>
      <c r="BB111" s="451"/>
      <c r="BC111" s="451"/>
      <c r="BD111" s="451"/>
      <c r="BE111" s="451"/>
      <c r="BF111" s="451"/>
      <c r="BG111" s="451"/>
      <c r="BH111" s="451"/>
      <c r="BI111" s="451"/>
      <c r="BJ111" s="451"/>
      <c r="BK111" s="451"/>
      <c r="BL111" s="451"/>
      <c r="BM111" s="451"/>
      <c r="BN111" s="451"/>
      <c r="BO111" s="451"/>
      <c r="BQ111" s="1397"/>
      <c r="BW111" s="1432"/>
      <c r="BX111" s="1432"/>
      <c r="BY111" s="1432"/>
      <c r="BZ111" s="1432"/>
      <c r="CA111" s="99"/>
      <c r="CM111" s="13"/>
      <c r="CN111" s="13"/>
      <c r="CO111" s="13"/>
      <c r="CP111" s="13"/>
      <c r="CQ111" s="13"/>
      <c r="CR111" s="1404"/>
      <c r="CS111" s="1397"/>
    </row>
    <row r="112" spans="1:97" ht="24" customHeight="1">
      <c r="A112" s="137"/>
      <c r="B112" s="137"/>
      <c r="C112" s="137"/>
      <c r="D112" s="137"/>
      <c r="E112" s="137"/>
      <c r="F112" s="137"/>
      <c r="G112" s="137"/>
      <c r="H112" s="137"/>
      <c r="I112" s="137"/>
      <c r="J112" s="137"/>
      <c r="K112" s="137"/>
      <c r="L112" s="137"/>
      <c r="M112" s="137"/>
      <c r="N112" s="137"/>
      <c r="O112" s="137"/>
      <c r="P112" s="137"/>
      <c r="Q112" s="137"/>
      <c r="R112" s="137"/>
      <c r="S112" s="137"/>
      <c r="T112" s="137"/>
      <c r="U112" s="137"/>
      <c r="AX112" s="451"/>
      <c r="AY112" s="451"/>
      <c r="AZ112" s="451"/>
      <c r="BA112" s="451"/>
      <c r="BB112" s="451"/>
      <c r="BC112" s="451"/>
      <c r="BD112" s="451"/>
      <c r="BE112" s="451"/>
      <c r="BF112" s="451"/>
      <c r="BG112" s="451"/>
      <c r="BH112" s="451"/>
      <c r="BI112" s="451"/>
      <c r="BJ112" s="451"/>
      <c r="BK112" s="451"/>
      <c r="BL112" s="451"/>
      <c r="BM112" s="451"/>
      <c r="BN112" s="451"/>
      <c r="BO112" s="451"/>
      <c r="BQ112" s="1397"/>
      <c r="CA112" s="15"/>
      <c r="CL112" s="13"/>
      <c r="CM112" s="13"/>
      <c r="CN112" s="13"/>
      <c r="CO112" s="13"/>
      <c r="CP112" s="13"/>
      <c r="CQ112" s="13"/>
      <c r="CR112" s="1404"/>
      <c r="CS112" s="1397"/>
    </row>
    <row r="113" spans="1:97" ht="24" customHeight="1">
      <c r="A113" s="137"/>
      <c r="B113" s="137"/>
      <c r="C113" s="137"/>
      <c r="D113" s="137"/>
      <c r="E113" s="137"/>
      <c r="F113" s="137"/>
      <c r="G113" s="137"/>
      <c r="H113" s="137"/>
      <c r="I113" s="137"/>
      <c r="J113" s="137"/>
      <c r="K113" s="137"/>
      <c r="L113" s="137"/>
      <c r="M113" s="137"/>
      <c r="N113" s="137"/>
      <c r="O113" s="137"/>
      <c r="P113" s="137"/>
      <c r="Q113" s="137"/>
      <c r="R113" s="137"/>
      <c r="S113" s="137"/>
      <c r="T113" s="137"/>
      <c r="U113" s="137"/>
      <c r="X113"/>
      <c r="Y113"/>
      <c r="Z113"/>
      <c r="AX113" s="451"/>
      <c r="AY113" s="451"/>
      <c r="AZ113" s="451"/>
      <c r="BA113" s="451"/>
      <c r="BB113" s="451"/>
      <c r="BC113" s="451"/>
      <c r="BD113" s="451"/>
      <c r="BE113" s="451"/>
      <c r="BF113" s="451"/>
      <c r="BG113" s="451"/>
      <c r="BH113" s="451"/>
      <c r="BI113" s="451"/>
      <c r="BJ113" s="451"/>
      <c r="BK113" s="451"/>
      <c r="BL113" s="451"/>
      <c r="BM113" s="451"/>
      <c r="BN113" s="451"/>
      <c r="BO113" s="451"/>
      <c r="BQ113" s="1397"/>
      <c r="BW113" s="1431"/>
      <c r="BX113" s="1431"/>
      <c r="BY113" s="1431"/>
      <c r="BZ113" s="1431"/>
      <c r="CA113" s="1431"/>
      <c r="CE113" s="14"/>
      <c r="CF113" s="13"/>
      <c r="CL113" s="13"/>
      <c r="CM113" s="13"/>
      <c r="CN113" s="13"/>
      <c r="CO113" s="13"/>
      <c r="CP113" s="13"/>
      <c r="CQ113" s="13"/>
      <c r="CR113" s="1404"/>
      <c r="CS113" s="1397"/>
    </row>
    <row r="114" spans="1:97" ht="24" customHeight="1">
      <c r="A114" s="137"/>
      <c r="B114" s="137"/>
      <c r="C114" s="137"/>
      <c r="D114" s="137"/>
      <c r="E114" s="137"/>
      <c r="F114" s="137"/>
      <c r="G114" s="137"/>
      <c r="H114" s="137"/>
      <c r="I114" s="137"/>
      <c r="J114" s="137"/>
      <c r="K114" s="137"/>
      <c r="L114" s="137"/>
      <c r="M114" s="137"/>
      <c r="N114" s="137"/>
      <c r="O114" s="137"/>
      <c r="P114" s="137"/>
      <c r="Q114" s="137"/>
      <c r="R114" s="137"/>
      <c r="S114" s="137"/>
      <c r="T114" s="137"/>
      <c r="U114" s="137"/>
      <c r="AX114" s="451"/>
      <c r="AY114" s="451"/>
      <c r="AZ114" s="451"/>
      <c r="BA114" s="451"/>
      <c r="BB114" s="451"/>
      <c r="BC114" s="451"/>
      <c r="BD114" s="451"/>
      <c r="BE114" s="451"/>
      <c r="BF114" s="451"/>
      <c r="BG114" s="451"/>
      <c r="BH114" s="451"/>
      <c r="BI114" s="451"/>
      <c r="BJ114" s="451"/>
      <c r="BK114" s="451"/>
      <c r="BL114" s="451"/>
      <c r="BM114" s="451"/>
      <c r="BN114" s="451"/>
      <c r="BO114" s="451"/>
      <c r="BQ114" s="1397"/>
      <c r="BW114" s="1433"/>
      <c r="BX114" s="1433"/>
      <c r="BY114" s="1433"/>
      <c r="BZ114" s="1433"/>
      <c r="CA114" s="131"/>
      <c r="CE114" s="14"/>
      <c r="CF114" s="13"/>
      <c r="CL114" s="13"/>
      <c r="CM114" s="13"/>
      <c r="CN114" s="13"/>
      <c r="CO114" s="13"/>
      <c r="CP114" s="13"/>
      <c r="CQ114" s="13"/>
      <c r="CR114" s="1404"/>
      <c r="CS114" s="1397"/>
    </row>
    <row r="115" spans="1:97" ht="24" customHeight="1">
      <c r="A115" s="137"/>
      <c r="B115" s="137"/>
      <c r="C115" s="137"/>
      <c r="D115" s="137"/>
      <c r="E115" s="137"/>
      <c r="F115" s="137"/>
      <c r="G115" s="137"/>
      <c r="H115" s="137"/>
      <c r="I115" s="137"/>
      <c r="J115" s="137"/>
      <c r="K115" s="137"/>
      <c r="L115" s="137"/>
      <c r="M115" s="137"/>
      <c r="N115" s="137"/>
      <c r="O115" s="137"/>
      <c r="P115" s="137"/>
      <c r="Q115" s="137"/>
      <c r="R115" s="137"/>
      <c r="S115" s="137"/>
      <c r="T115" s="137"/>
      <c r="U115" s="137"/>
      <c r="AX115" s="451"/>
      <c r="AY115" s="451"/>
      <c r="AZ115" s="451"/>
      <c r="BA115" s="451"/>
      <c r="BB115" s="451"/>
      <c r="BC115" s="451"/>
      <c r="BD115" s="451"/>
      <c r="BE115" s="451"/>
      <c r="BF115" s="451"/>
      <c r="BG115" s="451"/>
      <c r="BH115" s="451"/>
      <c r="BI115" s="451"/>
      <c r="BJ115" s="451"/>
      <c r="BK115" s="451"/>
      <c r="BL115" s="451"/>
      <c r="BM115" s="451"/>
      <c r="BN115" s="451"/>
      <c r="BO115" s="451"/>
      <c r="BQ115" s="1397"/>
      <c r="BW115" s="1433"/>
      <c r="BX115" s="1433"/>
      <c r="BY115" s="1433"/>
      <c r="BZ115" s="1433"/>
      <c r="CA115" s="131"/>
      <c r="CE115" s="12"/>
      <c r="CL115" s="13"/>
      <c r="CM115" s="13"/>
      <c r="CN115" s="13"/>
      <c r="CO115" s="13"/>
      <c r="CP115" s="13"/>
      <c r="CQ115" s="13"/>
      <c r="CR115" s="1404"/>
      <c r="CS115" s="1397"/>
    </row>
    <row r="116" spans="1:97" ht="24" customHeight="1">
      <c r="A116" s="137"/>
      <c r="B116" s="137"/>
      <c r="C116" s="137"/>
      <c r="D116" s="137"/>
      <c r="E116" s="137"/>
      <c r="F116" s="137"/>
      <c r="G116" s="137"/>
      <c r="H116" s="137"/>
      <c r="I116" s="137"/>
      <c r="J116" s="137"/>
      <c r="K116" s="137"/>
      <c r="L116" s="137"/>
      <c r="M116" s="137"/>
      <c r="N116" s="137"/>
      <c r="O116" s="137"/>
      <c r="P116" s="137"/>
      <c r="Q116" s="137"/>
      <c r="R116" s="137"/>
      <c r="S116" s="137"/>
      <c r="T116" s="137"/>
      <c r="U116" s="137"/>
      <c r="AX116" s="451"/>
      <c r="AY116" s="451"/>
      <c r="AZ116" s="451"/>
      <c r="BA116" s="451"/>
      <c r="BB116" s="451"/>
      <c r="BC116" s="451"/>
      <c r="BD116" s="451"/>
      <c r="BE116" s="451"/>
      <c r="BF116" s="451"/>
      <c r="BG116" s="451"/>
      <c r="BH116" s="451"/>
      <c r="BI116" s="451"/>
      <c r="BJ116" s="451"/>
      <c r="BK116" s="451"/>
      <c r="BL116" s="451"/>
      <c r="BM116" s="451"/>
      <c r="BN116" s="451"/>
      <c r="BO116" s="451"/>
      <c r="BQ116" s="1397"/>
      <c r="BW116" s="1432"/>
      <c r="BX116" s="1432"/>
      <c r="BY116" s="1432"/>
      <c r="BZ116" s="1432"/>
      <c r="CA116" s="131"/>
      <c r="CC116" s="1434"/>
      <c r="CD116" s="1434"/>
      <c r="CE116" s="1434"/>
      <c r="CF116" s="1434"/>
      <c r="CG116" s="1434"/>
      <c r="CH116" s="1434"/>
      <c r="CI116" s="1434"/>
      <c r="CJ116" s="1434"/>
      <c r="CK116" s="1434"/>
      <c r="CL116" s="1434"/>
      <c r="CM116" s="1434"/>
      <c r="CN116" s="1434"/>
      <c r="CO116" s="1434"/>
      <c r="CP116" s="1434"/>
      <c r="CQ116" s="1434"/>
      <c r="CR116" s="1404"/>
      <c r="CS116" s="1397"/>
    </row>
    <row r="117" spans="1:97" ht="24" customHeight="1">
      <c r="A117" s="137"/>
      <c r="B117" s="137"/>
      <c r="C117" s="137"/>
      <c r="D117" s="137"/>
      <c r="E117" s="137"/>
      <c r="F117" s="137"/>
      <c r="G117" s="137"/>
      <c r="H117" s="137"/>
      <c r="I117" s="137"/>
      <c r="J117" s="137"/>
      <c r="K117" s="137"/>
      <c r="L117" s="137"/>
      <c r="M117" s="137"/>
      <c r="N117" s="137"/>
      <c r="O117" s="137"/>
      <c r="P117" s="137"/>
      <c r="Q117" s="137"/>
      <c r="R117" s="137"/>
      <c r="S117" s="137"/>
      <c r="T117" s="137"/>
      <c r="U117" s="137"/>
      <c r="AX117" s="451"/>
      <c r="AY117" s="451"/>
      <c r="AZ117" s="451"/>
      <c r="BA117" s="451"/>
      <c r="BB117" s="451"/>
      <c r="BC117" s="451"/>
      <c r="BD117" s="451"/>
      <c r="BE117" s="451"/>
      <c r="BF117" s="451"/>
      <c r="BG117" s="451"/>
      <c r="BH117" s="451"/>
      <c r="BI117" s="451"/>
      <c r="BJ117" s="451"/>
      <c r="BK117" s="451"/>
      <c r="BL117" s="451"/>
      <c r="BM117" s="451"/>
      <c r="BN117" s="451"/>
      <c r="BO117" s="451"/>
      <c r="BQ117" s="1397"/>
      <c r="BW117" s="1432"/>
      <c r="BX117" s="1432"/>
      <c r="BY117" s="1432"/>
      <c r="BZ117" s="1432"/>
      <c r="CA117" s="131"/>
      <c r="CC117" s="1435"/>
      <c r="CD117" s="1435"/>
      <c r="CE117" s="1435"/>
      <c r="CF117" s="1435"/>
      <c r="CG117" s="1435"/>
      <c r="CH117" s="1435"/>
      <c r="CI117" s="1435"/>
      <c r="CJ117" s="1435"/>
      <c r="CK117" s="1435"/>
      <c r="CL117" s="1435"/>
      <c r="CM117" s="1435"/>
      <c r="CN117" s="1435"/>
      <c r="CO117" s="1435"/>
      <c r="CP117" s="1435"/>
      <c r="CQ117" s="1435"/>
      <c r="CR117" s="1404"/>
      <c r="CS117" s="1397"/>
    </row>
    <row r="118" spans="1:97" ht="24" customHeight="1">
      <c r="A118" s="137"/>
      <c r="B118" s="137"/>
      <c r="C118" s="137"/>
      <c r="D118" s="137"/>
      <c r="E118" s="137"/>
      <c r="F118" s="137"/>
      <c r="G118" s="137"/>
      <c r="H118" s="137"/>
      <c r="I118" s="137"/>
      <c r="J118" s="137"/>
      <c r="K118" s="137"/>
      <c r="L118" s="137"/>
      <c r="M118" s="137"/>
      <c r="N118" s="137"/>
      <c r="O118" s="137"/>
      <c r="P118" s="137"/>
      <c r="Q118" s="137"/>
      <c r="R118" s="137"/>
      <c r="S118" s="137"/>
      <c r="T118" s="137"/>
      <c r="U118" s="137"/>
      <c r="AX118" s="451"/>
      <c r="AY118" s="451"/>
      <c r="AZ118" s="451"/>
      <c r="BA118" s="451"/>
      <c r="BB118" s="451"/>
      <c r="BC118" s="451"/>
      <c r="BD118" s="451"/>
      <c r="BE118" s="451"/>
      <c r="BF118" s="451"/>
      <c r="BG118" s="451"/>
      <c r="BH118" s="451"/>
      <c r="BI118" s="451"/>
      <c r="BJ118" s="451"/>
      <c r="BK118" s="451"/>
      <c r="BL118" s="451"/>
      <c r="BM118" s="451"/>
      <c r="BN118" s="451"/>
      <c r="BO118" s="451"/>
      <c r="BQ118" s="1397"/>
      <c r="BW118" s="1432"/>
      <c r="BX118" s="1432"/>
      <c r="BY118" s="1432"/>
      <c r="BZ118" s="1432"/>
      <c r="CA118" s="131"/>
      <c r="CC118" s="1436"/>
      <c r="CD118" s="1436"/>
      <c r="CE118" s="1436"/>
      <c r="CF118" s="1436"/>
      <c r="CG118" s="1436"/>
      <c r="CH118" s="1436"/>
      <c r="CI118" s="1436"/>
      <c r="CJ118" s="1436"/>
      <c r="CK118" s="1436"/>
      <c r="CL118" s="1436"/>
      <c r="CM118" s="1436"/>
      <c r="CN118" s="1436"/>
      <c r="CO118" s="1436"/>
      <c r="CP118" s="1436"/>
      <c r="CQ118" s="1436"/>
      <c r="CR118" s="1404"/>
      <c r="CS118" s="1397"/>
    </row>
    <row r="119" spans="1:97" ht="24" customHeight="1">
      <c r="A119" s="137"/>
      <c r="B119" s="137"/>
      <c r="C119" s="137"/>
      <c r="D119" s="137"/>
      <c r="E119" s="137"/>
      <c r="F119" s="137"/>
      <c r="G119" s="137"/>
      <c r="H119" s="137"/>
      <c r="I119" s="137"/>
      <c r="J119" s="137"/>
      <c r="K119" s="137"/>
      <c r="L119" s="137"/>
      <c r="M119" s="137"/>
      <c r="N119" s="137"/>
      <c r="O119" s="137"/>
      <c r="P119" s="137"/>
      <c r="Q119" s="137"/>
      <c r="R119" s="137"/>
      <c r="S119" s="137"/>
      <c r="T119" s="137"/>
      <c r="U119" s="137"/>
      <c r="AX119" s="451"/>
      <c r="AY119" s="451"/>
      <c r="AZ119" s="451"/>
      <c r="BA119" s="451"/>
      <c r="BB119" s="451"/>
      <c r="BC119" s="451"/>
      <c r="BD119" s="451"/>
      <c r="BE119" s="451"/>
      <c r="BF119" s="451"/>
      <c r="BG119" s="451"/>
      <c r="BH119" s="451"/>
      <c r="BI119" s="451"/>
      <c r="BJ119" s="451"/>
      <c r="BK119" s="451"/>
      <c r="BL119" s="451"/>
      <c r="BM119" s="451"/>
      <c r="BN119" s="451"/>
      <c r="BO119" s="451"/>
      <c r="BQ119" s="1397"/>
      <c r="BW119" s="1332"/>
      <c r="BX119" s="1332"/>
      <c r="BY119" s="1332"/>
      <c r="BZ119" s="1332"/>
      <c r="CA119" s="131"/>
      <c r="CR119" s="1404"/>
      <c r="CS119" s="1397"/>
    </row>
    <row r="120" spans="1:97" ht="24" customHeight="1">
      <c r="A120" s="137"/>
      <c r="B120" s="137"/>
      <c r="C120" s="137"/>
      <c r="D120" s="137"/>
      <c r="E120" s="137"/>
      <c r="F120" s="137"/>
      <c r="G120" s="137"/>
      <c r="H120" s="137"/>
      <c r="I120" s="137"/>
      <c r="J120" s="137"/>
      <c r="K120" s="137"/>
      <c r="L120" s="137"/>
      <c r="M120" s="137"/>
      <c r="N120" s="137"/>
      <c r="O120" s="137"/>
      <c r="P120" s="137"/>
      <c r="Q120" s="137"/>
      <c r="R120" s="137"/>
      <c r="S120" s="137"/>
      <c r="T120" s="137"/>
      <c r="U120" s="137"/>
      <c r="AX120" s="451"/>
      <c r="AY120" s="451"/>
      <c r="AZ120" s="451"/>
      <c r="BA120" s="451"/>
      <c r="BB120" s="451"/>
      <c r="BC120" s="451"/>
      <c r="BD120" s="451"/>
      <c r="BE120" s="451"/>
      <c r="BF120" s="451"/>
      <c r="BG120" s="451"/>
      <c r="BH120" s="451"/>
      <c r="BI120" s="451"/>
      <c r="BJ120" s="451"/>
      <c r="BK120" s="451"/>
      <c r="BL120" s="451"/>
      <c r="BM120" s="451"/>
      <c r="BN120" s="451"/>
      <c r="BO120" s="451"/>
      <c r="BQ120" s="1397"/>
      <c r="BW120" s="1397"/>
      <c r="BX120" s="1397"/>
      <c r="BY120" s="1397"/>
      <c r="BZ120" s="1397"/>
      <c r="CA120" s="27"/>
      <c r="CR120" s="1404"/>
      <c r="CS120" s="1397"/>
    </row>
    <row r="121" spans="1:97" ht="24" customHeight="1">
      <c r="A121" s="137"/>
      <c r="B121" s="137"/>
      <c r="C121" s="137"/>
      <c r="D121" s="137"/>
      <c r="E121" s="137"/>
      <c r="F121" s="137"/>
      <c r="G121" s="137"/>
      <c r="H121" s="137"/>
      <c r="I121" s="137"/>
      <c r="J121" s="137"/>
      <c r="K121" s="137"/>
      <c r="L121" s="137"/>
      <c r="M121" s="137"/>
      <c r="N121" s="137"/>
      <c r="O121" s="137"/>
      <c r="P121" s="137"/>
      <c r="Q121" s="137"/>
      <c r="R121" s="137"/>
      <c r="S121" s="137"/>
      <c r="T121" s="137"/>
      <c r="U121" s="137"/>
      <c r="AX121" s="451"/>
      <c r="AY121" s="451"/>
      <c r="AZ121" s="451"/>
      <c r="BA121" s="451"/>
      <c r="BB121" s="451"/>
      <c r="BC121" s="451"/>
      <c r="BD121" s="451"/>
      <c r="BE121" s="451"/>
      <c r="BF121" s="451"/>
      <c r="BG121" s="451"/>
      <c r="BH121" s="451"/>
      <c r="BI121" s="451"/>
      <c r="BJ121" s="451"/>
      <c r="BK121" s="451"/>
      <c r="BL121" s="451"/>
      <c r="BM121" s="451"/>
      <c r="BN121" s="451"/>
      <c r="BO121" s="451"/>
      <c r="BQ121" s="1397"/>
      <c r="BY121" s="13"/>
      <c r="BZ121" s="13"/>
      <c r="CD121" s="18"/>
      <c r="CE121" s="14"/>
      <c r="CF121" s="13"/>
      <c r="CL121" s="18"/>
      <c r="CM121" s="18"/>
      <c r="CN121" s="18"/>
      <c r="CO121" s="18"/>
      <c r="CP121" s="18"/>
      <c r="CQ121" s="18"/>
      <c r="CR121" s="1404"/>
      <c r="CS121" s="1397"/>
    </row>
    <row r="122" spans="1:97" ht="24" customHeight="1">
      <c r="A122" s="137"/>
      <c r="B122" s="137"/>
      <c r="C122" s="137"/>
      <c r="D122" s="137"/>
      <c r="E122" s="137"/>
      <c r="F122" s="137"/>
      <c r="G122" s="137"/>
      <c r="H122" s="137"/>
      <c r="I122" s="137"/>
      <c r="J122" s="137"/>
      <c r="K122" s="137"/>
      <c r="L122" s="137"/>
      <c r="M122" s="137"/>
      <c r="N122" s="137"/>
      <c r="O122" s="137"/>
      <c r="P122" s="137"/>
      <c r="Q122" s="137"/>
      <c r="R122" s="137"/>
      <c r="S122" s="137"/>
      <c r="T122" s="137"/>
      <c r="U122" s="137"/>
      <c r="AX122" s="451"/>
      <c r="AY122" s="451"/>
      <c r="AZ122" s="451"/>
      <c r="BA122" s="451"/>
      <c r="BB122" s="451"/>
      <c r="BC122" s="451"/>
      <c r="BD122" s="451"/>
      <c r="BE122" s="451"/>
      <c r="BF122" s="451"/>
      <c r="BG122" s="451"/>
      <c r="BH122" s="451"/>
      <c r="BI122" s="451"/>
      <c r="BJ122" s="451"/>
      <c r="BK122" s="451"/>
      <c r="BL122" s="451"/>
      <c r="BM122" s="451"/>
      <c r="BN122" s="451"/>
      <c r="BO122" s="451"/>
      <c r="BY122" s="13"/>
      <c r="BZ122" s="13"/>
      <c r="CD122" s="18"/>
      <c r="CE122" s="18"/>
      <c r="CF122" s="18"/>
      <c r="CG122" s="18"/>
      <c r="CH122" s="18"/>
      <c r="CI122" s="18"/>
      <c r="CJ122" s="1437"/>
      <c r="CK122" s="1437"/>
      <c r="CL122" s="1437"/>
      <c r="CM122" s="1437"/>
      <c r="CN122" s="1437"/>
      <c r="CO122" s="1437"/>
      <c r="CP122" s="1437"/>
      <c r="CQ122" s="1437"/>
      <c r="CR122" s="1404"/>
      <c r="CS122" s="1397"/>
    </row>
    <row r="123" spans="1:97" ht="24" customHeight="1">
      <c r="A123" s="137"/>
      <c r="B123" s="137"/>
      <c r="C123" s="137"/>
      <c r="D123" s="137"/>
      <c r="E123" s="137"/>
      <c r="F123" s="137"/>
      <c r="G123" s="137"/>
      <c r="H123" s="137"/>
      <c r="I123" s="137"/>
      <c r="J123" s="137"/>
      <c r="K123" s="137"/>
      <c r="L123" s="137"/>
      <c r="M123" s="137"/>
      <c r="N123" s="137"/>
      <c r="O123" s="137"/>
      <c r="P123" s="137"/>
      <c r="Q123" s="137"/>
      <c r="R123" s="137"/>
      <c r="S123" s="137"/>
      <c r="T123" s="137"/>
      <c r="U123" s="137"/>
      <c r="AX123" s="451"/>
      <c r="AY123" s="451"/>
      <c r="AZ123" s="451"/>
      <c r="BA123" s="451"/>
      <c r="BB123" s="451"/>
      <c r="BC123" s="451"/>
      <c r="BD123" s="451"/>
      <c r="BE123" s="451"/>
      <c r="BF123" s="451"/>
      <c r="BG123" s="451"/>
      <c r="BH123" s="451"/>
      <c r="BI123" s="451"/>
      <c r="BJ123" s="451"/>
      <c r="BK123" s="451"/>
      <c r="BL123" s="451"/>
      <c r="BM123" s="451"/>
      <c r="BN123" s="451"/>
      <c r="BO123" s="451"/>
      <c r="BX123" s="1438"/>
      <c r="BY123" s="1438"/>
      <c r="BZ123" s="1438"/>
      <c r="CA123" s="1438"/>
      <c r="CB123" s="1438"/>
      <c r="CC123" s="1438"/>
      <c r="CD123" s="1438"/>
      <c r="CE123" s="1438"/>
      <c r="CF123" s="1438"/>
      <c r="CG123" s="1438"/>
      <c r="CH123" s="1438"/>
      <c r="CI123" s="1438"/>
      <c r="CJ123" s="1438"/>
      <c r="CK123" s="1438"/>
      <c r="CL123" s="1438"/>
      <c r="CM123" s="1438"/>
      <c r="CN123" s="1438"/>
      <c r="CO123" s="1438"/>
      <c r="CP123" s="1438"/>
      <c r="CQ123" s="1438"/>
      <c r="CR123" s="1404"/>
      <c r="CS123" s="1397"/>
    </row>
    <row r="124" spans="1:97" ht="24" customHeight="1" thickBot="1">
      <c r="A124" s="137"/>
      <c r="B124" s="137"/>
      <c r="C124" s="137"/>
      <c r="D124" s="137"/>
      <c r="E124" s="137"/>
      <c r="F124" s="137"/>
      <c r="G124" s="137"/>
      <c r="H124" s="137"/>
      <c r="I124" s="137"/>
      <c r="J124" s="137"/>
      <c r="K124" s="137"/>
      <c r="L124" s="137"/>
      <c r="M124" s="137"/>
      <c r="N124" s="137"/>
      <c r="O124" s="137"/>
      <c r="P124" s="137"/>
      <c r="Q124" s="137"/>
      <c r="R124" s="137"/>
      <c r="S124" s="137"/>
      <c r="T124" s="137"/>
      <c r="U124" s="137"/>
      <c r="AX124" s="451"/>
      <c r="AY124" s="451"/>
      <c r="AZ124" s="451"/>
      <c r="BA124" s="451"/>
      <c r="BB124" s="451"/>
      <c r="BC124" s="451"/>
      <c r="BD124" s="451"/>
      <c r="BE124" s="451"/>
      <c r="BF124" s="451"/>
      <c r="BG124" s="451"/>
      <c r="BH124" s="451"/>
      <c r="BI124" s="451"/>
      <c r="BJ124" s="451"/>
      <c r="BK124" s="451"/>
      <c r="BL124" s="451"/>
      <c r="BM124" s="451"/>
      <c r="BN124" s="451"/>
      <c r="BO124" s="451"/>
      <c r="BX124" s="1439"/>
      <c r="BY124" s="1439"/>
      <c r="BZ124" s="1439"/>
      <c r="CA124" s="1439"/>
      <c r="CB124" s="1439"/>
      <c r="CC124" s="1439"/>
      <c r="CD124" s="1439"/>
      <c r="CE124" s="1439"/>
      <c r="CF124" s="1439"/>
      <c r="CG124" s="1439"/>
      <c r="CH124" s="1439"/>
      <c r="CI124" s="1439"/>
      <c r="CJ124" s="1439"/>
      <c r="CK124" s="1439"/>
      <c r="CL124" s="1439"/>
      <c r="CM124" s="1439"/>
      <c r="CN124" s="1439"/>
      <c r="CO124" s="1439"/>
      <c r="CP124" s="1439"/>
      <c r="CQ124" s="1439"/>
      <c r="CR124" s="1404"/>
      <c r="CS124" s="1397"/>
    </row>
    <row r="125" spans="1:97" ht="24" customHeight="1" thickTop="1" thickBot="1">
      <c r="A125" s="137"/>
      <c r="B125" s="137"/>
      <c r="C125" s="137"/>
      <c r="D125" s="137"/>
      <c r="E125" s="137"/>
      <c r="F125" s="137"/>
      <c r="G125" s="137"/>
      <c r="H125" s="137"/>
      <c r="I125" s="137"/>
      <c r="J125" s="137"/>
      <c r="K125" s="137"/>
      <c r="L125" s="137"/>
      <c r="M125" s="137"/>
      <c r="N125" s="137"/>
      <c r="O125" s="137"/>
      <c r="P125" s="137"/>
      <c r="Q125" s="137"/>
      <c r="R125" s="137"/>
      <c r="S125" s="137"/>
      <c r="T125" s="137"/>
      <c r="U125" s="137"/>
      <c r="BX125" s="88"/>
      <c r="BY125" s="89"/>
      <c r="BZ125" s="89"/>
      <c r="CA125" s="90"/>
      <c r="CB125" s="1410"/>
      <c r="CC125" s="1411"/>
      <c r="CD125" s="1411"/>
      <c r="CE125" s="1411"/>
      <c r="CF125" s="1411"/>
      <c r="CG125" s="1411"/>
      <c r="CH125" s="1411"/>
      <c r="CI125" s="1411"/>
      <c r="CJ125" s="1411"/>
      <c r="CK125" s="1411"/>
      <c r="CL125" s="1411"/>
      <c r="CM125" s="1411"/>
      <c r="CN125" s="1411"/>
      <c r="CO125" s="1411"/>
      <c r="CP125" s="1411"/>
      <c r="CQ125" s="1412"/>
      <c r="CR125" s="1404"/>
      <c r="CS125" s="1397"/>
    </row>
    <row r="126" spans="1:97" ht="24" customHeight="1" thickTop="1" thickBot="1">
      <c r="A126" s="137"/>
      <c r="B126" s="137"/>
      <c r="C126" s="137"/>
      <c r="D126" s="137"/>
      <c r="E126" s="137"/>
      <c r="F126" s="137"/>
      <c r="G126" s="137"/>
      <c r="H126" s="137"/>
      <c r="I126" s="137"/>
      <c r="J126" s="137"/>
      <c r="K126" s="137"/>
      <c r="L126" s="137"/>
      <c r="M126" s="137"/>
      <c r="N126" s="137"/>
      <c r="O126" s="137"/>
      <c r="P126" s="137"/>
      <c r="Q126" s="137"/>
      <c r="R126" s="137"/>
      <c r="S126" s="137"/>
      <c r="T126" s="137"/>
      <c r="U126" s="137"/>
      <c r="BX126" s="91"/>
      <c r="BY126" s="92"/>
      <c r="BZ126" s="92"/>
      <c r="CA126" s="93"/>
      <c r="CB126" s="1335"/>
      <c r="CC126" s="1336"/>
      <c r="CD126" s="1336"/>
      <c r="CE126" s="1337"/>
      <c r="CF126" s="1335"/>
      <c r="CG126" s="1336"/>
      <c r="CH126" s="1336"/>
      <c r="CI126" s="1337"/>
      <c r="CJ126" s="1335"/>
      <c r="CK126" s="1336"/>
      <c r="CL126" s="1336"/>
      <c r="CM126" s="1337"/>
      <c r="CN126" s="1335"/>
      <c r="CO126" s="1336"/>
      <c r="CP126" s="1336"/>
      <c r="CQ126" s="1337"/>
      <c r="CR126" s="1404"/>
      <c r="CS126" s="1397"/>
    </row>
    <row r="127" spans="1:97" ht="24" customHeight="1" thickBot="1">
      <c r="A127" s="137"/>
      <c r="B127" s="137"/>
      <c r="C127" s="137"/>
      <c r="D127" s="137"/>
      <c r="E127" s="137"/>
      <c r="F127" s="137"/>
      <c r="G127" s="137"/>
      <c r="H127" s="137"/>
      <c r="I127" s="137"/>
      <c r="J127" s="137"/>
      <c r="K127" s="137"/>
      <c r="L127" s="137"/>
      <c r="M127" s="137"/>
      <c r="N127" s="137"/>
      <c r="O127" s="137"/>
      <c r="P127" s="137"/>
      <c r="Q127" s="137"/>
      <c r="R127" s="137"/>
      <c r="S127" s="137"/>
      <c r="T127" s="137"/>
      <c r="U127" s="137"/>
      <c r="BX127" s="91"/>
      <c r="BY127" s="92"/>
      <c r="BZ127" s="92"/>
      <c r="CA127" s="93"/>
      <c r="CB127" s="1333"/>
      <c r="CC127" s="1334"/>
      <c r="CD127" s="1334"/>
      <c r="CE127" s="1304"/>
      <c r="CF127" s="1333"/>
      <c r="CG127" s="1334"/>
      <c r="CH127" s="1334"/>
      <c r="CI127" s="1304"/>
      <c r="CJ127" s="1333"/>
      <c r="CK127" s="1334"/>
      <c r="CL127" s="1334"/>
      <c r="CM127" s="1304"/>
      <c r="CN127" s="1333"/>
      <c r="CO127" s="1334"/>
      <c r="CP127" s="1334"/>
      <c r="CQ127" s="1304"/>
      <c r="CR127" s="1404"/>
      <c r="CS127" s="1397"/>
    </row>
    <row r="128" spans="1:97" ht="24" customHeight="1" thickBot="1">
      <c r="A128" s="137"/>
      <c r="B128" s="137"/>
      <c r="C128" s="137"/>
      <c r="D128" s="137"/>
      <c r="E128" s="137"/>
      <c r="F128" s="137"/>
      <c r="G128" s="137"/>
      <c r="H128" s="137"/>
      <c r="I128" s="137"/>
      <c r="J128" s="137"/>
      <c r="K128" s="137"/>
      <c r="L128" s="137"/>
      <c r="M128" s="137"/>
      <c r="N128" s="137"/>
      <c r="O128" s="137"/>
      <c r="P128" s="137"/>
      <c r="Q128" s="137"/>
      <c r="R128" s="137"/>
      <c r="S128" s="137"/>
      <c r="T128" s="137"/>
      <c r="U128" s="137"/>
      <c r="BX128" s="91"/>
      <c r="BY128" s="92"/>
      <c r="BZ128" s="92"/>
      <c r="CA128" s="93"/>
      <c r="CB128" s="1323"/>
      <c r="CC128" s="1324"/>
      <c r="CD128" s="1318"/>
      <c r="CE128" s="1319"/>
      <c r="CF128" s="1323"/>
      <c r="CG128" s="1324"/>
      <c r="CH128" s="1318"/>
      <c r="CI128" s="1319"/>
      <c r="CJ128" s="1323"/>
      <c r="CK128" s="1324"/>
      <c r="CL128" s="1318"/>
      <c r="CM128" s="1319"/>
      <c r="CN128" s="1323"/>
      <c r="CO128" s="1324"/>
      <c r="CP128" s="1318"/>
      <c r="CQ128" s="1319"/>
      <c r="CR128" s="1404"/>
      <c r="CS128" s="1397"/>
    </row>
    <row r="129" spans="1:97" ht="24" customHeight="1" thickBot="1">
      <c r="A129" s="137"/>
      <c r="B129" s="137"/>
      <c r="C129" s="137"/>
      <c r="D129" s="137"/>
      <c r="E129" s="137"/>
      <c r="F129" s="137"/>
      <c r="G129" s="137"/>
      <c r="H129" s="137"/>
      <c r="I129" s="137"/>
      <c r="J129" s="137"/>
      <c r="K129" s="137"/>
      <c r="L129" s="137"/>
      <c r="M129" s="137"/>
      <c r="N129" s="137"/>
      <c r="O129" s="137"/>
      <c r="P129" s="137"/>
      <c r="Q129" s="137"/>
      <c r="R129" s="137"/>
      <c r="S129" s="137"/>
      <c r="T129" s="137"/>
      <c r="U129" s="137"/>
      <c r="BX129" s="91"/>
      <c r="BY129" s="92"/>
      <c r="BZ129" s="92"/>
      <c r="CA129" s="93"/>
      <c r="CB129" s="1333"/>
      <c r="CC129" s="1347"/>
      <c r="CD129" s="1303"/>
      <c r="CE129" s="1304"/>
      <c r="CF129" s="1333"/>
      <c r="CG129" s="1347"/>
      <c r="CH129" s="1303"/>
      <c r="CI129" s="1304"/>
      <c r="CJ129" s="1333"/>
      <c r="CK129" s="1347"/>
      <c r="CL129" s="1303"/>
      <c r="CM129" s="1304"/>
      <c r="CN129" s="1333"/>
      <c r="CO129" s="1347"/>
      <c r="CP129" s="1303"/>
      <c r="CQ129" s="1304"/>
      <c r="CR129" s="1404"/>
      <c r="CS129" s="1397"/>
    </row>
    <row r="130" spans="1:97" ht="24" customHeight="1" thickBot="1">
      <c r="A130" s="137"/>
      <c r="B130" s="137"/>
      <c r="C130" s="137"/>
      <c r="D130" s="137"/>
      <c r="E130" s="137"/>
      <c r="F130" s="137"/>
      <c r="G130" s="137"/>
      <c r="H130" s="137"/>
      <c r="I130" s="137"/>
      <c r="J130" s="137"/>
      <c r="K130" s="137"/>
      <c r="L130" s="137"/>
      <c r="M130" s="137"/>
      <c r="N130" s="137"/>
      <c r="O130" s="137"/>
      <c r="P130" s="137"/>
      <c r="Q130" s="137"/>
      <c r="R130" s="137"/>
      <c r="S130" s="137"/>
      <c r="T130" s="137"/>
      <c r="U130" s="137"/>
      <c r="BX130" s="94"/>
      <c r="BY130" s="95"/>
      <c r="BZ130" s="95"/>
      <c r="CA130" s="96"/>
      <c r="CB130" s="81"/>
      <c r="CC130" s="82"/>
      <c r="CD130" s="82"/>
      <c r="CE130" s="83"/>
      <c r="CF130" s="81"/>
      <c r="CG130" s="82"/>
      <c r="CH130" s="82"/>
      <c r="CI130" s="83"/>
      <c r="CJ130" s="81"/>
      <c r="CK130" s="82"/>
      <c r="CL130" s="82"/>
      <c r="CM130" s="83"/>
      <c r="CN130" s="81"/>
      <c r="CO130" s="82"/>
      <c r="CP130" s="82"/>
      <c r="CQ130" s="83"/>
      <c r="CR130" s="1404"/>
      <c r="CS130" s="1397"/>
    </row>
    <row r="131" spans="1:97" ht="24" customHeight="1" thickTop="1">
      <c r="A131" s="137"/>
      <c r="B131" s="137"/>
      <c r="C131" s="137"/>
      <c r="D131" s="137"/>
      <c r="E131" s="137"/>
      <c r="F131" s="137"/>
      <c r="G131" s="137"/>
      <c r="H131" s="137"/>
      <c r="I131" s="137"/>
      <c r="J131" s="137"/>
      <c r="K131" s="137"/>
      <c r="L131" s="137"/>
      <c r="M131" s="137"/>
      <c r="N131" s="137"/>
      <c r="O131" s="137"/>
      <c r="P131" s="137"/>
      <c r="Q131" s="137"/>
      <c r="R131" s="137"/>
      <c r="S131" s="137"/>
      <c r="T131" s="137"/>
      <c r="U131" s="137"/>
      <c r="CR131" s="1404"/>
      <c r="CS131" s="1397"/>
    </row>
    <row r="132" spans="1:97" ht="24" customHeight="1" thickBot="1">
      <c r="A132" s="137"/>
      <c r="B132" s="137"/>
      <c r="C132" s="137"/>
      <c r="D132" s="137"/>
      <c r="E132" s="137"/>
      <c r="F132" s="137"/>
      <c r="G132" s="137"/>
      <c r="H132" s="137"/>
      <c r="I132" s="137"/>
      <c r="J132" s="137"/>
      <c r="K132" s="137"/>
      <c r="L132" s="137"/>
      <c r="M132" s="137"/>
      <c r="N132" s="137"/>
      <c r="O132" s="137"/>
      <c r="P132" s="137"/>
      <c r="Q132" s="137"/>
      <c r="R132" s="137"/>
      <c r="S132" s="137"/>
      <c r="T132" s="137"/>
      <c r="U132" s="137"/>
      <c r="BW132" s="34"/>
      <c r="CR132" s="1404"/>
      <c r="CS132" s="1397"/>
    </row>
    <row r="133" spans="1:97" ht="24" customHeight="1" thickTop="1">
      <c r="A133" s="137"/>
      <c r="B133" s="137"/>
      <c r="C133" s="137"/>
      <c r="D133" s="137"/>
      <c r="E133" s="137"/>
      <c r="F133" s="137"/>
      <c r="G133" s="137"/>
      <c r="H133" s="137"/>
      <c r="I133" s="137"/>
      <c r="J133" s="137"/>
      <c r="K133" s="137"/>
      <c r="L133" s="137"/>
      <c r="M133" s="137"/>
      <c r="N133" s="137"/>
      <c r="O133" s="137"/>
      <c r="P133" s="137"/>
      <c r="Q133" s="137"/>
      <c r="R133" s="137"/>
      <c r="S133" s="137"/>
      <c r="T133" s="137"/>
      <c r="U133" s="137"/>
      <c r="X133"/>
      <c r="Y133"/>
      <c r="Z133" s="1397"/>
      <c r="AA133" s="1397"/>
      <c r="AB133" s="1397"/>
      <c r="AC133" s="1384"/>
      <c r="AD133" s="1384"/>
      <c r="AE133" s="1384"/>
      <c r="AF133" s="1384"/>
      <c r="AG133" s="1384"/>
      <c r="AH133" s="1384"/>
      <c r="AI133" s="1384"/>
      <c r="AJ133" s="1384"/>
      <c r="AK133" s="1384"/>
      <c r="AL133" s="1384"/>
      <c r="AM133" s="1384"/>
      <c r="AN133" s="1384"/>
      <c r="AO133" s="1384"/>
      <c r="AP133" s="1384"/>
      <c r="BW133" s="34"/>
      <c r="BX133" s="424"/>
      <c r="BY133" s="425"/>
      <c r="BZ133" s="424"/>
      <c r="CA133" s="426"/>
      <c r="CB133" s="422"/>
      <c r="CC133" s="422"/>
      <c r="CD133" s="422"/>
      <c r="CE133" s="422"/>
      <c r="CF133" s="422"/>
      <c r="CG133" s="422"/>
      <c r="CH133" s="422"/>
      <c r="CI133" s="422"/>
      <c r="CJ133" s="422"/>
      <c r="CK133" s="422"/>
      <c r="CL133" s="422"/>
      <c r="CM133" s="422"/>
      <c r="CN133" s="422"/>
      <c r="CO133" s="422"/>
      <c r="CP133" s="422"/>
      <c r="CQ133" s="422"/>
      <c r="CR133" s="1404"/>
      <c r="CS133" s="1397"/>
    </row>
    <row r="134" spans="1:97" ht="24" customHeight="1">
      <c r="A134" s="137"/>
      <c r="B134" s="137"/>
      <c r="C134" s="137"/>
      <c r="D134" s="137"/>
      <c r="E134" s="137"/>
      <c r="F134" s="137"/>
      <c r="G134" s="137"/>
      <c r="H134" s="137"/>
      <c r="I134" s="137"/>
      <c r="J134" s="137"/>
      <c r="K134" s="137"/>
      <c r="L134" s="137"/>
      <c r="M134" s="137"/>
      <c r="N134" s="137"/>
      <c r="O134" s="137"/>
      <c r="P134" s="137"/>
      <c r="Q134" s="137"/>
      <c r="R134" s="137"/>
      <c r="S134" s="137"/>
      <c r="T134" s="137"/>
      <c r="U134" s="137"/>
      <c r="X134"/>
      <c r="Y134"/>
      <c r="Z134" s="1397"/>
      <c r="AA134" s="1397"/>
      <c r="AB134" s="1397"/>
      <c r="AC134" s="1384"/>
      <c r="AD134" s="1384"/>
      <c r="AE134" s="1384"/>
      <c r="AF134" s="1384"/>
      <c r="AG134" s="1384"/>
      <c r="AH134" s="1384"/>
      <c r="AI134" s="1384"/>
      <c r="AJ134" s="1384"/>
      <c r="AK134" s="1384"/>
      <c r="AL134" s="1384"/>
      <c r="AM134" s="1384"/>
      <c r="AN134" s="1384"/>
      <c r="AO134" s="1384"/>
      <c r="AP134" s="1384"/>
      <c r="BW134" s="34"/>
      <c r="BX134" s="427"/>
      <c r="BY134" s="34"/>
      <c r="BZ134" s="427"/>
      <c r="CA134" s="132"/>
      <c r="CB134" s="423"/>
      <c r="CC134" s="423"/>
      <c r="CD134" s="423"/>
      <c r="CE134" s="423"/>
      <c r="CF134" s="423"/>
      <c r="CG134" s="423"/>
      <c r="CH134" s="423"/>
      <c r="CI134" s="423"/>
      <c r="CJ134" s="423"/>
      <c r="CK134" s="423"/>
      <c r="CL134" s="423"/>
      <c r="CM134" s="423"/>
      <c r="CN134" s="423"/>
      <c r="CO134" s="423"/>
      <c r="CP134" s="423"/>
      <c r="CQ134" s="423"/>
      <c r="CR134" s="1404"/>
    </row>
    <row r="135" spans="1:97" ht="24" customHeight="1">
      <c r="A135" s="137"/>
      <c r="B135" s="137"/>
      <c r="C135" s="137"/>
      <c r="D135" s="137"/>
      <c r="E135" s="137"/>
      <c r="F135" s="137"/>
      <c r="G135" s="137"/>
      <c r="H135" s="137"/>
      <c r="I135" s="137"/>
      <c r="J135" s="137"/>
      <c r="K135" s="137"/>
      <c r="L135" s="137"/>
      <c r="M135" s="137"/>
      <c r="N135" s="137"/>
      <c r="O135" s="137"/>
      <c r="P135" s="137"/>
      <c r="Q135" s="137"/>
      <c r="R135" s="137"/>
      <c r="S135" s="137"/>
      <c r="T135" s="137"/>
      <c r="U135" s="137"/>
      <c r="X135"/>
      <c r="Y135"/>
      <c r="Z135" s="1397"/>
      <c r="AA135" s="1397"/>
      <c r="AB135" s="1397"/>
      <c r="AC135" s="1384"/>
      <c r="AD135" s="1384"/>
      <c r="AE135" s="1384"/>
      <c r="AF135" s="1384"/>
      <c r="AG135" s="1384"/>
      <c r="AH135" s="1384"/>
      <c r="AI135" s="1384"/>
      <c r="AJ135" s="1384"/>
      <c r="AK135" s="1384"/>
      <c r="AL135" s="1384"/>
      <c r="AM135" s="1384"/>
      <c r="AN135" s="1384"/>
      <c r="AO135" s="1384"/>
      <c r="AP135" s="1384"/>
      <c r="BX135" s="427"/>
      <c r="BY135" s="1413"/>
      <c r="BZ135" s="1414"/>
      <c r="CA135" s="132"/>
      <c r="CB135" s="423"/>
      <c r="CC135" s="423"/>
      <c r="CD135" s="423"/>
      <c r="CE135" s="423"/>
      <c r="CF135" s="423"/>
      <c r="CG135" s="423"/>
      <c r="CH135" s="423"/>
      <c r="CI135" s="423"/>
      <c r="CJ135" s="423"/>
      <c r="CK135" s="428"/>
      <c r="CL135" s="429"/>
      <c r="CM135" s="430"/>
      <c r="CN135" s="430"/>
      <c r="CO135" s="431"/>
      <c r="CP135" s="431"/>
      <c r="CQ135" s="432"/>
      <c r="CR135" s="1404"/>
    </row>
    <row r="136" spans="1:97" ht="24" customHeight="1">
      <c r="A136" s="137"/>
      <c r="B136" s="137"/>
      <c r="C136" s="137"/>
      <c r="D136" s="137"/>
      <c r="E136" s="137"/>
      <c r="F136" s="137"/>
      <c r="G136" s="137"/>
      <c r="H136" s="137"/>
      <c r="I136" s="137"/>
      <c r="J136" s="137"/>
      <c r="K136" s="137"/>
      <c r="L136" s="137"/>
      <c r="M136" s="137"/>
      <c r="N136" s="137"/>
      <c r="O136" s="137"/>
      <c r="P136" s="137"/>
      <c r="Q136" s="137"/>
      <c r="R136" s="137"/>
      <c r="S136" s="137"/>
      <c r="T136" s="137"/>
      <c r="U136" s="137"/>
      <c r="X136"/>
      <c r="Y136"/>
      <c r="Z136" s="1397"/>
      <c r="AA136" s="1397"/>
      <c r="AB136" s="1397"/>
      <c r="AC136" s="1384"/>
      <c r="AD136" s="1384"/>
      <c r="AE136" s="1384"/>
      <c r="AF136" s="1384"/>
      <c r="AG136" s="1384"/>
      <c r="AH136" s="1384"/>
      <c r="AI136" s="1384"/>
      <c r="AJ136" s="1384"/>
      <c r="AK136" s="1384"/>
      <c r="AL136" s="1384"/>
      <c r="AM136" s="1384"/>
      <c r="AN136" s="1384"/>
      <c r="AO136" s="1384"/>
      <c r="AP136" s="1384"/>
      <c r="BX136" s="427"/>
      <c r="BY136" s="1413"/>
      <c r="BZ136" s="1414"/>
      <c r="CA136" s="132"/>
      <c r="CB136" s="423"/>
      <c r="CC136" s="423"/>
      <c r="CD136" s="423"/>
      <c r="CE136" s="423"/>
      <c r="CF136" s="423"/>
      <c r="CG136" s="423"/>
      <c r="CH136" s="423"/>
      <c r="CI136" s="423"/>
      <c r="CJ136" s="423"/>
      <c r="CK136" s="428"/>
      <c r="CL136" s="428"/>
      <c r="CM136" s="428"/>
      <c r="CN136" s="430"/>
      <c r="CO136" s="431"/>
      <c r="CP136" s="431"/>
      <c r="CQ136" s="432"/>
      <c r="CR136" s="1404"/>
    </row>
    <row r="137" spans="1:97" ht="24" customHeight="1">
      <c r="A137" s="137"/>
      <c r="B137" s="137"/>
      <c r="C137" s="137"/>
      <c r="D137" s="137"/>
      <c r="E137" s="137"/>
      <c r="F137" s="137"/>
      <c r="G137" s="137"/>
      <c r="H137" s="137"/>
      <c r="I137" s="137"/>
      <c r="J137" s="137"/>
      <c r="K137" s="137"/>
      <c r="L137" s="137"/>
      <c r="M137" s="137"/>
      <c r="N137" s="137"/>
      <c r="O137" s="137"/>
      <c r="P137" s="137"/>
      <c r="Q137" s="137"/>
      <c r="R137" s="137"/>
      <c r="S137" s="137"/>
      <c r="T137" s="137"/>
      <c r="U137" s="137"/>
      <c r="X137"/>
      <c r="Y137"/>
      <c r="Z137" s="1397"/>
      <c r="AA137" s="1397"/>
      <c r="AB137" s="1397"/>
      <c r="AC137" s="1384"/>
      <c r="AD137" s="1384"/>
      <c r="AE137" s="1384"/>
      <c r="AF137" s="1384"/>
      <c r="AG137" s="1384"/>
      <c r="AH137" s="1384"/>
      <c r="AI137" s="1384"/>
      <c r="AJ137" s="1384"/>
      <c r="AK137" s="1384"/>
      <c r="AL137" s="1384"/>
      <c r="AM137" s="1384"/>
      <c r="AN137" s="1384"/>
      <c r="AO137" s="1384"/>
      <c r="AP137" s="1384"/>
      <c r="BX137" s="427"/>
      <c r="BY137" s="1413"/>
      <c r="BZ137" s="1414"/>
      <c r="CA137" s="132"/>
      <c r="CB137" s="423"/>
      <c r="CC137" s="423"/>
      <c r="CD137" s="423"/>
      <c r="CE137" s="423"/>
      <c r="CF137" s="423"/>
      <c r="CG137" s="423"/>
      <c r="CH137" s="423"/>
      <c r="CI137" s="423"/>
      <c r="CJ137" s="423"/>
      <c r="CK137" s="423"/>
      <c r="CL137" s="423"/>
      <c r="CM137" s="423"/>
      <c r="CN137" s="423"/>
      <c r="CO137" s="423"/>
      <c r="CP137" s="423"/>
      <c r="CQ137" s="423"/>
      <c r="CR137" s="1404"/>
    </row>
    <row r="138" spans="1:97" ht="21.6" customHeight="1">
      <c r="A138" s="137"/>
      <c r="B138" s="137"/>
      <c r="C138" s="137"/>
      <c r="D138" s="137"/>
      <c r="E138" s="137"/>
      <c r="F138" s="137"/>
      <c r="G138" s="137"/>
      <c r="H138" s="137"/>
      <c r="I138" s="137"/>
      <c r="J138" s="137"/>
      <c r="K138" s="137"/>
      <c r="L138" s="137"/>
      <c r="M138" s="137"/>
      <c r="N138" s="137"/>
      <c r="O138" s="137"/>
      <c r="P138" s="137"/>
      <c r="Q138" s="137"/>
      <c r="R138" s="137"/>
      <c r="S138" s="137"/>
      <c r="T138" s="137"/>
      <c r="U138" s="137"/>
      <c r="X138"/>
      <c r="Y138"/>
      <c r="Z138" s="1397"/>
      <c r="AA138" s="1397"/>
      <c r="AB138" s="1397"/>
      <c r="AC138" s="1384"/>
      <c r="AD138" s="1384"/>
      <c r="AE138" s="1384"/>
      <c r="AF138" s="1384"/>
      <c r="AG138" s="1384"/>
      <c r="AH138" s="1384"/>
      <c r="AI138" s="1384"/>
      <c r="AJ138" s="1384"/>
      <c r="AK138" s="1384"/>
      <c r="AL138" s="1384"/>
      <c r="AM138" s="1384"/>
      <c r="AN138" s="1384"/>
      <c r="AO138" s="1384"/>
      <c r="AP138" s="1384"/>
      <c r="BX138" s="427"/>
      <c r="BY138" s="1413"/>
      <c r="BZ138" s="1414"/>
      <c r="CA138" s="132"/>
      <c r="CB138" s="423"/>
      <c r="CC138" s="423"/>
      <c r="CD138" s="423"/>
      <c r="CE138" s="423"/>
      <c r="CF138" s="423"/>
      <c r="CG138" s="423"/>
      <c r="CH138" s="423"/>
      <c r="CI138" s="423"/>
      <c r="CJ138" s="423"/>
      <c r="CK138" s="423"/>
      <c r="CL138" s="423"/>
      <c r="CM138" s="423"/>
      <c r="CN138" s="423"/>
      <c r="CO138" s="423"/>
      <c r="CP138" s="423"/>
      <c r="CQ138" s="423"/>
      <c r="CR138" s="1404"/>
    </row>
    <row r="139" spans="1:97" ht="21.6" customHeight="1">
      <c r="A139" s="137"/>
      <c r="B139" s="137"/>
      <c r="C139" s="137"/>
      <c r="D139" s="137"/>
      <c r="E139" s="137"/>
      <c r="F139" s="137"/>
      <c r="G139" s="137"/>
      <c r="H139" s="137"/>
      <c r="I139" s="137"/>
      <c r="J139" s="137"/>
      <c r="K139" s="137"/>
      <c r="L139" s="137"/>
      <c r="M139" s="137"/>
      <c r="N139" s="137"/>
      <c r="O139" s="137"/>
      <c r="P139" s="137"/>
      <c r="Q139" s="137"/>
      <c r="R139" s="137"/>
      <c r="S139" s="137"/>
      <c r="T139" s="137"/>
      <c r="U139" s="137"/>
      <c r="X139"/>
      <c r="Y139"/>
      <c r="AA139" s="129"/>
      <c r="AB139" s="129"/>
      <c r="AC139" s="23"/>
      <c r="AD139" s="23"/>
      <c r="AE139" s="23"/>
      <c r="AF139" s="23"/>
      <c r="AG139" s="23"/>
      <c r="AH139" s="23"/>
      <c r="AI139" s="23"/>
      <c r="AJ139" s="23"/>
      <c r="AK139" s="23"/>
      <c r="AL139" s="23"/>
      <c r="AM139" s="23"/>
      <c r="AN139" s="23"/>
      <c r="AO139" s="23"/>
      <c r="AP139" s="23"/>
      <c r="BX139" s="427"/>
      <c r="BY139" s="578"/>
      <c r="BZ139" s="579"/>
      <c r="CA139" s="132"/>
      <c r="CB139" s="423"/>
      <c r="CC139" s="423"/>
      <c r="CD139" s="423"/>
      <c r="CE139" s="423"/>
      <c r="CF139" s="423"/>
      <c r="CG139" s="423"/>
      <c r="CH139" s="423"/>
      <c r="CI139" s="423"/>
      <c r="CJ139" s="423"/>
      <c r="CK139" s="423"/>
      <c r="CL139" s="423"/>
      <c r="CM139" s="423"/>
      <c r="CN139" s="423"/>
      <c r="CO139" s="423"/>
      <c r="CP139" s="423"/>
      <c r="CQ139" s="423"/>
      <c r="CR139" s="429"/>
    </row>
    <row r="140" spans="1:97" ht="21.6" customHeight="1">
      <c r="A140" s="137"/>
      <c r="B140" s="137"/>
      <c r="C140" s="137"/>
      <c r="D140" s="137"/>
      <c r="E140" s="137"/>
      <c r="F140" s="137"/>
      <c r="G140" s="137"/>
      <c r="H140" s="137"/>
      <c r="I140" s="137"/>
      <c r="J140" s="137"/>
      <c r="K140" s="137"/>
      <c r="L140" s="137"/>
      <c r="M140" s="137"/>
      <c r="N140" s="137"/>
      <c r="O140" s="137"/>
      <c r="P140" s="137"/>
      <c r="Q140" s="137"/>
      <c r="R140" s="137"/>
      <c r="S140" s="137"/>
      <c r="T140" s="137"/>
      <c r="U140" s="137"/>
      <c r="X140"/>
      <c r="Y140"/>
      <c r="AA140" s="129"/>
      <c r="AB140" s="129"/>
      <c r="AC140" s="23"/>
      <c r="AD140" s="23"/>
      <c r="AE140" s="23"/>
      <c r="AF140" s="23"/>
      <c r="AG140" s="23"/>
      <c r="AH140" s="23"/>
      <c r="AI140" s="23"/>
      <c r="AJ140" s="23"/>
      <c r="AK140" s="23"/>
      <c r="AL140" s="23"/>
      <c r="AM140" s="23"/>
      <c r="AN140" s="23"/>
      <c r="AO140" s="23"/>
      <c r="AP140" s="23"/>
      <c r="BX140" s="427"/>
      <c r="BY140" s="578"/>
      <c r="BZ140" s="579"/>
      <c r="CA140" s="132"/>
      <c r="CB140" s="423"/>
      <c r="CC140" s="423"/>
      <c r="CD140" s="423"/>
      <c r="CE140" s="423"/>
      <c r="CF140" s="423"/>
      <c r="CG140" s="423"/>
      <c r="CH140" s="423"/>
      <c r="CI140" s="423"/>
      <c r="CJ140" s="423"/>
      <c r="CK140" s="423"/>
      <c r="CL140" s="423"/>
      <c r="CM140" s="423"/>
      <c r="CN140" s="423"/>
      <c r="CO140" s="423"/>
      <c r="CP140" s="423"/>
      <c r="CQ140" s="423"/>
      <c r="CR140" s="429"/>
    </row>
    <row r="141" spans="1:97">
      <c r="A141" s="137"/>
      <c r="B141" s="137"/>
      <c r="C141" s="137"/>
      <c r="D141" s="137"/>
      <c r="E141" s="137"/>
      <c r="F141" s="137"/>
      <c r="G141" s="137"/>
      <c r="H141" s="137"/>
      <c r="I141" s="137"/>
      <c r="J141" s="137"/>
      <c r="K141" s="137"/>
      <c r="L141" s="137"/>
      <c r="M141" s="137"/>
      <c r="N141" s="137"/>
      <c r="O141" s="137"/>
      <c r="P141" s="137"/>
      <c r="Q141" s="137"/>
      <c r="R141" s="137"/>
      <c r="S141" s="137"/>
      <c r="T141" s="137"/>
      <c r="U141" s="137"/>
    </row>
    <row r="142" spans="1:97" ht="29.45" thickBot="1">
      <c r="A142" s="1340" t="s">
        <v>149</v>
      </c>
      <c r="B142" s="1340"/>
      <c r="C142" s="1340"/>
      <c r="D142" s="1340"/>
      <c r="E142" s="1340"/>
      <c r="F142" s="1340"/>
      <c r="G142" s="1340"/>
      <c r="H142" s="1340"/>
      <c r="I142" s="1340"/>
      <c r="J142" s="1340"/>
      <c r="K142" s="1340"/>
      <c r="L142" s="1340"/>
      <c r="M142" s="1340"/>
      <c r="N142" s="1340"/>
      <c r="O142" s="628"/>
      <c r="P142" s="628"/>
      <c r="Q142" s="628"/>
      <c r="R142" s="628"/>
      <c r="S142" s="631"/>
      <c r="T142" s="631"/>
      <c r="U142" s="137"/>
    </row>
    <row r="143" spans="1:97" ht="21" thickTop="1">
      <c r="A143" s="137"/>
      <c r="B143" s="137"/>
      <c r="C143" s="137"/>
      <c r="D143" s="137"/>
      <c r="E143" s="137"/>
      <c r="F143" s="137"/>
      <c r="G143" s="137"/>
      <c r="H143" s="137"/>
      <c r="I143" s="137"/>
      <c r="J143" s="137"/>
      <c r="K143" s="137"/>
      <c r="L143" s="137"/>
      <c r="M143" s="137"/>
      <c r="N143" s="137"/>
      <c r="O143" s="137"/>
      <c r="Q143" s="137"/>
      <c r="R143" s="137"/>
      <c r="S143" s="1394" t="s">
        <v>150</v>
      </c>
      <c r="T143" s="1395"/>
      <c r="U143" s="1396"/>
    </row>
    <row r="144" spans="1:97">
      <c r="A144" s="137"/>
      <c r="B144" s="137"/>
      <c r="C144" s="137"/>
      <c r="D144" s="137"/>
      <c r="E144" s="137"/>
      <c r="F144" s="137"/>
      <c r="G144" s="137"/>
      <c r="H144" s="137"/>
      <c r="I144" s="137"/>
      <c r="J144" s="137"/>
      <c r="K144" s="137"/>
      <c r="L144" s="137"/>
      <c r="M144" s="137"/>
      <c r="N144" s="137"/>
      <c r="O144" s="137"/>
      <c r="Q144" s="137"/>
      <c r="R144" s="137"/>
      <c r="S144" s="520" t="s">
        <v>151</v>
      </c>
      <c r="T144" s="521"/>
      <c r="U144" s="522"/>
    </row>
    <row r="145" spans="1:31">
      <c r="A145" s="137"/>
      <c r="B145" s="137"/>
      <c r="C145" s="137"/>
      <c r="D145" s="137"/>
      <c r="E145" s="137"/>
      <c r="F145" s="137"/>
      <c r="G145" s="137"/>
      <c r="H145" s="137"/>
      <c r="I145" s="137"/>
      <c r="J145" s="137"/>
      <c r="K145" s="137"/>
      <c r="L145" s="137"/>
      <c r="M145" s="137"/>
      <c r="N145" s="137"/>
      <c r="O145" s="137"/>
      <c r="Q145" s="137"/>
      <c r="R145" s="137"/>
      <c r="S145" s="481" t="s">
        <v>152</v>
      </c>
      <c r="T145" s="523">
        <v>4880</v>
      </c>
      <c r="U145" s="524">
        <v>4881</v>
      </c>
    </row>
    <row r="146" spans="1:31">
      <c r="A146" s="137"/>
      <c r="B146" s="137"/>
      <c r="C146" s="137"/>
      <c r="D146" s="137"/>
      <c r="E146" s="137"/>
      <c r="F146" s="137"/>
      <c r="G146" s="137"/>
      <c r="H146" s="137"/>
      <c r="I146" s="137"/>
      <c r="J146" s="137"/>
      <c r="K146" s="137"/>
      <c r="L146" s="137"/>
      <c r="M146" s="137"/>
      <c r="N146" s="137"/>
      <c r="O146" s="137"/>
      <c r="Q146" s="137"/>
      <c r="R146" s="137"/>
      <c r="S146" s="584" t="s">
        <v>153</v>
      </c>
      <c r="T146" s="525"/>
      <c r="U146" s="526"/>
    </row>
    <row r="147" spans="1:31">
      <c r="A147" s="137"/>
      <c r="B147" s="137"/>
      <c r="C147" s="137"/>
      <c r="D147" s="137"/>
      <c r="E147" s="137"/>
      <c r="F147" s="137"/>
      <c r="G147" s="137"/>
      <c r="H147" s="137"/>
      <c r="I147" s="137"/>
      <c r="J147" s="137"/>
      <c r="K147" s="137"/>
      <c r="L147" s="137"/>
      <c r="M147" s="137"/>
      <c r="N147" s="137"/>
      <c r="O147" s="137"/>
      <c r="Q147" s="137"/>
      <c r="R147" s="137"/>
      <c r="S147" s="520" t="s">
        <v>154</v>
      </c>
      <c r="T147" s="521"/>
      <c r="U147" s="522"/>
    </row>
    <row r="148" spans="1:31" ht="15" thickBot="1">
      <c r="A148" s="137"/>
      <c r="B148" s="137"/>
      <c r="C148" s="137"/>
      <c r="D148" s="137"/>
      <c r="E148" s="137"/>
      <c r="F148" s="137"/>
      <c r="G148" s="137"/>
      <c r="H148" s="137"/>
      <c r="I148" s="137"/>
      <c r="J148" s="137"/>
      <c r="K148" s="137"/>
      <c r="L148" s="137"/>
      <c r="M148" s="137"/>
      <c r="N148" s="137"/>
      <c r="O148" s="137"/>
      <c r="Q148" s="137"/>
      <c r="R148" s="137"/>
      <c r="S148" s="527" t="s">
        <v>155</v>
      </c>
      <c r="T148" s="528"/>
      <c r="U148" s="529"/>
    </row>
    <row r="149" spans="1:31" ht="15" thickTop="1">
      <c r="A149" s="137"/>
      <c r="B149" s="137"/>
      <c r="C149" s="137"/>
      <c r="D149" s="137"/>
      <c r="E149" s="137"/>
      <c r="F149" s="137"/>
      <c r="G149" s="137"/>
      <c r="H149" s="137"/>
      <c r="I149" s="137"/>
      <c r="J149" s="137"/>
      <c r="K149" s="137"/>
      <c r="L149" s="137"/>
      <c r="M149" s="137"/>
      <c r="N149" s="137"/>
      <c r="O149" s="137"/>
      <c r="Q149" s="137"/>
      <c r="R149" s="137"/>
      <c r="S149" s="137"/>
      <c r="T149" s="137"/>
      <c r="U149" s="137"/>
    </row>
    <row r="150" spans="1:31">
      <c r="A150" s="137"/>
      <c r="B150" s="137"/>
      <c r="C150" s="137"/>
      <c r="D150" s="137"/>
      <c r="E150" s="137"/>
      <c r="F150" s="137"/>
      <c r="G150" s="137"/>
      <c r="H150" s="137"/>
      <c r="I150" s="137"/>
      <c r="J150" s="137"/>
      <c r="K150" s="137"/>
      <c r="L150" s="137"/>
      <c r="M150" s="137"/>
      <c r="N150" s="137"/>
      <c r="O150" s="137"/>
      <c r="Q150" s="137"/>
      <c r="R150" s="137"/>
      <c r="S150" s="137"/>
      <c r="T150" s="137"/>
      <c r="U150" s="137"/>
    </row>
    <row r="151" spans="1:31">
      <c r="A151" s="137"/>
      <c r="B151" s="137"/>
      <c r="C151" s="137"/>
      <c r="D151" s="137"/>
      <c r="E151" s="137"/>
      <c r="F151" s="137"/>
      <c r="G151" s="137"/>
      <c r="H151" s="137"/>
      <c r="I151" s="137"/>
      <c r="J151" s="137"/>
      <c r="K151" s="137"/>
      <c r="L151" s="137"/>
      <c r="M151" s="137"/>
      <c r="N151" s="137"/>
      <c r="O151" s="137"/>
      <c r="Q151" s="137"/>
      <c r="R151" s="137"/>
      <c r="S151" s="137"/>
      <c r="T151" s="137"/>
      <c r="U151" s="137"/>
    </row>
    <row r="152" spans="1:31" ht="20.45" customHeight="1">
      <c r="A152" s="137"/>
      <c r="B152" s="137"/>
      <c r="C152" s="137"/>
      <c r="D152" s="137"/>
      <c r="E152" s="137"/>
      <c r="F152" s="137"/>
      <c r="G152" s="137"/>
      <c r="H152" s="137"/>
      <c r="I152" s="137"/>
      <c r="J152" s="137"/>
      <c r="K152" s="137"/>
      <c r="L152" s="137"/>
      <c r="M152" s="137"/>
      <c r="N152" s="137"/>
      <c r="O152" s="137"/>
      <c r="Q152" s="1194" t="s">
        <v>156</v>
      </c>
      <c r="R152" s="1194"/>
      <c r="S152" s="1194"/>
      <c r="T152" s="1194"/>
      <c r="U152" s="1194"/>
    </row>
    <row r="153" spans="1:31" ht="14.45" customHeight="1">
      <c r="A153" s="137"/>
      <c r="B153" s="137"/>
      <c r="C153" s="137"/>
      <c r="D153" s="137"/>
      <c r="E153" s="137"/>
      <c r="F153" s="137"/>
      <c r="G153" s="137"/>
      <c r="H153" s="137"/>
      <c r="I153" s="137"/>
      <c r="J153" s="137"/>
      <c r="K153" s="137"/>
      <c r="L153" s="137"/>
      <c r="M153" s="137"/>
      <c r="N153" s="137"/>
      <c r="O153" s="137"/>
      <c r="Q153" s="137"/>
      <c r="R153" s="137"/>
      <c r="S153" s="408"/>
      <c r="T153" s="408"/>
      <c r="U153" s="408"/>
    </row>
    <row r="154" spans="1:31" ht="14.45" customHeight="1">
      <c r="A154" s="137"/>
      <c r="B154" s="137"/>
      <c r="C154" s="137"/>
      <c r="D154" s="137"/>
      <c r="E154" s="137"/>
      <c r="F154" s="137"/>
      <c r="G154" s="137"/>
      <c r="H154" s="137"/>
      <c r="I154" s="137"/>
      <c r="J154" s="137"/>
      <c r="K154" s="137"/>
      <c r="L154" s="137"/>
      <c r="M154" s="137"/>
      <c r="N154" s="137"/>
      <c r="O154" s="137"/>
      <c r="Q154" s="137"/>
      <c r="R154" s="137"/>
      <c r="S154" s="408"/>
      <c r="T154" s="408"/>
      <c r="U154" s="408"/>
    </row>
    <row r="155" spans="1:31" ht="14.45" customHeight="1">
      <c r="A155" s="137"/>
      <c r="B155" s="137"/>
      <c r="C155" s="137"/>
      <c r="D155" s="137"/>
      <c r="E155" s="137"/>
      <c r="F155" s="137"/>
      <c r="G155" s="137"/>
      <c r="H155" s="137"/>
      <c r="I155" s="137"/>
      <c r="J155" s="137"/>
      <c r="K155" s="137"/>
      <c r="L155" s="137"/>
      <c r="M155" s="137"/>
      <c r="N155" s="137"/>
      <c r="O155" s="137"/>
      <c r="Q155" s="137"/>
      <c r="R155" s="137"/>
      <c r="S155" s="408"/>
      <c r="T155" s="408"/>
      <c r="U155" s="408"/>
    </row>
    <row r="156" spans="1:31" ht="14.45" customHeight="1">
      <c r="A156" s="137"/>
      <c r="B156" s="137"/>
      <c r="C156" s="137"/>
      <c r="D156" s="137"/>
      <c r="E156" s="137"/>
      <c r="F156" s="137"/>
      <c r="G156" s="137"/>
      <c r="H156" s="137"/>
      <c r="I156" s="137"/>
      <c r="J156" s="137"/>
      <c r="K156" s="137"/>
      <c r="L156" s="137"/>
      <c r="M156" s="137"/>
      <c r="N156" s="137"/>
      <c r="O156" s="137"/>
      <c r="Q156" s="137"/>
      <c r="R156" s="137"/>
      <c r="S156" s="408"/>
      <c r="T156" s="408"/>
      <c r="U156" s="408"/>
    </row>
    <row r="157" spans="1:31" ht="14.65" customHeight="1">
      <c r="A157" s="137"/>
      <c r="B157" s="137"/>
      <c r="C157" s="137"/>
      <c r="D157" s="137"/>
      <c r="E157" s="137"/>
      <c r="F157" s="137"/>
      <c r="G157" s="137"/>
      <c r="H157" s="137"/>
      <c r="I157" s="137"/>
      <c r="J157" s="137"/>
      <c r="K157" s="137"/>
      <c r="L157" s="137"/>
      <c r="M157" s="137"/>
      <c r="N157" s="137"/>
      <c r="O157" s="137"/>
      <c r="Q157" s="137"/>
      <c r="R157" s="137"/>
      <c r="S157" s="408"/>
      <c r="T157" s="408"/>
      <c r="U157" s="408"/>
      <c r="Y157" s="186"/>
      <c r="Z157" s="186"/>
      <c r="AA157" s="137"/>
      <c r="AB157" s="137"/>
      <c r="AC157" s="137"/>
      <c r="AD157" s="137"/>
      <c r="AE157" s="137"/>
    </row>
    <row r="158" spans="1:31">
      <c r="A158" s="137"/>
      <c r="B158" s="137"/>
      <c r="C158" s="137"/>
      <c r="D158" s="137"/>
      <c r="E158" s="137"/>
      <c r="F158" s="137"/>
      <c r="G158" s="137"/>
      <c r="H158" s="137"/>
      <c r="I158" s="137"/>
      <c r="J158" s="137"/>
      <c r="K158" s="137"/>
      <c r="L158" s="137"/>
      <c r="M158" s="137"/>
      <c r="N158" s="137"/>
      <c r="O158" s="137"/>
      <c r="Q158" s="137"/>
      <c r="R158" s="137"/>
      <c r="S158" s="137"/>
      <c r="T158" s="137"/>
      <c r="U158" s="137"/>
      <c r="Y158" s="186"/>
      <c r="Z158" s="186"/>
      <c r="AA158" s="137"/>
      <c r="AB158" s="137"/>
      <c r="AC158" s="137"/>
      <c r="AD158" s="137"/>
      <c r="AE158" s="137"/>
    </row>
    <row r="159" spans="1:31">
      <c r="A159" s="137"/>
      <c r="B159" s="137"/>
      <c r="C159" s="137"/>
      <c r="D159" s="137"/>
      <c r="E159" s="137"/>
      <c r="F159" s="137"/>
      <c r="G159" s="137"/>
      <c r="H159" s="137"/>
      <c r="I159" s="137"/>
      <c r="J159" s="137"/>
      <c r="K159" s="137"/>
      <c r="L159" s="137"/>
      <c r="M159" s="137"/>
      <c r="N159" s="137"/>
      <c r="O159" s="137"/>
      <c r="Q159" s="137"/>
      <c r="R159" s="137"/>
      <c r="S159" s="137"/>
      <c r="T159" s="137"/>
      <c r="U159" s="137"/>
      <c r="Y159" s="186"/>
      <c r="Z159" s="186"/>
      <c r="AA159" s="137"/>
      <c r="AB159" s="137"/>
      <c r="AC159" s="137"/>
      <c r="AD159" s="137"/>
      <c r="AE159" s="137"/>
    </row>
    <row r="160" spans="1:31" ht="21">
      <c r="A160" s="137"/>
      <c r="B160" s="137"/>
      <c r="C160" s="137"/>
      <c r="D160" s="137"/>
      <c r="E160" s="137"/>
      <c r="F160" s="137"/>
      <c r="G160" s="137"/>
      <c r="H160" s="137"/>
      <c r="I160" s="137"/>
      <c r="J160" s="137"/>
      <c r="K160" s="137"/>
      <c r="L160" s="137"/>
      <c r="M160" s="137"/>
      <c r="N160" s="137"/>
      <c r="O160" s="137"/>
      <c r="Q160" s="137"/>
      <c r="R160" s="632"/>
      <c r="S160" s="137"/>
      <c r="T160" s="137"/>
      <c r="U160" s="137"/>
      <c r="Y160" s="186"/>
      <c r="Z160" s="186"/>
      <c r="AA160" s="137"/>
      <c r="AB160" s="137"/>
      <c r="AC160" s="137"/>
      <c r="AD160" s="137"/>
      <c r="AE160" s="137"/>
    </row>
    <row r="161" spans="1:31" ht="16.149999999999999" thickBot="1">
      <c r="A161" s="137"/>
      <c r="B161" s="137"/>
      <c r="C161" s="137"/>
      <c r="D161" s="137"/>
      <c r="E161" s="137"/>
      <c r="F161" s="137"/>
      <c r="G161" s="137"/>
      <c r="H161" s="137"/>
      <c r="I161" s="137"/>
      <c r="J161" s="137"/>
      <c r="K161" s="137"/>
      <c r="L161" s="137"/>
      <c r="M161" s="137"/>
      <c r="N161" s="137"/>
      <c r="O161" s="137"/>
      <c r="Q161" s="137"/>
      <c r="R161" s="585"/>
      <c r="S161" s="137"/>
      <c r="T161" s="137"/>
      <c r="U161" s="137"/>
      <c r="Y161" s="186"/>
      <c r="Z161" s="186"/>
      <c r="AA161" s="585" t="s">
        <v>157</v>
      </c>
      <c r="AB161" s="137"/>
      <c r="AC161" s="137"/>
      <c r="AD161" s="137"/>
      <c r="AE161" s="137"/>
    </row>
    <row r="162" spans="1:31" ht="15" customHeight="1" thickTop="1" thickBot="1">
      <c r="A162" s="137"/>
      <c r="B162" s="137"/>
      <c r="C162" s="137"/>
      <c r="D162" s="137"/>
      <c r="E162" s="137"/>
      <c r="F162" s="137"/>
      <c r="G162" s="137"/>
      <c r="H162" s="137"/>
      <c r="I162" s="137"/>
      <c r="J162" s="137"/>
      <c r="K162" s="137"/>
      <c r="L162" s="137"/>
      <c r="M162" s="137"/>
      <c r="N162" s="137"/>
      <c r="O162" s="137"/>
      <c r="Q162" s="137"/>
      <c r="R162" s="408"/>
      <c r="S162" s="137"/>
      <c r="T162" s="137"/>
      <c r="U162" s="137"/>
      <c r="Y162" s="186"/>
      <c r="Z162" s="186"/>
      <c r="AA162" s="1386" t="s">
        <v>158</v>
      </c>
      <c r="AB162" s="1389" t="s">
        <v>159</v>
      </c>
      <c r="AC162" s="1390"/>
      <c r="AD162" s="1391"/>
      <c r="AE162" s="137"/>
    </row>
    <row r="163" spans="1:31" ht="14.1" customHeight="1" thickBot="1">
      <c r="A163" s="137"/>
      <c r="B163" s="137"/>
      <c r="C163" s="137"/>
      <c r="D163" s="137"/>
      <c r="E163" s="137"/>
      <c r="F163" s="137"/>
      <c r="G163" s="137"/>
      <c r="H163" s="137"/>
      <c r="I163" s="137"/>
      <c r="J163" s="137"/>
      <c r="K163" s="137"/>
      <c r="L163" s="137"/>
      <c r="M163" s="137"/>
      <c r="N163" s="137"/>
      <c r="O163" s="137"/>
      <c r="Q163" s="137"/>
      <c r="R163" s="408"/>
      <c r="S163" s="611"/>
      <c r="T163" s="611"/>
      <c r="U163" s="611"/>
      <c r="Y163" s="186"/>
      <c r="Z163" s="186"/>
      <c r="AA163" s="1387"/>
      <c r="AB163" s="1294" t="s">
        <v>160</v>
      </c>
      <c r="AC163" s="1295"/>
      <c r="AD163" s="1296"/>
      <c r="AE163" s="137"/>
    </row>
    <row r="164" spans="1:31" ht="14.45" customHeight="1" thickTop="1" thickBot="1">
      <c r="A164" s="137"/>
      <c r="B164" s="137"/>
      <c r="C164" s="137"/>
      <c r="D164" s="137"/>
      <c r="E164" s="137"/>
      <c r="F164" s="137"/>
      <c r="G164" s="137"/>
      <c r="H164" s="137"/>
      <c r="I164" s="137"/>
      <c r="J164" s="137"/>
      <c r="K164" s="137"/>
      <c r="L164" s="137"/>
      <c r="M164" s="137"/>
      <c r="N164" s="137"/>
      <c r="O164" s="137"/>
      <c r="Q164" s="137"/>
      <c r="R164" s="408"/>
      <c r="S164" s="582"/>
      <c r="T164" s="582"/>
      <c r="U164" s="582"/>
      <c r="Y164" s="186"/>
      <c r="Z164" s="186"/>
      <c r="AA164" s="1388"/>
      <c r="AB164" s="561" t="s">
        <v>161</v>
      </c>
      <c r="AC164" s="562" t="s">
        <v>162</v>
      </c>
      <c r="AD164" s="563" t="s">
        <v>163</v>
      </c>
      <c r="AE164" s="137"/>
    </row>
    <row r="165" spans="1:31" ht="16.149999999999999" thickBot="1">
      <c r="A165" s="137"/>
      <c r="B165" s="137"/>
      <c r="C165" s="137"/>
      <c r="D165" s="137"/>
      <c r="E165" s="137"/>
      <c r="F165" s="137"/>
      <c r="G165" s="137"/>
      <c r="H165" s="137"/>
      <c r="I165" s="137"/>
      <c r="J165" s="137"/>
      <c r="K165" s="137"/>
      <c r="L165" s="137"/>
      <c r="M165" s="137"/>
      <c r="N165" s="137"/>
      <c r="O165" s="137"/>
      <c r="Q165" s="137"/>
      <c r="R165" s="186"/>
      <c r="S165" s="186"/>
      <c r="T165" s="187"/>
      <c r="U165" s="187"/>
      <c r="Y165" s="186"/>
      <c r="Z165" s="186"/>
      <c r="AA165" s="587" t="s">
        <v>164</v>
      </c>
      <c r="AB165" s="221">
        <v>9.36</v>
      </c>
      <c r="AC165" s="220">
        <v>9.5</v>
      </c>
      <c r="AD165" s="222">
        <v>12</v>
      </c>
      <c r="AE165" s="137"/>
    </row>
    <row r="166" spans="1:31">
      <c r="A166" s="137"/>
      <c r="B166" s="137"/>
      <c r="C166" s="137"/>
      <c r="D166" s="137"/>
      <c r="E166" s="137"/>
      <c r="F166" s="137"/>
      <c r="G166" s="137"/>
      <c r="H166" s="137"/>
      <c r="I166" s="137"/>
      <c r="J166" s="137"/>
      <c r="K166" s="137"/>
      <c r="L166" s="137"/>
      <c r="M166" s="137"/>
      <c r="N166" s="137"/>
      <c r="O166" s="137"/>
      <c r="Q166" s="137"/>
      <c r="R166" s="137"/>
      <c r="S166" s="137"/>
      <c r="T166" s="137"/>
      <c r="U166" s="137"/>
      <c r="Y166" s="186"/>
      <c r="Z166" s="186"/>
      <c r="AA166" s="137"/>
      <c r="AB166" s="137"/>
      <c r="AC166" s="137"/>
      <c r="AD166" s="137"/>
      <c r="AE166" s="137"/>
    </row>
    <row r="167" spans="1:31">
      <c r="A167" s="137"/>
      <c r="B167" s="137"/>
      <c r="C167" s="137"/>
      <c r="D167" s="137"/>
      <c r="E167" s="137"/>
      <c r="F167" s="137"/>
      <c r="G167" s="137"/>
      <c r="H167" s="137"/>
      <c r="I167" s="137"/>
      <c r="J167" s="137"/>
      <c r="K167" s="137"/>
      <c r="L167" s="137"/>
      <c r="M167" s="137"/>
      <c r="N167" s="137"/>
      <c r="O167" s="137"/>
      <c r="Q167" s="137"/>
      <c r="R167" s="137"/>
      <c r="S167" s="137"/>
      <c r="T167" s="137"/>
      <c r="U167" s="137"/>
      <c r="Y167" s="186"/>
      <c r="Z167" s="186"/>
      <c r="AA167" s="137"/>
      <c r="AB167" s="137"/>
      <c r="AC167" s="137"/>
      <c r="AD167" s="137"/>
      <c r="AE167" s="137"/>
    </row>
    <row r="168" spans="1:31" ht="15.6">
      <c r="A168" s="137"/>
      <c r="B168" s="137"/>
      <c r="C168" s="137"/>
      <c r="D168" s="137"/>
      <c r="E168" s="137"/>
      <c r="F168" s="137"/>
      <c r="G168" s="137"/>
      <c r="H168" s="137"/>
      <c r="I168" s="137"/>
      <c r="J168" s="137"/>
      <c r="K168" s="137"/>
      <c r="L168" s="137"/>
      <c r="M168" s="137"/>
      <c r="N168" s="137"/>
      <c r="O168" s="137"/>
      <c r="Q168" s="137"/>
      <c r="R168" s="585"/>
      <c r="S168" s="137"/>
      <c r="T168" s="137"/>
      <c r="U168" s="137"/>
      <c r="Y168" s="186"/>
      <c r="Z168" s="186"/>
      <c r="AA168" s="137"/>
      <c r="AB168" s="137"/>
      <c r="AC168" s="137"/>
      <c r="AD168" s="137"/>
      <c r="AE168" s="137"/>
    </row>
    <row r="169" spans="1:31" ht="16.149999999999999" customHeight="1" thickBot="1">
      <c r="A169" s="137"/>
      <c r="B169" s="137"/>
      <c r="C169" s="137"/>
      <c r="D169" s="137"/>
      <c r="E169" s="137"/>
      <c r="F169" s="137"/>
      <c r="G169" s="137"/>
      <c r="H169" s="137"/>
      <c r="I169" s="137"/>
      <c r="J169" s="137"/>
      <c r="K169" s="137"/>
      <c r="L169" s="137"/>
      <c r="M169" s="137"/>
      <c r="N169" s="137"/>
      <c r="O169" s="137"/>
      <c r="Q169" s="137"/>
      <c r="R169" s="408"/>
      <c r="S169" s="137"/>
      <c r="T169" s="137"/>
      <c r="U169" s="137"/>
      <c r="Y169" s="186"/>
      <c r="Z169" s="186"/>
      <c r="AA169" s="137"/>
      <c r="AB169" s="137"/>
      <c r="AC169" s="137"/>
      <c r="AD169" s="137"/>
      <c r="AE169" s="137"/>
    </row>
    <row r="170" spans="1:31" ht="15.6" thickTop="1" thickBot="1">
      <c r="A170" s="137"/>
      <c r="B170" s="137"/>
      <c r="C170" s="137"/>
      <c r="D170" s="137"/>
      <c r="E170" s="137"/>
      <c r="F170" s="137"/>
      <c r="G170" s="137"/>
      <c r="H170" s="137"/>
      <c r="I170" s="137"/>
      <c r="J170" s="137"/>
      <c r="K170" s="137"/>
      <c r="L170" s="137"/>
      <c r="M170" s="137"/>
      <c r="N170" s="137"/>
      <c r="O170" s="137"/>
      <c r="Q170" s="137"/>
      <c r="R170" s="408"/>
      <c r="S170" s="611"/>
      <c r="T170" s="611"/>
      <c r="U170" s="611"/>
      <c r="Y170" s="186"/>
      <c r="Z170" s="186"/>
      <c r="AA170" s="1392" t="s">
        <v>165</v>
      </c>
      <c r="AB170" s="1393"/>
      <c r="AC170" s="586">
        <v>9.36</v>
      </c>
      <c r="AD170" s="577"/>
      <c r="AE170" s="137"/>
    </row>
    <row r="171" spans="1:31" ht="15" thickTop="1">
      <c r="A171" s="137"/>
      <c r="B171" s="137"/>
      <c r="C171" s="137"/>
      <c r="D171" s="137"/>
      <c r="E171" s="137"/>
      <c r="F171" s="137"/>
      <c r="G171" s="137"/>
      <c r="H171" s="137"/>
      <c r="I171" s="137"/>
      <c r="J171" s="137"/>
      <c r="K171" s="137"/>
      <c r="L171" s="137"/>
      <c r="M171" s="137"/>
      <c r="N171" s="137"/>
      <c r="O171" s="137"/>
      <c r="Q171" s="137"/>
      <c r="R171" s="408"/>
      <c r="S171" s="582"/>
      <c r="T171" s="582"/>
      <c r="U171" s="582"/>
      <c r="Y171" s="186"/>
      <c r="Z171" s="186"/>
      <c r="AA171" s="137"/>
      <c r="AB171" s="137"/>
      <c r="AC171" s="137"/>
      <c r="AD171" s="137"/>
      <c r="AE171" s="137"/>
    </row>
    <row r="172" spans="1:31">
      <c r="A172" s="137"/>
      <c r="B172" s="137"/>
      <c r="C172" s="137"/>
      <c r="D172" s="137"/>
      <c r="E172" s="137"/>
      <c r="F172" s="137"/>
      <c r="G172" s="137"/>
      <c r="H172" s="137"/>
      <c r="I172" s="137"/>
      <c r="J172" s="137"/>
      <c r="K172" s="137"/>
      <c r="L172" s="137"/>
      <c r="M172" s="137"/>
      <c r="N172" s="137"/>
      <c r="O172" s="137"/>
      <c r="Q172" s="137"/>
      <c r="R172" s="186"/>
      <c r="S172" s="186"/>
      <c r="T172" s="187"/>
      <c r="U172" s="187"/>
      <c r="Y172" s="186"/>
      <c r="Z172" s="186"/>
      <c r="AA172" s="137"/>
      <c r="AB172" s="137"/>
      <c r="AC172" s="137"/>
      <c r="AD172" s="137"/>
      <c r="AE172" s="137"/>
    </row>
    <row r="173" spans="1:31">
      <c r="A173" s="137"/>
      <c r="B173" s="137"/>
      <c r="C173" s="137"/>
      <c r="D173" s="137"/>
      <c r="E173" s="137"/>
      <c r="F173" s="137"/>
      <c r="G173" s="137"/>
      <c r="H173" s="137"/>
      <c r="I173" s="137"/>
      <c r="J173" s="137"/>
      <c r="K173" s="137"/>
      <c r="L173" s="137"/>
      <c r="M173" s="137"/>
      <c r="N173" s="137"/>
      <c r="O173" s="137"/>
      <c r="Q173" s="137"/>
      <c r="R173" s="137"/>
      <c r="S173" s="137"/>
      <c r="T173" s="137"/>
      <c r="U173" s="137"/>
      <c r="Y173" s="186"/>
      <c r="Z173" s="186"/>
      <c r="AA173" s="137"/>
      <c r="AB173" s="137"/>
      <c r="AC173" s="137"/>
      <c r="AD173" s="137"/>
      <c r="AE173" s="137"/>
    </row>
    <row r="174" spans="1:31">
      <c r="A174" s="137"/>
      <c r="B174" s="137"/>
      <c r="C174" s="137"/>
      <c r="D174" s="137"/>
      <c r="E174" s="137"/>
      <c r="F174" s="137"/>
      <c r="G174" s="137"/>
      <c r="H174" s="137"/>
      <c r="I174" s="137"/>
      <c r="J174" s="137"/>
      <c r="K174" s="137"/>
      <c r="L174" s="137"/>
      <c r="M174" s="137"/>
      <c r="N174" s="137"/>
      <c r="O174" s="137"/>
      <c r="Q174" s="137"/>
      <c r="R174" s="137"/>
      <c r="S174" s="137"/>
      <c r="T174" s="137"/>
      <c r="U174" s="137"/>
      <c r="Y174" s="186"/>
      <c r="Z174" s="186"/>
      <c r="AA174" s="137"/>
      <c r="AB174" s="137"/>
      <c r="AC174" s="137"/>
      <c r="AD174" s="137"/>
      <c r="AE174" s="137"/>
    </row>
    <row r="175" spans="1:31" ht="15.6">
      <c r="A175" s="137"/>
      <c r="B175" s="137"/>
      <c r="C175" s="137"/>
      <c r="D175" s="137"/>
      <c r="E175" s="137"/>
      <c r="F175" s="137"/>
      <c r="G175" s="137"/>
      <c r="H175" s="137"/>
      <c r="I175" s="137"/>
      <c r="J175" s="137"/>
      <c r="K175" s="137"/>
      <c r="L175" s="137"/>
      <c r="M175" s="137"/>
      <c r="N175" s="137"/>
      <c r="O175" s="137"/>
      <c r="Q175" s="137"/>
      <c r="R175" s="585"/>
      <c r="S175" s="137"/>
      <c r="T175" s="137"/>
      <c r="U175" s="137"/>
      <c r="Y175" s="186"/>
      <c r="Z175" s="186"/>
      <c r="AA175" s="137"/>
      <c r="AB175" s="137"/>
      <c r="AC175" s="137"/>
      <c r="AD175" s="137"/>
      <c r="AE175" s="137"/>
    </row>
    <row r="176" spans="1:31">
      <c r="A176" s="137"/>
      <c r="B176" s="137"/>
      <c r="C176" s="137"/>
      <c r="D176" s="137"/>
      <c r="E176" s="137"/>
      <c r="F176" s="137"/>
      <c r="G176" s="137"/>
      <c r="H176" s="137"/>
      <c r="I176" s="137"/>
      <c r="J176" s="137"/>
      <c r="K176" s="137"/>
      <c r="L176" s="137"/>
      <c r="M176" s="137"/>
      <c r="N176" s="137"/>
      <c r="O176" s="137"/>
      <c r="Q176" s="137"/>
      <c r="R176" s="408"/>
      <c r="S176" s="137"/>
      <c r="T176" s="137"/>
      <c r="U176" s="137"/>
    </row>
    <row r="177" spans="1:21">
      <c r="A177" s="137"/>
      <c r="B177" s="137"/>
      <c r="C177" s="137"/>
      <c r="D177" s="137"/>
      <c r="E177" s="137"/>
      <c r="F177" s="137"/>
      <c r="G177" s="137"/>
      <c r="H177" s="137"/>
      <c r="I177" s="137"/>
      <c r="J177" s="137"/>
      <c r="K177" s="137"/>
      <c r="L177" s="137"/>
      <c r="M177" s="137"/>
      <c r="N177" s="137"/>
      <c r="O177" s="137"/>
      <c r="Q177" s="137"/>
      <c r="R177" s="408"/>
      <c r="S177" s="611"/>
      <c r="T177" s="611"/>
      <c r="U177" s="611"/>
    </row>
    <row r="178" spans="1:21">
      <c r="A178" s="137"/>
      <c r="B178" s="137"/>
      <c r="C178" s="137"/>
      <c r="D178" s="137"/>
      <c r="E178" s="137"/>
      <c r="F178" s="137"/>
      <c r="G178" s="137"/>
      <c r="H178" s="137"/>
      <c r="I178" s="137"/>
      <c r="J178" s="137"/>
      <c r="K178" s="137"/>
      <c r="L178" s="137"/>
      <c r="M178" s="137"/>
      <c r="N178" s="137"/>
      <c r="O178" s="137"/>
      <c r="Q178" s="137"/>
      <c r="R178" s="408"/>
      <c r="S178" s="582"/>
      <c r="T178" s="582"/>
      <c r="U178" s="582"/>
    </row>
    <row r="179" spans="1:21" ht="15.6">
      <c r="A179" s="137"/>
      <c r="B179" s="137"/>
      <c r="C179" s="137"/>
      <c r="D179" s="137"/>
      <c r="E179" s="137"/>
      <c r="F179" s="137"/>
      <c r="G179" s="137"/>
      <c r="H179" s="137"/>
      <c r="I179" s="137"/>
      <c r="J179" s="137"/>
      <c r="K179" s="137"/>
      <c r="L179" s="137"/>
      <c r="M179" s="137"/>
      <c r="N179" s="137"/>
      <c r="O179" s="137"/>
      <c r="Q179" s="137"/>
      <c r="R179" s="633"/>
      <c r="S179" s="186"/>
      <c r="T179" s="187"/>
      <c r="U179" s="187"/>
    </row>
    <row r="180" spans="1:21">
      <c r="A180" s="137"/>
      <c r="B180" s="137"/>
      <c r="C180" s="137"/>
      <c r="D180" s="137"/>
      <c r="E180" s="137"/>
      <c r="F180" s="137"/>
      <c r="G180" s="137"/>
      <c r="H180" s="137"/>
      <c r="I180" s="137"/>
      <c r="J180" s="137"/>
      <c r="K180" s="137"/>
      <c r="L180" s="137"/>
      <c r="M180" s="137"/>
      <c r="N180" s="137"/>
      <c r="O180" s="137"/>
      <c r="Q180" s="137"/>
      <c r="R180" s="137"/>
      <c r="S180" s="137"/>
      <c r="T180" s="137"/>
      <c r="U180" s="137"/>
    </row>
    <row r="181" spans="1:21">
      <c r="A181" s="137"/>
      <c r="B181" s="137"/>
      <c r="C181" s="137"/>
      <c r="D181" s="137"/>
      <c r="E181" s="137"/>
      <c r="F181" s="137"/>
      <c r="G181" s="137"/>
      <c r="H181" s="137"/>
      <c r="I181" s="137"/>
      <c r="J181" s="137"/>
      <c r="K181" s="137"/>
      <c r="L181" s="137"/>
      <c r="M181" s="137"/>
      <c r="N181" s="137"/>
      <c r="O181" s="137"/>
      <c r="Q181" s="137"/>
      <c r="R181" s="137"/>
      <c r="S181" s="137"/>
      <c r="T181" s="137"/>
      <c r="U181" s="137"/>
    </row>
    <row r="182" spans="1:21">
      <c r="A182" s="137"/>
      <c r="B182" s="137"/>
      <c r="C182" s="137"/>
      <c r="D182" s="137"/>
      <c r="E182" s="137"/>
      <c r="F182" s="137"/>
      <c r="G182" s="137"/>
      <c r="H182" s="137"/>
      <c r="I182" s="137"/>
      <c r="J182" s="137"/>
      <c r="K182" s="137"/>
      <c r="L182" s="137"/>
      <c r="M182" s="137"/>
      <c r="N182" s="137"/>
      <c r="O182" s="137"/>
      <c r="Q182" s="137"/>
      <c r="R182" s="634"/>
      <c r="S182" s="137"/>
      <c r="T182" s="137"/>
      <c r="U182" s="137"/>
    </row>
    <row r="183" spans="1:21">
      <c r="A183" s="137"/>
      <c r="B183" s="137"/>
      <c r="C183" s="137"/>
      <c r="D183" s="137"/>
      <c r="E183" s="137"/>
      <c r="F183" s="137"/>
      <c r="G183" s="137"/>
      <c r="H183" s="137"/>
      <c r="I183" s="137"/>
      <c r="J183" s="137"/>
      <c r="K183" s="137"/>
      <c r="L183" s="137"/>
      <c r="M183" s="137"/>
      <c r="N183" s="137"/>
      <c r="O183" s="137"/>
      <c r="Q183" s="137"/>
      <c r="R183" s="137"/>
      <c r="S183" s="137"/>
      <c r="T183" s="137"/>
      <c r="U183" s="137"/>
    </row>
    <row r="184" spans="1:21">
      <c r="A184" s="137"/>
      <c r="B184" s="137"/>
      <c r="C184" s="137"/>
      <c r="D184" s="137"/>
      <c r="E184" s="137"/>
      <c r="F184" s="137"/>
      <c r="G184" s="137"/>
      <c r="H184" s="137"/>
      <c r="I184" s="137"/>
      <c r="J184" s="137"/>
      <c r="K184" s="137"/>
      <c r="L184" s="137"/>
      <c r="M184" s="137"/>
      <c r="N184" s="137"/>
      <c r="O184" s="137"/>
      <c r="Q184" s="137"/>
      <c r="R184" s="137"/>
      <c r="S184" s="137"/>
      <c r="T184" s="137"/>
      <c r="U184" s="137"/>
    </row>
    <row r="185" spans="1:21">
      <c r="A185" s="137"/>
      <c r="B185" s="137"/>
      <c r="C185" s="137"/>
      <c r="D185" s="137"/>
      <c r="E185" s="137"/>
      <c r="F185" s="137"/>
      <c r="G185" s="137"/>
      <c r="H185" s="137"/>
      <c r="I185" s="137"/>
      <c r="J185" s="137"/>
      <c r="K185" s="137"/>
      <c r="L185" s="137"/>
      <c r="M185" s="137"/>
      <c r="N185" s="137"/>
      <c r="O185" s="137"/>
      <c r="Q185" s="137"/>
      <c r="R185" s="137"/>
      <c r="S185" s="137"/>
      <c r="T185" s="137"/>
      <c r="U185" s="137"/>
    </row>
    <row r="186" spans="1:21">
      <c r="A186" s="137"/>
      <c r="B186" s="137"/>
      <c r="C186" s="137"/>
      <c r="D186" s="137"/>
      <c r="E186" s="137"/>
      <c r="F186" s="137"/>
      <c r="G186" s="137"/>
      <c r="H186" s="137"/>
      <c r="I186" s="137"/>
      <c r="J186" s="137"/>
      <c r="K186" s="137"/>
      <c r="L186" s="137"/>
      <c r="M186" s="137"/>
      <c r="N186" s="137"/>
      <c r="O186" s="137"/>
      <c r="Q186" s="137"/>
      <c r="R186" s="137"/>
      <c r="S186" s="137"/>
      <c r="T186" s="137"/>
      <c r="U186" s="137"/>
    </row>
    <row r="187" spans="1:21" ht="14.45" customHeight="1">
      <c r="A187" s="137"/>
      <c r="B187" s="137"/>
      <c r="C187" s="137"/>
      <c r="D187" s="137"/>
      <c r="E187" s="137"/>
      <c r="F187" s="137"/>
      <c r="G187" s="137"/>
      <c r="H187" s="137"/>
      <c r="I187" s="137"/>
      <c r="J187" s="137"/>
      <c r="K187" s="137"/>
      <c r="L187" s="137"/>
      <c r="M187" s="137"/>
      <c r="N187" s="137"/>
      <c r="O187" s="137"/>
      <c r="P187" s="137"/>
      <c r="Q187" s="137"/>
      <c r="R187" s="137"/>
      <c r="S187" s="137"/>
      <c r="T187" s="137"/>
      <c r="U187" s="137"/>
    </row>
    <row r="188" spans="1:21" ht="14.45" customHeight="1">
      <c r="A188" s="137"/>
      <c r="B188" s="137"/>
      <c r="C188" s="137"/>
      <c r="D188" s="137"/>
      <c r="E188" s="137"/>
      <c r="F188" s="137"/>
      <c r="G188" s="137"/>
      <c r="H188" s="137"/>
      <c r="I188" s="137"/>
      <c r="J188" s="137"/>
      <c r="K188" s="137"/>
      <c r="L188" s="137"/>
      <c r="M188" s="137"/>
      <c r="N188" s="137"/>
      <c r="O188" s="137"/>
      <c r="P188" s="137"/>
      <c r="Q188" s="137"/>
      <c r="R188" s="137"/>
      <c r="S188" s="137"/>
      <c r="T188" s="137"/>
      <c r="U188" s="137"/>
    </row>
    <row r="189" spans="1:21" ht="14.45" customHeight="1">
      <c r="A189" s="137"/>
      <c r="B189" s="137"/>
      <c r="C189" s="137"/>
      <c r="D189" s="137"/>
      <c r="E189" s="137"/>
      <c r="F189" s="137"/>
      <c r="G189" s="137"/>
      <c r="H189" s="137"/>
      <c r="I189" s="137"/>
      <c r="J189" s="137"/>
      <c r="K189" s="137"/>
      <c r="L189" s="137"/>
      <c r="M189" s="137"/>
      <c r="N189" s="137"/>
      <c r="O189" s="137"/>
      <c r="P189" s="137"/>
      <c r="Q189" s="137"/>
      <c r="R189" s="137"/>
      <c r="S189" s="137"/>
      <c r="T189" s="137"/>
      <c r="U189" s="137"/>
    </row>
    <row r="190" spans="1:21" ht="14.45" customHeight="1">
      <c r="A190" s="137"/>
      <c r="B190" s="137"/>
      <c r="C190" s="137"/>
      <c r="D190" s="137"/>
      <c r="E190" s="137"/>
      <c r="F190" s="137"/>
      <c r="G190" s="137"/>
      <c r="H190" s="137"/>
      <c r="I190" s="137"/>
      <c r="J190" s="137"/>
      <c r="K190" s="137"/>
      <c r="L190" s="137"/>
      <c r="M190" s="137"/>
      <c r="N190" s="137"/>
      <c r="O190" s="137"/>
      <c r="P190" s="137"/>
      <c r="Q190" s="137"/>
      <c r="R190" s="137"/>
      <c r="S190" s="137"/>
      <c r="T190" s="137"/>
      <c r="U190" s="137"/>
    </row>
    <row r="191" spans="1:21" ht="16.899999999999999" customHeight="1">
      <c r="A191" s="137"/>
      <c r="B191" s="137"/>
      <c r="C191" s="137"/>
      <c r="D191" s="137"/>
      <c r="E191" s="137"/>
      <c r="F191" s="137"/>
      <c r="G191" s="137"/>
      <c r="H191" s="137"/>
      <c r="I191" s="137"/>
      <c r="J191" s="137"/>
      <c r="K191" s="137"/>
      <c r="L191" s="137"/>
      <c r="M191" s="137"/>
      <c r="N191" s="137"/>
      <c r="O191" s="137"/>
      <c r="P191" s="137"/>
      <c r="Q191" s="137"/>
      <c r="R191" s="137"/>
      <c r="S191" s="137"/>
      <c r="T191" s="137"/>
      <c r="U191" s="137"/>
    </row>
    <row r="192" spans="1:21" ht="16.899999999999999" customHeight="1">
      <c r="A192" s="1376" t="s">
        <v>161</v>
      </c>
      <c r="B192" s="1376"/>
      <c r="C192" s="1376"/>
      <c r="D192" s="1376"/>
      <c r="E192" s="1376"/>
      <c r="F192" s="1376"/>
      <c r="G192" s="1376"/>
      <c r="H192" s="1376"/>
      <c r="I192" s="635"/>
      <c r="J192" s="1454" t="s">
        <v>166</v>
      </c>
      <c r="K192" s="1454"/>
      <c r="L192" s="1454"/>
      <c r="M192" s="137"/>
      <c r="N192" s="1400" t="s">
        <v>167</v>
      </c>
      <c r="O192" s="1400"/>
      <c r="P192" s="1400"/>
      <c r="Q192" s="1400"/>
      <c r="R192" s="591"/>
      <c r="S192" s="591"/>
      <c r="T192" s="591"/>
      <c r="U192" s="137"/>
    </row>
    <row r="193" spans="1:21" ht="16.899999999999999" customHeight="1">
      <c r="A193" s="1376"/>
      <c r="B193" s="1376"/>
      <c r="C193" s="1376"/>
      <c r="D193" s="1376"/>
      <c r="E193" s="1376"/>
      <c r="F193" s="1376"/>
      <c r="G193" s="1376"/>
      <c r="H193" s="1376"/>
      <c r="I193" s="635"/>
      <c r="J193" s="1454"/>
      <c r="K193" s="1454"/>
      <c r="L193" s="1454"/>
      <c r="M193" s="137"/>
      <c r="N193" s="1400"/>
      <c r="O193" s="1400"/>
      <c r="P193" s="1400"/>
      <c r="Q193" s="1400"/>
      <c r="R193" s="591"/>
      <c r="S193" s="591"/>
      <c r="T193" s="591"/>
      <c r="U193" s="137"/>
    </row>
    <row r="194" spans="1:21" ht="16.899999999999999" customHeight="1">
      <c r="A194" s="1376"/>
      <c r="B194" s="1376"/>
      <c r="C194" s="1376"/>
      <c r="D194" s="1376"/>
      <c r="E194" s="1376"/>
      <c r="F194" s="1376"/>
      <c r="G194" s="1376"/>
      <c r="H194" s="1376"/>
      <c r="I194" s="635"/>
      <c r="J194" s="1454"/>
      <c r="K194" s="1454"/>
      <c r="L194" s="1454"/>
      <c r="M194" s="137"/>
      <c r="N194" s="1400"/>
      <c r="O194" s="1400"/>
      <c r="P194" s="1400"/>
      <c r="Q194" s="1400"/>
      <c r="R194" s="591"/>
      <c r="S194" s="591"/>
      <c r="T194" s="591"/>
      <c r="U194" s="137"/>
    </row>
    <row r="195" spans="1:21" ht="16.899999999999999" customHeight="1">
      <c r="A195" s="1376"/>
      <c r="B195" s="1376"/>
      <c r="C195" s="1376"/>
      <c r="D195" s="1376"/>
      <c r="E195" s="1376"/>
      <c r="F195" s="1376"/>
      <c r="G195" s="1376"/>
      <c r="H195" s="1376"/>
      <c r="I195" s="635"/>
      <c r="J195" s="1454"/>
      <c r="K195" s="1454"/>
      <c r="L195" s="1454"/>
      <c r="M195" s="137"/>
      <c r="N195" s="1400"/>
      <c r="O195" s="1400"/>
      <c r="P195" s="1400"/>
      <c r="Q195" s="1400"/>
      <c r="R195" s="591"/>
      <c r="S195" s="591"/>
      <c r="T195" s="591"/>
      <c r="U195" s="137"/>
    </row>
    <row r="196" spans="1:21" ht="18">
      <c r="A196" s="734" t="s">
        <v>168</v>
      </c>
      <c r="B196" s="734"/>
      <c r="C196" s="734"/>
      <c r="D196" s="734"/>
      <c r="E196" s="734"/>
      <c r="F196" s="734"/>
      <c r="G196" s="734"/>
      <c r="H196" s="734"/>
      <c r="I196" s="137"/>
      <c r="J196" s="589" t="s">
        <v>169</v>
      </c>
      <c r="K196" s="137"/>
      <c r="L196" s="590" t="s">
        <v>49</v>
      </c>
      <c r="M196" s="591"/>
      <c r="N196" s="728" t="s">
        <v>170</v>
      </c>
      <c r="O196" s="137"/>
      <c r="P196" s="137"/>
      <c r="Q196" s="733"/>
      <c r="R196" s="137"/>
      <c r="S196" s="137"/>
      <c r="T196" s="137"/>
      <c r="U196" s="137"/>
    </row>
    <row r="197" spans="1:21" ht="18">
      <c r="A197" s="588"/>
      <c r="B197" s="588"/>
      <c r="C197" s="588"/>
      <c r="D197" s="588"/>
      <c r="E197" s="588"/>
      <c r="F197" s="588"/>
      <c r="G197" s="588"/>
      <c r="H197" s="588"/>
      <c r="I197" s="137"/>
      <c r="J197" s="589"/>
      <c r="K197" s="137"/>
      <c r="L197" s="590" t="s">
        <v>56</v>
      </c>
      <c r="M197" s="591"/>
      <c r="N197" s="591"/>
      <c r="O197" s="591"/>
      <c r="P197" s="591"/>
      <c r="Q197" s="591"/>
      <c r="R197" s="137"/>
      <c r="S197" s="137"/>
      <c r="T197" s="137"/>
      <c r="U197" s="137"/>
    </row>
    <row r="198" spans="1:21" ht="18">
      <c r="A198" s="588"/>
      <c r="B198" s="588"/>
      <c r="C198" s="588"/>
      <c r="D198" s="588"/>
      <c r="E198" s="588"/>
      <c r="F198" s="588"/>
      <c r="G198" s="588"/>
      <c r="H198" s="588"/>
      <c r="I198" s="137"/>
      <c r="J198" s="589"/>
      <c r="K198" s="137"/>
      <c r="L198" s="590"/>
      <c r="M198" s="591"/>
      <c r="N198" s="591"/>
      <c r="O198" s="591"/>
      <c r="P198" s="591"/>
      <c r="Q198" s="591"/>
      <c r="R198" s="137"/>
      <c r="S198" s="137"/>
      <c r="T198" s="137"/>
      <c r="U198" s="137"/>
    </row>
    <row r="199" spans="1:21" ht="18">
      <c r="A199" s="588"/>
      <c r="B199" s="588"/>
      <c r="C199" s="588"/>
      <c r="D199" s="588"/>
      <c r="E199" s="588"/>
      <c r="F199" s="588"/>
      <c r="G199" s="588"/>
      <c r="H199" s="588"/>
      <c r="I199" s="137"/>
      <c r="J199" s="589"/>
      <c r="K199" s="137"/>
      <c r="L199" s="590"/>
      <c r="M199" s="591"/>
      <c r="N199" s="591"/>
      <c r="O199" s="591"/>
      <c r="P199" s="591"/>
      <c r="Q199" s="591"/>
      <c r="R199" s="137"/>
      <c r="S199" s="137"/>
      <c r="T199" s="137"/>
      <c r="U199" s="137"/>
    </row>
    <row r="200" spans="1:21" ht="28.9">
      <c r="A200" s="1366" t="s">
        <v>171</v>
      </c>
      <c r="B200" s="1366"/>
      <c r="C200" s="1366"/>
      <c r="D200" s="1366"/>
      <c r="E200" s="1366"/>
      <c r="F200" s="1366"/>
      <c r="G200" s="1366"/>
      <c r="H200" s="1366"/>
      <c r="I200" s="1366"/>
      <c r="J200" s="1366"/>
      <c r="K200" s="1366"/>
      <c r="L200" s="1366"/>
      <c r="M200" s="1366"/>
      <c r="N200" s="1366"/>
      <c r="O200" s="1366"/>
      <c r="P200" s="1366"/>
      <c r="Q200" s="1366"/>
      <c r="R200" s="1366"/>
      <c r="S200" s="1366"/>
      <c r="T200" s="1366"/>
      <c r="U200" s="1366"/>
    </row>
    <row r="201" spans="1:21" ht="21">
      <c r="A201" s="592"/>
      <c r="B201" s="592"/>
      <c r="C201" s="592"/>
      <c r="D201" s="592"/>
      <c r="E201" s="593"/>
      <c r="F201" s="593"/>
      <c r="G201" s="593"/>
      <c r="H201" s="593"/>
      <c r="I201" s="593"/>
      <c r="J201" s="593"/>
      <c r="K201" s="593"/>
      <c r="L201" s="593"/>
      <c r="M201" s="594"/>
      <c r="N201" s="592"/>
      <c r="O201" s="592"/>
      <c r="P201" s="592"/>
      <c r="Q201" s="595"/>
      <c r="R201" s="595"/>
      <c r="S201" s="595"/>
      <c r="T201" s="595"/>
      <c r="U201" s="595"/>
    </row>
    <row r="202" spans="1:21" ht="16.899999999999999" customHeight="1">
      <c r="A202" s="137"/>
      <c r="B202" s="137"/>
      <c r="C202" s="137"/>
      <c r="D202" s="137"/>
      <c r="E202" s="1300" t="s">
        <v>172</v>
      </c>
      <c r="F202" s="1300"/>
      <c r="G202" s="1300"/>
      <c r="H202" s="1300"/>
      <c r="I202" s="1300"/>
      <c r="J202" s="137"/>
      <c r="K202" s="137"/>
      <c r="L202" s="137"/>
      <c r="M202" s="137"/>
      <c r="N202" s="137"/>
      <c r="O202" s="137"/>
      <c r="P202" s="137"/>
      <c r="Q202" s="137"/>
      <c r="R202" s="137"/>
      <c r="S202" s="137"/>
      <c r="T202" s="137"/>
      <c r="U202" s="137"/>
    </row>
    <row r="203" spans="1:21" ht="16.899999999999999" customHeight="1">
      <c r="A203" s="137"/>
      <c r="B203" s="137"/>
      <c r="C203" s="137"/>
      <c r="D203" s="137"/>
      <c r="E203" s="137"/>
      <c r="F203" s="137"/>
      <c r="G203" s="137"/>
      <c r="H203" s="137"/>
      <c r="I203" s="137"/>
      <c r="J203" s="137"/>
      <c r="K203" s="137"/>
      <c r="L203" s="137"/>
      <c r="M203" s="137"/>
      <c r="N203" s="137"/>
      <c r="O203" s="137"/>
      <c r="P203" s="137"/>
      <c r="Q203" s="137"/>
      <c r="R203" s="137"/>
      <c r="S203" s="137"/>
      <c r="T203" s="137"/>
      <c r="U203" s="137"/>
    </row>
    <row r="204" spans="1:21" ht="16.899999999999999" customHeight="1">
      <c r="A204" s="137"/>
      <c r="B204" s="137"/>
      <c r="C204" s="137"/>
      <c r="D204" s="137"/>
      <c r="E204" s="137"/>
      <c r="F204" s="137"/>
      <c r="G204" s="137"/>
      <c r="H204" s="137"/>
      <c r="I204" s="137"/>
      <c r="J204" s="137"/>
      <c r="K204" s="137"/>
      <c r="L204" s="137"/>
      <c r="M204" s="137"/>
      <c r="N204" s="137"/>
      <c r="O204" s="137"/>
      <c r="P204" s="137"/>
      <c r="Q204" s="137"/>
      <c r="R204" s="137"/>
      <c r="S204" s="137"/>
      <c r="T204" s="137"/>
      <c r="U204" s="137"/>
    </row>
    <row r="205" spans="1:21" ht="16.899999999999999" customHeight="1">
      <c r="A205" s="137"/>
      <c r="B205" s="137"/>
      <c r="C205" s="137"/>
      <c r="D205" s="137"/>
      <c r="E205" s="137"/>
      <c r="F205" s="137"/>
      <c r="G205" s="137"/>
      <c r="H205" s="137"/>
      <c r="I205" s="137"/>
      <c r="J205" s="137"/>
      <c r="K205" s="137"/>
      <c r="L205" s="137"/>
      <c r="M205" s="137"/>
      <c r="N205" s="137"/>
      <c r="O205" s="137"/>
      <c r="P205" s="137"/>
      <c r="Q205" s="137"/>
      <c r="R205" s="137"/>
      <c r="S205" s="137"/>
      <c r="T205" s="137"/>
      <c r="U205" s="137"/>
    </row>
    <row r="206" spans="1:21" ht="16.899999999999999" customHeight="1">
      <c r="A206" s="137"/>
      <c r="B206" s="137"/>
      <c r="C206" s="137"/>
      <c r="D206" s="137"/>
      <c r="E206" s="137"/>
      <c r="F206" s="137"/>
      <c r="G206" s="137"/>
      <c r="H206" s="137"/>
      <c r="I206" s="137"/>
      <c r="J206" s="137"/>
      <c r="K206" s="137"/>
      <c r="L206" s="137"/>
      <c r="M206" s="137"/>
      <c r="N206" s="137"/>
      <c r="O206" s="137"/>
      <c r="P206" s="137"/>
      <c r="Q206" s="137"/>
      <c r="R206" s="137"/>
      <c r="S206" s="137"/>
      <c r="T206" s="137"/>
      <c r="U206" s="137"/>
    </row>
    <row r="207" spans="1:21" ht="16.899999999999999" customHeight="1">
      <c r="A207" s="137"/>
      <c r="B207" s="137"/>
      <c r="C207" s="137"/>
      <c r="D207" s="137"/>
      <c r="E207" s="137"/>
      <c r="F207" s="137"/>
      <c r="G207" s="137"/>
      <c r="H207" s="137"/>
      <c r="I207" s="137"/>
      <c r="J207" s="137"/>
      <c r="K207" s="137"/>
      <c r="L207" s="137"/>
      <c r="M207" s="137"/>
      <c r="N207" s="137"/>
      <c r="O207" s="137"/>
      <c r="P207" s="137"/>
      <c r="Q207" s="137"/>
      <c r="R207" s="137"/>
      <c r="S207" s="1194" t="s">
        <v>173</v>
      </c>
      <c r="T207" s="1194"/>
      <c r="U207" s="1194"/>
    </row>
    <row r="208" spans="1:21" ht="6" customHeight="1">
      <c r="A208" s="137"/>
      <c r="B208" s="137"/>
      <c r="C208" s="137"/>
      <c r="D208" s="137"/>
      <c r="E208" s="137"/>
      <c r="F208" s="137"/>
      <c r="G208" s="137"/>
      <c r="H208" s="137"/>
      <c r="I208" s="137"/>
      <c r="J208" s="137"/>
      <c r="K208" s="137"/>
      <c r="L208" s="137"/>
      <c r="M208" s="137"/>
      <c r="N208" s="137"/>
      <c r="O208" s="137"/>
      <c r="P208" s="137"/>
      <c r="Q208" s="137"/>
      <c r="R208" s="137"/>
      <c r="S208" s="137"/>
      <c r="T208" s="137"/>
      <c r="U208" s="137"/>
    </row>
    <row r="209" spans="1:21" ht="16.899999999999999" customHeight="1">
      <c r="A209" s="137"/>
      <c r="B209" s="137"/>
      <c r="C209" s="137"/>
      <c r="D209" s="137"/>
      <c r="E209" s="137"/>
      <c r="F209" s="137"/>
      <c r="G209" s="137"/>
      <c r="H209" s="137"/>
      <c r="I209" s="137"/>
      <c r="J209" s="137"/>
      <c r="K209" s="137"/>
      <c r="L209" s="137"/>
      <c r="M209" s="137"/>
      <c r="N209" s="137"/>
      <c r="O209" s="137"/>
      <c r="P209" s="137"/>
      <c r="Q209" s="137"/>
      <c r="R209" s="137"/>
      <c r="S209" s="638" t="s">
        <v>174</v>
      </c>
      <c r="T209" s="638"/>
      <c r="U209" s="137"/>
    </row>
    <row r="210" spans="1:21" ht="16.899999999999999" customHeight="1">
      <c r="A210" s="137"/>
      <c r="B210" s="137"/>
      <c r="C210" s="137"/>
      <c r="D210" s="137"/>
      <c r="E210" s="137"/>
      <c r="F210" s="137"/>
      <c r="G210" s="137"/>
      <c r="H210" s="137"/>
      <c r="I210" s="137"/>
      <c r="J210" s="137"/>
      <c r="K210" s="137"/>
      <c r="L210" s="137"/>
      <c r="M210" s="137"/>
      <c r="N210" s="137"/>
      <c r="O210" s="137"/>
      <c r="P210" s="137"/>
      <c r="Q210" s="137"/>
      <c r="R210" s="137"/>
      <c r="S210" s="638" t="s">
        <v>175</v>
      </c>
      <c r="T210" s="638"/>
      <c r="U210" s="137"/>
    </row>
    <row r="211" spans="1:21" ht="16.899999999999999" customHeight="1">
      <c r="A211" s="137"/>
      <c r="B211" s="137"/>
      <c r="C211" s="137"/>
      <c r="D211" s="137"/>
      <c r="E211" s="137"/>
      <c r="F211" s="137"/>
      <c r="G211" s="137"/>
      <c r="H211" s="137"/>
      <c r="I211" s="137"/>
      <c r="J211" s="137"/>
      <c r="K211" s="137"/>
      <c r="L211" s="137"/>
      <c r="M211" s="137"/>
      <c r="N211" s="137"/>
      <c r="O211" s="137"/>
      <c r="P211" s="137"/>
      <c r="Q211" s="137"/>
      <c r="R211" s="137"/>
      <c r="S211" s="137"/>
      <c r="T211" s="137"/>
      <c r="U211" s="137"/>
    </row>
    <row r="212" spans="1:21" ht="16.899999999999999" customHeight="1">
      <c r="A212" s="137"/>
      <c r="B212" s="137"/>
      <c r="C212" s="137"/>
      <c r="D212" s="137"/>
      <c r="E212" s="137"/>
      <c r="F212" s="137"/>
      <c r="G212" s="137"/>
      <c r="H212" s="137"/>
      <c r="I212" s="137"/>
      <c r="J212" s="137"/>
      <c r="K212" s="137"/>
      <c r="L212" s="137"/>
      <c r="M212" s="137"/>
      <c r="N212" s="137"/>
      <c r="O212" s="137"/>
      <c r="P212" s="137"/>
      <c r="Q212" s="137"/>
      <c r="R212" s="137"/>
      <c r="S212" s="137"/>
      <c r="T212" s="137"/>
      <c r="U212" s="137"/>
    </row>
    <row r="213" spans="1:21" ht="16.899999999999999" customHeight="1">
      <c r="A213" s="137"/>
      <c r="B213" s="137"/>
      <c r="C213" s="137"/>
      <c r="D213" s="137"/>
      <c r="E213" s="137"/>
      <c r="F213" s="137"/>
      <c r="G213" s="137"/>
      <c r="H213" s="137"/>
      <c r="I213" s="137"/>
      <c r="J213" s="137"/>
      <c r="K213" s="137"/>
      <c r="L213" s="137"/>
      <c r="M213" s="137"/>
      <c r="N213" s="137"/>
      <c r="O213" s="137"/>
      <c r="P213" s="137"/>
      <c r="Q213" s="137"/>
      <c r="R213" s="137"/>
      <c r="S213" s="137"/>
      <c r="T213" s="137"/>
      <c r="U213" s="137"/>
    </row>
    <row r="214" spans="1:21" ht="16.899999999999999" customHeight="1">
      <c r="A214" s="137"/>
      <c r="B214" s="137"/>
      <c r="C214" s="137"/>
      <c r="D214" s="137"/>
      <c r="E214" s="137"/>
      <c r="F214" s="137"/>
      <c r="G214" s="137"/>
      <c r="H214" s="137"/>
      <c r="I214" s="137"/>
      <c r="J214" s="137"/>
      <c r="K214" s="137"/>
      <c r="L214" s="137"/>
      <c r="M214" s="137"/>
      <c r="N214" s="137"/>
      <c r="O214" s="137"/>
      <c r="P214" s="137"/>
      <c r="Q214" s="137"/>
      <c r="R214" s="137"/>
      <c r="S214" s="137"/>
      <c r="T214" s="137"/>
      <c r="U214" s="137"/>
    </row>
    <row r="215" spans="1:21" ht="16.899999999999999" customHeight="1">
      <c r="A215" s="137"/>
      <c r="B215" s="137"/>
      <c r="C215" s="137"/>
      <c r="D215" s="137"/>
      <c r="E215" s="137"/>
      <c r="F215" s="137"/>
      <c r="G215" s="137"/>
      <c r="H215" s="137"/>
      <c r="I215" s="137"/>
      <c r="J215" s="137"/>
      <c r="K215" s="137"/>
      <c r="L215" s="137"/>
      <c r="M215" s="137"/>
      <c r="N215" s="137"/>
      <c r="O215" s="137"/>
      <c r="P215" s="137"/>
      <c r="Q215" s="137"/>
      <c r="R215" s="137"/>
      <c r="S215" s="137"/>
      <c r="T215" s="137"/>
      <c r="U215" s="137"/>
    </row>
    <row r="216" spans="1:21" ht="16.899999999999999" customHeight="1">
      <c r="A216" s="137"/>
      <c r="B216" s="137"/>
      <c r="C216" s="137"/>
      <c r="D216" s="137"/>
      <c r="E216" s="137"/>
      <c r="F216" s="137"/>
      <c r="G216" s="137"/>
      <c r="H216" s="137"/>
      <c r="I216" s="137"/>
      <c r="J216" s="137"/>
      <c r="K216" s="137"/>
      <c r="L216" s="137"/>
      <c r="M216" s="137"/>
      <c r="N216" s="137"/>
      <c r="O216" s="137"/>
      <c r="P216" s="137"/>
      <c r="Q216" s="137"/>
      <c r="R216" s="137"/>
      <c r="S216" s="137"/>
      <c r="T216" s="137"/>
      <c r="U216" s="137"/>
    </row>
    <row r="217" spans="1:21" ht="16.899999999999999" customHeight="1">
      <c r="A217" s="137"/>
      <c r="B217" s="137"/>
      <c r="C217" s="137"/>
      <c r="D217" s="137"/>
      <c r="E217" s="137"/>
      <c r="F217" s="137"/>
      <c r="G217" s="137"/>
      <c r="H217" s="137"/>
      <c r="I217" s="137"/>
      <c r="J217" s="137"/>
      <c r="K217" s="137"/>
      <c r="L217" s="137"/>
      <c r="M217" s="137"/>
      <c r="N217" s="137"/>
      <c r="O217" s="137"/>
      <c r="P217" s="137"/>
      <c r="Q217" s="137"/>
      <c r="R217" s="137"/>
      <c r="S217" s="137"/>
      <c r="T217" s="137"/>
      <c r="U217" s="137"/>
    </row>
    <row r="218" spans="1:21" ht="16.899999999999999" customHeight="1">
      <c r="A218" s="137"/>
      <c r="B218" s="137"/>
      <c r="C218" s="137"/>
      <c r="D218" s="137"/>
      <c r="E218" s="137"/>
      <c r="F218" s="137"/>
      <c r="G218" s="137"/>
      <c r="H218" s="137"/>
      <c r="I218" s="137"/>
      <c r="J218" s="137"/>
      <c r="K218" s="137"/>
      <c r="L218" s="137"/>
      <c r="M218" s="137"/>
      <c r="N218" s="137"/>
      <c r="O218" s="137"/>
      <c r="P218" s="137"/>
      <c r="Q218" s="137"/>
      <c r="R218" s="137"/>
      <c r="S218" s="137"/>
      <c r="T218" s="137"/>
      <c r="U218" s="137"/>
    </row>
    <row r="219" spans="1:21" ht="14.65" customHeight="1">
      <c r="A219" s="137"/>
      <c r="B219" s="137"/>
      <c r="C219" s="137"/>
      <c r="D219" s="137"/>
      <c r="E219" s="137"/>
      <c r="F219" s="137"/>
      <c r="G219" s="137"/>
      <c r="H219" s="137"/>
      <c r="I219" s="137"/>
      <c r="J219" s="137"/>
      <c r="K219" s="137"/>
      <c r="L219" s="137"/>
      <c r="M219" s="137"/>
      <c r="N219" s="137"/>
      <c r="O219" s="137"/>
      <c r="P219" s="137"/>
      <c r="Q219" s="137"/>
      <c r="R219" s="137"/>
      <c r="S219" s="137"/>
      <c r="T219" s="137"/>
      <c r="U219" s="137"/>
    </row>
    <row r="220" spans="1:21" ht="14.65" customHeight="1">
      <c r="A220" s="137"/>
      <c r="B220" s="137"/>
      <c r="C220" s="137"/>
      <c r="D220" s="137"/>
      <c r="E220" s="137"/>
      <c r="F220" s="137"/>
      <c r="G220" s="137"/>
      <c r="H220" s="137"/>
      <c r="I220" s="137"/>
      <c r="J220" s="672"/>
      <c r="K220" s="409"/>
      <c r="L220" s="137"/>
      <c r="M220" s="137"/>
      <c r="N220" s="137"/>
      <c r="O220" s="137"/>
      <c r="P220" s="137"/>
      <c r="Q220" s="137"/>
      <c r="R220" s="137"/>
      <c r="S220" s="137"/>
      <c r="T220" s="137"/>
      <c r="U220" s="137"/>
    </row>
    <row r="221" spans="1:21" ht="16.899999999999999" customHeight="1">
      <c r="A221" s="137"/>
      <c r="B221" s="137"/>
      <c r="C221" s="137"/>
      <c r="D221" s="137"/>
      <c r="E221" s="137"/>
      <c r="F221" s="137"/>
      <c r="G221" s="137"/>
      <c r="H221" s="137"/>
      <c r="I221" s="137"/>
      <c r="J221" s="673"/>
      <c r="K221" s="674"/>
      <c r="L221" s="137"/>
      <c r="M221" s="137"/>
      <c r="N221" s="137"/>
      <c r="O221" s="137"/>
      <c r="P221" s="137"/>
      <c r="Q221" s="137"/>
      <c r="R221" s="137"/>
      <c r="S221" s="137"/>
      <c r="T221" s="137"/>
      <c r="U221" s="137"/>
    </row>
    <row r="222" spans="1:21" ht="16.899999999999999" customHeight="1">
      <c r="A222" s="137"/>
      <c r="B222" s="137"/>
      <c r="C222" s="137"/>
      <c r="D222" s="137"/>
      <c r="E222" s="137"/>
      <c r="F222" s="137"/>
      <c r="G222" s="137"/>
      <c r="H222" s="137"/>
      <c r="I222" s="137"/>
      <c r="J222" s="673"/>
      <c r="K222" s="674"/>
      <c r="L222" s="137"/>
      <c r="M222" s="137"/>
      <c r="N222" s="137"/>
      <c r="O222" s="137"/>
      <c r="P222" s="137"/>
      <c r="Q222" s="137"/>
      <c r="R222" s="137"/>
      <c r="S222" s="137"/>
      <c r="T222" s="137"/>
      <c r="U222" s="137"/>
    </row>
    <row r="223" spans="1:21" ht="16.899999999999999" customHeight="1">
      <c r="A223" s="137"/>
      <c r="B223" s="137"/>
      <c r="C223" s="137"/>
      <c r="D223" s="137"/>
      <c r="E223" s="137"/>
      <c r="F223" s="137"/>
      <c r="G223" s="137"/>
      <c r="H223" s="137"/>
      <c r="I223" s="137"/>
      <c r="J223" s="673"/>
      <c r="K223" s="674"/>
      <c r="L223" s="137"/>
      <c r="M223" s="137"/>
      <c r="N223" s="137"/>
      <c r="O223" s="137"/>
      <c r="P223" s="137"/>
      <c r="Q223" s="137"/>
      <c r="R223" s="137"/>
      <c r="S223" s="137"/>
      <c r="T223" s="137"/>
      <c r="U223" s="137"/>
    </row>
    <row r="224" spans="1:21" ht="16.899999999999999" customHeight="1">
      <c r="A224" s="137"/>
      <c r="B224" s="137"/>
      <c r="C224" s="137"/>
      <c r="D224" s="137"/>
      <c r="E224" s="137"/>
      <c r="F224" s="137"/>
      <c r="G224" s="137"/>
      <c r="H224" s="137"/>
      <c r="I224" s="137"/>
      <c r="J224" s="673"/>
      <c r="K224" s="674"/>
      <c r="L224" s="137"/>
      <c r="M224" s="137"/>
      <c r="N224" s="137"/>
      <c r="O224" s="137"/>
      <c r="P224" s="137"/>
      <c r="Q224" s="137"/>
      <c r="R224" s="137"/>
      <c r="S224" s="137"/>
      <c r="T224" s="137"/>
      <c r="U224" s="137"/>
    </row>
    <row r="225" spans="1:28" ht="16.899999999999999" customHeight="1">
      <c r="A225" s="137"/>
      <c r="B225" s="137"/>
      <c r="C225" s="137"/>
      <c r="D225" s="137"/>
      <c r="E225" s="137"/>
      <c r="F225" s="137"/>
      <c r="G225" s="137"/>
      <c r="H225" s="137"/>
      <c r="I225" s="137"/>
      <c r="J225" s="137"/>
      <c r="K225" s="137"/>
      <c r="L225" s="137"/>
      <c r="M225" s="137"/>
      <c r="N225" s="137"/>
      <c r="O225" s="137"/>
      <c r="P225" s="137"/>
      <c r="Q225" s="137"/>
      <c r="R225" s="137"/>
      <c r="S225" s="137"/>
      <c r="T225" s="137"/>
      <c r="U225" s="137"/>
    </row>
    <row r="226" spans="1:28" ht="16.899999999999999" customHeight="1">
      <c r="A226" s="137"/>
      <c r="B226" s="137"/>
      <c r="C226" s="137"/>
      <c r="D226" s="137"/>
      <c r="E226" s="137"/>
      <c r="F226" s="137"/>
      <c r="G226" s="137"/>
      <c r="H226" s="137"/>
      <c r="I226" s="137"/>
      <c r="J226" s="137"/>
      <c r="K226" s="137"/>
      <c r="L226" s="137"/>
      <c r="M226" s="137"/>
      <c r="N226" s="137"/>
      <c r="O226" s="137"/>
      <c r="P226" s="137"/>
      <c r="Q226" s="137"/>
      <c r="R226" s="137"/>
      <c r="S226" s="137"/>
      <c r="T226" s="137"/>
      <c r="U226" s="137"/>
    </row>
    <row r="227" spans="1:28" ht="16.899999999999999" customHeight="1">
      <c r="A227" s="137"/>
      <c r="B227" s="137"/>
      <c r="C227" s="137"/>
      <c r="D227" s="137"/>
      <c r="E227" s="137"/>
      <c r="F227" s="137"/>
      <c r="G227" s="137"/>
      <c r="H227" s="137"/>
      <c r="I227" s="137"/>
      <c r="J227" s="137"/>
      <c r="K227" s="137"/>
      <c r="L227" s="137"/>
      <c r="M227" s="137"/>
      <c r="N227" s="137"/>
      <c r="O227" s="137"/>
      <c r="P227" s="137"/>
      <c r="Q227" s="137"/>
      <c r="R227" s="137"/>
      <c r="S227" s="137"/>
      <c r="T227" s="137"/>
      <c r="U227" s="137"/>
    </row>
    <row r="228" spans="1:28" ht="16.899999999999999" customHeight="1">
      <c r="A228" s="137"/>
      <c r="B228" s="137"/>
      <c r="C228" s="137"/>
      <c r="D228" s="137"/>
      <c r="E228" s="137"/>
      <c r="F228" s="137"/>
      <c r="G228" s="137"/>
      <c r="H228" s="137"/>
      <c r="I228" s="137"/>
      <c r="J228" s="137"/>
      <c r="K228" s="137"/>
      <c r="L228" s="137"/>
      <c r="M228" s="137"/>
      <c r="N228" s="137"/>
      <c r="O228" s="137"/>
      <c r="P228" s="137"/>
      <c r="Q228" s="137"/>
      <c r="R228" s="137"/>
      <c r="S228" s="137"/>
      <c r="T228" s="137"/>
      <c r="U228" s="137"/>
    </row>
    <row r="229" spans="1:28" ht="16.899999999999999" customHeight="1">
      <c r="A229" s="137"/>
      <c r="B229" s="137"/>
      <c r="C229" s="137"/>
      <c r="D229" s="137"/>
      <c r="E229" s="137"/>
      <c r="F229" s="137"/>
      <c r="G229" s="137"/>
      <c r="H229" s="137"/>
      <c r="I229" s="137"/>
      <c r="J229" s="137"/>
      <c r="K229" s="137"/>
      <c r="L229" s="137"/>
      <c r="M229" s="137"/>
      <c r="N229" s="137"/>
      <c r="O229" s="137"/>
      <c r="P229" s="137"/>
      <c r="Q229" s="137"/>
      <c r="R229" s="137"/>
      <c r="S229" s="137"/>
      <c r="T229" s="137"/>
      <c r="U229" s="137"/>
    </row>
    <row r="230" spans="1:28" ht="16.899999999999999" customHeight="1">
      <c r="A230" s="137"/>
      <c r="B230" s="137"/>
      <c r="C230" s="137"/>
      <c r="D230" s="137"/>
      <c r="E230" s="137"/>
      <c r="F230" s="137"/>
      <c r="G230" s="137"/>
      <c r="H230" s="137"/>
      <c r="I230" s="137"/>
      <c r="J230" s="137"/>
      <c r="K230" s="137"/>
      <c r="L230" s="137"/>
      <c r="M230" s="137"/>
      <c r="N230" s="137"/>
      <c r="O230" s="137"/>
      <c r="P230" s="137"/>
      <c r="Q230" s="137"/>
      <c r="R230" s="137"/>
      <c r="S230" s="137"/>
      <c r="T230" s="137"/>
      <c r="U230" s="137"/>
    </row>
    <row r="231" spans="1:28" ht="16.899999999999999" customHeight="1">
      <c r="A231" s="137"/>
      <c r="B231" s="137"/>
      <c r="C231" s="137"/>
      <c r="D231" s="137"/>
      <c r="E231" s="137"/>
      <c r="F231" s="137"/>
      <c r="G231" s="137"/>
      <c r="H231" s="137"/>
      <c r="I231" s="137"/>
      <c r="J231" s="137"/>
      <c r="K231" s="137"/>
      <c r="L231" s="137"/>
      <c r="M231" s="137"/>
      <c r="N231" s="137"/>
      <c r="O231" s="137"/>
      <c r="P231" s="137"/>
      <c r="Q231" s="137"/>
      <c r="R231" s="137"/>
      <c r="S231" s="137"/>
      <c r="T231" s="137"/>
      <c r="U231" s="137"/>
    </row>
    <row r="232" spans="1:28" ht="16.899999999999999" customHeight="1" thickBot="1">
      <c r="A232" s="137"/>
      <c r="B232" s="137"/>
      <c r="C232" s="137"/>
      <c r="D232" s="137"/>
      <c r="E232" s="137"/>
      <c r="F232" s="137"/>
      <c r="G232" s="137"/>
      <c r="H232" s="137"/>
      <c r="I232" s="137"/>
      <c r="J232" s="137"/>
      <c r="K232" s="137"/>
      <c r="L232" s="137"/>
      <c r="M232" s="137"/>
      <c r="N232" s="137"/>
      <c r="O232" s="137"/>
      <c r="P232" s="137"/>
      <c r="Q232" s="137"/>
      <c r="R232" s="137"/>
      <c r="S232" s="137"/>
      <c r="T232" s="137"/>
      <c r="U232" s="137"/>
    </row>
    <row r="233" spans="1:28" ht="16.899999999999999" customHeight="1" thickTop="1">
      <c r="A233" s="137"/>
      <c r="B233" s="137"/>
      <c r="C233" s="137"/>
      <c r="D233" s="137"/>
      <c r="E233" s="175"/>
      <c r="F233" s="175"/>
      <c r="G233" s="175"/>
      <c r="H233" s="175"/>
      <c r="I233" s="175"/>
      <c r="J233" s="175"/>
      <c r="K233" s="175"/>
      <c r="L233" s="175"/>
      <c r="M233" s="175"/>
      <c r="N233" s="175"/>
      <c r="O233" s="175"/>
      <c r="P233" s="175"/>
      <c r="Q233" s="175"/>
      <c r="R233" s="175"/>
      <c r="S233" s="175"/>
      <c r="T233" s="175"/>
      <c r="U233" s="137"/>
    </row>
    <row r="234" spans="1:28" ht="16.899999999999999" customHeight="1">
      <c r="A234" s="137"/>
      <c r="B234" s="137"/>
      <c r="C234" s="137"/>
      <c r="D234" s="137"/>
      <c r="E234" s="1300" t="s">
        <v>176</v>
      </c>
      <c r="F234" s="1300"/>
      <c r="G234" s="1300"/>
      <c r="H234" s="1300"/>
      <c r="I234" s="1300"/>
      <c r="J234" s="1300"/>
      <c r="K234" s="137"/>
      <c r="L234" s="137"/>
      <c r="M234" s="137"/>
      <c r="N234" s="137"/>
      <c r="O234" s="137"/>
      <c r="P234" s="137"/>
      <c r="Q234" s="137"/>
      <c r="R234" s="137"/>
      <c r="S234" s="137"/>
      <c r="T234" s="137"/>
      <c r="U234" s="137"/>
    </row>
    <row r="235" spans="1:28" ht="16.899999999999999" customHeight="1">
      <c r="A235" s="137"/>
      <c r="B235" s="137"/>
      <c r="C235" s="137"/>
      <c r="D235" s="137"/>
      <c r="E235" s="137"/>
      <c r="F235" s="137"/>
      <c r="G235" s="137"/>
      <c r="H235" s="137"/>
      <c r="I235" s="137"/>
      <c r="J235" s="137"/>
      <c r="K235" s="137"/>
      <c r="L235" s="137"/>
      <c r="M235" s="137"/>
      <c r="N235" s="137"/>
      <c r="O235" s="137"/>
      <c r="P235" s="137"/>
      <c r="Q235" s="137"/>
      <c r="R235" s="137"/>
      <c r="S235" s="1194" t="s">
        <v>173</v>
      </c>
      <c r="T235" s="1194"/>
      <c r="U235" s="1194"/>
    </row>
    <row r="236" spans="1:28" ht="6.4" customHeight="1">
      <c r="A236" s="137"/>
      <c r="B236" s="137"/>
      <c r="C236" s="137"/>
      <c r="D236" s="137"/>
      <c r="E236" s="137"/>
      <c r="F236" s="137"/>
      <c r="G236" s="137"/>
      <c r="H236" s="137"/>
      <c r="I236" s="137"/>
      <c r="J236" s="137"/>
      <c r="K236" s="137"/>
      <c r="L236" s="137"/>
      <c r="M236" s="137"/>
      <c r="N236" s="137"/>
      <c r="O236" s="137"/>
      <c r="P236" s="137"/>
      <c r="Q236" s="137"/>
      <c r="R236" s="137"/>
      <c r="S236" s="137"/>
      <c r="T236" s="137"/>
      <c r="U236" s="137"/>
      <c r="V236" s="137"/>
      <c r="W236" s="137"/>
    </row>
    <row r="237" spans="1:28" ht="16.899999999999999" customHeight="1">
      <c r="A237" s="137"/>
      <c r="B237" s="137"/>
      <c r="C237" s="137"/>
      <c r="D237" s="137"/>
      <c r="E237" s="137"/>
      <c r="F237" s="137"/>
      <c r="G237" s="137"/>
      <c r="H237" s="137"/>
      <c r="I237" s="137"/>
      <c r="J237" s="137"/>
      <c r="K237" s="137"/>
      <c r="L237" s="137"/>
      <c r="M237" s="137"/>
      <c r="N237" s="137"/>
      <c r="O237" s="137"/>
      <c r="P237" s="137"/>
      <c r="Q237" s="137"/>
      <c r="R237" s="137"/>
      <c r="S237" s="1447" t="s">
        <v>177</v>
      </c>
      <c r="T237" s="1447"/>
      <c r="U237" s="137"/>
      <c r="Z237" s="454"/>
      <c r="AA237" s="137"/>
      <c r="AB237" s="137"/>
    </row>
    <row r="238" spans="1:28" ht="16.899999999999999" customHeight="1">
      <c r="A238" s="137"/>
      <c r="B238" s="137"/>
      <c r="C238" s="137"/>
      <c r="D238" s="137"/>
      <c r="E238" s="137"/>
      <c r="F238" s="137"/>
      <c r="G238" s="137"/>
      <c r="H238" s="137"/>
      <c r="I238" s="137"/>
      <c r="J238" s="137"/>
      <c r="K238" s="137"/>
      <c r="L238" s="137"/>
      <c r="M238" s="137"/>
      <c r="N238" s="137"/>
      <c r="O238" s="137"/>
      <c r="P238" s="137"/>
      <c r="Q238" s="137"/>
      <c r="R238" s="137"/>
      <c r="S238" s="137"/>
      <c r="T238" s="137"/>
      <c r="U238" s="137"/>
    </row>
    <row r="239" spans="1:28" ht="16.899999999999999" customHeight="1">
      <c r="A239" s="137"/>
      <c r="B239" s="137"/>
      <c r="C239" s="137"/>
      <c r="D239" s="137"/>
      <c r="E239" s="137"/>
      <c r="F239" s="137"/>
      <c r="G239" s="137"/>
      <c r="H239" s="137"/>
      <c r="I239" s="137"/>
      <c r="J239" s="137"/>
      <c r="K239" s="137"/>
      <c r="L239" s="137"/>
      <c r="M239" s="137"/>
      <c r="N239" s="137"/>
      <c r="O239" s="137"/>
      <c r="P239" s="137"/>
      <c r="Q239" s="137"/>
      <c r="R239" s="137"/>
      <c r="S239" s="137"/>
      <c r="T239" s="137"/>
      <c r="U239" s="137"/>
    </row>
    <row r="240" spans="1:28" ht="16.899999999999999" customHeight="1">
      <c r="A240" s="137"/>
      <c r="B240" s="137"/>
      <c r="C240" s="137"/>
      <c r="D240" s="137"/>
      <c r="E240" s="137"/>
      <c r="F240" s="137"/>
      <c r="G240" s="137"/>
      <c r="H240" s="137"/>
      <c r="I240" s="137"/>
      <c r="J240" s="137"/>
      <c r="K240" s="137"/>
      <c r="L240" s="137"/>
      <c r="M240" s="137"/>
      <c r="N240" s="137"/>
      <c r="O240" s="137"/>
      <c r="P240" s="137"/>
      <c r="Q240" s="137"/>
      <c r="R240" s="137"/>
      <c r="S240" s="137"/>
      <c r="T240" s="137"/>
      <c r="U240" s="137"/>
    </row>
    <row r="241" spans="1:21" ht="16.899999999999999" customHeight="1">
      <c r="A241" s="137"/>
      <c r="B241" s="137"/>
      <c r="C241" s="137"/>
      <c r="D241" s="137"/>
      <c r="E241" s="137"/>
      <c r="F241" s="137"/>
      <c r="G241" s="137"/>
      <c r="H241" s="137"/>
      <c r="I241" s="137"/>
      <c r="J241" s="137"/>
      <c r="K241" s="137"/>
      <c r="L241" s="137"/>
      <c r="M241" s="137"/>
      <c r="N241" s="137"/>
      <c r="O241" s="137"/>
      <c r="P241" s="137"/>
      <c r="Q241" s="137"/>
      <c r="R241" s="137"/>
      <c r="S241" s="137"/>
      <c r="T241" s="137"/>
      <c r="U241" s="137"/>
    </row>
    <row r="242" spans="1:21" ht="16.899999999999999" customHeight="1">
      <c r="A242" s="137"/>
      <c r="B242" s="137"/>
      <c r="C242" s="137"/>
      <c r="D242" s="137"/>
      <c r="E242" s="137"/>
      <c r="F242" s="137"/>
      <c r="G242" s="137"/>
      <c r="H242" s="137"/>
      <c r="I242" s="137"/>
      <c r="J242" s="137"/>
      <c r="K242" s="137"/>
      <c r="L242" s="137"/>
      <c r="M242" s="137"/>
      <c r="N242" s="137"/>
      <c r="O242" s="137"/>
      <c r="P242" s="137"/>
      <c r="Q242" s="137"/>
      <c r="R242" s="137"/>
      <c r="S242" s="137"/>
      <c r="T242" s="137"/>
      <c r="U242" s="137"/>
    </row>
    <row r="243" spans="1:21" ht="16.899999999999999" customHeight="1">
      <c r="A243" s="137"/>
      <c r="B243" s="137"/>
      <c r="C243" s="137"/>
      <c r="D243" s="137"/>
      <c r="E243" s="137"/>
      <c r="F243" s="137"/>
      <c r="G243" s="137"/>
      <c r="H243" s="137"/>
      <c r="I243" s="137"/>
      <c r="J243" s="137"/>
      <c r="K243" s="137"/>
      <c r="L243" s="137"/>
      <c r="M243" s="137"/>
      <c r="N243" s="137"/>
      <c r="O243" s="137"/>
      <c r="P243" s="137"/>
      <c r="Q243" s="137"/>
      <c r="R243" s="137"/>
      <c r="S243" s="137"/>
      <c r="T243" s="137"/>
      <c r="U243" s="137"/>
    </row>
    <row r="244" spans="1:21" ht="16.899999999999999" customHeight="1">
      <c r="A244" s="137"/>
      <c r="B244" s="137"/>
      <c r="C244" s="137"/>
      <c r="D244" s="137"/>
      <c r="E244" s="137"/>
      <c r="F244" s="137"/>
      <c r="G244" s="137"/>
      <c r="H244" s="137"/>
      <c r="I244" s="137"/>
      <c r="J244" s="137"/>
      <c r="K244" s="137"/>
      <c r="L244" s="137"/>
      <c r="M244" s="137"/>
      <c r="N244" s="137"/>
      <c r="O244" s="137"/>
      <c r="P244" s="137"/>
      <c r="Q244" s="137"/>
      <c r="R244" s="137"/>
      <c r="S244" s="137"/>
      <c r="T244" s="137"/>
      <c r="U244" s="137"/>
    </row>
    <row r="245" spans="1:21" ht="16.899999999999999" customHeight="1">
      <c r="A245" s="137"/>
      <c r="B245" s="137"/>
      <c r="C245" s="137"/>
      <c r="D245" s="137"/>
      <c r="E245" s="137"/>
      <c r="F245" s="137"/>
      <c r="G245" s="137"/>
      <c r="H245" s="137"/>
      <c r="I245" s="137"/>
      <c r="J245" s="137"/>
      <c r="K245" s="137"/>
      <c r="L245" s="137"/>
      <c r="M245" s="137"/>
      <c r="N245" s="137"/>
      <c r="O245" s="137"/>
      <c r="P245" s="137"/>
      <c r="Q245" s="137"/>
      <c r="R245" s="137"/>
      <c r="S245" s="137"/>
      <c r="T245" s="137"/>
      <c r="U245" s="137"/>
    </row>
    <row r="246" spans="1:21" ht="16.899999999999999" customHeight="1">
      <c r="A246" s="137"/>
      <c r="B246" s="137"/>
      <c r="C246" s="137"/>
      <c r="D246" s="137"/>
      <c r="E246" s="137"/>
      <c r="F246" s="137"/>
      <c r="G246" s="137"/>
      <c r="H246" s="137"/>
      <c r="I246" s="137"/>
      <c r="J246" s="137"/>
      <c r="K246" s="137"/>
      <c r="L246" s="137"/>
      <c r="M246" s="137"/>
      <c r="N246" s="137"/>
      <c r="O246" s="137"/>
      <c r="P246" s="137"/>
      <c r="Q246" s="137"/>
      <c r="R246" s="137"/>
      <c r="S246" s="137"/>
      <c r="T246" s="137"/>
      <c r="U246" s="137"/>
    </row>
    <row r="247" spans="1:21" ht="16.899999999999999" customHeight="1">
      <c r="A247" s="137"/>
      <c r="B247" s="137"/>
      <c r="C247" s="137"/>
      <c r="D247" s="137"/>
      <c r="E247" s="137"/>
      <c r="F247" s="137"/>
      <c r="G247" s="137"/>
      <c r="H247" s="137"/>
      <c r="I247" s="137"/>
      <c r="J247" s="137"/>
      <c r="K247" s="137"/>
      <c r="L247" s="137"/>
      <c r="M247" s="137"/>
      <c r="N247" s="137"/>
      <c r="O247" s="137"/>
      <c r="P247" s="137"/>
      <c r="Q247" s="137"/>
      <c r="R247" s="137"/>
      <c r="S247" s="137"/>
      <c r="T247" s="137"/>
      <c r="U247" s="137"/>
    </row>
    <row r="248" spans="1:21" ht="16.899999999999999" customHeight="1">
      <c r="A248" s="137"/>
      <c r="B248" s="137"/>
      <c r="C248" s="137"/>
      <c r="D248" s="137"/>
      <c r="E248" s="137"/>
      <c r="F248" s="137"/>
      <c r="G248" s="137"/>
      <c r="H248" s="137"/>
      <c r="I248" s="137"/>
      <c r="J248" s="137"/>
      <c r="K248" s="137"/>
      <c r="L248" s="137"/>
      <c r="M248" s="137"/>
      <c r="N248" s="137"/>
      <c r="O248" s="137"/>
      <c r="P248" s="137"/>
      <c r="Q248" s="137"/>
      <c r="R248" s="137"/>
      <c r="S248" s="137"/>
      <c r="T248" s="137"/>
      <c r="U248" s="137"/>
    </row>
    <row r="249" spans="1:21" ht="16.899999999999999" customHeight="1">
      <c r="A249" s="137"/>
      <c r="B249" s="137"/>
      <c r="C249" s="137"/>
      <c r="D249" s="137"/>
      <c r="E249" s="137"/>
      <c r="F249" s="137"/>
      <c r="G249" s="137"/>
      <c r="H249" s="137"/>
      <c r="I249" s="137"/>
      <c r="J249" s="137"/>
      <c r="K249" s="137"/>
      <c r="L249" s="137"/>
      <c r="M249" s="137"/>
      <c r="N249" s="137"/>
      <c r="O249" s="137"/>
      <c r="P249" s="137"/>
      <c r="Q249" s="137"/>
      <c r="R249" s="137"/>
      <c r="S249" s="137"/>
      <c r="T249" s="137"/>
      <c r="U249" s="137"/>
    </row>
    <row r="250" spans="1:21" ht="15.95" customHeight="1">
      <c r="A250" s="137"/>
      <c r="B250" s="137"/>
      <c r="C250" s="137"/>
      <c r="D250" s="137"/>
      <c r="E250" s="137"/>
      <c r="F250" s="137"/>
      <c r="G250" s="137"/>
      <c r="H250" s="137"/>
      <c r="I250" s="137"/>
      <c r="J250" s="137"/>
      <c r="K250" s="137"/>
      <c r="L250" s="137"/>
      <c r="M250" s="137"/>
      <c r="N250" s="137"/>
      <c r="O250" s="137"/>
      <c r="P250" s="137"/>
      <c r="Q250" s="137"/>
      <c r="R250" s="137"/>
      <c r="S250" s="137"/>
      <c r="T250" s="137"/>
      <c r="U250" s="137"/>
    </row>
    <row r="251" spans="1:21" ht="15.95" customHeight="1">
      <c r="A251" s="137"/>
      <c r="B251" s="137"/>
      <c r="C251" s="137"/>
      <c r="D251" s="137"/>
      <c r="E251" s="137"/>
      <c r="F251" s="137"/>
      <c r="G251" s="137"/>
      <c r="H251" s="137"/>
      <c r="I251" s="137"/>
      <c r="J251" s="137"/>
      <c r="K251" s="137"/>
      <c r="L251" s="137"/>
      <c r="M251" s="137"/>
      <c r="N251" s="137"/>
      <c r="O251" s="137"/>
      <c r="P251" s="137"/>
      <c r="Q251" s="137"/>
      <c r="R251" s="137"/>
      <c r="S251" s="137"/>
      <c r="T251" s="137"/>
      <c r="U251" s="137"/>
    </row>
    <row r="252" spans="1:21" ht="15.95" customHeight="1">
      <c r="A252" s="137"/>
      <c r="B252" s="137"/>
      <c r="C252" s="137"/>
      <c r="D252" s="137"/>
      <c r="E252" s="137"/>
      <c r="F252" s="137"/>
      <c r="G252" s="137"/>
      <c r="H252" s="137"/>
      <c r="I252" s="137"/>
      <c r="J252" s="137"/>
      <c r="K252" s="137"/>
      <c r="L252" s="137"/>
      <c r="M252" s="137"/>
      <c r="N252" s="137"/>
      <c r="O252" s="137"/>
      <c r="P252" s="137"/>
      <c r="Q252" s="137"/>
      <c r="R252" s="137"/>
      <c r="S252" s="137"/>
      <c r="T252" s="137"/>
      <c r="U252" s="137"/>
    </row>
    <row r="253" spans="1:21" ht="15.95" customHeight="1">
      <c r="A253" s="137"/>
      <c r="B253" s="137"/>
      <c r="C253" s="137"/>
      <c r="D253" s="137"/>
      <c r="E253" s="137"/>
      <c r="F253" s="137"/>
      <c r="G253" s="137"/>
      <c r="H253" s="137"/>
      <c r="I253" s="137"/>
      <c r="J253" s="137"/>
      <c r="K253" s="137"/>
      <c r="L253" s="137"/>
      <c r="M253" s="137"/>
      <c r="N253" s="137"/>
      <c r="O253" s="137"/>
      <c r="P253" s="137"/>
      <c r="Q253" s="137"/>
      <c r="R253" s="137"/>
      <c r="S253" s="137"/>
      <c r="T253" s="137"/>
      <c r="U253" s="137"/>
    </row>
    <row r="254" spans="1:21" ht="15.95" customHeight="1">
      <c r="A254" s="137"/>
      <c r="B254" s="137"/>
      <c r="C254" s="137"/>
      <c r="D254" s="137"/>
      <c r="E254" s="137"/>
      <c r="F254" s="137"/>
      <c r="G254" s="137"/>
      <c r="H254" s="137"/>
      <c r="I254" s="137"/>
      <c r="J254" s="137"/>
      <c r="K254" s="137"/>
      <c r="L254" s="137"/>
      <c r="M254" s="137"/>
      <c r="N254" s="137"/>
      <c r="O254" s="137"/>
      <c r="P254" s="137"/>
      <c r="Q254" s="137"/>
      <c r="R254" s="137"/>
      <c r="S254" s="137"/>
      <c r="T254" s="137"/>
      <c r="U254" s="137"/>
    </row>
    <row r="255" spans="1:21" ht="15.95" customHeight="1">
      <c r="A255" s="137"/>
      <c r="B255" s="137"/>
      <c r="C255" s="137"/>
      <c r="D255" s="137"/>
      <c r="E255" s="137"/>
      <c r="F255" s="137"/>
      <c r="G255" s="137"/>
      <c r="H255" s="137"/>
      <c r="I255" s="137"/>
      <c r="J255" s="137"/>
      <c r="K255" s="137"/>
      <c r="L255" s="137"/>
      <c r="M255" s="137"/>
      <c r="N255" s="137"/>
      <c r="O255" s="137"/>
      <c r="P255" s="137"/>
      <c r="Q255" s="137"/>
      <c r="R255" s="137"/>
      <c r="S255" s="137"/>
      <c r="T255" s="137"/>
      <c r="U255" s="137"/>
    </row>
    <row r="256" spans="1:21" ht="15.95" customHeight="1">
      <c r="A256" s="137"/>
      <c r="B256" s="137"/>
      <c r="C256" s="137"/>
      <c r="D256" s="137"/>
      <c r="E256" s="137"/>
      <c r="F256" s="137"/>
      <c r="G256" s="137"/>
      <c r="H256" s="137"/>
      <c r="I256" s="137"/>
      <c r="J256" s="137"/>
      <c r="K256" s="137"/>
      <c r="L256" s="137"/>
      <c r="M256" s="137"/>
      <c r="N256" s="137"/>
      <c r="O256" s="137"/>
      <c r="P256" s="137"/>
      <c r="Q256" s="137"/>
      <c r="R256" s="137"/>
      <c r="S256" s="137"/>
      <c r="T256" s="137"/>
      <c r="U256" s="137"/>
    </row>
    <row r="257" spans="1:26" ht="15.95" customHeight="1">
      <c r="A257" s="588"/>
      <c r="B257" s="588"/>
      <c r="C257" s="588"/>
      <c r="D257" s="588"/>
      <c r="E257" s="588"/>
      <c r="F257" s="588"/>
      <c r="G257" s="588"/>
      <c r="H257" s="588"/>
      <c r="I257" s="137"/>
      <c r="J257" s="589"/>
      <c r="K257" s="137"/>
      <c r="L257" s="590"/>
      <c r="M257" s="591"/>
      <c r="N257" s="591"/>
      <c r="O257" s="591"/>
      <c r="P257" s="591"/>
      <c r="Q257" s="591"/>
      <c r="R257" s="137"/>
      <c r="S257" s="137"/>
      <c r="T257" s="137"/>
      <c r="U257" s="137"/>
    </row>
    <row r="258" spans="1:26" ht="15.95" customHeight="1">
      <c r="A258" s="588"/>
      <c r="B258" s="588"/>
      <c r="C258" s="588"/>
      <c r="D258" s="588"/>
      <c r="E258" s="588"/>
      <c r="F258" s="588"/>
      <c r="G258" s="588"/>
      <c r="H258" s="588"/>
      <c r="I258" s="137"/>
      <c r="J258" s="589"/>
      <c r="K258" s="137"/>
      <c r="L258" s="590"/>
      <c r="M258" s="591"/>
      <c r="N258" s="591"/>
      <c r="O258" s="591"/>
      <c r="P258" s="591"/>
      <c r="Q258" s="591"/>
      <c r="R258" s="137"/>
      <c r="S258" s="137"/>
      <c r="T258" s="137"/>
      <c r="U258" s="137"/>
    </row>
    <row r="259" spans="1:26" ht="18">
      <c r="A259" s="588"/>
      <c r="B259" s="588"/>
      <c r="C259" s="588"/>
      <c r="D259" s="588"/>
      <c r="E259" s="588"/>
      <c r="F259" s="588"/>
      <c r="G259" s="588"/>
      <c r="H259" s="588"/>
      <c r="I259" s="137"/>
      <c r="J259" s="589"/>
      <c r="K259" s="137"/>
      <c r="L259" s="590"/>
      <c r="M259" s="591"/>
      <c r="N259" s="591"/>
      <c r="O259" s="591"/>
      <c r="P259" s="591"/>
      <c r="Q259" s="591"/>
      <c r="R259" s="137"/>
      <c r="S259" s="137"/>
      <c r="T259" s="137"/>
      <c r="U259" s="137"/>
    </row>
    <row r="260" spans="1:26" ht="28.9">
      <c r="A260" s="1340" t="s">
        <v>178</v>
      </c>
      <c r="B260" s="1340"/>
      <c r="C260" s="1340"/>
      <c r="D260" s="1340"/>
      <c r="E260" s="1340"/>
      <c r="F260" s="1340"/>
      <c r="G260" s="1340"/>
      <c r="H260" s="1340"/>
      <c r="I260" s="1340"/>
      <c r="J260" s="1340"/>
      <c r="K260" s="1340"/>
      <c r="L260" s="1340"/>
      <c r="M260" s="1340"/>
      <c r="N260" s="1340"/>
      <c r="O260" s="591"/>
      <c r="P260" s="591"/>
      <c r="Q260" s="591"/>
      <c r="R260" s="137"/>
      <c r="S260" s="137"/>
      <c r="T260" s="137"/>
      <c r="U260" s="137"/>
    </row>
    <row r="261" spans="1:26" ht="15.6">
      <c r="A261" s="1231"/>
      <c r="B261" s="137"/>
      <c r="C261" s="137"/>
      <c r="D261" s="137"/>
      <c r="E261" s="137"/>
      <c r="F261" s="137"/>
      <c r="G261" s="137"/>
      <c r="H261" s="137"/>
      <c r="I261" s="137"/>
      <c r="J261" s="137"/>
      <c r="K261" s="137"/>
      <c r="L261" s="137"/>
      <c r="M261" s="137"/>
      <c r="N261" s="137"/>
      <c r="O261" s="591"/>
      <c r="P261" s="591"/>
      <c r="Q261" s="591"/>
      <c r="R261" s="137"/>
      <c r="S261" s="137"/>
      <c r="T261" s="137"/>
      <c r="U261" s="137"/>
    </row>
    <row r="262" spans="1:26" ht="21">
      <c r="A262" s="1231"/>
      <c r="B262" s="137"/>
      <c r="C262" s="137"/>
      <c r="D262" s="137"/>
      <c r="E262" s="632" t="s">
        <v>49</v>
      </c>
      <c r="F262" s="137"/>
      <c r="G262" s="137"/>
      <c r="H262" s="137"/>
      <c r="I262" s="137"/>
      <c r="J262" s="137"/>
      <c r="K262" s="137"/>
      <c r="L262" s="137"/>
      <c r="M262" s="137"/>
      <c r="N262" s="137"/>
      <c r="O262" s="591"/>
      <c r="P262" s="591"/>
      <c r="Q262" s="591"/>
      <c r="R262" s="137"/>
      <c r="S262" s="137"/>
      <c r="T262" s="137"/>
      <c r="U262" s="137"/>
      <c r="X262"/>
      <c r="Y262"/>
      <c r="Z262"/>
    </row>
    <row r="263" spans="1:26" ht="21">
      <c r="A263" s="1231"/>
      <c r="B263" s="137"/>
      <c r="C263" s="137"/>
      <c r="D263" s="137"/>
      <c r="E263" s="732" t="s">
        <v>179</v>
      </c>
      <c r="F263" s="732"/>
      <c r="G263" s="732"/>
      <c r="H263" s="137"/>
      <c r="I263" s="636"/>
      <c r="J263" s="636"/>
      <c r="K263" s="636"/>
      <c r="L263" s="636"/>
      <c r="M263" s="637"/>
      <c r="N263" s="592"/>
      <c r="O263" s="592"/>
      <c r="P263" s="592"/>
      <c r="Q263" s="137"/>
      <c r="R263" s="137"/>
      <c r="S263" s="1367"/>
      <c r="T263" s="1367"/>
      <c r="U263" s="1367"/>
      <c r="X263"/>
      <c r="Y263"/>
      <c r="Z263"/>
    </row>
    <row r="264" spans="1:26" ht="21.6" thickBot="1">
      <c r="A264" s="1231"/>
      <c r="B264" s="137"/>
      <c r="C264" s="137"/>
      <c r="D264" s="137"/>
      <c r="E264" s="732" t="s">
        <v>180</v>
      </c>
      <c r="F264" s="732"/>
      <c r="G264" s="732"/>
      <c r="H264" s="732"/>
      <c r="I264" s="638"/>
      <c r="J264" s="593"/>
      <c r="K264" s="593"/>
      <c r="L264" s="593"/>
      <c r="M264" s="592"/>
      <c r="N264" s="592"/>
      <c r="O264" s="592"/>
      <c r="P264" s="592"/>
      <c r="Q264" s="137"/>
      <c r="R264" s="137"/>
      <c r="S264" s="137"/>
      <c r="T264" s="137"/>
      <c r="U264" s="137"/>
      <c r="X264"/>
      <c r="Y264"/>
      <c r="Z264"/>
    </row>
    <row r="265" spans="1:26" ht="24.4" customHeight="1" thickTop="1">
      <c r="A265" s="1231"/>
      <c r="B265" s="137"/>
      <c r="C265" s="137"/>
      <c r="D265" s="137"/>
      <c r="E265" s="1357" t="s">
        <v>181</v>
      </c>
      <c r="F265" s="1358"/>
      <c r="G265" s="1359"/>
      <c r="H265" s="1462" t="s">
        <v>98</v>
      </c>
      <c r="I265" s="1358"/>
      <c r="J265" s="1358"/>
      <c r="K265" s="1358"/>
      <c r="L265" s="1358"/>
      <c r="M265" s="1358"/>
      <c r="N265" s="1359"/>
      <c r="O265" s="1462" t="s">
        <v>182</v>
      </c>
      <c r="P265" s="1358"/>
      <c r="Q265" s="1358"/>
      <c r="R265" s="1358"/>
      <c r="S265" s="1358"/>
      <c r="T265" s="1358"/>
      <c r="U265" s="1463"/>
      <c r="X265"/>
      <c r="Y265"/>
      <c r="Z265"/>
    </row>
    <row r="266" spans="1:26" ht="24.4" customHeight="1">
      <c r="A266" s="1231"/>
      <c r="B266" s="137"/>
      <c r="C266" s="137"/>
      <c r="D266" s="137"/>
      <c r="E266" s="1381" t="s">
        <v>183</v>
      </c>
      <c r="F266" s="1382"/>
      <c r="G266" s="1383"/>
      <c r="H266" s="1372" t="s">
        <v>184</v>
      </c>
      <c r="I266" s="1373"/>
      <c r="J266" s="1373"/>
      <c r="K266" s="1373"/>
      <c r="L266" s="1373"/>
      <c r="M266" s="1373"/>
      <c r="N266" s="1374"/>
      <c r="O266" s="1459" t="s">
        <v>185</v>
      </c>
      <c r="P266" s="1460"/>
      <c r="Q266" s="1460"/>
      <c r="R266" s="1460"/>
      <c r="S266" s="1460"/>
      <c r="T266" s="1460"/>
      <c r="U266" s="1461"/>
      <c r="X266"/>
      <c r="Y266"/>
      <c r="Z266"/>
    </row>
    <row r="267" spans="1:26" ht="24.4" customHeight="1">
      <c r="A267" s="1231"/>
      <c r="B267" s="137"/>
      <c r="C267" s="137"/>
      <c r="D267" s="137"/>
      <c r="E267" s="1342" t="s">
        <v>186</v>
      </c>
      <c r="F267" s="1343"/>
      <c r="G267" s="1344"/>
      <c r="H267" s="1873" t="s">
        <v>187</v>
      </c>
      <c r="I267" s="1874"/>
      <c r="J267" s="1874"/>
      <c r="K267" s="1874"/>
      <c r="L267" s="1874"/>
      <c r="M267" s="1874"/>
      <c r="N267" s="1875"/>
      <c r="O267" s="1352" t="s">
        <v>188</v>
      </c>
      <c r="P267" s="1353"/>
      <c r="Q267" s="1353"/>
      <c r="R267" s="1353"/>
      <c r="S267" s="1353"/>
      <c r="T267" s="1353"/>
      <c r="U267" s="1354"/>
      <c r="X267"/>
      <c r="Y267"/>
      <c r="Z267"/>
    </row>
    <row r="268" spans="1:26" ht="24.4" customHeight="1">
      <c r="A268" s="1231"/>
      <c r="B268" s="137"/>
      <c r="C268" s="137"/>
      <c r="D268" s="137"/>
      <c r="E268" s="1381" t="s">
        <v>189</v>
      </c>
      <c r="F268" s="1382"/>
      <c r="G268" s="1383"/>
      <c r="H268" s="1372" t="s">
        <v>190</v>
      </c>
      <c r="I268" s="1373"/>
      <c r="J268" s="1373"/>
      <c r="K268" s="1373"/>
      <c r="L268" s="1373"/>
      <c r="M268" s="1373"/>
      <c r="N268" s="1374"/>
      <c r="O268" s="1459" t="s">
        <v>191</v>
      </c>
      <c r="P268" s="1460"/>
      <c r="Q268" s="1460"/>
      <c r="R268" s="1460"/>
      <c r="S268" s="1460"/>
      <c r="T268" s="1460"/>
      <c r="U268" s="1461"/>
      <c r="X268"/>
      <c r="Y268"/>
      <c r="Z268"/>
    </row>
    <row r="269" spans="1:26" ht="24.4" customHeight="1">
      <c r="A269" s="1231"/>
      <c r="B269" s="137"/>
      <c r="C269" s="137"/>
      <c r="D269" s="137"/>
      <c r="E269" s="1342" t="s">
        <v>192</v>
      </c>
      <c r="F269" s="1343"/>
      <c r="G269" s="1344"/>
      <c r="H269" s="1873" t="s">
        <v>193</v>
      </c>
      <c r="I269" s="1874"/>
      <c r="J269" s="1874"/>
      <c r="K269" s="1874"/>
      <c r="L269" s="1874"/>
      <c r="M269" s="1874"/>
      <c r="N269" s="1875"/>
      <c r="O269" s="1331" t="s">
        <v>194</v>
      </c>
      <c r="P269" s="1178"/>
      <c r="Q269" s="1178"/>
      <c r="R269" s="1178"/>
      <c r="S269" s="1178"/>
      <c r="T269" s="1178"/>
      <c r="U269" s="1189"/>
      <c r="X269"/>
      <c r="Y269"/>
      <c r="Z269"/>
    </row>
    <row r="270" spans="1:26" ht="24.4" customHeight="1">
      <c r="A270" s="1231"/>
      <c r="B270" s="137"/>
      <c r="C270" s="137"/>
      <c r="D270" s="137"/>
      <c r="E270" s="1342" t="s">
        <v>195</v>
      </c>
      <c r="F270" s="1343"/>
      <c r="G270" s="1344"/>
      <c r="H270" s="1873" t="s">
        <v>196</v>
      </c>
      <c r="I270" s="1874"/>
      <c r="J270" s="1874"/>
      <c r="K270" s="1874"/>
      <c r="L270" s="1874"/>
      <c r="M270" s="1874"/>
      <c r="N270" s="1875"/>
      <c r="O270" s="1352" t="s">
        <v>194</v>
      </c>
      <c r="P270" s="1353"/>
      <c r="Q270" s="1353"/>
      <c r="R270" s="1353"/>
      <c r="S270" s="1353"/>
      <c r="T270" s="1353"/>
      <c r="U270" s="1354"/>
      <c r="X270"/>
      <c r="Y270"/>
      <c r="Z270"/>
    </row>
    <row r="271" spans="1:26" ht="24.4" customHeight="1">
      <c r="A271" s="1231"/>
      <c r="B271" s="137"/>
      <c r="C271" s="137"/>
      <c r="D271" s="137"/>
      <c r="E271" s="1342" t="s">
        <v>197</v>
      </c>
      <c r="F271" s="1343"/>
      <c r="G271" s="1344"/>
      <c r="H271" s="1873" t="s">
        <v>198</v>
      </c>
      <c r="I271" s="1874"/>
      <c r="J271" s="1874"/>
      <c r="K271" s="1874"/>
      <c r="L271" s="1874"/>
      <c r="M271" s="1874"/>
      <c r="N271" s="1875"/>
      <c r="O271" s="1331" t="s">
        <v>188</v>
      </c>
      <c r="P271" s="1178"/>
      <c r="Q271" s="1178"/>
      <c r="R271" s="1178"/>
      <c r="S271" s="1178"/>
      <c r="T271" s="1178"/>
      <c r="U271" s="1189"/>
      <c r="X271"/>
      <c r="Y271"/>
      <c r="Z271"/>
    </row>
    <row r="272" spans="1:26" ht="24.4" customHeight="1">
      <c r="A272" s="1231"/>
      <c r="B272" s="137"/>
      <c r="C272" s="137"/>
      <c r="D272" s="137"/>
      <c r="E272" s="1342" t="s">
        <v>199</v>
      </c>
      <c r="F272" s="1343"/>
      <c r="G272" s="1344"/>
      <c r="H272" s="1873" t="s">
        <v>200</v>
      </c>
      <c r="I272" s="1874"/>
      <c r="J272" s="1874"/>
      <c r="K272" s="1874"/>
      <c r="L272" s="1874"/>
      <c r="M272" s="1874"/>
      <c r="N272" s="1875"/>
      <c r="O272" s="1876" t="s">
        <v>201</v>
      </c>
      <c r="P272" s="1877"/>
      <c r="Q272" s="1877"/>
      <c r="R272" s="1877"/>
      <c r="S272" s="1877"/>
      <c r="T272" s="1877"/>
      <c r="U272" s="1878"/>
      <c r="X272"/>
      <c r="Y272"/>
      <c r="Z272"/>
    </row>
    <row r="273" spans="1:26" ht="24.4" customHeight="1">
      <c r="A273" s="1231"/>
      <c r="B273" s="137"/>
      <c r="C273" s="137"/>
      <c r="D273" s="137"/>
      <c r="E273" s="1342" t="s">
        <v>202</v>
      </c>
      <c r="F273" s="1343"/>
      <c r="G273" s="1344"/>
      <c r="H273" s="1873" t="s">
        <v>203</v>
      </c>
      <c r="I273" s="1874"/>
      <c r="J273" s="1874"/>
      <c r="K273" s="1874"/>
      <c r="L273" s="1874"/>
      <c r="M273" s="1874"/>
      <c r="N273" s="1875"/>
      <c r="O273" s="1331" t="s">
        <v>194</v>
      </c>
      <c r="P273" s="1178"/>
      <c r="Q273" s="1178"/>
      <c r="R273" s="1178"/>
      <c r="S273" s="1178"/>
      <c r="T273" s="1178"/>
      <c r="U273" s="1189"/>
      <c r="X273"/>
      <c r="Y273"/>
      <c r="Z273"/>
    </row>
    <row r="274" spans="1:26" ht="24.4" customHeight="1">
      <c r="A274" s="1231"/>
      <c r="B274" s="137"/>
      <c r="C274" s="137"/>
      <c r="D274" s="137"/>
      <c r="E274" s="1342" t="s">
        <v>204</v>
      </c>
      <c r="F274" s="1343"/>
      <c r="G274" s="1344"/>
      <c r="H274" s="1873" t="s">
        <v>205</v>
      </c>
      <c r="I274" s="1874"/>
      <c r="J274" s="1874"/>
      <c r="K274" s="1874"/>
      <c r="L274" s="1874"/>
      <c r="M274" s="1874"/>
      <c r="N274" s="1875"/>
      <c r="O274" s="1352" t="s">
        <v>194</v>
      </c>
      <c r="P274" s="1353"/>
      <c r="Q274" s="1353"/>
      <c r="R274" s="1353"/>
      <c r="S274" s="1353"/>
      <c r="T274" s="1353"/>
      <c r="U274" s="1354"/>
      <c r="X274"/>
      <c r="Y274"/>
      <c r="Z274"/>
    </row>
    <row r="275" spans="1:26" ht="24.4" customHeight="1">
      <c r="A275" s="1231"/>
      <c r="B275" s="137"/>
      <c r="C275" s="137"/>
      <c r="D275" s="137"/>
      <c r="E275" s="1342" t="s">
        <v>206</v>
      </c>
      <c r="F275" s="1343"/>
      <c r="G275" s="1344"/>
      <c r="H275" s="1873" t="s">
        <v>207</v>
      </c>
      <c r="I275" s="1874"/>
      <c r="J275" s="1874"/>
      <c r="K275" s="1874"/>
      <c r="L275" s="1874"/>
      <c r="M275" s="1874"/>
      <c r="N275" s="1875"/>
      <c r="O275" s="1352" t="s">
        <v>208</v>
      </c>
      <c r="P275" s="1353"/>
      <c r="Q275" s="1353"/>
      <c r="R275" s="1353"/>
      <c r="S275" s="1353"/>
      <c r="T275" s="1353"/>
      <c r="U275" s="1354"/>
      <c r="X275"/>
      <c r="Y275"/>
      <c r="Z275"/>
    </row>
    <row r="276" spans="1:26" ht="24.4" customHeight="1">
      <c r="A276" s="1231"/>
      <c r="B276" s="137"/>
      <c r="C276" s="137"/>
      <c r="D276" s="137"/>
      <c r="E276" s="1342" t="s">
        <v>209</v>
      </c>
      <c r="F276" s="1343"/>
      <c r="G276" s="1344"/>
      <c r="H276" s="1873" t="s">
        <v>210</v>
      </c>
      <c r="I276" s="1874"/>
      <c r="J276" s="1874"/>
      <c r="K276" s="1874"/>
      <c r="L276" s="1874"/>
      <c r="M276" s="1874"/>
      <c r="N276" s="1875"/>
      <c r="O276" s="1352" t="s">
        <v>211</v>
      </c>
      <c r="P276" s="1353"/>
      <c r="Q276" s="1353"/>
      <c r="R276" s="1353"/>
      <c r="S276" s="1353"/>
      <c r="T276" s="1353"/>
      <c r="U276" s="1354"/>
      <c r="X276"/>
      <c r="Y276"/>
      <c r="Z276"/>
    </row>
    <row r="277" spans="1:26" ht="24.4" customHeight="1">
      <c r="A277" s="1231"/>
      <c r="B277" s="137"/>
      <c r="C277" s="137"/>
      <c r="D277" s="137"/>
      <c r="E277" s="1342" t="s">
        <v>212</v>
      </c>
      <c r="F277" s="1343"/>
      <c r="G277" s="1344"/>
      <c r="H277" s="1873" t="s">
        <v>213</v>
      </c>
      <c r="I277" s="1874"/>
      <c r="J277" s="1874"/>
      <c r="K277" s="1874"/>
      <c r="L277" s="1874"/>
      <c r="M277" s="1874"/>
      <c r="N277" s="1875"/>
      <c r="O277" s="1331" t="s">
        <v>194</v>
      </c>
      <c r="P277" s="1178"/>
      <c r="Q277" s="1178"/>
      <c r="R277" s="1178"/>
      <c r="S277" s="1178"/>
      <c r="T277" s="1178"/>
      <c r="U277" s="1189"/>
      <c r="X277"/>
      <c r="Y277"/>
      <c r="Z277"/>
    </row>
    <row r="278" spans="1:26" ht="24.4" customHeight="1">
      <c r="A278" s="1231"/>
      <c r="B278" s="137"/>
      <c r="C278" s="137"/>
      <c r="D278" s="137"/>
      <c r="E278" s="1342" t="s">
        <v>214</v>
      </c>
      <c r="F278" s="1343"/>
      <c r="G278" s="1344"/>
      <c r="H278" s="1873" t="s">
        <v>215</v>
      </c>
      <c r="I278" s="1874"/>
      <c r="J278" s="1874"/>
      <c r="K278" s="1874"/>
      <c r="L278" s="1874"/>
      <c r="M278" s="1874"/>
      <c r="N278" s="1875"/>
      <c r="O278" s="1331" t="s">
        <v>194</v>
      </c>
      <c r="P278" s="1178"/>
      <c r="Q278" s="1178"/>
      <c r="R278" s="1178"/>
      <c r="S278" s="1178"/>
      <c r="T278" s="1178"/>
      <c r="U278" s="1189"/>
      <c r="X278"/>
      <c r="Y278"/>
      <c r="Z278"/>
    </row>
    <row r="279" spans="1:26" ht="24.4" customHeight="1">
      <c r="A279" s="1231"/>
      <c r="B279" s="137"/>
      <c r="C279" s="137"/>
      <c r="D279" s="137"/>
      <c r="E279" s="1342" t="s">
        <v>216</v>
      </c>
      <c r="F279" s="1343"/>
      <c r="G279" s="1344"/>
      <c r="H279" s="1873" t="s">
        <v>217</v>
      </c>
      <c r="I279" s="1874"/>
      <c r="J279" s="1874"/>
      <c r="K279" s="1874"/>
      <c r="L279" s="1874"/>
      <c r="M279" s="1874"/>
      <c r="N279" s="1875"/>
      <c r="O279" s="1352" t="s">
        <v>194</v>
      </c>
      <c r="P279" s="1353"/>
      <c r="Q279" s="1353"/>
      <c r="R279" s="1353"/>
      <c r="S279" s="1353"/>
      <c r="T279" s="1353"/>
      <c r="U279" s="1354"/>
      <c r="X279"/>
      <c r="Y279"/>
      <c r="Z279"/>
    </row>
    <row r="280" spans="1:26" ht="24.4" customHeight="1" thickBot="1">
      <c r="A280" s="1231"/>
      <c r="B280" s="137"/>
      <c r="C280" s="137"/>
      <c r="D280" s="137"/>
      <c r="E280" s="1369" t="s">
        <v>218</v>
      </c>
      <c r="F280" s="1370"/>
      <c r="G280" s="1371"/>
      <c r="H280" s="1879" t="s">
        <v>219</v>
      </c>
      <c r="I280" s="1880"/>
      <c r="J280" s="1880"/>
      <c r="K280" s="1880"/>
      <c r="L280" s="1880"/>
      <c r="M280" s="1880"/>
      <c r="N280" s="1881"/>
      <c r="O280" s="1363" t="s">
        <v>194</v>
      </c>
      <c r="P280" s="1364"/>
      <c r="Q280" s="1364"/>
      <c r="R280" s="1364"/>
      <c r="S280" s="1364"/>
      <c r="T280" s="1364"/>
      <c r="U280" s="1365"/>
      <c r="V280" s="137"/>
      <c r="X280"/>
      <c r="Y280"/>
      <c r="Z280"/>
    </row>
    <row r="281" spans="1:26" ht="24.4" customHeight="1" thickTop="1">
      <c r="A281" s="1231"/>
      <c r="B281" s="137"/>
      <c r="C281" s="137"/>
      <c r="D281" s="137"/>
      <c r="E281" s="592"/>
      <c r="F281" s="592"/>
      <c r="G281" s="592"/>
      <c r="H281" s="592"/>
      <c r="I281" s="592"/>
      <c r="J281" s="592"/>
      <c r="K281" s="592"/>
      <c r="L281" s="592"/>
      <c r="M281" s="592"/>
      <c r="N281" s="592"/>
      <c r="O281" s="592"/>
      <c r="P281" s="592"/>
      <c r="Q281" s="592"/>
      <c r="R281" s="592"/>
      <c r="S281" s="592"/>
      <c r="T281" s="592"/>
      <c r="U281" s="592"/>
      <c r="V281" s="137"/>
      <c r="X281"/>
      <c r="Y281"/>
      <c r="Z281"/>
    </row>
    <row r="282" spans="1:26" ht="24.4" customHeight="1">
      <c r="A282" s="1231"/>
      <c r="B282" s="137"/>
      <c r="C282" s="137"/>
      <c r="D282" s="137"/>
      <c r="E282" s="632" t="s">
        <v>56</v>
      </c>
      <c r="F282" s="137"/>
      <c r="G282" s="137"/>
      <c r="H282" s="137"/>
      <c r="I282" s="592"/>
      <c r="J282" s="592"/>
      <c r="K282" s="592"/>
      <c r="L282" s="592"/>
      <c r="M282" s="592"/>
      <c r="N282" s="592"/>
      <c r="O282" s="592"/>
      <c r="P282" s="592"/>
      <c r="Q282" s="592"/>
      <c r="R282" s="592"/>
      <c r="S282" s="592"/>
      <c r="T282" s="592"/>
      <c r="U282" s="592"/>
      <c r="V282" s="137"/>
      <c r="X282"/>
      <c r="Y282"/>
      <c r="Z282"/>
    </row>
    <row r="283" spans="1:26" ht="24.4" customHeight="1">
      <c r="A283" s="1231"/>
      <c r="B283" s="137"/>
      <c r="C283" s="137"/>
      <c r="D283" s="137"/>
      <c r="E283" s="732" t="s">
        <v>179</v>
      </c>
      <c r="F283" s="732"/>
      <c r="G283" s="732"/>
      <c r="H283" s="137"/>
      <c r="I283" s="639"/>
      <c r="J283" s="137"/>
      <c r="K283" s="137"/>
      <c r="L283" s="592"/>
      <c r="M283" s="592"/>
      <c r="N283" s="592"/>
      <c r="O283" s="592"/>
      <c r="P283" s="592"/>
      <c r="Q283" s="1368"/>
      <c r="R283" s="1368"/>
      <c r="S283" s="1368"/>
      <c r="T283" s="1368"/>
      <c r="U283" s="1368"/>
      <c r="V283" s="137"/>
      <c r="X283"/>
      <c r="Y283"/>
      <c r="Z283"/>
    </row>
    <row r="284" spans="1:26" ht="24.4" customHeight="1" thickBot="1">
      <c r="A284" s="1231"/>
      <c r="B284" s="137"/>
      <c r="C284" s="137"/>
      <c r="D284" s="137"/>
      <c r="E284" s="732" t="s">
        <v>180</v>
      </c>
      <c r="F284" s="732"/>
      <c r="G284" s="732"/>
      <c r="H284" s="732"/>
      <c r="I284" s="639"/>
      <c r="J284" s="639"/>
      <c r="K284" s="639"/>
      <c r="L284" s="592"/>
      <c r="M284" s="592"/>
      <c r="N284" s="592"/>
      <c r="O284" s="592"/>
      <c r="P284" s="592"/>
      <c r="Q284" s="592"/>
      <c r="R284" s="592"/>
      <c r="S284" s="592"/>
      <c r="T284" s="592"/>
      <c r="U284" s="592"/>
      <c r="V284" s="137"/>
      <c r="X284"/>
      <c r="Y284"/>
      <c r="Z284"/>
    </row>
    <row r="285" spans="1:26" ht="24.4" customHeight="1" thickTop="1">
      <c r="A285" s="1231"/>
      <c r="B285" s="137"/>
      <c r="C285" s="137"/>
      <c r="D285" s="137"/>
      <c r="E285" s="1379" t="s">
        <v>181</v>
      </c>
      <c r="F285" s="1380"/>
      <c r="G285" s="1380"/>
      <c r="H285" s="1380" t="s">
        <v>98</v>
      </c>
      <c r="I285" s="1380"/>
      <c r="J285" s="1380"/>
      <c r="K285" s="1380"/>
      <c r="L285" s="1380"/>
      <c r="M285" s="1380"/>
      <c r="N285" s="1380"/>
      <c r="O285" s="1380" t="s">
        <v>182</v>
      </c>
      <c r="P285" s="1380"/>
      <c r="Q285" s="1380"/>
      <c r="R285" s="1380"/>
      <c r="S285" s="1380"/>
      <c r="T285" s="1380"/>
      <c r="U285" s="1455"/>
      <c r="V285" s="137"/>
      <c r="X285"/>
      <c r="Y285"/>
      <c r="Z285"/>
    </row>
    <row r="286" spans="1:26" ht="24.4" customHeight="1">
      <c r="A286" s="1231"/>
      <c r="B286" s="137"/>
      <c r="C286" s="137"/>
      <c r="D286" s="137"/>
      <c r="E286" s="1377" t="s">
        <v>183</v>
      </c>
      <c r="F286" s="1378"/>
      <c r="G286" s="1378"/>
      <c r="H286" s="1403" t="s">
        <v>184</v>
      </c>
      <c r="I286" s="1403"/>
      <c r="J286" s="1403"/>
      <c r="K286" s="1403"/>
      <c r="L286" s="1403"/>
      <c r="M286" s="1403"/>
      <c r="N286" s="1403"/>
      <c r="O286" s="1882" t="s">
        <v>220</v>
      </c>
      <c r="P286" s="1883"/>
      <c r="Q286" s="1883"/>
      <c r="R286" s="1883"/>
      <c r="S286" s="1883"/>
      <c r="T286" s="1883"/>
      <c r="U286" s="1884"/>
      <c r="V286" s="137"/>
      <c r="X286"/>
      <c r="Y286"/>
      <c r="Z286"/>
    </row>
    <row r="287" spans="1:26" ht="24.4" customHeight="1">
      <c r="A287" s="1231"/>
      <c r="B287" s="137"/>
      <c r="C287" s="137"/>
      <c r="D287" s="137"/>
      <c r="E287" s="1377" t="s">
        <v>221</v>
      </c>
      <c r="F287" s="1378"/>
      <c r="G287" s="1378"/>
      <c r="H287" s="1375" t="s">
        <v>187</v>
      </c>
      <c r="I287" s="1375"/>
      <c r="J287" s="1375"/>
      <c r="K287" s="1375"/>
      <c r="L287" s="1375"/>
      <c r="M287" s="1375"/>
      <c r="N287" s="1375"/>
      <c r="O287" s="1330" t="s">
        <v>222</v>
      </c>
      <c r="P287" s="1330"/>
      <c r="Q287" s="1330"/>
      <c r="R287" s="1330"/>
      <c r="S287" s="1330"/>
      <c r="T287" s="1330"/>
      <c r="U287" s="1385"/>
      <c r="V287" s="137"/>
      <c r="X287"/>
      <c r="Y287"/>
      <c r="Z287"/>
    </row>
    <row r="288" spans="1:26" ht="24.4" customHeight="1">
      <c r="A288" s="1231"/>
      <c r="B288" s="137"/>
      <c r="C288" s="137"/>
      <c r="D288" s="137"/>
      <c r="E288" s="1377" t="s">
        <v>195</v>
      </c>
      <c r="F288" s="1378"/>
      <c r="G288" s="1378"/>
      <c r="H288" s="1375" t="s">
        <v>196</v>
      </c>
      <c r="I288" s="1375"/>
      <c r="J288" s="1375"/>
      <c r="K288" s="1375"/>
      <c r="L288" s="1375"/>
      <c r="M288" s="1375"/>
      <c r="N288" s="1375"/>
      <c r="O288" s="1330" t="s">
        <v>194</v>
      </c>
      <c r="P288" s="1330"/>
      <c r="Q288" s="1330"/>
      <c r="R288" s="1330"/>
      <c r="S288" s="1330"/>
      <c r="T288" s="1330"/>
      <c r="U288" s="1385"/>
      <c r="V288" s="137"/>
      <c r="X288"/>
      <c r="Y288"/>
      <c r="Z288"/>
    </row>
    <row r="289" spans="1:26" ht="24.4" customHeight="1">
      <c r="A289" s="1231"/>
      <c r="B289" s="137"/>
      <c r="C289" s="137"/>
      <c r="D289" s="137"/>
      <c r="E289" s="1377" t="s">
        <v>197</v>
      </c>
      <c r="F289" s="1378"/>
      <c r="G289" s="1378"/>
      <c r="H289" s="1341" t="s">
        <v>198</v>
      </c>
      <c r="I289" s="1341"/>
      <c r="J289" s="1341"/>
      <c r="K289" s="1341"/>
      <c r="L289" s="1341"/>
      <c r="M289" s="1341"/>
      <c r="N289" s="1341"/>
      <c r="O289" s="1330" t="s">
        <v>223</v>
      </c>
      <c r="P289" s="1330"/>
      <c r="Q289" s="1330"/>
      <c r="R289" s="1330"/>
      <c r="S289" s="1330"/>
      <c r="T289" s="1330"/>
      <c r="U289" s="1385"/>
      <c r="V289" s="137"/>
      <c r="X289"/>
      <c r="Y289"/>
      <c r="Z289"/>
    </row>
    <row r="290" spans="1:26" ht="24.4" customHeight="1">
      <c r="A290" s="1231"/>
      <c r="B290" s="137"/>
      <c r="C290" s="137"/>
      <c r="D290" s="137"/>
      <c r="E290" s="1377" t="s">
        <v>199</v>
      </c>
      <c r="F290" s="1378"/>
      <c r="G290" s="1378"/>
      <c r="H290" s="1375" t="s">
        <v>200</v>
      </c>
      <c r="I290" s="1375"/>
      <c r="J290" s="1375"/>
      <c r="K290" s="1375"/>
      <c r="L290" s="1375"/>
      <c r="M290" s="1375"/>
      <c r="N290" s="1375"/>
      <c r="O290" s="1882" t="s">
        <v>224</v>
      </c>
      <c r="P290" s="1883"/>
      <c r="Q290" s="1883"/>
      <c r="R290" s="1883"/>
      <c r="S290" s="1883"/>
      <c r="T290" s="1883"/>
      <c r="U290" s="1884"/>
      <c r="V290" s="137"/>
      <c r="X290"/>
      <c r="Y290"/>
      <c r="Z290"/>
    </row>
    <row r="291" spans="1:26" ht="24.4" customHeight="1">
      <c r="A291" s="1231"/>
      <c r="B291" s="137"/>
      <c r="C291" s="137"/>
      <c r="D291" s="137"/>
      <c r="E291" s="1377" t="s">
        <v>225</v>
      </c>
      <c r="F291" s="1378"/>
      <c r="G291" s="1378"/>
      <c r="H291" s="1341" t="s">
        <v>203</v>
      </c>
      <c r="I291" s="1341"/>
      <c r="J291" s="1341"/>
      <c r="K291" s="1341"/>
      <c r="L291" s="1341"/>
      <c r="M291" s="1341"/>
      <c r="N291" s="1341"/>
      <c r="O291" s="1330" t="s">
        <v>194</v>
      </c>
      <c r="P291" s="1330"/>
      <c r="Q291" s="1330"/>
      <c r="R291" s="1330"/>
      <c r="S291" s="1330"/>
      <c r="T291" s="1330"/>
      <c r="U291" s="1385"/>
      <c r="V291" s="137"/>
      <c r="X291"/>
      <c r="Y291"/>
      <c r="Z291"/>
    </row>
    <row r="292" spans="1:26" ht="24.4" customHeight="1">
      <c r="A292" s="1231"/>
      <c r="B292" s="137"/>
      <c r="C292" s="137"/>
      <c r="D292" s="137"/>
      <c r="E292" s="1377" t="s">
        <v>204</v>
      </c>
      <c r="F292" s="1378"/>
      <c r="G292" s="1378"/>
      <c r="H292" s="1375" t="s">
        <v>205</v>
      </c>
      <c r="I292" s="1375"/>
      <c r="J292" s="1375"/>
      <c r="K292" s="1375"/>
      <c r="L292" s="1375"/>
      <c r="M292" s="1375"/>
      <c r="N292" s="1375"/>
      <c r="O292" s="1330" t="s">
        <v>194</v>
      </c>
      <c r="P292" s="1330"/>
      <c r="Q292" s="1330"/>
      <c r="R292" s="1330"/>
      <c r="S292" s="1330"/>
      <c r="T292" s="1330"/>
      <c r="U292" s="1385"/>
      <c r="V292" s="137"/>
      <c r="X292"/>
      <c r="Y292"/>
      <c r="Z292"/>
    </row>
    <row r="293" spans="1:26" ht="24.4" customHeight="1">
      <c r="A293" s="1231"/>
      <c r="B293" s="137"/>
      <c r="C293" s="137"/>
      <c r="D293" s="137"/>
      <c r="E293" s="1377" t="s">
        <v>226</v>
      </c>
      <c r="F293" s="1378"/>
      <c r="G293" s="1378"/>
      <c r="H293" s="1341" t="s">
        <v>213</v>
      </c>
      <c r="I293" s="1341"/>
      <c r="J293" s="1341"/>
      <c r="K293" s="1341"/>
      <c r="L293" s="1341"/>
      <c r="M293" s="1341"/>
      <c r="N293" s="1341"/>
      <c r="O293" s="1330" t="s">
        <v>194</v>
      </c>
      <c r="P293" s="1330"/>
      <c r="Q293" s="1330"/>
      <c r="R293" s="1330"/>
      <c r="S293" s="1330"/>
      <c r="T293" s="1330"/>
      <c r="U293" s="1385"/>
      <c r="V293" s="137"/>
      <c r="X293"/>
      <c r="Y293"/>
      <c r="Z293"/>
    </row>
    <row r="294" spans="1:26" ht="24.4" customHeight="1" thickBot="1">
      <c r="A294" s="1231"/>
      <c r="B294" s="137"/>
      <c r="C294" s="137"/>
      <c r="D294" s="137"/>
      <c r="E294" s="1457" t="s">
        <v>227</v>
      </c>
      <c r="F294" s="1458"/>
      <c r="G294" s="1458"/>
      <c r="H294" s="1456" t="s">
        <v>215</v>
      </c>
      <c r="I294" s="1456"/>
      <c r="J294" s="1456"/>
      <c r="K294" s="1456"/>
      <c r="L294" s="1456"/>
      <c r="M294" s="1456"/>
      <c r="N294" s="1456"/>
      <c r="O294" s="1401" t="s">
        <v>194</v>
      </c>
      <c r="P294" s="1401"/>
      <c r="Q294" s="1401"/>
      <c r="R294" s="1401"/>
      <c r="S294" s="1401"/>
      <c r="T294" s="1401"/>
      <c r="U294" s="1402"/>
      <c r="V294" s="137"/>
      <c r="X294"/>
      <c r="Y294"/>
      <c r="Z294"/>
    </row>
    <row r="295" spans="1:26" ht="18.600000000000001" thickTop="1">
      <c r="A295" s="588"/>
      <c r="B295" s="588"/>
      <c r="C295" s="588"/>
      <c r="D295" s="588"/>
      <c r="E295" s="588"/>
      <c r="F295" s="588"/>
      <c r="G295" s="588"/>
      <c r="H295" s="588"/>
      <c r="I295" s="137"/>
      <c r="J295" s="589"/>
      <c r="K295" s="137"/>
      <c r="L295" s="590"/>
      <c r="M295" s="591"/>
      <c r="N295" s="591"/>
      <c r="O295" s="591"/>
      <c r="P295" s="591"/>
      <c r="Q295" s="591"/>
      <c r="R295" s="137"/>
      <c r="S295" s="137"/>
      <c r="T295" s="137"/>
      <c r="U295" s="137"/>
      <c r="V295" s="137"/>
      <c r="X295"/>
      <c r="Y295"/>
      <c r="Z295"/>
    </row>
    <row r="296" spans="1:26" ht="18">
      <c r="A296" s="588"/>
      <c r="B296" s="588"/>
      <c r="C296" s="588"/>
      <c r="D296" s="588"/>
      <c r="E296" s="588"/>
      <c r="F296" s="588"/>
      <c r="G296" s="588"/>
      <c r="H296" s="588"/>
      <c r="I296" s="137"/>
      <c r="J296" s="589"/>
      <c r="K296" s="137"/>
      <c r="L296" s="590"/>
      <c r="M296" s="591"/>
      <c r="N296" s="591"/>
      <c r="O296" s="591"/>
      <c r="P296" s="591"/>
      <c r="Q296" s="591"/>
      <c r="R296" s="137"/>
      <c r="S296" s="137"/>
      <c r="T296" s="137"/>
      <c r="U296" s="137"/>
      <c r="V296" s="137"/>
      <c r="X296"/>
      <c r="Y296"/>
      <c r="Z296"/>
    </row>
    <row r="297" spans="1:26" ht="18">
      <c r="A297" s="588"/>
      <c r="B297" s="588"/>
      <c r="C297" s="588"/>
      <c r="D297" s="588"/>
      <c r="E297" s="588"/>
      <c r="F297" s="588"/>
      <c r="G297" s="588"/>
      <c r="H297" s="588"/>
      <c r="I297" s="137"/>
      <c r="J297" s="589"/>
      <c r="K297" s="137"/>
      <c r="L297" s="590"/>
      <c r="M297" s="591"/>
      <c r="N297" s="591"/>
      <c r="O297" s="591"/>
      <c r="P297" s="591"/>
      <c r="Q297" s="591"/>
      <c r="R297" s="137"/>
      <c r="S297" s="137"/>
      <c r="T297" s="137"/>
      <c r="U297" s="137"/>
      <c r="V297" s="137"/>
      <c r="X297"/>
      <c r="Y297"/>
      <c r="Z297"/>
    </row>
    <row r="298" spans="1:26" ht="18">
      <c r="A298" s="588"/>
      <c r="B298" s="588"/>
      <c r="C298" s="588"/>
      <c r="D298" s="588"/>
      <c r="E298" s="588"/>
      <c r="F298" s="588"/>
      <c r="G298" s="588"/>
      <c r="H298" s="588"/>
      <c r="I298" s="137"/>
      <c r="J298" s="589"/>
      <c r="K298" s="137"/>
      <c r="L298" s="590"/>
      <c r="M298" s="591"/>
      <c r="N298" s="591"/>
      <c r="O298" s="591"/>
      <c r="P298" s="591"/>
      <c r="Q298" s="591"/>
      <c r="R298" s="137"/>
      <c r="S298" s="137"/>
      <c r="T298" s="137"/>
      <c r="U298" s="137"/>
      <c r="V298" s="137"/>
      <c r="X298"/>
      <c r="Y298"/>
      <c r="Z298"/>
    </row>
    <row r="299" spans="1:26" ht="18">
      <c r="A299" s="588"/>
      <c r="B299" s="588"/>
      <c r="C299" s="588"/>
      <c r="D299" s="588"/>
      <c r="E299" s="588"/>
      <c r="F299" s="588"/>
      <c r="G299" s="588"/>
      <c r="H299" s="588"/>
      <c r="I299" s="137"/>
      <c r="J299" s="589"/>
      <c r="K299" s="137"/>
      <c r="L299" s="590"/>
      <c r="M299" s="591"/>
      <c r="N299" s="591"/>
      <c r="O299" s="591"/>
      <c r="P299" s="591"/>
      <c r="Q299" s="591"/>
      <c r="R299" s="137"/>
      <c r="S299" s="137"/>
      <c r="T299" s="137"/>
      <c r="U299" s="137"/>
      <c r="V299" s="137"/>
      <c r="X299"/>
      <c r="Y299"/>
      <c r="Z299"/>
    </row>
    <row r="300" spans="1:26" ht="18">
      <c r="A300" s="588"/>
      <c r="B300" s="588"/>
      <c r="C300" s="588"/>
      <c r="D300" s="588"/>
      <c r="E300" s="588"/>
      <c r="F300" s="588"/>
      <c r="G300" s="588"/>
      <c r="H300" s="588"/>
      <c r="I300" s="137"/>
      <c r="J300" s="589"/>
      <c r="K300" s="137"/>
      <c r="L300" s="590"/>
      <c r="M300" s="591"/>
      <c r="N300" s="591"/>
      <c r="O300" s="591"/>
      <c r="P300" s="591"/>
      <c r="Q300" s="591"/>
      <c r="R300" s="137"/>
      <c r="S300" s="137"/>
      <c r="T300" s="137"/>
      <c r="U300" s="137"/>
      <c r="V300" s="137"/>
      <c r="X300"/>
      <c r="Y300"/>
      <c r="Z300"/>
    </row>
    <row r="301" spans="1:26" ht="18">
      <c r="A301" s="588"/>
      <c r="B301" s="588"/>
      <c r="C301" s="588"/>
      <c r="D301" s="588"/>
      <c r="E301" s="588"/>
      <c r="F301" s="588"/>
      <c r="G301" s="588"/>
      <c r="H301" s="588"/>
      <c r="I301" s="137"/>
      <c r="J301" s="589"/>
      <c r="K301" s="137"/>
      <c r="L301" s="590"/>
      <c r="M301" s="591"/>
      <c r="N301" s="591"/>
      <c r="O301" s="591"/>
      <c r="P301" s="591"/>
      <c r="Q301" s="591"/>
      <c r="R301" s="137"/>
      <c r="S301" s="137"/>
      <c r="T301" s="137"/>
      <c r="U301" s="137"/>
      <c r="V301" s="137"/>
      <c r="X301"/>
      <c r="Y301"/>
      <c r="Z301"/>
    </row>
    <row r="302" spans="1:26" ht="15.6">
      <c r="A302" s="588"/>
      <c r="B302" s="588"/>
      <c r="C302" s="588"/>
      <c r="D302" s="588"/>
      <c r="E302" s="588"/>
      <c r="F302" s="588"/>
      <c r="G302" s="588"/>
      <c r="H302" s="588"/>
      <c r="I302" s="137"/>
      <c r="J302" s="137"/>
      <c r="K302" s="137"/>
      <c r="L302" s="137"/>
      <c r="M302" s="137"/>
      <c r="N302" s="137"/>
      <c r="O302" s="137"/>
      <c r="P302" s="137"/>
      <c r="Q302" s="137"/>
      <c r="R302" s="137"/>
      <c r="S302" s="137"/>
      <c r="T302" s="137"/>
      <c r="U302" s="137"/>
      <c r="X302"/>
      <c r="Y302"/>
      <c r="Z302"/>
    </row>
    <row r="303" spans="1:26" ht="28.9">
      <c r="A303" s="1340" t="s">
        <v>228</v>
      </c>
      <c r="B303" s="1340"/>
      <c r="C303" s="1340"/>
      <c r="D303" s="1340"/>
      <c r="E303" s="1340"/>
      <c r="F303" s="1340"/>
      <c r="G303" s="1340"/>
      <c r="H303" s="1340"/>
      <c r="I303" s="1340"/>
      <c r="J303" s="1340"/>
      <c r="K303" s="1340"/>
      <c r="L303" s="1340"/>
      <c r="M303" s="1340"/>
      <c r="N303" s="1340"/>
      <c r="O303" s="137"/>
      <c r="P303" s="137"/>
      <c r="Q303" s="137"/>
      <c r="R303" s="137"/>
      <c r="S303" s="137"/>
      <c r="T303" s="137"/>
      <c r="U303" s="137"/>
      <c r="X303"/>
      <c r="Y303"/>
      <c r="Z303"/>
    </row>
    <row r="304" spans="1:26">
      <c r="A304" s="137"/>
      <c r="B304" s="137"/>
      <c r="C304" s="137"/>
      <c r="D304" s="137"/>
      <c r="E304" s="137"/>
      <c r="F304" s="137"/>
      <c r="G304" s="137"/>
      <c r="H304" s="137"/>
      <c r="I304" s="137"/>
      <c r="J304" s="137"/>
      <c r="K304" s="137"/>
      <c r="L304" s="137"/>
      <c r="M304" s="137"/>
      <c r="N304" s="137"/>
      <c r="O304" s="137"/>
      <c r="P304" s="137"/>
      <c r="Q304" s="137"/>
      <c r="R304" s="137"/>
      <c r="S304" s="137"/>
      <c r="T304" s="137"/>
      <c r="U304" s="137"/>
      <c r="X304"/>
      <c r="Y304"/>
      <c r="Z304"/>
    </row>
    <row r="305" spans="1:26">
      <c r="A305" s="137"/>
      <c r="B305" s="137"/>
      <c r="C305" s="137"/>
      <c r="D305" s="137"/>
      <c r="E305" s="137"/>
      <c r="F305" s="137"/>
      <c r="G305" s="137"/>
      <c r="H305" s="137"/>
      <c r="I305" s="137"/>
      <c r="J305" s="137"/>
      <c r="K305" s="137"/>
      <c r="L305" s="137"/>
      <c r="M305" s="137"/>
      <c r="N305" s="137"/>
      <c r="O305" s="137"/>
      <c r="P305" s="137"/>
      <c r="Q305" s="137"/>
      <c r="R305" s="137"/>
      <c r="S305" s="137"/>
      <c r="T305" s="137"/>
      <c r="U305" s="137"/>
      <c r="X305"/>
      <c r="Y305"/>
      <c r="Z305"/>
    </row>
    <row r="306" spans="1:26">
      <c r="A306" s="137"/>
      <c r="B306" s="137"/>
      <c r="C306" s="137"/>
      <c r="D306" s="137"/>
      <c r="E306" s="137"/>
      <c r="F306" s="137"/>
      <c r="G306" s="137"/>
      <c r="H306" s="137"/>
      <c r="I306" s="137"/>
      <c r="J306" s="137"/>
      <c r="K306" s="137"/>
      <c r="L306" s="137"/>
      <c r="M306" s="137"/>
      <c r="N306" s="137"/>
      <c r="O306" s="137"/>
      <c r="P306" s="137"/>
      <c r="Q306" s="137"/>
      <c r="R306" s="137"/>
      <c r="S306" s="137"/>
      <c r="T306" s="137"/>
      <c r="U306" s="137"/>
      <c r="X306"/>
      <c r="Y306"/>
      <c r="Z306"/>
    </row>
    <row r="307" spans="1:26">
      <c r="A307" s="137"/>
      <c r="B307" s="137"/>
      <c r="C307" s="137"/>
      <c r="D307" s="137"/>
      <c r="E307" s="137"/>
      <c r="F307" s="137"/>
      <c r="G307" s="137"/>
      <c r="H307" s="137"/>
      <c r="I307" s="137"/>
      <c r="J307" s="137"/>
      <c r="K307" s="137"/>
      <c r="L307" s="137"/>
      <c r="M307" s="137"/>
      <c r="N307" s="137"/>
      <c r="O307" s="137"/>
      <c r="P307" s="137"/>
      <c r="Q307" s="137"/>
      <c r="R307" s="137"/>
      <c r="S307" s="137"/>
      <c r="T307" s="137"/>
      <c r="U307" s="137"/>
      <c r="X307"/>
      <c r="Y307"/>
      <c r="Z307"/>
    </row>
    <row r="308" spans="1:26">
      <c r="A308" s="137"/>
      <c r="B308" s="137"/>
      <c r="C308" s="137"/>
      <c r="D308" s="137"/>
      <c r="E308" s="137"/>
      <c r="F308" s="137"/>
      <c r="G308" s="137"/>
      <c r="H308" s="137"/>
      <c r="I308" s="137"/>
      <c r="J308" s="137"/>
      <c r="K308" s="137"/>
      <c r="L308" s="137"/>
      <c r="M308" s="137"/>
      <c r="N308" s="137"/>
      <c r="O308" s="137"/>
      <c r="P308" s="137"/>
      <c r="Q308" s="137"/>
      <c r="R308" s="137"/>
      <c r="S308" s="137"/>
      <c r="T308" s="137"/>
      <c r="U308" s="137"/>
      <c r="X308"/>
      <c r="Y308"/>
      <c r="Z308"/>
    </row>
    <row r="309" spans="1:26">
      <c r="A309" s="137"/>
      <c r="B309" s="137"/>
      <c r="C309" s="137"/>
      <c r="D309" s="137"/>
      <c r="E309" s="137"/>
      <c r="F309" s="137"/>
      <c r="G309" s="137"/>
      <c r="H309" s="137"/>
      <c r="I309" s="137"/>
      <c r="J309" s="137"/>
      <c r="K309" s="137"/>
      <c r="L309" s="137"/>
      <c r="M309" s="137"/>
      <c r="N309" s="137"/>
      <c r="O309" s="137"/>
      <c r="P309" s="137"/>
      <c r="Q309" s="137"/>
      <c r="R309" s="137"/>
      <c r="S309" s="137"/>
      <c r="T309" s="137"/>
      <c r="U309" s="137"/>
      <c r="X309"/>
      <c r="Y309"/>
      <c r="Z309"/>
    </row>
    <row r="310" spans="1:26">
      <c r="A310" s="137"/>
      <c r="B310" s="137"/>
      <c r="C310" s="137"/>
      <c r="D310" s="137"/>
      <c r="E310" s="137"/>
      <c r="F310" s="137"/>
      <c r="G310" s="137"/>
      <c r="H310" s="137"/>
      <c r="I310" s="137"/>
      <c r="J310" s="137"/>
      <c r="K310" s="137"/>
      <c r="L310" s="137"/>
      <c r="M310" s="137"/>
      <c r="N310" s="137"/>
      <c r="O310" s="137"/>
      <c r="P310" s="137"/>
      <c r="Q310" s="137"/>
      <c r="R310" s="137"/>
      <c r="S310" s="137"/>
      <c r="T310" s="137"/>
      <c r="U310" s="137"/>
      <c r="X310"/>
      <c r="Y310"/>
      <c r="Z310"/>
    </row>
    <row r="311" spans="1:26">
      <c r="A311" s="137"/>
      <c r="B311" s="137"/>
      <c r="C311" s="137"/>
      <c r="D311" s="137"/>
      <c r="E311" s="137"/>
      <c r="F311" s="137"/>
      <c r="G311" s="137"/>
      <c r="H311" s="137"/>
      <c r="I311" s="137"/>
      <c r="J311" s="137"/>
      <c r="K311" s="137"/>
      <c r="L311" s="137"/>
      <c r="M311" s="137"/>
      <c r="N311" s="137"/>
      <c r="O311" s="137"/>
      <c r="P311" s="137"/>
      <c r="Q311" s="137"/>
      <c r="R311" s="137"/>
      <c r="S311" s="137"/>
      <c r="T311" s="137"/>
      <c r="U311" s="137"/>
      <c r="X311"/>
      <c r="Y311"/>
      <c r="Z311"/>
    </row>
    <row r="312" spans="1:26">
      <c r="A312" s="137"/>
      <c r="B312" s="137"/>
      <c r="C312" s="137"/>
      <c r="D312" s="137"/>
      <c r="E312" s="137"/>
      <c r="F312" s="137"/>
      <c r="G312" s="137"/>
      <c r="H312" s="137"/>
      <c r="I312" s="137"/>
      <c r="J312" s="137"/>
      <c r="K312" s="137"/>
      <c r="L312" s="137"/>
      <c r="M312" s="137"/>
      <c r="N312" s="137"/>
      <c r="O312" s="137"/>
      <c r="P312" s="137"/>
      <c r="Q312" s="137"/>
      <c r="R312" s="137"/>
      <c r="S312" s="137"/>
      <c r="T312" s="137"/>
      <c r="U312" s="137"/>
      <c r="X312"/>
      <c r="Y312"/>
      <c r="Z312"/>
    </row>
    <row r="313" spans="1:26">
      <c r="A313" s="137"/>
      <c r="B313" s="137"/>
      <c r="C313" s="137"/>
      <c r="D313" s="137"/>
      <c r="E313" s="137"/>
      <c r="F313" s="137"/>
      <c r="G313" s="137"/>
      <c r="H313" s="137"/>
      <c r="I313" s="137"/>
      <c r="J313" s="137"/>
      <c r="K313" s="137"/>
      <c r="L313" s="137"/>
      <c r="M313" s="137"/>
      <c r="N313" s="137"/>
      <c r="O313" s="137"/>
      <c r="P313" s="137"/>
      <c r="Q313" s="137"/>
      <c r="R313" s="137"/>
      <c r="S313" s="137"/>
      <c r="T313" s="137"/>
      <c r="U313" s="137"/>
      <c r="X313"/>
      <c r="Y313"/>
      <c r="Z313"/>
    </row>
    <row r="314" spans="1:26">
      <c r="A314" s="137"/>
      <c r="B314" s="137"/>
      <c r="C314" s="137"/>
      <c r="D314" s="137"/>
      <c r="E314" s="137"/>
      <c r="F314" s="137"/>
      <c r="G314" s="137"/>
      <c r="H314" s="137"/>
      <c r="I314" s="137"/>
      <c r="J314" s="137"/>
      <c r="K314" s="137"/>
      <c r="L314" s="137"/>
      <c r="M314" s="137"/>
      <c r="N314" s="137"/>
      <c r="O314" s="137"/>
      <c r="P314" s="137"/>
      <c r="Q314" s="137"/>
      <c r="R314" s="137"/>
      <c r="S314" s="137"/>
      <c r="T314" s="137"/>
      <c r="U314" s="137"/>
      <c r="X314"/>
      <c r="Y314"/>
      <c r="Z314"/>
    </row>
    <row r="315" spans="1:26">
      <c r="A315" s="137"/>
      <c r="B315" s="137"/>
      <c r="C315" s="137"/>
      <c r="D315" s="137"/>
      <c r="E315" s="137"/>
      <c r="F315" s="137"/>
      <c r="G315" s="137"/>
      <c r="H315" s="137"/>
      <c r="I315" s="137"/>
      <c r="J315" s="137"/>
      <c r="K315" s="137"/>
      <c r="L315" s="137"/>
      <c r="M315" s="137"/>
      <c r="N315" s="137"/>
      <c r="O315" s="137"/>
      <c r="P315" s="137"/>
      <c r="Q315" s="137"/>
      <c r="R315" s="137"/>
      <c r="S315" s="137"/>
      <c r="T315" s="137"/>
      <c r="U315" s="137"/>
      <c r="X315"/>
      <c r="Y315"/>
      <c r="Z315"/>
    </row>
    <row r="316" spans="1:26">
      <c r="A316" s="137"/>
      <c r="B316" s="137"/>
      <c r="C316" s="137"/>
      <c r="D316" s="137"/>
      <c r="E316" s="137"/>
      <c r="F316" s="137"/>
      <c r="G316" s="137"/>
      <c r="H316" s="137"/>
      <c r="I316" s="137"/>
      <c r="J316" s="137"/>
      <c r="K316" s="137"/>
      <c r="L316" s="137"/>
      <c r="M316" s="137"/>
      <c r="N316" s="137"/>
      <c r="O316" s="137"/>
      <c r="P316" s="137"/>
      <c r="Q316" s="137"/>
      <c r="R316" s="137"/>
      <c r="S316" s="137"/>
      <c r="T316" s="137"/>
      <c r="U316" s="137"/>
      <c r="X316"/>
      <c r="Y316"/>
      <c r="Z316"/>
    </row>
    <row r="317" spans="1:26">
      <c r="A317" s="137"/>
      <c r="B317" s="137"/>
      <c r="C317" s="137"/>
      <c r="D317" s="137"/>
      <c r="E317" s="137"/>
      <c r="F317" s="137"/>
      <c r="G317" s="137"/>
      <c r="H317" s="137"/>
      <c r="I317" s="137"/>
      <c r="J317" s="137"/>
      <c r="K317" s="137"/>
      <c r="L317" s="137"/>
      <c r="M317" s="137"/>
      <c r="N317" s="137"/>
      <c r="O317" s="137"/>
      <c r="P317" s="137"/>
      <c r="Q317" s="137"/>
      <c r="R317" s="137"/>
      <c r="S317" s="137"/>
      <c r="T317" s="137"/>
      <c r="U317" s="137"/>
      <c r="X317"/>
      <c r="Y317"/>
      <c r="Z317"/>
    </row>
    <row r="318" spans="1:26">
      <c r="A318" s="137"/>
      <c r="B318" s="137"/>
      <c r="C318" s="137"/>
      <c r="D318" s="137"/>
      <c r="E318" s="137"/>
      <c r="F318" s="137"/>
      <c r="G318" s="137"/>
      <c r="H318" s="137"/>
      <c r="I318" s="137"/>
      <c r="J318" s="137"/>
      <c r="K318" s="137"/>
      <c r="L318" s="137"/>
      <c r="M318" s="137"/>
      <c r="N318" s="137"/>
      <c r="O318" s="137"/>
      <c r="P318" s="137"/>
      <c r="Q318" s="137"/>
      <c r="R318" s="137"/>
      <c r="S318" s="137"/>
      <c r="T318" s="137"/>
      <c r="U318" s="137"/>
      <c r="X318"/>
      <c r="Y318"/>
      <c r="Z318"/>
    </row>
    <row r="319" spans="1:26">
      <c r="A319" s="137"/>
      <c r="B319" s="137"/>
      <c r="C319" s="137"/>
      <c r="D319" s="137"/>
      <c r="E319" s="137"/>
      <c r="F319" s="137"/>
      <c r="G319" s="137"/>
      <c r="H319" s="137"/>
      <c r="I319" s="137"/>
      <c r="J319" s="137"/>
      <c r="K319" s="137"/>
      <c r="L319" s="137"/>
      <c r="M319" s="137"/>
      <c r="N319" s="137"/>
      <c r="O319" s="137"/>
      <c r="P319" s="137"/>
      <c r="Q319" s="137"/>
      <c r="R319" s="137"/>
      <c r="S319" s="137"/>
      <c r="T319" s="137"/>
      <c r="U319" s="137"/>
      <c r="X319"/>
      <c r="Y319"/>
      <c r="Z319"/>
    </row>
    <row r="320" spans="1:26">
      <c r="A320" s="137"/>
      <c r="B320" s="137"/>
      <c r="C320" s="137"/>
      <c r="D320" s="137"/>
      <c r="E320" s="137"/>
      <c r="F320" s="137"/>
      <c r="G320" s="137"/>
      <c r="H320" s="137"/>
      <c r="I320" s="137"/>
      <c r="J320" s="137"/>
      <c r="K320" s="137"/>
      <c r="L320" s="137"/>
      <c r="M320" s="137"/>
      <c r="N320" s="137"/>
      <c r="O320" s="137"/>
      <c r="P320" s="137"/>
      <c r="Q320" s="137"/>
      <c r="R320" s="137"/>
      <c r="S320" s="137"/>
      <c r="T320" s="137"/>
      <c r="U320" s="137"/>
      <c r="X320"/>
      <c r="Y320"/>
      <c r="Z320"/>
    </row>
    <row r="321" spans="1:26">
      <c r="A321" s="137"/>
      <c r="B321" s="137"/>
      <c r="C321" s="137"/>
      <c r="D321" s="137"/>
      <c r="E321" s="137"/>
      <c r="F321" s="137"/>
      <c r="G321" s="137"/>
      <c r="H321" s="137"/>
      <c r="I321" s="137"/>
      <c r="J321" s="137"/>
      <c r="K321" s="137"/>
      <c r="L321" s="137"/>
      <c r="M321" s="137"/>
      <c r="N321" s="137"/>
      <c r="O321" s="137"/>
      <c r="P321" s="137"/>
      <c r="Q321" s="137"/>
      <c r="R321" s="137"/>
      <c r="S321" s="137"/>
      <c r="T321" s="137"/>
      <c r="U321" s="137"/>
      <c r="X321"/>
      <c r="Y321"/>
      <c r="Z321"/>
    </row>
    <row r="322" spans="1:26">
      <c r="A322" s="137"/>
      <c r="B322" s="137"/>
      <c r="C322" s="137"/>
      <c r="D322" s="137"/>
      <c r="E322" s="137"/>
      <c r="F322" s="137"/>
      <c r="G322" s="137"/>
      <c r="H322" s="137"/>
      <c r="I322" s="137"/>
      <c r="J322" s="137"/>
      <c r="K322" s="137"/>
      <c r="L322" s="137"/>
      <c r="M322" s="137"/>
      <c r="N322" s="137"/>
      <c r="O322" s="137"/>
      <c r="P322" s="137"/>
      <c r="Q322" s="137"/>
      <c r="R322" s="137"/>
      <c r="S322" s="137"/>
      <c r="T322" s="137"/>
      <c r="U322" s="137"/>
      <c r="X322"/>
      <c r="Y322"/>
      <c r="Z322"/>
    </row>
    <row r="323" spans="1:26">
      <c r="A323" s="137"/>
      <c r="B323" s="137"/>
      <c r="C323" s="137"/>
      <c r="D323" s="137"/>
      <c r="E323" s="137"/>
      <c r="F323" s="137"/>
      <c r="G323" s="137"/>
      <c r="H323" s="137"/>
      <c r="I323" s="137"/>
      <c r="J323" s="137"/>
      <c r="K323" s="137"/>
      <c r="L323" s="137"/>
      <c r="M323" s="137"/>
      <c r="N323" s="137"/>
      <c r="O323" s="137"/>
      <c r="P323" s="137"/>
      <c r="Q323" s="137"/>
      <c r="R323" s="137"/>
      <c r="S323" s="137"/>
      <c r="T323" s="137"/>
      <c r="U323" s="137"/>
      <c r="X323"/>
      <c r="Y323"/>
      <c r="Z323"/>
    </row>
    <row r="324" spans="1:26">
      <c r="A324" s="137"/>
      <c r="B324" s="137"/>
      <c r="C324" s="137"/>
      <c r="D324" s="137"/>
      <c r="E324" s="137"/>
      <c r="F324" s="137"/>
      <c r="G324" s="137"/>
      <c r="H324" s="137"/>
      <c r="I324" s="137"/>
      <c r="J324" s="137"/>
      <c r="K324" s="137"/>
      <c r="L324" s="137"/>
      <c r="M324" s="137"/>
      <c r="N324" s="137"/>
      <c r="O324" s="137"/>
      <c r="P324" s="137"/>
      <c r="Q324" s="137"/>
      <c r="R324" s="137"/>
      <c r="S324" s="137"/>
      <c r="T324" s="137"/>
      <c r="U324" s="137"/>
      <c r="X324"/>
      <c r="Y324"/>
      <c r="Z324"/>
    </row>
    <row r="325" spans="1:26">
      <c r="A325" s="137"/>
      <c r="B325" s="137"/>
      <c r="C325" s="137"/>
      <c r="D325" s="137"/>
      <c r="E325" s="137"/>
      <c r="F325" s="137"/>
      <c r="G325" s="137"/>
      <c r="H325" s="137"/>
      <c r="I325" s="137"/>
      <c r="J325" s="137"/>
      <c r="K325" s="137"/>
      <c r="L325" s="137"/>
      <c r="M325" s="137"/>
      <c r="N325" s="137"/>
      <c r="O325" s="137"/>
      <c r="P325" s="137"/>
      <c r="Q325" s="137"/>
      <c r="R325" s="137"/>
      <c r="S325" s="137"/>
      <c r="T325" s="137"/>
      <c r="U325" s="137"/>
      <c r="X325"/>
      <c r="Y325"/>
      <c r="Z325"/>
    </row>
    <row r="326" spans="1:26">
      <c r="A326" s="137"/>
      <c r="B326" s="137"/>
      <c r="C326" s="137"/>
      <c r="D326" s="137"/>
      <c r="E326" s="137"/>
      <c r="F326" s="137"/>
      <c r="G326" s="137"/>
      <c r="H326" s="137"/>
      <c r="I326" s="137"/>
      <c r="J326" s="137"/>
      <c r="K326" s="137"/>
      <c r="L326" s="137"/>
      <c r="M326" s="137"/>
      <c r="N326" s="137"/>
      <c r="O326" s="137"/>
      <c r="P326" s="137"/>
      <c r="Q326" s="137"/>
      <c r="R326" s="137"/>
      <c r="S326" s="137"/>
      <c r="T326" s="137"/>
      <c r="U326" s="137"/>
      <c r="X326"/>
      <c r="Y326"/>
      <c r="Z326"/>
    </row>
    <row r="327" spans="1:26">
      <c r="A327" s="137"/>
      <c r="B327" s="137"/>
      <c r="C327" s="137"/>
      <c r="D327" s="137"/>
      <c r="E327" s="137"/>
      <c r="F327" s="137"/>
      <c r="G327" s="137"/>
      <c r="H327" s="137"/>
      <c r="I327" s="137"/>
      <c r="J327" s="137"/>
      <c r="K327" s="137"/>
      <c r="L327" s="137"/>
      <c r="M327" s="137"/>
      <c r="N327" s="137"/>
      <c r="O327" s="137"/>
      <c r="P327" s="137"/>
      <c r="Q327" s="137"/>
      <c r="R327" s="137"/>
      <c r="S327" s="137"/>
      <c r="T327" s="137"/>
      <c r="U327" s="137"/>
      <c r="X327"/>
      <c r="Y327"/>
      <c r="Z327"/>
    </row>
    <row r="328" spans="1:26">
      <c r="A328" s="137"/>
      <c r="B328" s="137"/>
      <c r="C328" s="137"/>
      <c r="D328" s="137"/>
      <c r="E328" s="137"/>
      <c r="F328" s="137"/>
      <c r="G328" s="137"/>
      <c r="H328" s="137"/>
      <c r="I328" s="137"/>
      <c r="J328" s="137"/>
      <c r="K328" s="137"/>
      <c r="L328" s="137"/>
      <c r="M328" s="137"/>
      <c r="N328" s="137"/>
      <c r="O328" s="137"/>
      <c r="P328" s="137"/>
      <c r="Q328" s="137"/>
      <c r="R328" s="137"/>
      <c r="S328" s="137"/>
      <c r="T328" s="137"/>
      <c r="U328" s="137"/>
      <c r="X328"/>
      <c r="Y328"/>
      <c r="Z328"/>
    </row>
    <row r="329" spans="1:26">
      <c r="A329" s="137"/>
      <c r="B329" s="137"/>
      <c r="C329" s="137"/>
      <c r="D329" s="137"/>
      <c r="E329" s="137"/>
      <c r="F329" s="137"/>
      <c r="G329" s="137"/>
      <c r="H329" s="137"/>
      <c r="I329" s="137"/>
      <c r="J329" s="137"/>
      <c r="K329" s="137"/>
      <c r="L329" s="137"/>
      <c r="M329" s="137"/>
      <c r="N329" s="137"/>
      <c r="O329" s="137"/>
      <c r="P329" s="137"/>
      <c r="Q329" s="137"/>
      <c r="R329" s="137"/>
      <c r="S329" s="137"/>
      <c r="T329" s="137"/>
      <c r="U329" s="137"/>
    </row>
    <row r="330" spans="1:26">
      <c r="A330" s="137"/>
      <c r="B330" s="137"/>
      <c r="C330" s="137"/>
      <c r="D330" s="137"/>
      <c r="E330" s="137"/>
      <c r="F330" s="137"/>
      <c r="G330" s="137"/>
      <c r="H330" s="137"/>
      <c r="I330" s="137"/>
      <c r="J330" s="137"/>
      <c r="K330" s="137"/>
      <c r="L330" s="137"/>
      <c r="M330" s="137"/>
      <c r="N330" s="137"/>
      <c r="O330" s="137"/>
      <c r="P330" s="137"/>
      <c r="Q330" s="137"/>
      <c r="R330" s="137"/>
      <c r="S330" s="137"/>
      <c r="T330" s="137"/>
      <c r="U330" s="137"/>
    </row>
    <row r="331" spans="1:26">
      <c r="A331" s="137"/>
      <c r="B331" s="137"/>
      <c r="C331" s="137"/>
      <c r="D331" s="137"/>
      <c r="E331" s="137"/>
      <c r="F331" s="137"/>
      <c r="G331" s="137"/>
      <c r="H331" s="137"/>
      <c r="I331" s="137"/>
      <c r="J331" s="137"/>
      <c r="K331" s="137"/>
      <c r="L331" s="137"/>
      <c r="M331" s="137"/>
      <c r="N331" s="137"/>
      <c r="O331" s="137"/>
      <c r="P331" s="137"/>
      <c r="Q331" s="137"/>
      <c r="R331" s="137"/>
      <c r="S331" s="137"/>
      <c r="T331" s="137"/>
      <c r="U331" s="137"/>
    </row>
    <row r="332" spans="1:26">
      <c r="A332" s="137"/>
      <c r="B332" s="137"/>
      <c r="C332" s="137"/>
      <c r="D332" s="137"/>
      <c r="E332" s="137"/>
      <c r="F332" s="137"/>
      <c r="G332" s="137"/>
      <c r="H332" s="137"/>
      <c r="I332" s="137"/>
      <c r="J332" s="137"/>
      <c r="K332" s="137"/>
      <c r="L332" s="137"/>
      <c r="M332" s="137"/>
      <c r="N332" s="137"/>
      <c r="O332" s="137"/>
      <c r="P332" s="137"/>
      <c r="Q332" s="137"/>
      <c r="R332" s="137"/>
      <c r="S332" s="137"/>
      <c r="T332" s="137"/>
      <c r="U332" s="137"/>
    </row>
    <row r="333" spans="1:26">
      <c r="A333" s="137"/>
      <c r="B333" s="137"/>
      <c r="C333" s="137"/>
      <c r="D333" s="137"/>
      <c r="E333" s="137"/>
      <c r="F333" s="137"/>
      <c r="G333" s="137"/>
      <c r="H333" s="137"/>
      <c r="I333" s="137"/>
      <c r="J333" s="137"/>
      <c r="K333" s="137"/>
      <c r="L333" s="137"/>
      <c r="M333" s="137"/>
      <c r="N333" s="137"/>
      <c r="O333" s="137"/>
      <c r="P333" s="137"/>
      <c r="Q333" s="137"/>
      <c r="R333" s="137"/>
      <c r="S333" s="137"/>
      <c r="T333" s="137"/>
      <c r="U333" s="137"/>
    </row>
    <row r="334" spans="1:26">
      <c r="A334" s="137"/>
      <c r="B334" s="137"/>
      <c r="C334" s="137"/>
      <c r="D334" s="137"/>
      <c r="E334" s="137"/>
      <c r="F334" s="137"/>
      <c r="G334" s="137"/>
      <c r="H334" s="137"/>
      <c r="I334" s="137"/>
      <c r="J334" s="137"/>
      <c r="K334" s="137"/>
      <c r="L334" s="137"/>
      <c r="M334" s="137"/>
      <c r="N334" s="137"/>
      <c r="O334" s="137"/>
      <c r="P334" s="137"/>
      <c r="Q334" s="137"/>
      <c r="R334" s="137"/>
      <c r="S334" s="137"/>
      <c r="T334" s="137"/>
      <c r="U334" s="137"/>
    </row>
    <row r="335" spans="1:26">
      <c r="A335" s="137"/>
      <c r="B335" s="137"/>
      <c r="C335" s="137"/>
      <c r="D335" s="137"/>
      <c r="E335" s="137"/>
      <c r="F335" s="137"/>
      <c r="G335" s="137"/>
      <c r="H335" s="137"/>
      <c r="I335" s="137"/>
      <c r="J335" s="137"/>
      <c r="K335" s="137"/>
      <c r="L335" s="137"/>
      <c r="M335" s="137"/>
      <c r="N335" s="137"/>
      <c r="O335" s="137"/>
      <c r="P335" s="137"/>
      <c r="Q335" s="137"/>
      <c r="R335" s="137"/>
      <c r="S335" s="137"/>
      <c r="T335" s="137"/>
      <c r="U335" s="137"/>
    </row>
    <row r="336" spans="1:26">
      <c r="A336" s="137"/>
      <c r="B336" s="137"/>
      <c r="C336" s="137"/>
      <c r="D336" s="137"/>
      <c r="E336" s="137"/>
      <c r="F336" s="137"/>
      <c r="G336" s="137"/>
      <c r="H336" s="137"/>
      <c r="I336" s="137"/>
      <c r="J336" s="137"/>
      <c r="K336" s="137"/>
      <c r="L336" s="137"/>
      <c r="M336" s="137"/>
      <c r="N336" s="137"/>
      <c r="O336" s="137"/>
      <c r="P336" s="137"/>
      <c r="Q336" s="137"/>
      <c r="R336" s="137"/>
      <c r="S336" s="137"/>
      <c r="T336" s="137"/>
      <c r="U336" s="137"/>
    </row>
    <row r="337" spans="1:21">
      <c r="A337" s="137"/>
      <c r="B337" s="137"/>
      <c r="C337" s="137"/>
      <c r="D337" s="137"/>
      <c r="E337" s="137"/>
      <c r="F337" s="137"/>
      <c r="G337" s="137"/>
      <c r="H337" s="137"/>
      <c r="I337" s="137"/>
      <c r="J337" s="137"/>
      <c r="K337" s="137"/>
      <c r="L337" s="137"/>
      <c r="M337" s="137"/>
      <c r="N337" s="137"/>
      <c r="O337" s="137"/>
      <c r="P337" s="137"/>
      <c r="Q337" s="137"/>
      <c r="R337" s="137"/>
      <c r="S337" s="137"/>
      <c r="T337" s="137"/>
      <c r="U337" s="137"/>
    </row>
    <row r="338" spans="1:21">
      <c r="A338" s="137"/>
      <c r="B338" s="137"/>
      <c r="C338" s="137"/>
      <c r="D338" s="137"/>
      <c r="E338" s="137"/>
      <c r="F338" s="137"/>
      <c r="G338" s="137"/>
      <c r="H338" s="137"/>
      <c r="I338" s="137"/>
      <c r="J338" s="137"/>
      <c r="K338" s="137"/>
      <c r="L338" s="137"/>
      <c r="M338" s="137"/>
      <c r="N338" s="137"/>
      <c r="O338" s="137"/>
      <c r="P338" s="137"/>
      <c r="Q338" s="137"/>
      <c r="R338" s="137"/>
      <c r="S338" s="137"/>
      <c r="T338" s="137"/>
      <c r="U338" s="137"/>
    </row>
    <row r="339" spans="1:21">
      <c r="A339" s="137"/>
      <c r="B339" s="137"/>
      <c r="C339" s="137"/>
      <c r="D339" s="137"/>
      <c r="E339" s="137"/>
      <c r="F339" s="137"/>
      <c r="G339" s="137"/>
      <c r="H339" s="137"/>
      <c r="I339" s="137"/>
      <c r="J339" s="137"/>
      <c r="K339" s="137"/>
      <c r="L339" s="137"/>
      <c r="M339" s="137"/>
      <c r="N339" s="137"/>
      <c r="O339" s="137"/>
      <c r="P339" s="137"/>
      <c r="Q339" s="137"/>
      <c r="R339" s="137"/>
      <c r="S339" s="137"/>
      <c r="T339" s="137"/>
      <c r="U339" s="137"/>
    </row>
    <row r="340" spans="1:21">
      <c r="A340" s="137"/>
      <c r="B340" s="137"/>
      <c r="C340" s="137"/>
      <c r="D340" s="137"/>
      <c r="E340" s="137"/>
      <c r="F340" s="137"/>
      <c r="G340" s="137"/>
      <c r="H340" s="137"/>
      <c r="I340" s="137"/>
      <c r="J340" s="137"/>
      <c r="K340" s="137"/>
      <c r="L340" s="137"/>
      <c r="M340" s="137"/>
      <c r="N340" s="137"/>
      <c r="O340" s="137"/>
      <c r="P340" s="137"/>
      <c r="Q340" s="137"/>
      <c r="R340" s="137"/>
      <c r="S340" s="137"/>
      <c r="T340" s="137"/>
      <c r="U340" s="137"/>
    </row>
    <row r="341" spans="1:21">
      <c r="A341" s="137"/>
      <c r="B341" s="137"/>
      <c r="C341" s="137"/>
      <c r="D341" s="137"/>
      <c r="E341" s="137"/>
      <c r="F341" s="137"/>
      <c r="G341" s="137"/>
      <c r="H341" s="137"/>
      <c r="I341" s="137"/>
      <c r="J341" s="137"/>
      <c r="K341" s="137"/>
      <c r="L341" s="137"/>
      <c r="M341" s="137"/>
      <c r="N341" s="137"/>
      <c r="O341" s="137"/>
      <c r="P341" s="137"/>
      <c r="Q341" s="137"/>
      <c r="R341" s="137"/>
      <c r="S341" s="137"/>
      <c r="T341" s="137"/>
      <c r="U341" s="137"/>
    </row>
    <row r="342" spans="1:21">
      <c r="A342" s="137"/>
      <c r="B342" s="137"/>
      <c r="C342" s="137"/>
      <c r="D342" s="137"/>
      <c r="E342" s="137"/>
      <c r="F342" s="137"/>
      <c r="G342" s="137"/>
      <c r="H342" s="137"/>
      <c r="I342" s="137"/>
      <c r="J342" s="137"/>
      <c r="K342" s="137"/>
      <c r="L342" s="137"/>
      <c r="M342" s="137"/>
      <c r="N342" s="137"/>
      <c r="O342" s="137"/>
      <c r="P342" s="137"/>
      <c r="Q342" s="137"/>
      <c r="R342" s="137"/>
      <c r="S342" s="137"/>
      <c r="T342" s="137"/>
      <c r="U342" s="137"/>
    </row>
    <row r="343" spans="1:21">
      <c r="A343" s="137"/>
      <c r="B343" s="137"/>
      <c r="C343" s="137"/>
      <c r="D343" s="137"/>
      <c r="E343" s="137"/>
      <c r="F343" s="137"/>
      <c r="G343" s="137"/>
      <c r="H343" s="137"/>
      <c r="I343" s="137"/>
      <c r="J343" s="137"/>
      <c r="K343" s="137"/>
      <c r="L343" s="137"/>
      <c r="M343" s="137"/>
      <c r="N343" s="137"/>
      <c r="O343" s="137"/>
      <c r="P343" s="137"/>
      <c r="Q343" s="137"/>
      <c r="R343" s="137"/>
      <c r="S343" s="137"/>
      <c r="T343" s="137"/>
      <c r="U343" s="137"/>
    </row>
    <row r="344" spans="1:21">
      <c r="A344" s="137"/>
      <c r="B344" s="137"/>
      <c r="C344" s="137"/>
      <c r="D344" s="137"/>
      <c r="E344" s="137"/>
      <c r="F344" s="137"/>
      <c r="G344" s="137"/>
      <c r="H344" s="137"/>
      <c r="I344" s="137"/>
      <c r="J344" s="137"/>
      <c r="K344" s="137"/>
      <c r="L344" s="137"/>
      <c r="M344" s="137"/>
      <c r="N344" s="137"/>
      <c r="O344" s="137"/>
      <c r="P344" s="137"/>
      <c r="Q344" s="137"/>
      <c r="R344" s="137"/>
      <c r="S344" s="137"/>
      <c r="T344" s="137"/>
      <c r="U344" s="137"/>
    </row>
    <row r="345" spans="1:21">
      <c r="A345" s="137"/>
      <c r="B345" s="137"/>
      <c r="C345" s="137"/>
      <c r="D345" s="137"/>
      <c r="E345" s="137"/>
      <c r="F345" s="137"/>
      <c r="G345" s="137"/>
      <c r="H345" s="137"/>
      <c r="I345" s="137"/>
      <c r="J345" s="137"/>
      <c r="K345" s="137"/>
      <c r="L345" s="137"/>
      <c r="M345" s="137"/>
      <c r="N345" s="137"/>
      <c r="O345" s="137"/>
      <c r="P345" s="137"/>
      <c r="Q345" s="137"/>
      <c r="R345" s="137"/>
      <c r="S345" s="137"/>
      <c r="T345" s="137"/>
      <c r="U345" s="137"/>
    </row>
    <row r="346" spans="1:21">
      <c r="A346" s="137"/>
      <c r="B346" s="137"/>
      <c r="C346" s="137"/>
      <c r="D346" s="137"/>
      <c r="E346" s="137"/>
      <c r="F346" s="137"/>
      <c r="G346" s="137"/>
      <c r="H346" s="137"/>
      <c r="I346" s="137"/>
      <c r="J346" s="137"/>
      <c r="K346" s="137"/>
      <c r="L346" s="137"/>
      <c r="M346" s="137"/>
      <c r="N346" s="137"/>
      <c r="O346" s="137"/>
      <c r="P346" s="137"/>
      <c r="Q346" s="137"/>
      <c r="R346" s="137"/>
      <c r="S346" s="137"/>
      <c r="T346" s="137"/>
      <c r="U346" s="137"/>
    </row>
    <row r="347" spans="1:21">
      <c r="A347" s="137"/>
      <c r="B347" s="137"/>
      <c r="C347" s="137"/>
      <c r="D347" s="137"/>
      <c r="E347" s="137"/>
      <c r="F347" s="137"/>
      <c r="G347" s="137"/>
      <c r="H347" s="137"/>
      <c r="I347" s="137"/>
      <c r="J347" s="137"/>
      <c r="K347" s="137"/>
      <c r="L347" s="137"/>
      <c r="M347" s="137"/>
      <c r="N347" s="137"/>
      <c r="O347" s="137"/>
      <c r="P347" s="137"/>
      <c r="Q347" s="137"/>
      <c r="R347" s="137"/>
      <c r="S347" s="137"/>
      <c r="T347" s="137"/>
      <c r="U347" s="137"/>
    </row>
    <row r="348" spans="1:21">
      <c r="A348" s="137"/>
      <c r="B348" s="137"/>
      <c r="C348" s="137"/>
      <c r="D348" s="137"/>
      <c r="E348" s="137"/>
      <c r="F348" s="137"/>
      <c r="G348" s="137"/>
      <c r="H348" s="137"/>
      <c r="I348" s="137"/>
      <c r="J348" s="137"/>
      <c r="K348" s="137"/>
      <c r="L348" s="137"/>
      <c r="M348" s="137"/>
      <c r="N348" s="137"/>
      <c r="O348" s="137"/>
      <c r="P348" s="137"/>
      <c r="Q348" s="137"/>
      <c r="R348" s="137"/>
      <c r="S348" s="137"/>
      <c r="T348" s="137"/>
      <c r="U348" s="137"/>
    </row>
    <row r="349" spans="1:21">
      <c r="A349" s="137"/>
      <c r="B349" s="137"/>
      <c r="C349" s="137"/>
      <c r="D349" s="137"/>
      <c r="E349" s="137"/>
      <c r="F349" s="137"/>
      <c r="G349" s="137"/>
      <c r="H349" s="137"/>
      <c r="I349" s="137"/>
      <c r="J349" s="137"/>
      <c r="K349" s="137"/>
      <c r="L349" s="137"/>
      <c r="M349" s="137"/>
      <c r="N349" s="137"/>
      <c r="O349" s="137"/>
      <c r="P349" s="137"/>
      <c r="Q349" s="137"/>
      <c r="R349" s="137"/>
      <c r="S349" s="137"/>
      <c r="T349" s="137"/>
      <c r="U349" s="137"/>
    </row>
    <row r="350" spans="1:21">
      <c r="A350" s="137"/>
      <c r="B350" s="137"/>
      <c r="C350" s="137"/>
      <c r="D350" s="137"/>
      <c r="E350" s="137"/>
      <c r="F350" s="137"/>
      <c r="G350" s="137"/>
      <c r="H350" s="137"/>
      <c r="I350" s="137"/>
      <c r="J350" s="137"/>
      <c r="K350" s="137"/>
      <c r="L350" s="137"/>
      <c r="M350" s="137"/>
      <c r="N350" s="137"/>
      <c r="O350" s="137"/>
      <c r="P350" s="137"/>
      <c r="Q350" s="137"/>
      <c r="R350" s="137"/>
      <c r="S350" s="137"/>
      <c r="T350" s="137"/>
      <c r="U350" s="137"/>
    </row>
    <row r="351" spans="1:21">
      <c r="A351" s="137"/>
      <c r="B351" s="137"/>
      <c r="C351" s="137"/>
      <c r="D351" s="137"/>
      <c r="E351" s="137"/>
      <c r="F351" s="137"/>
      <c r="G351" s="137"/>
      <c r="H351" s="137"/>
      <c r="I351" s="137"/>
      <c r="J351" s="137"/>
      <c r="K351" s="137"/>
      <c r="L351" s="137"/>
      <c r="M351" s="137"/>
      <c r="N351" s="137"/>
      <c r="O351" s="137"/>
      <c r="P351" s="137"/>
      <c r="Q351" s="137"/>
      <c r="R351" s="137"/>
      <c r="S351" s="137"/>
      <c r="T351" s="137"/>
      <c r="U351" s="137"/>
    </row>
    <row r="352" spans="1:21">
      <c r="A352" s="137"/>
      <c r="B352" s="137"/>
      <c r="C352" s="137"/>
      <c r="D352" s="137"/>
      <c r="E352" s="137"/>
      <c r="F352" s="137"/>
      <c r="G352" s="137"/>
      <c r="H352" s="137"/>
      <c r="I352" s="137"/>
      <c r="J352" s="137"/>
      <c r="K352" s="137"/>
      <c r="L352" s="137"/>
      <c r="M352" s="137"/>
      <c r="N352" s="137"/>
      <c r="O352" s="137"/>
      <c r="P352" s="137"/>
      <c r="Q352" s="137"/>
      <c r="R352" s="137"/>
      <c r="S352" s="137"/>
      <c r="T352" s="137"/>
      <c r="U352" s="137"/>
    </row>
    <row r="353" spans="1:21">
      <c r="A353" s="137"/>
      <c r="B353" s="137"/>
      <c r="C353" s="137"/>
      <c r="D353" s="137"/>
      <c r="E353" s="137"/>
      <c r="F353" s="137"/>
      <c r="G353" s="137"/>
      <c r="H353" s="137"/>
      <c r="I353" s="137"/>
      <c r="J353" s="137"/>
      <c r="K353" s="137"/>
      <c r="L353" s="137"/>
      <c r="M353" s="137"/>
      <c r="N353" s="137"/>
      <c r="O353" s="137"/>
      <c r="P353" s="137"/>
      <c r="Q353" s="137"/>
      <c r="R353" s="137"/>
      <c r="S353" s="137"/>
      <c r="T353" s="137"/>
      <c r="U353" s="137"/>
    </row>
    <row r="354" spans="1:21">
      <c r="A354" s="137"/>
      <c r="B354" s="137"/>
      <c r="C354" s="137"/>
      <c r="D354" s="137"/>
      <c r="E354" s="137"/>
      <c r="F354" s="137"/>
      <c r="G354" s="137"/>
      <c r="H354" s="137"/>
      <c r="I354" s="137"/>
      <c r="J354" s="137"/>
      <c r="K354" s="137"/>
      <c r="L354" s="137"/>
      <c r="M354" s="137"/>
      <c r="N354" s="137"/>
      <c r="O354" s="137"/>
      <c r="P354" s="137"/>
      <c r="Q354" s="137"/>
      <c r="R354" s="137"/>
      <c r="S354" s="137"/>
      <c r="T354" s="137"/>
      <c r="U354" s="137"/>
    </row>
    <row r="355" spans="1:21">
      <c r="A355" s="137"/>
      <c r="B355" s="137"/>
      <c r="C355" s="137"/>
      <c r="D355" s="137"/>
      <c r="E355" s="137"/>
      <c r="F355" s="137"/>
      <c r="G355" s="137"/>
      <c r="H355" s="137"/>
      <c r="I355" s="137"/>
      <c r="J355" s="137"/>
      <c r="K355" s="137"/>
      <c r="L355" s="137"/>
      <c r="M355" s="137"/>
      <c r="N355" s="137"/>
      <c r="O355" s="137"/>
      <c r="P355" s="137"/>
      <c r="Q355" s="137"/>
      <c r="R355" s="137"/>
      <c r="S355" s="137"/>
      <c r="T355" s="137"/>
      <c r="U355" s="137"/>
    </row>
    <row r="356" spans="1:21">
      <c r="A356" s="137"/>
      <c r="B356" s="137"/>
      <c r="C356" s="137"/>
      <c r="D356" s="137"/>
      <c r="E356" s="137"/>
      <c r="F356" s="137"/>
      <c r="G356" s="137"/>
      <c r="H356" s="137"/>
      <c r="I356" s="137"/>
      <c r="J356" s="137"/>
      <c r="K356" s="137"/>
      <c r="L356" s="137"/>
      <c r="M356" s="137"/>
      <c r="N356" s="137"/>
      <c r="O356" s="137"/>
      <c r="P356" s="137"/>
      <c r="Q356" s="137"/>
      <c r="R356" s="137"/>
      <c r="S356" s="137"/>
      <c r="T356" s="137"/>
      <c r="U356" s="137"/>
    </row>
    <row r="357" spans="1:21">
      <c r="A357" s="137"/>
      <c r="B357" s="137"/>
      <c r="C357" s="137"/>
      <c r="D357" s="137"/>
      <c r="E357" s="137"/>
      <c r="F357" s="137"/>
      <c r="G357" s="137"/>
      <c r="H357" s="137"/>
      <c r="I357" s="137"/>
      <c r="J357" s="137"/>
      <c r="K357" s="137"/>
      <c r="L357" s="137"/>
      <c r="M357" s="137"/>
      <c r="N357" s="137"/>
      <c r="O357" s="137"/>
      <c r="P357" s="137"/>
      <c r="Q357" s="137"/>
      <c r="R357" s="137"/>
      <c r="S357" s="137"/>
      <c r="T357" s="137"/>
      <c r="U357" s="137"/>
    </row>
    <row r="358" spans="1:21">
      <c r="A358" s="137"/>
      <c r="B358" s="137"/>
      <c r="C358" s="137"/>
      <c r="D358" s="137"/>
      <c r="E358" s="137"/>
      <c r="F358" s="137"/>
      <c r="G358" s="137"/>
      <c r="H358" s="137"/>
      <c r="I358" s="137"/>
      <c r="J358" s="137"/>
      <c r="K358" s="137"/>
      <c r="L358" s="137"/>
      <c r="M358" s="137"/>
      <c r="N358" s="137"/>
      <c r="O358" s="137"/>
      <c r="P358" s="137"/>
      <c r="Q358" s="137"/>
      <c r="R358" s="137"/>
      <c r="S358" s="137"/>
      <c r="T358" s="137"/>
      <c r="U358" s="137"/>
    </row>
    <row r="359" spans="1:21">
      <c r="A359" s="137"/>
      <c r="B359" s="137"/>
      <c r="C359" s="137"/>
      <c r="D359" s="137"/>
      <c r="E359" s="137"/>
      <c r="F359" s="137"/>
      <c r="G359" s="137"/>
      <c r="H359" s="137"/>
      <c r="I359" s="137"/>
      <c r="J359" s="137"/>
      <c r="K359" s="137"/>
      <c r="L359" s="137"/>
      <c r="M359" s="137"/>
      <c r="N359" s="137"/>
      <c r="O359" s="137"/>
      <c r="P359" s="137"/>
      <c r="Q359" s="137"/>
      <c r="R359" s="137"/>
      <c r="S359" s="137"/>
      <c r="T359" s="137"/>
      <c r="U359" s="137"/>
    </row>
    <row r="360" spans="1:21">
      <c r="A360" s="137"/>
      <c r="B360" s="137"/>
      <c r="C360" s="137"/>
      <c r="D360" s="137"/>
      <c r="E360" s="137"/>
      <c r="F360" s="137"/>
      <c r="G360" s="137"/>
      <c r="H360" s="137"/>
      <c r="I360" s="137"/>
      <c r="J360" s="137"/>
      <c r="K360" s="137"/>
      <c r="L360" s="137"/>
      <c r="M360" s="137"/>
      <c r="N360" s="137"/>
      <c r="O360" s="137"/>
      <c r="P360" s="137"/>
      <c r="Q360" s="137"/>
      <c r="R360" s="137"/>
      <c r="S360" s="137"/>
      <c r="T360" s="137"/>
      <c r="U360" s="137"/>
    </row>
    <row r="361" spans="1:21" ht="28.9">
      <c r="A361" s="1340" t="s">
        <v>229</v>
      </c>
      <c r="B361" s="1340"/>
      <c r="C361" s="1340"/>
      <c r="D361" s="1340"/>
      <c r="E361" s="1340"/>
      <c r="F361" s="1340"/>
      <c r="G361" s="1340"/>
      <c r="H361" s="1340"/>
      <c r="I361" s="1340"/>
      <c r="J361" s="1340"/>
      <c r="K361" s="1340"/>
      <c r="L361" s="1340"/>
      <c r="M361" s="1340"/>
      <c r="N361" s="1340"/>
      <c r="O361" s="137"/>
      <c r="P361" s="137"/>
      <c r="Q361" s="137"/>
      <c r="R361" s="137"/>
      <c r="S361" s="137"/>
      <c r="T361" s="137"/>
      <c r="U361" s="137"/>
    </row>
    <row r="362" spans="1:21">
      <c r="A362" s="137"/>
      <c r="B362" s="137"/>
      <c r="C362" s="137"/>
      <c r="D362" s="137"/>
      <c r="E362" s="137"/>
      <c r="F362" s="137"/>
      <c r="G362" s="137"/>
      <c r="H362" s="137"/>
      <c r="I362" s="137"/>
      <c r="J362" s="137"/>
      <c r="K362" s="137"/>
      <c r="L362" s="137"/>
      <c r="M362" s="137"/>
      <c r="N362" s="137"/>
      <c r="O362" s="137"/>
      <c r="P362" s="137"/>
      <c r="Q362" s="137"/>
      <c r="R362" s="137"/>
      <c r="S362" s="137"/>
      <c r="T362" s="137"/>
      <c r="U362" s="137"/>
    </row>
    <row r="363" spans="1:21">
      <c r="A363" s="137"/>
      <c r="B363" s="137"/>
      <c r="C363" s="137"/>
      <c r="D363" s="137"/>
      <c r="E363" s="137"/>
      <c r="F363" s="137"/>
      <c r="G363" s="137"/>
      <c r="H363" s="137"/>
      <c r="I363" s="137"/>
      <c r="J363" s="137"/>
      <c r="K363" s="137"/>
      <c r="L363" s="137"/>
      <c r="M363" s="137"/>
      <c r="N363" s="137"/>
      <c r="O363" s="137"/>
      <c r="P363" s="137"/>
      <c r="Q363" s="137"/>
      <c r="R363" s="137"/>
      <c r="S363" s="137"/>
      <c r="T363" s="137"/>
      <c r="U363" s="137"/>
    </row>
    <row r="364" spans="1:21">
      <c r="A364" s="137"/>
      <c r="B364" s="137"/>
      <c r="C364" s="137"/>
      <c r="D364" s="137"/>
      <c r="E364" s="137"/>
      <c r="F364" s="137"/>
      <c r="G364" s="137"/>
      <c r="H364" s="137"/>
      <c r="I364" s="137"/>
      <c r="J364" s="137"/>
      <c r="K364" s="137"/>
      <c r="L364" s="137"/>
      <c r="M364" s="137"/>
      <c r="N364" s="137"/>
      <c r="O364" s="137"/>
      <c r="P364" s="137"/>
      <c r="Q364" s="137"/>
      <c r="R364" s="137"/>
      <c r="S364" s="137"/>
      <c r="T364" s="137"/>
      <c r="U364" s="137"/>
    </row>
    <row r="365" spans="1:21">
      <c r="A365" s="137"/>
      <c r="B365" s="137"/>
      <c r="C365" s="137"/>
      <c r="D365" s="137"/>
      <c r="E365" s="137"/>
      <c r="F365" s="137"/>
      <c r="G365" s="137"/>
      <c r="H365" s="137"/>
      <c r="I365" s="137"/>
      <c r="J365" s="137"/>
      <c r="K365" s="137"/>
      <c r="L365" s="137"/>
      <c r="M365" s="137"/>
      <c r="N365" s="137"/>
      <c r="O365" s="137"/>
      <c r="P365" s="137"/>
      <c r="Q365" s="137"/>
      <c r="R365" s="137"/>
      <c r="S365" s="137"/>
      <c r="T365" s="137"/>
      <c r="U365" s="137"/>
    </row>
    <row r="366" spans="1:21">
      <c r="A366" s="137"/>
      <c r="B366" s="137"/>
      <c r="C366" s="137"/>
      <c r="D366" s="137"/>
      <c r="E366" s="137"/>
      <c r="F366" s="137"/>
      <c r="G366" s="137"/>
      <c r="H366" s="137"/>
      <c r="I366" s="137"/>
      <c r="J366" s="137"/>
      <c r="K366" s="137"/>
      <c r="L366" s="137"/>
      <c r="M366" s="137"/>
      <c r="N366" s="137"/>
      <c r="O366" s="137"/>
      <c r="P366" s="137"/>
      <c r="Q366" s="137"/>
      <c r="R366" s="137"/>
      <c r="S366" s="137"/>
      <c r="T366" s="137"/>
      <c r="U366" s="137"/>
    </row>
    <row r="367" spans="1:21">
      <c r="A367" s="137"/>
      <c r="B367" s="137"/>
      <c r="C367" s="137"/>
      <c r="D367" s="137"/>
      <c r="E367" s="137"/>
      <c r="F367" s="137"/>
      <c r="G367" s="137"/>
      <c r="H367" s="137"/>
      <c r="I367" s="137"/>
      <c r="J367" s="137"/>
      <c r="K367" s="137"/>
      <c r="L367" s="137"/>
      <c r="M367" s="137"/>
      <c r="N367" s="137"/>
      <c r="O367" s="137"/>
      <c r="P367" s="137"/>
      <c r="Q367" s="137"/>
      <c r="R367" s="137"/>
      <c r="S367" s="137"/>
      <c r="T367" s="137"/>
      <c r="U367" s="137"/>
    </row>
    <row r="368" spans="1:21">
      <c r="A368" s="137"/>
      <c r="B368" s="137"/>
      <c r="C368" s="137"/>
      <c r="D368" s="137"/>
      <c r="E368" s="137"/>
      <c r="F368" s="137"/>
      <c r="G368" s="137"/>
      <c r="H368" s="137"/>
      <c r="I368" s="137"/>
      <c r="J368" s="137"/>
      <c r="K368" s="137"/>
      <c r="L368" s="137"/>
      <c r="M368" s="137"/>
      <c r="N368" s="137"/>
      <c r="O368" s="137"/>
      <c r="P368" s="137"/>
      <c r="Q368" s="137"/>
      <c r="R368" s="137"/>
      <c r="S368" s="137"/>
      <c r="T368" s="137"/>
      <c r="U368" s="137"/>
    </row>
    <row r="369" spans="1:21">
      <c r="A369" s="137"/>
      <c r="B369" s="137"/>
      <c r="C369" s="137"/>
      <c r="D369" s="137"/>
      <c r="E369" s="137"/>
      <c r="F369" s="137"/>
      <c r="G369" s="137"/>
      <c r="H369" s="137"/>
      <c r="I369" s="137"/>
      <c r="J369" s="137"/>
      <c r="K369" s="137"/>
      <c r="L369" s="137"/>
      <c r="M369" s="137"/>
      <c r="N369" s="137"/>
      <c r="O369" s="137"/>
      <c r="P369" s="137"/>
      <c r="Q369" s="137"/>
      <c r="R369" s="137"/>
      <c r="S369" s="137"/>
      <c r="T369" s="137"/>
      <c r="U369" s="137"/>
    </row>
    <row r="370" spans="1:21">
      <c r="A370" s="137"/>
      <c r="B370" s="137"/>
      <c r="C370" s="137"/>
      <c r="D370" s="137"/>
      <c r="E370" s="137"/>
      <c r="F370" s="137"/>
      <c r="G370" s="137"/>
      <c r="H370" s="137"/>
      <c r="I370" s="137"/>
      <c r="J370" s="137"/>
      <c r="K370" s="137"/>
      <c r="L370" s="137"/>
      <c r="M370" s="137"/>
      <c r="N370" s="137"/>
      <c r="O370" s="137"/>
      <c r="P370" s="137"/>
      <c r="Q370" s="137"/>
      <c r="R370" s="137"/>
      <c r="S370" s="137"/>
      <c r="T370" s="137"/>
      <c r="U370" s="137"/>
    </row>
    <row r="371" spans="1:21">
      <c r="A371" s="137"/>
      <c r="B371" s="137"/>
      <c r="C371" s="137"/>
      <c r="D371" s="137"/>
      <c r="E371" s="137"/>
      <c r="F371" s="137"/>
      <c r="G371" s="137"/>
      <c r="H371" s="137"/>
      <c r="I371" s="137"/>
      <c r="J371" s="137"/>
      <c r="K371" s="137"/>
      <c r="L371" s="137"/>
      <c r="M371" s="137"/>
      <c r="N371" s="137"/>
      <c r="O371" s="137"/>
      <c r="P371" s="137"/>
      <c r="Q371" s="137"/>
      <c r="R371" s="137"/>
      <c r="S371" s="137"/>
      <c r="T371" s="137"/>
      <c r="U371" s="137"/>
    </row>
    <row r="372" spans="1:21">
      <c r="A372" s="137"/>
      <c r="B372" s="137"/>
      <c r="C372" s="137"/>
      <c r="D372" s="137"/>
      <c r="E372" s="137"/>
      <c r="F372" s="137"/>
      <c r="G372" s="137"/>
      <c r="H372" s="137"/>
      <c r="I372" s="137"/>
      <c r="J372" s="137"/>
      <c r="K372" s="137"/>
      <c r="L372" s="137"/>
      <c r="M372" s="137"/>
      <c r="N372" s="137"/>
      <c r="O372" s="137"/>
      <c r="P372" s="137"/>
      <c r="Q372" s="137"/>
      <c r="R372" s="137"/>
      <c r="S372" s="137"/>
      <c r="T372" s="137"/>
      <c r="U372" s="137"/>
    </row>
    <row r="373" spans="1:21">
      <c r="A373" s="137"/>
      <c r="B373" s="137"/>
      <c r="C373" s="137"/>
      <c r="D373" s="137"/>
      <c r="E373" s="137"/>
      <c r="F373" s="137"/>
      <c r="G373" s="137"/>
      <c r="H373" s="137"/>
      <c r="I373" s="137"/>
      <c r="J373" s="137"/>
      <c r="K373" s="137"/>
      <c r="L373" s="137"/>
      <c r="M373" s="137"/>
      <c r="N373" s="137"/>
      <c r="O373" s="137"/>
      <c r="P373" s="137"/>
      <c r="Q373" s="137"/>
      <c r="R373" s="137"/>
      <c r="S373" s="137"/>
      <c r="T373" s="137"/>
      <c r="U373" s="137"/>
    </row>
    <row r="374" spans="1:21">
      <c r="A374" s="137"/>
      <c r="B374" s="137"/>
      <c r="C374" s="137"/>
      <c r="D374" s="137"/>
      <c r="E374" s="137"/>
      <c r="F374" s="137"/>
      <c r="G374" s="137"/>
      <c r="H374" s="137"/>
      <c r="I374" s="137"/>
      <c r="J374" s="137"/>
      <c r="K374" s="137"/>
      <c r="L374" s="137"/>
      <c r="M374" s="137"/>
      <c r="N374" s="137"/>
      <c r="O374" s="137"/>
      <c r="P374" s="137"/>
      <c r="Q374" s="137"/>
      <c r="R374" s="137"/>
      <c r="S374" s="137"/>
      <c r="T374" s="137"/>
      <c r="U374" s="137"/>
    </row>
    <row r="375" spans="1:21">
      <c r="A375" s="137"/>
      <c r="B375" s="137"/>
      <c r="C375" s="137"/>
      <c r="D375" s="137"/>
      <c r="E375" s="137"/>
      <c r="F375" s="137"/>
      <c r="G375" s="137"/>
      <c r="H375" s="137"/>
      <c r="I375" s="137"/>
      <c r="J375" s="137"/>
      <c r="K375" s="137"/>
      <c r="L375" s="137"/>
      <c r="M375" s="137"/>
      <c r="N375" s="137"/>
      <c r="O375" s="137"/>
      <c r="P375" s="137"/>
      <c r="Q375" s="137"/>
      <c r="R375" s="137"/>
      <c r="S375" s="137"/>
      <c r="T375" s="137"/>
      <c r="U375" s="137"/>
    </row>
    <row r="376" spans="1:21">
      <c r="A376" s="137"/>
      <c r="B376" s="137"/>
      <c r="C376" s="137"/>
      <c r="D376" s="137"/>
      <c r="E376" s="137"/>
      <c r="F376" s="137"/>
      <c r="G376" s="137"/>
      <c r="H376" s="137"/>
      <c r="I376" s="137"/>
      <c r="J376" s="137"/>
      <c r="K376" s="137"/>
      <c r="L376" s="137"/>
      <c r="M376" s="137"/>
      <c r="N376" s="137"/>
      <c r="O376" s="137"/>
      <c r="P376" s="137"/>
      <c r="Q376" s="137"/>
      <c r="R376" s="137"/>
      <c r="S376" s="137"/>
      <c r="T376" s="137"/>
      <c r="U376" s="137"/>
    </row>
    <row r="377" spans="1:21">
      <c r="A377" s="137"/>
      <c r="B377" s="137"/>
      <c r="C377" s="137"/>
      <c r="D377" s="137"/>
      <c r="E377" s="137"/>
      <c r="F377" s="137"/>
      <c r="G377" s="137"/>
      <c r="H377" s="137"/>
      <c r="I377" s="137"/>
      <c r="J377" s="137"/>
      <c r="K377" s="137"/>
      <c r="L377" s="137"/>
      <c r="M377" s="137"/>
      <c r="N377" s="137"/>
      <c r="O377" s="137"/>
      <c r="P377" s="137"/>
      <c r="Q377" s="137"/>
      <c r="R377" s="137"/>
      <c r="S377" s="137"/>
      <c r="T377" s="137"/>
      <c r="U377" s="137"/>
    </row>
    <row r="378" spans="1:21">
      <c r="A378" s="137"/>
      <c r="B378" s="137"/>
      <c r="C378" s="137"/>
      <c r="D378" s="137"/>
      <c r="E378" s="137"/>
      <c r="F378" s="137"/>
      <c r="G378" s="137"/>
      <c r="H378" s="137"/>
      <c r="I378" s="137"/>
      <c r="J378" s="137"/>
      <c r="K378" s="137"/>
      <c r="L378" s="137"/>
      <c r="M378" s="137"/>
      <c r="N378" s="137"/>
      <c r="O378" s="137"/>
      <c r="P378" s="137"/>
      <c r="Q378" s="137"/>
      <c r="R378" s="137"/>
      <c r="S378" s="137"/>
      <c r="T378" s="137"/>
      <c r="U378" s="137"/>
    </row>
    <row r="379" spans="1:21">
      <c r="A379" s="137"/>
      <c r="B379" s="137"/>
      <c r="C379" s="137"/>
      <c r="D379" s="137"/>
      <c r="E379" s="137"/>
      <c r="F379" s="137"/>
      <c r="G379" s="137"/>
      <c r="H379" s="137"/>
      <c r="I379" s="137"/>
      <c r="J379" s="137"/>
      <c r="K379" s="137"/>
      <c r="L379" s="137"/>
      <c r="M379" s="137"/>
      <c r="N379" s="137"/>
      <c r="O379" s="137"/>
      <c r="P379" s="137"/>
      <c r="Q379" s="137"/>
      <c r="R379" s="137"/>
      <c r="S379" s="137"/>
      <c r="T379" s="137"/>
      <c r="U379" s="137"/>
    </row>
    <row r="380" spans="1:21">
      <c r="A380" s="137"/>
      <c r="B380" s="137"/>
      <c r="C380" s="137"/>
      <c r="D380" s="137"/>
      <c r="E380" s="137"/>
      <c r="F380" s="137"/>
      <c r="G380" s="137"/>
      <c r="H380" s="137"/>
      <c r="I380" s="137"/>
      <c r="J380" s="137"/>
      <c r="K380" s="137"/>
      <c r="L380" s="137"/>
      <c r="M380" s="137"/>
      <c r="N380" s="137"/>
      <c r="O380" s="137"/>
      <c r="P380" s="137"/>
      <c r="Q380" s="137"/>
      <c r="R380" s="137"/>
      <c r="S380" s="137"/>
      <c r="T380" s="137"/>
      <c r="U380" s="137"/>
    </row>
    <row r="381" spans="1:21">
      <c r="A381" s="137"/>
      <c r="B381" s="137"/>
      <c r="C381" s="137"/>
      <c r="D381" s="137"/>
      <c r="E381" s="137"/>
      <c r="F381" s="137"/>
      <c r="G381" s="137"/>
      <c r="H381" s="137"/>
      <c r="I381" s="137"/>
      <c r="J381" s="137"/>
      <c r="K381" s="137"/>
      <c r="L381" s="137"/>
      <c r="M381" s="137"/>
      <c r="N381" s="137"/>
      <c r="O381" s="137"/>
      <c r="P381" s="137"/>
      <c r="Q381" s="137"/>
      <c r="R381" s="137"/>
      <c r="S381" s="137"/>
      <c r="T381" s="137"/>
      <c r="U381" s="137"/>
    </row>
    <row r="382" spans="1:21">
      <c r="A382" s="137"/>
      <c r="B382" s="137"/>
      <c r="C382" s="137"/>
      <c r="D382" s="137"/>
      <c r="E382" s="137"/>
      <c r="F382" s="137"/>
      <c r="G382" s="137"/>
      <c r="H382" s="137"/>
      <c r="I382" s="137"/>
      <c r="J382" s="137"/>
      <c r="K382" s="137"/>
      <c r="L382" s="137"/>
      <c r="M382" s="137"/>
      <c r="N382" s="137"/>
      <c r="O382" s="137"/>
      <c r="P382" s="137"/>
      <c r="Q382" s="137"/>
      <c r="R382" s="137"/>
      <c r="S382" s="137"/>
      <c r="T382" s="137"/>
      <c r="U382" s="137"/>
    </row>
    <row r="383" spans="1:21">
      <c r="A383" s="137"/>
      <c r="B383" s="137"/>
      <c r="C383" s="137"/>
      <c r="D383" s="137"/>
      <c r="E383" s="137"/>
      <c r="F383" s="137"/>
      <c r="G383" s="137"/>
      <c r="H383" s="137"/>
      <c r="I383" s="137"/>
      <c r="J383" s="137"/>
      <c r="K383" s="137"/>
      <c r="L383" s="137"/>
      <c r="M383" s="137"/>
      <c r="N383" s="137"/>
      <c r="O383" s="137"/>
      <c r="P383" s="137"/>
      <c r="Q383" s="137"/>
      <c r="R383" s="137"/>
      <c r="S383" s="137"/>
      <c r="T383" s="137"/>
      <c r="U383" s="137"/>
    </row>
    <row r="384" spans="1:21">
      <c r="A384" s="137"/>
      <c r="B384" s="137"/>
      <c r="C384" s="137"/>
      <c r="D384" s="137"/>
      <c r="E384" s="137"/>
      <c r="F384" s="137"/>
      <c r="G384" s="137"/>
      <c r="H384" s="137"/>
      <c r="I384" s="137"/>
      <c r="J384" s="137"/>
      <c r="K384" s="137"/>
      <c r="L384" s="137"/>
      <c r="M384" s="137"/>
      <c r="N384" s="137"/>
      <c r="O384" s="137"/>
      <c r="P384" s="137"/>
      <c r="Q384" s="137"/>
      <c r="R384" s="137"/>
      <c r="S384" s="137"/>
      <c r="T384" s="137"/>
      <c r="U384" s="137"/>
    </row>
    <row r="385" spans="1:21">
      <c r="A385" s="137"/>
      <c r="B385" s="137"/>
      <c r="C385" s="137"/>
      <c r="D385" s="137"/>
      <c r="E385" s="137"/>
      <c r="F385" s="137"/>
      <c r="G385" s="137"/>
      <c r="H385" s="137"/>
      <c r="I385" s="137"/>
      <c r="J385" s="137"/>
      <c r="K385" s="137"/>
      <c r="L385" s="137"/>
      <c r="M385" s="137"/>
      <c r="N385" s="137"/>
      <c r="O385" s="137"/>
      <c r="P385" s="137"/>
      <c r="Q385" s="137"/>
      <c r="R385" s="137"/>
      <c r="S385" s="137"/>
      <c r="T385" s="137"/>
      <c r="U385" s="137"/>
    </row>
    <row r="386" spans="1:21">
      <c r="A386" s="137"/>
      <c r="B386" s="137"/>
      <c r="C386" s="137"/>
      <c r="D386" s="137"/>
      <c r="E386" s="137"/>
      <c r="F386" s="137"/>
      <c r="G386" s="137"/>
      <c r="H386" s="137"/>
      <c r="I386" s="137"/>
      <c r="J386" s="137"/>
      <c r="K386" s="137"/>
      <c r="L386" s="137"/>
      <c r="M386" s="137"/>
      <c r="N386" s="137"/>
      <c r="O386" s="137"/>
      <c r="P386" s="137"/>
      <c r="Q386" s="137"/>
      <c r="R386" s="137"/>
      <c r="S386" s="137"/>
      <c r="T386" s="137"/>
      <c r="U386" s="137"/>
    </row>
    <row r="387" spans="1:21">
      <c r="A387" s="137"/>
      <c r="B387" s="137"/>
      <c r="C387" s="137"/>
      <c r="D387" s="137"/>
      <c r="E387" s="137"/>
      <c r="F387" s="137"/>
      <c r="G387" s="137"/>
      <c r="H387" s="137"/>
      <c r="I387" s="137"/>
      <c r="J387" s="137"/>
      <c r="K387" s="137"/>
      <c r="L387" s="137"/>
      <c r="M387" s="137"/>
      <c r="N387" s="137"/>
      <c r="O387" s="137"/>
      <c r="P387" s="137"/>
      <c r="Q387" s="137"/>
      <c r="R387" s="137"/>
      <c r="S387" s="137"/>
      <c r="T387" s="137"/>
      <c r="U387" s="137"/>
    </row>
    <row r="388" spans="1:21">
      <c r="A388" s="137"/>
      <c r="B388" s="137"/>
      <c r="C388" s="137"/>
      <c r="D388" s="137"/>
      <c r="E388" s="137"/>
      <c r="F388" s="137"/>
      <c r="G388" s="137"/>
      <c r="H388" s="137"/>
      <c r="I388" s="137"/>
      <c r="J388" s="137"/>
      <c r="K388" s="137"/>
      <c r="L388" s="137"/>
      <c r="M388" s="137"/>
      <c r="N388" s="137"/>
      <c r="O388" s="137"/>
      <c r="P388" s="137"/>
      <c r="Q388" s="137"/>
      <c r="R388" s="137"/>
      <c r="S388" s="137"/>
      <c r="T388" s="137"/>
      <c r="U388" s="137"/>
    </row>
    <row r="389" spans="1:21">
      <c r="A389" s="137"/>
      <c r="B389" s="137"/>
      <c r="C389" s="137"/>
      <c r="D389" s="137"/>
      <c r="E389" s="137"/>
      <c r="F389" s="137"/>
      <c r="G389" s="137"/>
      <c r="H389" s="137"/>
      <c r="I389" s="137"/>
      <c r="J389" s="137"/>
      <c r="K389" s="137"/>
      <c r="L389" s="137"/>
      <c r="M389" s="137"/>
      <c r="N389" s="137"/>
      <c r="O389" s="137"/>
      <c r="P389" s="137"/>
      <c r="Q389" s="137"/>
      <c r="R389" s="137"/>
      <c r="S389" s="137"/>
      <c r="T389" s="137"/>
      <c r="U389" s="137"/>
    </row>
    <row r="390" spans="1:21">
      <c r="A390" s="137"/>
      <c r="B390" s="137"/>
      <c r="C390" s="137"/>
      <c r="D390" s="137"/>
      <c r="E390" s="137"/>
      <c r="F390" s="137"/>
      <c r="G390" s="137"/>
      <c r="H390" s="137"/>
      <c r="I390" s="137"/>
      <c r="J390" s="137"/>
      <c r="K390" s="137"/>
      <c r="L390" s="137"/>
      <c r="M390" s="137"/>
      <c r="N390" s="137"/>
      <c r="O390" s="137"/>
      <c r="P390" s="137"/>
      <c r="Q390" s="137"/>
      <c r="R390" s="137"/>
      <c r="S390" s="137"/>
      <c r="T390" s="137"/>
      <c r="U390" s="137"/>
    </row>
    <row r="391" spans="1:21">
      <c r="A391" s="137"/>
      <c r="B391" s="137"/>
      <c r="C391" s="137"/>
      <c r="D391" s="137"/>
      <c r="E391" s="137"/>
      <c r="F391" s="137"/>
      <c r="G391" s="137"/>
      <c r="H391" s="137"/>
      <c r="I391" s="137"/>
      <c r="J391" s="137"/>
      <c r="K391" s="137"/>
      <c r="L391" s="137"/>
      <c r="M391" s="137"/>
      <c r="N391" s="137"/>
      <c r="O391" s="137"/>
      <c r="P391" s="137"/>
      <c r="Q391" s="137"/>
      <c r="R391" s="137"/>
      <c r="S391" s="137"/>
      <c r="T391" s="137"/>
      <c r="U391" s="137"/>
    </row>
    <row r="392" spans="1:21">
      <c r="A392" s="137"/>
      <c r="B392" s="137"/>
      <c r="C392" s="137"/>
      <c r="D392" s="137"/>
      <c r="E392" s="137"/>
      <c r="F392" s="137"/>
      <c r="G392" s="137"/>
      <c r="H392" s="137"/>
      <c r="I392" s="137"/>
      <c r="J392" s="137"/>
      <c r="K392" s="137"/>
      <c r="L392" s="137"/>
      <c r="M392" s="137"/>
      <c r="N392" s="137"/>
      <c r="O392" s="137"/>
      <c r="P392" s="137"/>
      <c r="Q392" s="137"/>
      <c r="R392" s="137"/>
      <c r="S392" s="137"/>
      <c r="T392" s="137"/>
      <c r="U392" s="137"/>
    </row>
    <row r="393" spans="1:21">
      <c r="A393" s="137"/>
      <c r="B393" s="137"/>
      <c r="C393" s="137"/>
      <c r="D393" s="137"/>
      <c r="E393" s="137"/>
      <c r="F393" s="137"/>
      <c r="G393" s="137"/>
      <c r="H393" s="137"/>
      <c r="I393" s="137"/>
      <c r="J393" s="137"/>
      <c r="K393" s="137"/>
      <c r="L393" s="137"/>
      <c r="M393" s="137"/>
      <c r="N393" s="137"/>
      <c r="O393" s="137"/>
      <c r="P393" s="137"/>
      <c r="Q393" s="137"/>
      <c r="R393" s="137"/>
      <c r="S393" s="137"/>
      <c r="T393" s="137"/>
      <c r="U393" s="137"/>
    </row>
    <row r="394" spans="1:21">
      <c r="A394" s="137"/>
      <c r="B394" s="137"/>
      <c r="C394" s="137"/>
      <c r="D394" s="137"/>
      <c r="E394" s="137"/>
      <c r="F394" s="137"/>
      <c r="G394" s="137"/>
      <c r="H394" s="137"/>
      <c r="I394" s="137"/>
      <c r="J394" s="137"/>
      <c r="K394" s="137"/>
      <c r="L394" s="137"/>
      <c r="M394" s="137"/>
      <c r="N394" s="137"/>
      <c r="O394" s="137"/>
      <c r="P394" s="137"/>
      <c r="Q394" s="137"/>
      <c r="R394" s="137"/>
      <c r="S394" s="137"/>
      <c r="T394" s="137"/>
      <c r="U394" s="137"/>
    </row>
    <row r="395" spans="1:21">
      <c r="A395" s="137"/>
      <c r="B395" s="137"/>
      <c r="C395" s="137"/>
      <c r="D395" s="137"/>
      <c r="E395" s="137"/>
      <c r="F395" s="137"/>
      <c r="G395" s="137"/>
      <c r="H395" s="137"/>
      <c r="I395" s="137"/>
      <c r="J395" s="137"/>
      <c r="K395" s="137"/>
      <c r="L395" s="137"/>
      <c r="M395" s="137"/>
      <c r="N395" s="137"/>
      <c r="O395" s="137"/>
      <c r="P395" s="137"/>
      <c r="Q395" s="137"/>
      <c r="R395" s="137"/>
      <c r="S395" s="137"/>
      <c r="T395" s="137"/>
      <c r="U395" s="137"/>
    </row>
    <row r="396" spans="1:21">
      <c r="A396" s="137"/>
      <c r="B396" s="137"/>
      <c r="C396" s="137"/>
      <c r="D396" s="137"/>
      <c r="E396" s="137"/>
      <c r="F396" s="137"/>
      <c r="G396" s="137"/>
      <c r="H396" s="137"/>
      <c r="I396" s="137"/>
      <c r="J396" s="137"/>
      <c r="K396" s="137"/>
      <c r="L396" s="137"/>
      <c r="M396" s="137"/>
      <c r="N396" s="137"/>
      <c r="O396" s="137"/>
      <c r="P396" s="137"/>
      <c r="Q396" s="137"/>
      <c r="R396" s="137"/>
      <c r="S396" s="137"/>
      <c r="T396" s="137"/>
      <c r="U396" s="137"/>
    </row>
    <row r="397" spans="1:21">
      <c r="A397" s="137"/>
      <c r="B397" s="137"/>
      <c r="C397" s="137"/>
      <c r="D397" s="137"/>
      <c r="E397" s="137"/>
      <c r="F397" s="137"/>
      <c r="G397" s="137"/>
      <c r="H397" s="137"/>
      <c r="I397" s="137"/>
      <c r="J397" s="137"/>
      <c r="K397" s="137"/>
      <c r="L397" s="137"/>
      <c r="M397" s="137"/>
      <c r="N397" s="137"/>
      <c r="O397" s="137"/>
      <c r="P397" s="137"/>
      <c r="Q397" s="137"/>
      <c r="R397" s="137"/>
      <c r="S397" s="137"/>
      <c r="T397" s="137"/>
      <c r="U397" s="137"/>
    </row>
    <row r="398" spans="1:21">
      <c r="A398" s="137"/>
      <c r="B398" s="137"/>
      <c r="C398" s="137"/>
      <c r="D398" s="137"/>
      <c r="E398" s="137"/>
      <c r="F398" s="137"/>
      <c r="G398" s="137"/>
      <c r="H398" s="137"/>
      <c r="I398" s="137"/>
      <c r="J398" s="137"/>
      <c r="K398" s="137"/>
      <c r="L398" s="137"/>
      <c r="M398" s="137"/>
      <c r="N398" s="137"/>
      <c r="O398" s="137"/>
      <c r="P398" s="137"/>
      <c r="Q398" s="137"/>
      <c r="R398" s="137"/>
      <c r="S398" s="137"/>
      <c r="T398" s="137"/>
      <c r="U398" s="137"/>
    </row>
    <row r="399" spans="1:21">
      <c r="A399" s="137"/>
      <c r="B399" s="137"/>
      <c r="C399" s="137"/>
      <c r="D399" s="137"/>
      <c r="E399" s="137"/>
      <c r="F399" s="137"/>
      <c r="G399" s="137"/>
      <c r="H399" s="137"/>
      <c r="I399" s="137"/>
      <c r="J399" s="137"/>
      <c r="K399" s="137"/>
      <c r="L399" s="137"/>
      <c r="M399" s="137"/>
      <c r="N399" s="137"/>
      <c r="O399" s="137"/>
      <c r="P399" s="137"/>
      <c r="Q399" s="137"/>
      <c r="R399" s="137"/>
      <c r="S399" s="137"/>
      <c r="T399" s="137"/>
      <c r="U399" s="137"/>
    </row>
    <row r="400" spans="1:21">
      <c r="A400" s="137"/>
      <c r="B400" s="137"/>
      <c r="C400" s="137"/>
      <c r="D400" s="137"/>
      <c r="E400" s="137"/>
      <c r="F400" s="137"/>
      <c r="G400" s="137"/>
      <c r="H400" s="137"/>
      <c r="I400" s="137"/>
      <c r="J400" s="137"/>
      <c r="K400" s="137"/>
      <c r="L400" s="137"/>
      <c r="M400" s="137"/>
      <c r="N400" s="137"/>
      <c r="O400" s="137"/>
      <c r="P400" s="137"/>
      <c r="Q400" s="137"/>
      <c r="R400" s="137"/>
      <c r="S400" s="137"/>
      <c r="T400" s="137"/>
      <c r="U400" s="137"/>
    </row>
    <row r="401" spans="1:21">
      <c r="A401" s="137"/>
      <c r="B401" s="137"/>
      <c r="C401" s="137"/>
      <c r="D401" s="137"/>
      <c r="E401" s="137"/>
      <c r="F401" s="137"/>
      <c r="G401" s="137"/>
      <c r="H401" s="137"/>
      <c r="I401" s="137"/>
      <c r="J401" s="137"/>
      <c r="K401" s="137"/>
      <c r="L401" s="137"/>
      <c r="M401" s="137"/>
      <c r="N401" s="137"/>
      <c r="O401" s="137"/>
      <c r="P401" s="137"/>
      <c r="Q401" s="137"/>
      <c r="R401" s="137"/>
      <c r="S401" s="137"/>
      <c r="T401" s="137"/>
      <c r="U401" s="137"/>
    </row>
    <row r="402" spans="1:21">
      <c r="A402" s="137"/>
      <c r="B402" s="137"/>
      <c r="C402" s="137"/>
      <c r="D402" s="137"/>
      <c r="E402" s="137"/>
      <c r="F402" s="137"/>
      <c r="G402" s="137"/>
      <c r="H402" s="137"/>
      <c r="I402" s="137"/>
      <c r="J402" s="137"/>
      <c r="K402" s="137"/>
      <c r="L402" s="137"/>
      <c r="M402" s="137"/>
      <c r="N402" s="137"/>
      <c r="O402" s="137"/>
      <c r="P402" s="137"/>
      <c r="Q402" s="137"/>
      <c r="R402" s="137"/>
      <c r="S402" s="137"/>
      <c r="T402" s="137"/>
      <c r="U402" s="137"/>
    </row>
    <row r="403" spans="1:21">
      <c r="A403" s="137"/>
      <c r="B403" s="137"/>
      <c r="C403" s="137"/>
      <c r="D403" s="137"/>
      <c r="E403" s="137"/>
      <c r="F403" s="137"/>
      <c r="G403" s="137"/>
      <c r="H403" s="137"/>
      <c r="I403" s="137"/>
      <c r="J403" s="137"/>
      <c r="K403" s="137"/>
      <c r="L403" s="137"/>
      <c r="M403" s="137"/>
      <c r="N403" s="137"/>
      <c r="O403" s="137"/>
      <c r="P403" s="137"/>
      <c r="Q403" s="137"/>
      <c r="R403" s="137"/>
      <c r="S403" s="137"/>
      <c r="T403" s="137"/>
      <c r="U403" s="137"/>
    </row>
    <row r="404" spans="1:21">
      <c r="A404" s="137"/>
      <c r="B404" s="137"/>
      <c r="C404" s="137"/>
      <c r="D404" s="137"/>
      <c r="E404" s="137"/>
      <c r="F404" s="137"/>
      <c r="G404" s="137"/>
      <c r="H404" s="137"/>
      <c r="I404" s="137"/>
      <c r="J404" s="137"/>
      <c r="K404" s="137"/>
      <c r="L404" s="137"/>
      <c r="M404" s="137"/>
      <c r="N404" s="137"/>
      <c r="O404" s="137"/>
      <c r="P404" s="137"/>
      <c r="Q404" s="137"/>
      <c r="R404" s="137"/>
      <c r="S404" s="137"/>
      <c r="T404" s="137"/>
      <c r="U404" s="137"/>
    </row>
    <row r="405" spans="1:21">
      <c r="A405" s="137"/>
      <c r="B405" s="137"/>
      <c r="C405" s="137"/>
      <c r="D405" s="137"/>
      <c r="E405" s="137"/>
      <c r="F405" s="137"/>
      <c r="G405" s="137"/>
      <c r="H405" s="137"/>
      <c r="I405" s="137"/>
      <c r="J405" s="137"/>
      <c r="K405" s="137"/>
      <c r="L405" s="137"/>
      <c r="M405" s="137"/>
      <c r="N405" s="137"/>
      <c r="O405" s="137"/>
      <c r="P405" s="137"/>
      <c r="Q405" s="137"/>
      <c r="R405" s="137"/>
      <c r="S405" s="137"/>
      <c r="T405" s="137"/>
      <c r="U405" s="137"/>
    </row>
    <row r="406" spans="1:21">
      <c r="A406" s="137"/>
      <c r="B406" s="137"/>
      <c r="C406" s="137"/>
      <c r="D406" s="137"/>
      <c r="E406" s="137"/>
      <c r="F406" s="137"/>
      <c r="G406" s="137"/>
      <c r="H406" s="137"/>
      <c r="I406" s="137"/>
      <c r="J406" s="137"/>
      <c r="K406" s="137"/>
      <c r="L406" s="137"/>
      <c r="M406" s="137"/>
      <c r="N406" s="137"/>
      <c r="O406" s="137"/>
      <c r="P406" s="137"/>
      <c r="Q406" s="137"/>
      <c r="R406" s="137"/>
      <c r="S406" s="137"/>
      <c r="T406" s="137"/>
      <c r="U406" s="137"/>
    </row>
    <row r="407" spans="1:21">
      <c r="A407" s="137"/>
      <c r="B407" s="137"/>
      <c r="C407" s="137"/>
      <c r="D407" s="137"/>
      <c r="E407" s="137"/>
      <c r="F407" s="137"/>
      <c r="G407" s="137"/>
      <c r="H407" s="137"/>
      <c r="I407" s="137"/>
      <c r="J407" s="137"/>
      <c r="K407" s="137"/>
      <c r="L407" s="137"/>
      <c r="M407" s="137"/>
      <c r="N407" s="137"/>
      <c r="O407" s="137"/>
      <c r="P407" s="137"/>
      <c r="Q407" s="137"/>
      <c r="R407" s="137"/>
      <c r="S407" s="137"/>
      <c r="T407" s="137"/>
      <c r="U407" s="137"/>
    </row>
    <row r="408" spans="1:21">
      <c r="A408" s="137"/>
      <c r="B408" s="137"/>
      <c r="C408" s="137"/>
      <c r="D408" s="137"/>
      <c r="E408" s="137"/>
      <c r="F408" s="137"/>
      <c r="G408" s="137"/>
      <c r="H408" s="137"/>
      <c r="I408" s="137"/>
      <c r="J408" s="137"/>
      <c r="K408" s="137"/>
      <c r="L408" s="137"/>
      <c r="M408" s="137"/>
      <c r="N408" s="137"/>
      <c r="O408" s="137"/>
      <c r="P408" s="137"/>
      <c r="Q408" s="137"/>
      <c r="R408" s="137"/>
      <c r="S408" s="137"/>
      <c r="T408" s="137"/>
      <c r="U408" s="137"/>
    </row>
    <row r="409" spans="1:21">
      <c r="A409" s="137"/>
      <c r="B409" s="137"/>
      <c r="C409" s="137"/>
      <c r="D409" s="137"/>
      <c r="E409" s="137"/>
      <c r="F409" s="137"/>
      <c r="G409" s="137"/>
      <c r="H409" s="137"/>
      <c r="I409" s="137"/>
      <c r="J409" s="137"/>
      <c r="K409" s="137"/>
      <c r="L409" s="137"/>
      <c r="M409" s="137"/>
      <c r="N409" s="137"/>
      <c r="O409" s="137"/>
      <c r="P409" s="137"/>
      <c r="Q409" s="137"/>
      <c r="R409" s="137"/>
      <c r="S409" s="137"/>
      <c r="T409" s="137"/>
      <c r="U409" s="137"/>
    </row>
    <row r="410" spans="1:21">
      <c r="A410" s="137"/>
      <c r="B410" s="137"/>
      <c r="C410" s="137"/>
      <c r="D410" s="137"/>
      <c r="E410" s="137"/>
      <c r="F410" s="137"/>
      <c r="G410" s="137"/>
      <c r="H410" s="137"/>
      <c r="I410" s="137"/>
      <c r="J410" s="137"/>
      <c r="K410" s="137"/>
      <c r="L410" s="137"/>
      <c r="M410" s="137"/>
      <c r="N410" s="137"/>
      <c r="O410" s="137"/>
      <c r="P410" s="137"/>
      <c r="Q410" s="137"/>
      <c r="R410" s="137"/>
      <c r="S410" s="137"/>
      <c r="T410" s="137"/>
      <c r="U410" s="137"/>
    </row>
    <row r="411" spans="1:21">
      <c r="A411" s="137"/>
      <c r="B411" s="137"/>
      <c r="C411" s="137"/>
      <c r="D411" s="137"/>
      <c r="E411" s="137"/>
      <c r="F411" s="137"/>
      <c r="G411" s="137"/>
      <c r="H411" s="137"/>
      <c r="I411" s="137"/>
      <c r="J411" s="137"/>
      <c r="K411" s="137"/>
      <c r="L411" s="137"/>
      <c r="M411" s="137"/>
      <c r="N411" s="137"/>
      <c r="O411" s="137"/>
      <c r="P411" s="137"/>
      <c r="Q411" s="137"/>
      <c r="R411" s="137"/>
      <c r="S411" s="137"/>
      <c r="T411" s="137"/>
      <c r="U411" s="137"/>
    </row>
    <row r="412" spans="1:21">
      <c r="A412" s="137"/>
      <c r="B412" s="137"/>
      <c r="C412" s="137"/>
      <c r="D412" s="137"/>
      <c r="E412" s="137"/>
      <c r="F412" s="137"/>
      <c r="G412" s="137"/>
      <c r="H412" s="137"/>
      <c r="I412" s="137"/>
      <c r="J412" s="137"/>
      <c r="K412" s="137"/>
      <c r="L412" s="137"/>
      <c r="M412" s="137"/>
      <c r="N412" s="137"/>
      <c r="O412" s="137"/>
      <c r="P412" s="137"/>
      <c r="Q412" s="137"/>
      <c r="R412" s="137"/>
      <c r="S412" s="137"/>
      <c r="T412" s="137"/>
      <c r="U412" s="137"/>
    </row>
    <row r="413" spans="1:21">
      <c r="A413" s="137"/>
      <c r="B413" s="137"/>
      <c r="C413" s="137"/>
      <c r="D413" s="137"/>
      <c r="E413" s="137"/>
      <c r="F413" s="137"/>
      <c r="G413" s="137"/>
      <c r="H413" s="137"/>
      <c r="I413" s="137"/>
      <c r="J413" s="137"/>
      <c r="K413" s="137"/>
      <c r="L413" s="137"/>
      <c r="M413" s="137"/>
      <c r="N413" s="137"/>
      <c r="O413" s="137"/>
      <c r="P413" s="137"/>
      <c r="Q413" s="137"/>
      <c r="R413" s="137"/>
      <c r="S413" s="137"/>
      <c r="T413" s="137"/>
      <c r="U413" s="137"/>
    </row>
    <row r="414" spans="1:21">
      <c r="A414" s="137"/>
      <c r="B414" s="137"/>
      <c r="C414" s="137"/>
      <c r="D414" s="137"/>
      <c r="E414" s="137"/>
      <c r="F414" s="137"/>
      <c r="G414" s="137"/>
      <c r="H414" s="137"/>
      <c r="I414" s="137"/>
      <c r="J414" s="137"/>
      <c r="K414" s="137"/>
      <c r="L414" s="137"/>
      <c r="M414" s="137"/>
      <c r="N414" s="137"/>
      <c r="O414" s="137"/>
      <c r="P414" s="137"/>
      <c r="Q414" s="137"/>
      <c r="R414" s="137"/>
      <c r="S414" s="137"/>
      <c r="T414" s="137"/>
      <c r="U414" s="137"/>
    </row>
    <row r="415" spans="1:21">
      <c r="A415" s="137"/>
      <c r="B415" s="137"/>
      <c r="C415" s="137"/>
      <c r="D415" s="137"/>
      <c r="E415" s="137"/>
      <c r="F415" s="137"/>
      <c r="G415" s="137"/>
      <c r="H415" s="137"/>
      <c r="I415" s="137"/>
      <c r="J415" s="137"/>
      <c r="K415" s="137"/>
      <c r="L415" s="137"/>
      <c r="M415" s="137"/>
      <c r="N415" s="137"/>
      <c r="O415" s="137"/>
      <c r="P415" s="137"/>
      <c r="Q415" s="137"/>
      <c r="R415" s="137"/>
      <c r="S415" s="137"/>
      <c r="T415" s="137"/>
      <c r="U415" s="137"/>
    </row>
    <row r="416" spans="1:21">
      <c r="A416" s="137"/>
      <c r="B416" s="137"/>
      <c r="C416" s="137"/>
      <c r="D416" s="137"/>
      <c r="E416" s="137"/>
      <c r="F416" s="137"/>
      <c r="G416" s="137"/>
      <c r="H416" s="137"/>
      <c r="I416" s="137"/>
      <c r="J416" s="137"/>
      <c r="K416" s="137"/>
      <c r="L416" s="137"/>
      <c r="M416" s="137"/>
      <c r="N416" s="137"/>
      <c r="O416" s="137"/>
      <c r="P416" s="137"/>
      <c r="Q416" s="137"/>
      <c r="R416" s="137"/>
      <c r="S416" s="137"/>
      <c r="T416" s="137"/>
      <c r="U416" s="137"/>
    </row>
    <row r="417" spans="1:21">
      <c r="A417" s="137"/>
      <c r="B417" s="137"/>
      <c r="C417" s="137"/>
      <c r="D417" s="137"/>
      <c r="E417" s="137"/>
      <c r="F417" s="137"/>
      <c r="G417" s="137"/>
      <c r="H417" s="137"/>
      <c r="I417" s="137"/>
      <c r="J417" s="137"/>
      <c r="K417" s="137"/>
      <c r="L417" s="137"/>
      <c r="M417" s="137"/>
      <c r="N417" s="137"/>
      <c r="O417" s="137"/>
      <c r="P417" s="137"/>
      <c r="Q417" s="137"/>
      <c r="R417" s="137"/>
      <c r="S417" s="137"/>
      <c r="T417" s="137"/>
      <c r="U417" s="137"/>
    </row>
    <row r="418" spans="1:21">
      <c r="A418" s="137"/>
      <c r="B418" s="137"/>
      <c r="C418" s="137"/>
      <c r="D418" s="137"/>
      <c r="E418" s="137"/>
      <c r="F418" s="137"/>
      <c r="G418" s="137"/>
      <c r="H418" s="137"/>
      <c r="I418" s="137"/>
      <c r="J418" s="137"/>
      <c r="K418" s="137"/>
      <c r="L418" s="137"/>
      <c r="M418" s="137"/>
      <c r="N418" s="137"/>
      <c r="O418" s="137"/>
      <c r="P418" s="137"/>
      <c r="Q418" s="137"/>
      <c r="R418" s="137"/>
      <c r="S418" s="137"/>
      <c r="T418" s="137"/>
      <c r="U418" s="137"/>
    </row>
    <row r="419" spans="1:21">
      <c r="A419" s="137"/>
      <c r="B419" s="137"/>
      <c r="C419" s="137"/>
      <c r="D419" s="137"/>
      <c r="E419" s="137"/>
      <c r="F419" s="137"/>
      <c r="G419" s="137"/>
      <c r="H419" s="137"/>
      <c r="I419" s="137"/>
      <c r="J419" s="137"/>
      <c r="K419" s="137"/>
      <c r="L419" s="137"/>
      <c r="M419" s="137"/>
      <c r="N419" s="137"/>
      <c r="O419" s="137"/>
      <c r="P419" s="137"/>
      <c r="Q419" s="137"/>
      <c r="R419" s="137"/>
      <c r="S419" s="137"/>
      <c r="T419" s="137"/>
      <c r="U419" s="137"/>
    </row>
    <row r="420" spans="1:21">
      <c r="A420" s="137"/>
      <c r="B420" s="137"/>
      <c r="C420" s="137"/>
      <c r="D420" s="137"/>
      <c r="E420" s="137"/>
      <c r="F420" s="137"/>
      <c r="G420" s="137"/>
      <c r="H420" s="137"/>
      <c r="I420" s="137"/>
      <c r="J420" s="137"/>
      <c r="K420" s="137"/>
      <c r="L420" s="137"/>
      <c r="M420" s="137"/>
      <c r="N420" s="137"/>
      <c r="O420" s="137"/>
      <c r="P420" s="137"/>
      <c r="Q420" s="137"/>
      <c r="R420" s="137"/>
      <c r="S420" s="137"/>
      <c r="T420" s="137"/>
      <c r="U420" s="137"/>
    </row>
    <row r="421" spans="1:21" ht="28.9">
      <c r="A421" s="1340" t="s">
        <v>230</v>
      </c>
      <c r="B421" s="1340"/>
      <c r="C421" s="1340"/>
      <c r="D421" s="1340"/>
      <c r="E421" s="1340"/>
      <c r="F421" s="1340"/>
      <c r="G421" s="1340"/>
      <c r="H421" s="1340"/>
      <c r="I421" s="1340"/>
      <c r="J421" s="1340"/>
      <c r="K421" s="1340"/>
      <c r="L421" s="1340"/>
      <c r="M421" s="1340"/>
      <c r="N421" s="1340"/>
      <c r="O421" s="137"/>
      <c r="P421" s="137"/>
      <c r="Q421" s="137"/>
      <c r="R421" s="137"/>
      <c r="S421" s="137"/>
      <c r="T421" s="137"/>
      <c r="U421" s="137"/>
    </row>
    <row r="422" spans="1:21">
      <c r="A422" s="137"/>
      <c r="B422" s="137"/>
      <c r="C422" s="137"/>
      <c r="D422" s="137"/>
      <c r="E422" s="137"/>
      <c r="F422" s="137"/>
      <c r="G422" s="137"/>
      <c r="H422" s="137"/>
      <c r="I422" s="137"/>
      <c r="J422" s="137"/>
      <c r="K422" s="137"/>
      <c r="L422" s="137"/>
      <c r="M422" s="137"/>
      <c r="N422" s="137"/>
      <c r="O422" s="137"/>
      <c r="P422" s="137"/>
      <c r="Q422" s="137"/>
      <c r="R422" s="137"/>
      <c r="S422" s="137"/>
      <c r="T422" s="137"/>
      <c r="U422" s="137"/>
    </row>
    <row r="423" spans="1:21">
      <c r="A423" s="137"/>
      <c r="B423" s="137"/>
      <c r="C423" s="137"/>
      <c r="D423" s="137"/>
      <c r="E423" s="137"/>
      <c r="F423" s="137"/>
      <c r="G423" s="137"/>
      <c r="H423" s="137"/>
      <c r="I423" s="137"/>
      <c r="J423" s="137"/>
      <c r="K423" s="137"/>
      <c r="L423" s="137"/>
      <c r="M423" s="137"/>
      <c r="N423" s="137"/>
      <c r="O423" s="137"/>
      <c r="P423" s="137"/>
      <c r="Q423" s="137"/>
      <c r="R423" s="137"/>
      <c r="S423" s="137"/>
      <c r="T423" s="137"/>
      <c r="U423" s="137"/>
    </row>
    <row r="424" spans="1:21">
      <c r="A424" s="137"/>
      <c r="B424" s="137"/>
      <c r="C424" s="137"/>
      <c r="D424" s="137"/>
      <c r="E424" s="137"/>
      <c r="F424" s="137"/>
      <c r="G424" s="137"/>
      <c r="H424" s="137"/>
      <c r="I424" s="137"/>
      <c r="J424" s="137"/>
      <c r="K424" s="137"/>
      <c r="L424" s="137"/>
      <c r="M424" s="137"/>
      <c r="N424" s="137"/>
      <c r="O424" s="137"/>
      <c r="P424" s="137"/>
      <c r="Q424" s="137"/>
      <c r="R424" s="137"/>
      <c r="S424" s="137"/>
      <c r="T424" s="137"/>
      <c r="U424" s="137"/>
    </row>
    <row r="425" spans="1:21">
      <c r="A425" s="137"/>
      <c r="B425" s="137"/>
      <c r="C425" s="137"/>
      <c r="D425" s="137"/>
      <c r="E425" s="137"/>
      <c r="F425" s="137"/>
      <c r="G425" s="137"/>
      <c r="H425" s="137"/>
      <c r="I425" s="137"/>
      <c r="J425" s="137"/>
      <c r="K425" s="137"/>
      <c r="L425" s="137"/>
      <c r="M425" s="137"/>
      <c r="N425" s="137"/>
      <c r="O425" s="137"/>
      <c r="P425" s="137"/>
      <c r="Q425" s="137"/>
      <c r="R425" s="137"/>
      <c r="S425" s="137"/>
      <c r="T425" s="137"/>
      <c r="U425" s="137"/>
    </row>
    <row r="426" spans="1:21">
      <c r="A426" s="137"/>
      <c r="B426" s="137"/>
      <c r="C426" s="137"/>
      <c r="D426" s="137"/>
      <c r="E426" s="137"/>
      <c r="F426" s="137"/>
      <c r="G426" s="137"/>
      <c r="H426" s="137"/>
      <c r="I426" s="137"/>
      <c r="J426" s="137"/>
      <c r="K426" s="137"/>
      <c r="L426" s="137"/>
      <c r="M426" s="137"/>
      <c r="N426" s="137"/>
      <c r="O426" s="137"/>
      <c r="P426" s="137"/>
      <c r="Q426" s="137"/>
      <c r="R426" s="137"/>
      <c r="S426" s="137"/>
      <c r="T426" s="137"/>
      <c r="U426" s="137"/>
    </row>
    <row r="427" spans="1:21">
      <c r="A427" s="137"/>
      <c r="B427" s="137"/>
      <c r="C427" s="137"/>
      <c r="D427" s="137"/>
      <c r="E427" s="137"/>
      <c r="F427" s="137"/>
      <c r="G427" s="137"/>
      <c r="H427" s="137"/>
      <c r="I427" s="137"/>
      <c r="J427" s="137"/>
      <c r="K427" s="137"/>
      <c r="L427" s="137"/>
      <c r="M427" s="137"/>
      <c r="N427" s="137"/>
      <c r="O427" s="137"/>
      <c r="P427" s="137"/>
      <c r="Q427" s="137"/>
      <c r="R427" s="137"/>
      <c r="S427" s="137"/>
      <c r="T427" s="137"/>
      <c r="U427" s="137"/>
    </row>
    <row r="428" spans="1:21">
      <c r="A428" s="137"/>
      <c r="B428" s="137"/>
      <c r="C428" s="137"/>
      <c r="D428" s="137"/>
      <c r="E428" s="137"/>
      <c r="F428" s="137"/>
      <c r="G428" s="137"/>
      <c r="H428" s="137"/>
      <c r="I428" s="137"/>
      <c r="J428" s="137"/>
      <c r="K428" s="137"/>
      <c r="L428" s="137"/>
      <c r="M428" s="137"/>
      <c r="N428" s="137"/>
      <c r="O428" s="137"/>
      <c r="P428" s="137"/>
      <c r="Q428" s="137"/>
      <c r="R428" s="137"/>
      <c r="S428" s="137"/>
      <c r="T428" s="137"/>
      <c r="U428" s="137"/>
    </row>
    <row r="429" spans="1:21">
      <c r="A429" s="137"/>
      <c r="B429" s="137"/>
      <c r="C429" s="137"/>
      <c r="D429" s="137"/>
      <c r="E429" s="137"/>
      <c r="F429" s="137"/>
      <c r="G429" s="137"/>
      <c r="H429" s="137"/>
      <c r="I429" s="137"/>
      <c r="J429" s="137"/>
      <c r="K429" s="137"/>
      <c r="L429" s="137"/>
      <c r="M429" s="137"/>
      <c r="N429" s="137"/>
      <c r="O429" s="137"/>
      <c r="P429" s="137"/>
      <c r="Q429" s="137"/>
      <c r="R429" s="137"/>
      <c r="S429" s="137"/>
      <c r="T429" s="137"/>
      <c r="U429" s="137"/>
    </row>
    <row r="430" spans="1:21">
      <c r="A430" s="137"/>
      <c r="B430" s="137"/>
      <c r="C430" s="137"/>
      <c r="D430" s="137"/>
      <c r="E430" s="137"/>
      <c r="F430" s="137"/>
      <c r="G430" s="137"/>
      <c r="H430" s="137"/>
      <c r="I430" s="137"/>
      <c r="J430" s="137"/>
      <c r="K430" s="137"/>
      <c r="L430" s="137"/>
      <c r="M430" s="137"/>
      <c r="N430" s="137"/>
      <c r="O430" s="137"/>
      <c r="P430" s="137"/>
      <c r="Q430" s="137"/>
      <c r="R430" s="137"/>
      <c r="S430" s="137"/>
      <c r="T430" s="137"/>
      <c r="U430" s="137"/>
    </row>
    <row r="431" spans="1:21">
      <c r="A431" s="137"/>
      <c r="B431" s="137"/>
      <c r="C431" s="137"/>
      <c r="D431" s="137"/>
      <c r="E431" s="137"/>
      <c r="F431" s="137"/>
      <c r="G431" s="137"/>
      <c r="H431" s="137"/>
      <c r="I431" s="137"/>
      <c r="J431" s="137"/>
      <c r="K431" s="137"/>
      <c r="L431" s="137"/>
      <c r="M431" s="137"/>
      <c r="N431" s="137"/>
      <c r="O431" s="137"/>
      <c r="P431" s="137"/>
      <c r="Q431" s="137"/>
      <c r="R431" s="137"/>
      <c r="S431" s="137"/>
      <c r="T431" s="137"/>
      <c r="U431" s="137"/>
    </row>
    <row r="432" spans="1:21">
      <c r="A432" s="137"/>
      <c r="B432" s="137"/>
      <c r="C432" s="137"/>
      <c r="D432" s="137"/>
      <c r="E432" s="137"/>
      <c r="F432" s="137"/>
      <c r="G432" s="137"/>
      <c r="H432" s="137"/>
      <c r="I432" s="137"/>
      <c r="J432" s="137"/>
      <c r="K432" s="137"/>
      <c r="L432" s="137"/>
      <c r="M432" s="137"/>
      <c r="N432" s="137"/>
      <c r="O432" s="137"/>
      <c r="P432" s="137"/>
      <c r="Q432" s="137"/>
      <c r="R432" s="137"/>
      <c r="S432" s="137"/>
      <c r="T432" s="137"/>
      <c r="U432" s="137"/>
    </row>
    <row r="433" spans="1:21">
      <c r="A433" s="137"/>
      <c r="B433" s="137"/>
      <c r="C433" s="137"/>
      <c r="D433" s="137"/>
      <c r="E433" s="137"/>
      <c r="F433" s="137"/>
      <c r="G433" s="137"/>
      <c r="H433" s="137"/>
      <c r="I433" s="137"/>
      <c r="J433" s="137"/>
      <c r="K433" s="137"/>
      <c r="L433" s="137"/>
      <c r="M433" s="137"/>
      <c r="N433" s="137"/>
      <c r="O433" s="137"/>
      <c r="P433" s="137"/>
      <c r="Q433" s="137"/>
      <c r="R433" s="137"/>
      <c r="S433" s="137"/>
      <c r="T433" s="137"/>
      <c r="U433" s="137"/>
    </row>
    <row r="434" spans="1:21">
      <c r="A434" s="137"/>
      <c r="B434" s="137"/>
      <c r="C434" s="137"/>
      <c r="D434" s="137"/>
      <c r="E434" s="137"/>
      <c r="F434" s="137"/>
      <c r="G434" s="137"/>
      <c r="H434" s="137"/>
      <c r="I434" s="137"/>
      <c r="J434" s="137"/>
      <c r="K434" s="137"/>
      <c r="L434" s="137"/>
      <c r="M434" s="137"/>
      <c r="N434" s="137"/>
      <c r="O434" s="137"/>
      <c r="P434" s="137"/>
      <c r="Q434" s="137"/>
      <c r="R434" s="137"/>
      <c r="S434" s="137"/>
      <c r="T434" s="137"/>
      <c r="U434" s="137"/>
    </row>
    <row r="435" spans="1:21">
      <c r="A435" s="137"/>
      <c r="B435" s="137"/>
      <c r="C435" s="137"/>
      <c r="D435" s="137"/>
      <c r="E435" s="137"/>
      <c r="F435" s="137"/>
      <c r="G435" s="137"/>
      <c r="H435" s="137"/>
      <c r="I435" s="137"/>
      <c r="J435" s="137"/>
      <c r="K435" s="137"/>
      <c r="L435" s="137"/>
      <c r="M435" s="137"/>
      <c r="N435" s="137"/>
      <c r="O435" s="137"/>
      <c r="P435" s="137"/>
      <c r="Q435" s="137"/>
      <c r="R435" s="137"/>
      <c r="S435" s="137"/>
      <c r="T435" s="137"/>
      <c r="U435" s="137"/>
    </row>
    <row r="436" spans="1:21">
      <c r="A436" s="137"/>
      <c r="B436" s="137"/>
      <c r="C436" s="137"/>
      <c r="D436" s="137"/>
      <c r="E436" s="137"/>
      <c r="F436" s="137"/>
      <c r="G436" s="137"/>
      <c r="H436" s="137"/>
      <c r="I436" s="137"/>
      <c r="J436" s="137"/>
      <c r="K436" s="137"/>
      <c r="L436" s="137"/>
      <c r="M436" s="137"/>
      <c r="N436" s="137"/>
      <c r="O436" s="137"/>
      <c r="P436" s="137"/>
      <c r="Q436" s="137"/>
      <c r="R436" s="137"/>
      <c r="S436" s="137"/>
      <c r="T436" s="137"/>
      <c r="U436" s="137"/>
    </row>
    <row r="437" spans="1:21">
      <c r="A437" s="137"/>
      <c r="B437" s="137"/>
      <c r="C437" s="137"/>
      <c r="D437" s="137"/>
      <c r="E437" s="137"/>
      <c r="F437" s="137"/>
      <c r="G437" s="137"/>
      <c r="H437" s="137"/>
      <c r="I437" s="137"/>
      <c r="J437" s="137"/>
      <c r="K437" s="137"/>
      <c r="L437" s="137"/>
      <c r="M437" s="137"/>
      <c r="N437" s="137"/>
      <c r="O437" s="137"/>
      <c r="P437" s="137"/>
      <c r="Q437" s="137"/>
      <c r="R437" s="137"/>
      <c r="S437" s="137"/>
      <c r="T437" s="137"/>
      <c r="U437" s="137"/>
    </row>
    <row r="438" spans="1:21">
      <c r="A438" s="137"/>
      <c r="B438" s="137"/>
      <c r="C438" s="137"/>
      <c r="D438" s="137"/>
      <c r="E438" s="137"/>
      <c r="F438" s="137"/>
      <c r="G438" s="137"/>
      <c r="H438" s="137"/>
      <c r="I438" s="137"/>
      <c r="J438" s="137"/>
      <c r="K438" s="137"/>
      <c r="L438" s="137"/>
      <c r="M438" s="137"/>
      <c r="N438" s="137"/>
      <c r="O438" s="137"/>
      <c r="P438" s="137"/>
      <c r="Q438" s="137"/>
      <c r="R438" s="137"/>
      <c r="S438" s="137"/>
      <c r="T438" s="137"/>
      <c r="U438" s="137"/>
    </row>
    <row r="439" spans="1:21">
      <c r="A439" s="137"/>
      <c r="B439" s="137"/>
      <c r="C439" s="137"/>
      <c r="D439" s="137"/>
      <c r="E439" s="137"/>
      <c r="F439" s="137"/>
      <c r="G439" s="137"/>
      <c r="H439" s="137"/>
      <c r="I439" s="137"/>
      <c r="J439" s="137"/>
      <c r="K439" s="137"/>
      <c r="L439" s="137"/>
      <c r="M439" s="137"/>
      <c r="N439" s="137"/>
      <c r="O439" s="137"/>
      <c r="P439" s="137"/>
      <c r="Q439" s="137"/>
      <c r="R439" s="137"/>
      <c r="S439" s="137"/>
      <c r="T439" s="137"/>
      <c r="U439" s="137"/>
    </row>
    <row r="440" spans="1:21">
      <c r="A440" s="137"/>
      <c r="B440" s="137"/>
      <c r="C440" s="137"/>
      <c r="D440" s="137"/>
      <c r="E440" s="137"/>
      <c r="F440" s="137"/>
      <c r="G440" s="137"/>
      <c r="H440" s="137"/>
      <c r="I440" s="137"/>
      <c r="J440" s="137"/>
      <c r="K440" s="137"/>
      <c r="L440" s="137"/>
      <c r="M440" s="137"/>
      <c r="N440" s="137"/>
      <c r="O440" s="137"/>
      <c r="P440" s="137"/>
      <c r="Q440" s="137"/>
      <c r="R440" s="137"/>
      <c r="S440" s="137"/>
      <c r="T440" s="137"/>
      <c r="U440" s="137"/>
    </row>
    <row r="441" spans="1:21">
      <c r="A441" s="137"/>
      <c r="B441" s="137"/>
      <c r="C441" s="137"/>
      <c r="D441" s="137"/>
      <c r="E441" s="137"/>
      <c r="F441" s="137"/>
      <c r="G441" s="137"/>
      <c r="H441" s="137"/>
      <c r="I441" s="137"/>
      <c r="J441" s="137"/>
      <c r="K441" s="137"/>
      <c r="L441" s="137"/>
      <c r="M441" s="137"/>
      <c r="N441" s="137"/>
      <c r="O441" s="137"/>
      <c r="P441" s="137"/>
      <c r="Q441" s="137"/>
      <c r="R441" s="137"/>
      <c r="S441" s="137"/>
      <c r="T441" s="137"/>
      <c r="U441" s="137"/>
    </row>
    <row r="442" spans="1:21">
      <c r="A442" s="137"/>
      <c r="B442" s="137"/>
      <c r="C442" s="137"/>
      <c r="D442" s="137"/>
      <c r="E442" s="137"/>
      <c r="F442" s="137"/>
      <c r="G442" s="137"/>
      <c r="H442" s="137"/>
      <c r="I442" s="137"/>
      <c r="J442" s="137"/>
      <c r="K442" s="137"/>
      <c r="L442" s="137"/>
      <c r="M442" s="137"/>
      <c r="N442" s="137"/>
      <c r="O442" s="137"/>
      <c r="P442" s="137"/>
      <c r="Q442" s="137"/>
      <c r="R442" s="137"/>
      <c r="S442" s="137"/>
      <c r="T442" s="137"/>
      <c r="U442" s="137"/>
    </row>
    <row r="443" spans="1:21">
      <c r="A443" s="137"/>
      <c r="B443" s="137"/>
      <c r="C443" s="137"/>
      <c r="D443" s="137"/>
      <c r="E443" s="137"/>
      <c r="F443" s="137"/>
      <c r="G443" s="137"/>
      <c r="H443" s="137"/>
      <c r="I443" s="137"/>
      <c r="J443" s="137"/>
      <c r="K443" s="137"/>
      <c r="L443" s="137"/>
      <c r="M443" s="137"/>
      <c r="N443" s="137"/>
      <c r="O443" s="137"/>
      <c r="P443" s="137"/>
      <c r="Q443" s="137"/>
      <c r="R443" s="137"/>
      <c r="S443" s="137"/>
      <c r="T443" s="137"/>
      <c r="U443" s="137"/>
    </row>
    <row r="444" spans="1:21">
      <c r="A444" s="137"/>
      <c r="B444" s="137"/>
      <c r="C444" s="137"/>
      <c r="D444" s="137"/>
      <c r="E444" s="137"/>
      <c r="F444" s="137"/>
      <c r="G444" s="137"/>
      <c r="H444" s="137"/>
      <c r="I444" s="137"/>
      <c r="J444" s="137"/>
      <c r="K444" s="137"/>
      <c r="L444" s="137"/>
      <c r="M444" s="137"/>
      <c r="N444" s="137"/>
      <c r="O444" s="137"/>
      <c r="P444" s="137"/>
      <c r="Q444" s="137"/>
      <c r="R444" s="137"/>
      <c r="S444" s="137"/>
      <c r="T444" s="137"/>
      <c r="U444" s="137"/>
    </row>
    <row r="445" spans="1:21">
      <c r="A445" s="137"/>
      <c r="B445" s="137"/>
      <c r="C445" s="137"/>
      <c r="D445" s="137"/>
      <c r="E445" s="137"/>
      <c r="F445" s="137"/>
      <c r="G445" s="137"/>
      <c r="H445" s="137"/>
      <c r="I445" s="137"/>
      <c r="J445" s="137"/>
      <c r="K445" s="137"/>
      <c r="L445" s="137"/>
      <c r="M445" s="137"/>
      <c r="N445" s="137"/>
      <c r="O445" s="137"/>
      <c r="P445" s="137"/>
      <c r="Q445" s="137"/>
      <c r="R445" s="137"/>
      <c r="S445" s="137"/>
      <c r="T445" s="137"/>
      <c r="U445" s="137"/>
    </row>
    <row r="446" spans="1:21">
      <c r="A446" s="137"/>
      <c r="B446" s="137"/>
      <c r="C446" s="137"/>
      <c r="D446" s="137"/>
      <c r="E446" s="137"/>
      <c r="F446" s="137"/>
      <c r="G446" s="137"/>
      <c r="H446" s="137"/>
      <c r="I446" s="137"/>
      <c r="J446" s="137"/>
      <c r="K446" s="137"/>
      <c r="L446" s="137"/>
      <c r="M446" s="137"/>
      <c r="N446" s="137"/>
      <c r="O446" s="137"/>
      <c r="P446" s="137"/>
      <c r="Q446" s="137"/>
      <c r="R446" s="137"/>
      <c r="S446" s="137"/>
      <c r="T446" s="137"/>
      <c r="U446" s="137"/>
    </row>
    <row r="447" spans="1:21">
      <c r="A447" s="137"/>
      <c r="B447" s="137"/>
      <c r="C447" s="137"/>
      <c r="D447" s="137"/>
      <c r="E447" s="137"/>
      <c r="F447" s="137"/>
      <c r="G447" s="137"/>
      <c r="H447" s="137"/>
      <c r="I447" s="137"/>
      <c r="J447" s="137"/>
      <c r="K447" s="137"/>
      <c r="L447" s="137"/>
      <c r="M447" s="137"/>
      <c r="N447" s="137"/>
      <c r="O447" s="137"/>
      <c r="P447" s="137"/>
      <c r="Q447" s="137"/>
      <c r="R447" s="137"/>
      <c r="S447" s="137"/>
      <c r="T447" s="137"/>
      <c r="U447" s="137"/>
    </row>
    <row r="448" spans="1:21">
      <c r="A448" s="137"/>
      <c r="B448" s="137"/>
      <c r="C448" s="137"/>
      <c r="D448" s="137"/>
      <c r="E448" s="137"/>
      <c r="F448" s="137"/>
      <c r="G448" s="137"/>
      <c r="H448" s="137"/>
      <c r="I448" s="137"/>
      <c r="J448" s="137"/>
      <c r="K448" s="137"/>
      <c r="L448" s="137"/>
      <c r="M448" s="137"/>
      <c r="N448" s="137"/>
      <c r="O448" s="137"/>
      <c r="P448" s="137"/>
      <c r="Q448" s="137"/>
      <c r="R448" s="137"/>
      <c r="S448" s="137"/>
      <c r="T448" s="137"/>
      <c r="U448" s="137"/>
    </row>
    <row r="449" spans="1:21">
      <c r="A449" s="137"/>
      <c r="B449" s="137"/>
      <c r="C449" s="137"/>
      <c r="D449" s="137"/>
      <c r="E449" s="137"/>
      <c r="F449" s="137"/>
      <c r="G449" s="137"/>
      <c r="H449" s="137"/>
      <c r="I449" s="137"/>
      <c r="J449" s="137"/>
      <c r="K449" s="137"/>
      <c r="L449" s="137"/>
      <c r="M449" s="137"/>
      <c r="N449" s="137"/>
      <c r="O449" s="137"/>
      <c r="P449" s="137"/>
      <c r="Q449" s="137"/>
      <c r="R449" s="137"/>
      <c r="S449" s="137"/>
      <c r="T449" s="137"/>
      <c r="U449" s="137"/>
    </row>
    <row r="450" spans="1:21">
      <c r="A450" s="137"/>
      <c r="B450" s="137"/>
      <c r="C450" s="137"/>
      <c r="D450" s="137"/>
      <c r="E450" s="137"/>
      <c r="F450" s="137"/>
      <c r="G450" s="137"/>
      <c r="H450" s="137"/>
      <c r="I450" s="137"/>
      <c r="J450" s="137"/>
      <c r="K450" s="137"/>
      <c r="L450" s="137"/>
      <c r="M450" s="137"/>
      <c r="N450" s="137"/>
      <c r="O450" s="137"/>
      <c r="P450" s="137"/>
      <c r="Q450" s="137"/>
      <c r="R450" s="137"/>
      <c r="S450" s="137"/>
      <c r="T450" s="137"/>
      <c r="U450" s="137"/>
    </row>
    <row r="451" spans="1:21">
      <c r="A451" s="137"/>
      <c r="B451" s="137"/>
      <c r="C451" s="137"/>
      <c r="D451" s="137"/>
      <c r="E451" s="137"/>
      <c r="F451" s="137"/>
      <c r="G451" s="137"/>
      <c r="H451" s="137"/>
      <c r="I451" s="137"/>
      <c r="J451" s="137"/>
      <c r="K451" s="137"/>
      <c r="L451" s="137"/>
      <c r="M451" s="137"/>
      <c r="N451" s="137"/>
      <c r="O451" s="137"/>
      <c r="P451" s="137"/>
      <c r="Q451" s="137"/>
      <c r="R451" s="137"/>
      <c r="S451" s="137"/>
      <c r="T451" s="137"/>
      <c r="U451" s="137"/>
    </row>
    <row r="452" spans="1:21">
      <c r="A452" s="137"/>
      <c r="B452" s="137"/>
      <c r="C452" s="137"/>
      <c r="D452" s="137"/>
      <c r="E452" s="137"/>
      <c r="F452" s="137"/>
      <c r="G452" s="137"/>
      <c r="H452" s="137"/>
      <c r="I452" s="137"/>
      <c r="J452" s="137"/>
      <c r="K452" s="137"/>
      <c r="L452" s="137"/>
      <c r="M452" s="137"/>
      <c r="N452" s="137"/>
      <c r="O452" s="137"/>
      <c r="P452" s="137"/>
      <c r="Q452" s="137"/>
      <c r="R452" s="137"/>
      <c r="S452" s="137"/>
      <c r="T452" s="137"/>
      <c r="U452" s="137"/>
    </row>
    <row r="453" spans="1:21">
      <c r="A453" s="137"/>
      <c r="B453" s="137"/>
      <c r="C453" s="137"/>
      <c r="D453" s="137"/>
      <c r="E453" s="137"/>
      <c r="F453" s="137"/>
      <c r="G453" s="137"/>
      <c r="H453" s="137"/>
      <c r="I453" s="137"/>
      <c r="J453" s="137"/>
      <c r="K453" s="137"/>
      <c r="L453" s="137"/>
      <c r="M453" s="137"/>
      <c r="N453" s="137"/>
      <c r="O453" s="137"/>
      <c r="P453" s="137"/>
      <c r="Q453" s="137"/>
      <c r="R453" s="137"/>
      <c r="S453" s="137"/>
      <c r="T453" s="137"/>
      <c r="U453" s="137"/>
    </row>
    <row r="454" spans="1:21">
      <c r="A454" s="137"/>
      <c r="B454" s="137"/>
      <c r="C454" s="137"/>
      <c r="D454" s="137"/>
      <c r="E454" s="137"/>
      <c r="F454" s="137"/>
      <c r="G454" s="137"/>
      <c r="H454" s="137"/>
      <c r="I454" s="137"/>
      <c r="J454" s="137"/>
      <c r="K454" s="137"/>
      <c r="L454" s="137"/>
      <c r="M454" s="137"/>
      <c r="N454" s="137"/>
      <c r="O454" s="137"/>
      <c r="P454" s="137"/>
      <c r="Q454" s="137"/>
      <c r="R454" s="137"/>
      <c r="S454" s="137"/>
      <c r="T454" s="137"/>
      <c r="U454" s="137"/>
    </row>
    <row r="455" spans="1:21">
      <c r="A455" s="137"/>
      <c r="B455" s="137"/>
      <c r="C455" s="137"/>
      <c r="D455" s="137"/>
      <c r="E455" s="137"/>
      <c r="F455" s="137"/>
      <c r="G455" s="137"/>
      <c r="H455" s="137"/>
      <c r="I455" s="137"/>
      <c r="J455" s="137"/>
      <c r="K455" s="137"/>
      <c r="L455" s="137"/>
      <c r="M455" s="137"/>
      <c r="N455" s="137"/>
      <c r="O455" s="137"/>
      <c r="P455" s="137"/>
      <c r="Q455" s="137"/>
      <c r="R455" s="137"/>
      <c r="S455" s="137"/>
      <c r="T455" s="137"/>
      <c r="U455" s="137"/>
    </row>
    <row r="456" spans="1:21">
      <c r="A456" s="137"/>
      <c r="B456" s="137"/>
      <c r="C456" s="137"/>
      <c r="D456" s="137"/>
      <c r="E456" s="137"/>
      <c r="F456" s="137"/>
      <c r="G456" s="137"/>
      <c r="H456" s="137"/>
      <c r="I456" s="137"/>
      <c r="J456" s="137"/>
      <c r="K456" s="137"/>
      <c r="L456" s="137"/>
      <c r="M456" s="137"/>
      <c r="N456" s="137"/>
      <c r="O456" s="137"/>
      <c r="P456" s="137"/>
      <c r="Q456" s="137"/>
      <c r="R456" s="137"/>
      <c r="S456" s="137"/>
      <c r="T456" s="137"/>
      <c r="U456" s="137"/>
    </row>
    <row r="457" spans="1:21">
      <c r="A457" s="137"/>
      <c r="B457" s="137"/>
      <c r="C457" s="137"/>
      <c r="D457" s="137"/>
      <c r="E457" s="137"/>
      <c r="F457" s="137"/>
      <c r="G457" s="137"/>
      <c r="H457" s="137"/>
      <c r="I457" s="137"/>
      <c r="J457" s="137"/>
      <c r="K457" s="137"/>
      <c r="L457" s="137"/>
      <c r="M457" s="137"/>
      <c r="N457" s="137"/>
      <c r="O457" s="137"/>
      <c r="P457" s="137"/>
      <c r="Q457" s="137"/>
      <c r="R457" s="137"/>
      <c r="S457" s="137"/>
      <c r="T457" s="137"/>
      <c r="U457" s="137"/>
    </row>
    <row r="458" spans="1:21">
      <c r="A458" s="137"/>
      <c r="B458" s="137"/>
      <c r="C458" s="137"/>
      <c r="D458" s="137"/>
      <c r="E458" s="137"/>
      <c r="F458" s="137"/>
      <c r="G458" s="137"/>
      <c r="H458" s="137"/>
      <c r="I458" s="137"/>
      <c r="J458" s="137"/>
      <c r="K458" s="137"/>
      <c r="L458" s="137"/>
      <c r="M458" s="137"/>
      <c r="N458" s="137"/>
      <c r="O458" s="137"/>
      <c r="P458" s="137"/>
      <c r="Q458" s="137"/>
      <c r="R458" s="137"/>
      <c r="S458" s="137"/>
      <c r="T458" s="137"/>
      <c r="U458" s="137"/>
    </row>
    <row r="459" spans="1:21">
      <c r="A459" s="137"/>
      <c r="B459" s="137"/>
      <c r="C459" s="137"/>
      <c r="D459" s="137"/>
      <c r="E459" s="137"/>
      <c r="F459" s="137"/>
      <c r="G459" s="137"/>
      <c r="H459" s="137"/>
      <c r="I459" s="137"/>
      <c r="J459" s="137"/>
      <c r="K459" s="137"/>
      <c r="L459" s="137"/>
      <c r="M459" s="137"/>
      <c r="N459" s="137"/>
      <c r="O459" s="137"/>
      <c r="P459" s="137"/>
      <c r="Q459" s="137"/>
      <c r="R459" s="137"/>
      <c r="S459" s="137"/>
      <c r="T459" s="137"/>
      <c r="U459" s="137"/>
    </row>
    <row r="460" spans="1:21">
      <c r="A460" s="137"/>
      <c r="B460" s="137"/>
      <c r="C460" s="137"/>
      <c r="D460" s="137"/>
      <c r="E460" s="137"/>
      <c r="F460" s="137"/>
      <c r="G460" s="137"/>
      <c r="H460" s="137"/>
      <c r="I460" s="137"/>
      <c r="J460" s="137"/>
      <c r="K460" s="137"/>
      <c r="L460" s="137"/>
      <c r="M460" s="137"/>
      <c r="N460" s="137"/>
      <c r="O460" s="137"/>
      <c r="P460" s="137"/>
      <c r="Q460" s="137"/>
      <c r="R460" s="137"/>
      <c r="S460" s="137"/>
      <c r="T460" s="137"/>
      <c r="U460" s="137"/>
    </row>
    <row r="461" spans="1:21">
      <c r="A461" s="137"/>
      <c r="B461" s="137"/>
      <c r="C461" s="137"/>
      <c r="D461" s="137"/>
      <c r="E461" s="137"/>
      <c r="F461" s="137"/>
      <c r="G461" s="137"/>
      <c r="H461" s="137"/>
      <c r="I461" s="137"/>
      <c r="J461" s="137"/>
      <c r="K461" s="137"/>
      <c r="L461" s="137"/>
      <c r="M461" s="137"/>
      <c r="N461" s="137"/>
      <c r="O461" s="137"/>
      <c r="P461" s="137"/>
      <c r="Q461" s="137"/>
      <c r="R461" s="137"/>
      <c r="S461" s="137"/>
      <c r="T461" s="137"/>
      <c r="U461" s="137"/>
    </row>
    <row r="462" spans="1:21">
      <c r="A462" s="137"/>
      <c r="B462" s="137"/>
      <c r="C462" s="137"/>
      <c r="D462" s="137"/>
      <c r="E462" s="137"/>
      <c r="F462" s="137"/>
      <c r="G462" s="137"/>
      <c r="H462" s="137"/>
      <c r="I462" s="137"/>
      <c r="J462" s="137"/>
      <c r="K462" s="137"/>
      <c r="L462" s="137"/>
      <c r="M462" s="137"/>
      <c r="N462" s="137"/>
      <c r="O462" s="137"/>
      <c r="P462" s="137"/>
      <c r="Q462" s="137"/>
      <c r="R462" s="137"/>
      <c r="S462" s="137"/>
      <c r="T462" s="137"/>
      <c r="U462" s="137"/>
    </row>
    <row r="463" spans="1:21">
      <c r="A463" s="137"/>
      <c r="B463" s="137"/>
      <c r="C463" s="137"/>
      <c r="D463" s="137"/>
      <c r="E463" s="137"/>
      <c r="F463" s="137"/>
      <c r="G463" s="137"/>
      <c r="H463" s="137"/>
      <c r="I463" s="137"/>
      <c r="J463" s="137"/>
      <c r="K463" s="137"/>
      <c r="L463" s="137"/>
      <c r="M463" s="137"/>
      <c r="N463" s="137"/>
      <c r="O463" s="137"/>
      <c r="P463" s="137"/>
      <c r="Q463" s="137"/>
      <c r="R463" s="137"/>
      <c r="S463" s="137"/>
      <c r="T463" s="137"/>
      <c r="U463" s="137"/>
    </row>
    <row r="464" spans="1:21">
      <c r="A464" s="137"/>
      <c r="B464" s="137"/>
      <c r="C464" s="137"/>
      <c r="D464" s="137"/>
      <c r="E464" s="137"/>
      <c r="F464" s="137"/>
      <c r="G464" s="137"/>
      <c r="H464" s="137"/>
      <c r="I464" s="137"/>
      <c r="J464" s="137"/>
      <c r="K464" s="137"/>
      <c r="L464" s="137"/>
      <c r="M464" s="137"/>
      <c r="N464" s="137"/>
      <c r="O464" s="137"/>
      <c r="P464" s="137"/>
      <c r="Q464" s="137"/>
      <c r="R464" s="137"/>
      <c r="S464" s="137"/>
      <c r="T464" s="137"/>
      <c r="U464" s="137"/>
    </row>
    <row r="465" spans="1:21">
      <c r="A465" s="137"/>
      <c r="B465" s="137"/>
      <c r="C465" s="137"/>
      <c r="D465" s="137"/>
      <c r="E465" s="137"/>
      <c r="F465" s="137"/>
      <c r="G465" s="137"/>
      <c r="H465" s="137"/>
      <c r="I465" s="137"/>
      <c r="J465" s="137"/>
      <c r="K465" s="137"/>
      <c r="L465" s="137"/>
      <c r="M465" s="137"/>
      <c r="N465" s="137"/>
      <c r="O465" s="137"/>
      <c r="P465" s="137"/>
      <c r="Q465" s="137"/>
      <c r="R465" s="137"/>
      <c r="S465" s="137"/>
      <c r="T465" s="137"/>
      <c r="U465" s="137"/>
    </row>
    <row r="466" spans="1:21">
      <c r="A466" s="137"/>
      <c r="B466" s="137"/>
      <c r="C466" s="137"/>
      <c r="D466" s="137"/>
      <c r="E466" s="137"/>
      <c r="F466" s="137"/>
      <c r="G466" s="137"/>
      <c r="H466" s="137"/>
      <c r="I466" s="137"/>
      <c r="J466" s="137"/>
      <c r="K466" s="137"/>
      <c r="L466" s="137"/>
      <c r="M466" s="137"/>
      <c r="N466" s="137"/>
      <c r="O466" s="137"/>
      <c r="P466" s="137"/>
      <c r="Q466" s="137"/>
      <c r="R466" s="137"/>
      <c r="S466" s="137"/>
      <c r="T466" s="137"/>
      <c r="U466" s="137"/>
    </row>
    <row r="467" spans="1:21">
      <c r="A467" s="137"/>
      <c r="B467" s="137"/>
      <c r="C467" s="137"/>
      <c r="D467" s="137"/>
      <c r="E467" s="137"/>
      <c r="F467" s="137"/>
      <c r="G467" s="137"/>
      <c r="H467" s="137"/>
      <c r="I467" s="137"/>
      <c r="J467" s="137"/>
      <c r="K467" s="137"/>
      <c r="L467" s="137"/>
      <c r="M467" s="137"/>
      <c r="N467" s="137"/>
      <c r="O467" s="137"/>
      <c r="P467" s="137"/>
      <c r="Q467" s="137"/>
      <c r="R467" s="137"/>
      <c r="S467" s="137"/>
      <c r="T467" s="137"/>
      <c r="U467" s="137"/>
    </row>
    <row r="468" spans="1:21">
      <c r="A468" s="137"/>
      <c r="B468" s="137"/>
      <c r="C468" s="137"/>
      <c r="D468" s="137"/>
      <c r="E468" s="137"/>
      <c r="F468" s="137"/>
      <c r="G468" s="137"/>
      <c r="H468" s="137"/>
      <c r="I468" s="137"/>
      <c r="J468" s="137"/>
      <c r="K468" s="137"/>
      <c r="L468" s="137"/>
      <c r="M468" s="137"/>
      <c r="N468" s="137"/>
      <c r="O468" s="137"/>
      <c r="P468" s="137"/>
      <c r="Q468" s="137"/>
      <c r="R468" s="137"/>
      <c r="S468" s="137"/>
      <c r="T468" s="137"/>
      <c r="U468" s="137"/>
    </row>
    <row r="469" spans="1:21">
      <c r="A469" s="137"/>
      <c r="B469" s="137"/>
      <c r="C469" s="137"/>
      <c r="D469" s="137"/>
      <c r="E469" s="137"/>
      <c r="F469" s="137"/>
      <c r="G469" s="137"/>
      <c r="H469" s="137"/>
      <c r="I469" s="137"/>
      <c r="J469" s="137"/>
      <c r="K469" s="137"/>
      <c r="L469" s="137"/>
      <c r="M469" s="137"/>
      <c r="N469" s="137"/>
      <c r="O469" s="137"/>
      <c r="P469" s="137"/>
      <c r="Q469" s="137"/>
      <c r="R469" s="137"/>
      <c r="S469" s="137"/>
      <c r="T469" s="137"/>
      <c r="U469" s="137"/>
    </row>
    <row r="470" spans="1:21">
      <c r="A470" s="137"/>
      <c r="B470" s="137"/>
      <c r="C470" s="137"/>
      <c r="D470" s="137"/>
      <c r="E470" s="137"/>
      <c r="F470" s="137"/>
      <c r="G470" s="137"/>
      <c r="H470" s="137"/>
      <c r="I470" s="137"/>
      <c r="J470" s="137"/>
      <c r="K470" s="137"/>
      <c r="L470" s="137"/>
      <c r="M470" s="137"/>
      <c r="N470" s="137"/>
      <c r="O470" s="137"/>
      <c r="P470" s="137"/>
      <c r="Q470" s="137"/>
      <c r="R470" s="137"/>
      <c r="S470" s="137"/>
      <c r="T470" s="137"/>
      <c r="U470" s="137"/>
    </row>
    <row r="471" spans="1:21">
      <c r="A471" s="137"/>
      <c r="B471" s="137"/>
      <c r="C471" s="137"/>
      <c r="D471" s="137"/>
      <c r="E471" s="137"/>
      <c r="F471" s="137"/>
      <c r="G471" s="137"/>
      <c r="H471" s="137"/>
      <c r="I471" s="137"/>
      <c r="J471" s="137"/>
      <c r="K471" s="137"/>
      <c r="L471" s="137"/>
      <c r="M471" s="137"/>
      <c r="N471" s="137"/>
      <c r="O471" s="137"/>
      <c r="P471" s="137"/>
      <c r="Q471" s="137"/>
      <c r="R471" s="137"/>
      <c r="S471" s="137"/>
      <c r="T471" s="137"/>
      <c r="U471" s="137"/>
    </row>
    <row r="472" spans="1:21">
      <c r="A472" s="137"/>
      <c r="B472" s="137"/>
      <c r="C472" s="137"/>
      <c r="D472" s="137"/>
      <c r="E472" s="137"/>
      <c r="F472" s="137"/>
      <c r="G472" s="137"/>
      <c r="H472" s="137"/>
      <c r="I472" s="137"/>
      <c r="J472" s="137"/>
      <c r="K472" s="137"/>
      <c r="L472" s="137"/>
      <c r="M472" s="137"/>
      <c r="N472" s="137"/>
      <c r="O472" s="137"/>
      <c r="P472" s="137"/>
      <c r="Q472" s="137"/>
      <c r="R472" s="137"/>
      <c r="S472" s="137"/>
      <c r="T472" s="137"/>
      <c r="U472" s="137"/>
    </row>
    <row r="473" spans="1:21">
      <c r="A473" s="137"/>
      <c r="B473" s="137"/>
      <c r="C473" s="137"/>
      <c r="D473" s="137"/>
      <c r="E473" s="137"/>
      <c r="F473" s="137"/>
      <c r="G473" s="137"/>
      <c r="H473" s="137"/>
      <c r="I473" s="137"/>
      <c r="J473" s="137"/>
      <c r="K473" s="137"/>
      <c r="L473" s="137"/>
      <c r="M473" s="137"/>
      <c r="N473" s="137"/>
      <c r="O473" s="137"/>
      <c r="P473" s="137"/>
      <c r="Q473" s="137"/>
      <c r="R473" s="137"/>
      <c r="S473" s="137"/>
      <c r="T473" s="137"/>
      <c r="U473" s="137"/>
    </row>
    <row r="474" spans="1:21">
      <c r="A474" s="137"/>
      <c r="B474" s="137"/>
      <c r="C474" s="137"/>
      <c r="D474" s="137"/>
      <c r="E474" s="137"/>
      <c r="F474" s="137"/>
      <c r="G474" s="137"/>
      <c r="H474" s="137"/>
      <c r="I474" s="137"/>
      <c r="J474" s="137"/>
      <c r="K474" s="137"/>
      <c r="L474" s="137"/>
      <c r="M474" s="137"/>
      <c r="N474" s="137"/>
      <c r="O474" s="137"/>
      <c r="P474" s="137"/>
      <c r="Q474" s="137"/>
      <c r="R474" s="137"/>
      <c r="S474" s="137"/>
      <c r="T474" s="137"/>
      <c r="U474" s="137"/>
    </row>
    <row r="475" spans="1:21">
      <c r="A475" s="137"/>
      <c r="B475" s="137"/>
      <c r="C475" s="137"/>
      <c r="D475" s="137"/>
      <c r="E475" s="137"/>
      <c r="F475" s="137"/>
      <c r="G475" s="137"/>
      <c r="H475" s="137"/>
      <c r="I475" s="137"/>
      <c r="J475" s="137"/>
      <c r="K475" s="137"/>
      <c r="L475" s="137"/>
      <c r="M475" s="137"/>
      <c r="N475" s="137"/>
      <c r="O475" s="137"/>
      <c r="P475" s="137"/>
      <c r="Q475" s="137"/>
      <c r="R475" s="137"/>
      <c r="S475" s="137"/>
      <c r="T475" s="137"/>
      <c r="U475" s="137"/>
    </row>
    <row r="476" spans="1:21">
      <c r="A476" s="137"/>
      <c r="B476" s="137"/>
      <c r="C476" s="137"/>
      <c r="D476" s="137"/>
      <c r="E476" s="137"/>
      <c r="F476" s="137"/>
      <c r="G476" s="137"/>
      <c r="H476" s="137"/>
      <c r="I476" s="137"/>
      <c r="J476" s="137"/>
      <c r="K476" s="137"/>
      <c r="L476" s="137"/>
      <c r="M476" s="137"/>
      <c r="N476" s="137"/>
      <c r="O476" s="137"/>
      <c r="P476" s="137"/>
      <c r="Q476" s="137"/>
      <c r="R476" s="137"/>
      <c r="S476" s="137"/>
      <c r="T476" s="137"/>
      <c r="U476" s="137"/>
    </row>
    <row r="477" spans="1:21">
      <c r="A477" s="137"/>
      <c r="B477" s="137"/>
      <c r="C477" s="137"/>
      <c r="D477" s="137"/>
      <c r="E477" s="137"/>
      <c r="F477" s="137"/>
      <c r="G477" s="137"/>
      <c r="H477" s="137"/>
      <c r="I477" s="137"/>
      <c r="J477" s="137"/>
      <c r="K477" s="137"/>
      <c r="L477" s="137"/>
      <c r="M477" s="137"/>
      <c r="N477" s="137"/>
      <c r="O477" s="137"/>
      <c r="P477" s="137"/>
      <c r="Q477" s="137"/>
      <c r="R477" s="137"/>
      <c r="S477" s="137"/>
      <c r="T477" s="137"/>
      <c r="U477" s="137"/>
    </row>
    <row r="478" spans="1:21">
      <c r="A478" s="137"/>
      <c r="B478" s="137"/>
      <c r="C478" s="137"/>
      <c r="D478" s="137"/>
      <c r="E478" s="137"/>
      <c r="F478" s="137"/>
      <c r="G478" s="137"/>
      <c r="H478" s="137"/>
      <c r="I478" s="137"/>
      <c r="J478" s="137"/>
      <c r="K478" s="137"/>
      <c r="L478" s="137"/>
      <c r="M478" s="137"/>
      <c r="N478" s="137"/>
      <c r="O478" s="137"/>
      <c r="P478" s="137"/>
      <c r="Q478" s="137"/>
      <c r="R478" s="137"/>
      <c r="S478" s="137"/>
      <c r="T478" s="137"/>
      <c r="U478" s="137"/>
    </row>
    <row r="479" spans="1:21">
      <c r="A479" s="137"/>
      <c r="B479" s="137"/>
      <c r="C479" s="137"/>
      <c r="D479" s="137"/>
      <c r="E479" s="137"/>
      <c r="F479" s="137"/>
      <c r="G479" s="137"/>
      <c r="H479" s="137"/>
      <c r="I479" s="137"/>
      <c r="J479" s="137"/>
      <c r="K479" s="137"/>
      <c r="L479" s="137"/>
      <c r="M479" s="137"/>
      <c r="N479" s="137"/>
      <c r="O479" s="137"/>
      <c r="P479" s="137"/>
      <c r="Q479" s="137"/>
      <c r="R479" s="137"/>
      <c r="S479" s="137"/>
      <c r="T479" s="137"/>
      <c r="U479" s="137"/>
    </row>
    <row r="480" spans="1:21">
      <c r="A480" s="137"/>
      <c r="B480" s="137"/>
      <c r="C480" s="137"/>
      <c r="D480" s="137"/>
      <c r="E480" s="137"/>
      <c r="F480" s="137"/>
      <c r="G480" s="137"/>
      <c r="H480" s="137"/>
      <c r="I480" s="137"/>
      <c r="J480" s="137"/>
      <c r="K480" s="137"/>
      <c r="L480" s="137"/>
      <c r="M480" s="137"/>
      <c r="N480" s="137"/>
      <c r="O480" s="137"/>
      <c r="P480" s="137"/>
      <c r="Q480" s="137"/>
      <c r="R480" s="137"/>
      <c r="S480" s="137"/>
      <c r="T480" s="137"/>
      <c r="U480" s="137"/>
    </row>
    <row r="481" spans="1:21" ht="28.9">
      <c r="A481" s="1340" t="s">
        <v>231</v>
      </c>
      <c r="B481" s="1340"/>
      <c r="C481" s="1340"/>
      <c r="D481" s="1340"/>
      <c r="E481" s="1340"/>
      <c r="F481" s="1340"/>
      <c r="G481" s="1340"/>
      <c r="H481" s="1340"/>
      <c r="I481" s="1340"/>
      <c r="J481" s="1340"/>
      <c r="K481" s="1340"/>
      <c r="L481" s="1340"/>
      <c r="M481" s="1340"/>
      <c r="N481" s="1340"/>
      <c r="O481" s="137"/>
      <c r="P481" s="137"/>
      <c r="Q481" s="137"/>
      <c r="R481" s="137"/>
      <c r="S481" s="137"/>
      <c r="T481" s="137"/>
      <c r="U481" s="137"/>
    </row>
    <row r="482" spans="1:21">
      <c r="A482" s="137"/>
      <c r="B482" s="137"/>
      <c r="C482" s="137"/>
      <c r="D482" s="137"/>
      <c r="E482" s="137"/>
      <c r="F482" s="137"/>
      <c r="G482" s="137"/>
      <c r="H482" s="137"/>
      <c r="I482" s="137"/>
      <c r="J482" s="137"/>
      <c r="K482" s="137"/>
      <c r="L482" s="137"/>
      <c r="M482" s="137"/>
      <c r="N482" s="137"/>
      <c r="O482" s="137"/>
      <c r="P482" s="137"/>
      <c r="Q482" s="137"/>
      <c r="R482" s="137"/>
      <c r="S482" s="137"/>
      <c r="T482" s="137"/>
      <c r="U482" s="137"/>
    </row>
    <row r="483" spans="1:21">
      <c r="A483" s="137"/>
      <c r="B483" s="137"/>
      <c r="C483" s="137"/>
      <c r="D483" s="137"/>
      <c r="E483" s="137"/>
      <c r="F483" s="137"/>
      <c r="G483" s="137"/>
      <c r="H483" s="137"/>
      <c r="I483" s="137"/>
      <c r="J483" s="137"/>
      <c r="K483" s="137"/>
      <c r="L483" s="137"/>
      <c r="M483" s="137"/>
      <c r="N483" s="137"/>
      <c r="O483" s="137"/>
      <c r="P483" s="137"/>
      <c r="Q483" s="137"/>
      <c r="R483" s="137"/>
      <c r="S483" s="137"/>
      <c r="T483" s="137"/>
      <c r="U483" s="137"/>
    </row>
    <row r="484" spans="1:21">
      <c r="A484" s="137"/>
      <c r="B484" s="137"/>
      <c r="C484" s="137"/>
      <c r="D484" s="137"/>
      <c r="E484" s="137"/>
      <c r="F484" s="137"/>
      <c r="G484" s="137"/>
      <c r="H484" s="137"/>
      <c r="I484" s="137"/>
      <c r="J484" s="137"/>
      <c r="K484" s="137"/>
      <c r="L484" s="137"/>
      <c r="M484" s="137"/>
      <c r="N484" s="137"/>
      <c r="O484" s="137"/>
      <c r="P484" s="137"/>
      <c r="Q484" s="137"/>
      <c r="R484" s="137"/>
      <c r="S484" s="137"/>
      <c r="T484" s="137"/>
      <c r="U484" s="137"/>
    </row>
    <row r="485" spans="1:21">
      <c r="A485" s="137"/>
      <c r="B485" s="137"/>
      <c r="C485" s="137"/>
      <c r="D485" s="137"/>
      <c r="E485" s="137"/>
      <c r="F485" s="137"/>
      <c r="G485" s="137"/>
      <c r="H485" s="137"/>
      <c r="I485" s="137"/>
      <c r="J485" s="137"/>
      <c r="K485" s="137"/>
      <c r="L485" s="137"/>
      <c r="M485" s="137"/>
      <c r="N485" s="137"/>
      <c r="O485" s="137"/>
      <c r="P485" s="137"/>
      <c r="Q485" s="137"/>
      <c r="R485" s="137"/>
      <c r="S485" s="137"/>
      <c r="T485" s="137"/>
      <c r="U485" s="137"/>
    </row>
    <row r="486" spans="1:21">
      <c r="A486" s="137"/>
      <c r="B486" s="137"/>
      <c r="C486" s="137"/>
      <c r="D486" s="137"/>
      <c r="E486" s="137"/>
      <c r="F486" s="137"/>
      <c r="G486" s="137"/>
      <c r="H486" s="137"/>
      <c r="I486" s="137"/>
      <c r="J486" s="137"/>
      <c r="K486" s="137"/>
      <c r="L486" s="137"/>
      <c r="M486" s="137"/>
      <c r="N486" s="137"/>
      <c r="O486" s="137"/>
      <c r="P486" s="137"/>
      <c r="Q486" s="137"/>
      <c r="R486" s="137"/>
      <c r="S486" s="137"/>
      <c r="T486" s="137"/>
      <c r="U486" s="137"/>
    </row>
    <row r="487" spans="1:21">
      <c r="A487" s="137"/>
      <c r="B487" s="137"/>
      <c r="C487" s="137"/>
      <c r="D487" s="137"/>
      <c r="E487" s="137"/>
      <c r="F487" s="137"/>
      <c r="G487" s="137"/>
      <c r="H487" s="137"/>
      <c r="I487" s="137"/>
      <c r="J487" s="137"/>
      <c r="K487" s="137"/>
      <c r="L487" s="137"/>
      <c r="M487" s="137"/>
      <c r="N487" s="137"/>
      <c r="O487" s="137"/>
      <c r="P487" s="137"/>
      <c r="Q487" s="137"/>
      <c r="R487" s="137"/>
      <c r="S487" s="137"/>
      <c r="T487" s="137"/>
      <c r="U487" s="137"/>
    </row>
    <row r="488" spans="1:21">
      <c r="A488" s="137"/>
      <c r="B488" s="137"/>
      <c r="C488" s="137"/>
      <c r="D488" s="137"/>
      <c r="E488" s="137"/>
      <c r="F488" s="137"/>
      <c r="G488" s="137"/>
      <c r="H488" s="137"/>
      <c r="I488" s="137"/>
      <c r="J488" s="137"/>
      <c r="K488" s="137"/>
      <c r="L488" s="137"/>
      <c r="M488" s="137"/>
      <c r="N488" s="137"/>
      <c r="O488" s="137"/>
      <c r="P488" s="137"/>
      <c r="Q488" s="137"/>
      <c r="R488" s="137"/>
      <c r="S488" s="137"/>
      <c r="T488" s="137"/>
      <c r="U488" s="137"/>
    </row>
    <row r="489" spans="1:21">
      <c r="A489" s="137"/>
      <c r="B489" s="137"/>
      <c r="C489" s="137"/>
      <c r="D489" s="137"/>
      <c r="E489" s="137"/>
      <c r="F489" s="137"/>
      <c r="G489" s="137"/>
      <c r="H489" s="137"/>
      <c r="I489" s="137"/>
      <c r="J489" s="137"/>
      <c r="K489" s="137"/>
      <c r="L489" s="137"/>
      <c r="M489" s="137"/>
      <c r="N489" s="137"/>
      <c r="O489" s="137"/>
      <c r="P489" s="137"/>
      <c r="Q489" s="137"/>
      <c r="R489" s="137"/>
      <c r="S489" s="137"/>
      <c r="T489" s="137"/>
      <c r="U489" s="137"/>
    </row>
    <row r="490" spans="1:21">
      <c r="A490" s="137"/>
      <c r="B490" s="137"/>
      <c r="C490" s="137"/>
      <c r="D490" s="137"/>
      <c r="E490" s="137"/>
      <c r="F490" s="137"/>
      <c r="G490" s="137"/>
      <c r="H490" s="137"/>
      <c r="I490" s="137"/>
      <c r="J490" s="137"/>
      <c r="K490" s="137"/>
      <c r="L490" s="137"/>
      <c r="M490" s="137"/>
      <c r="N490" s="137"/>
      <c r="O490" s="137"/>
      <c r="P490" s="137"/>
      <c r="Q490" s="137"/>
      <c r="R490" s="137"/>
      <c r="S490" s="137"/>
      <c r="T490" s="137"/>
      <c r="U490" s="137"/>
    </row>
    <row r="491" spans="1:21">
      <c r="A491" s="137"/>
      <c r="B491" s="137"/>
      <c r="C491" s="137"/>
      <c r="D491" s="137"/>
      <c r="E491" s="137"/>
      <c r="F491" s="137"/>
      <c r="G491" s="137"/>
      <c r="H491" s="137"/>
      <c r="I491" s="137"/>
      <c r="J491" s="137"/>
      <c r="K491" s="137"/>
      <c r="L491" s="137"/>
      <c r="M491" s="137"/>
      <c r="N491" s="137"/>
      <c r="O491" s="137"/>
      <c r="P491" s="137"/>
      <c r="Q491" s="137"/>
      <c r="R491" s="137"/>
      <c r="S491" s="137"/>
      <c r="T491" s="137"/>
      <c r="U491" s="137"/>
    </row>
    <row r="492" spans="1:21">
      <c r="A492" s="137"/>
      <c r="B492" s="137"/>
      <c r="C492" s="137"/>
      <c r="D492" s="137"/>
      <c r="E492" s="137"/>
      <c r="F492" s="137"/>
      <c r="G492" s="137"/>
      <c r="H492" s="137"/>
      <c r="I492" s="137"/>
      <c r="J492" s="137"/>
      <c r="K492" s="137"/>
      <c r="L492" s="137"/>
      <c r="M492" s="137"/>
      <c r="N492" s="137"/>
      <c r="O492" s="137"/>
      <c r="P492" s="137"/>
      <c r="Q492" s="137"/>
      <c r="R492" s="137"/>
      <c r="S492" s="137"/>
      <c r="T492" s="137"/>
      <c r="U492" s="137"/>
    </row>
    <row r="493" spans="1:21">
      <c r="A493" s="137"/>
      <c r="B493" s="137"/>
      <c r="C493" s="137"/>
      <c r="D493" s="137"/>
      <c r="E493" s="137"/>
      <c r="F493" s="137"/>
      <c r="G493" s="137"/>
      <c r="H493" s="137"/>
      <c r="I493" s="137"/>
      <c r="J493" s="137"/>
      <c r="K493" s="137"/>
      <c r="L493" s="137"/>
      <c r="M493" s="137"/>
      <c r="N493" s="137"/>
      <c r="O493" s="137"/>
      <c r="P493" s="137"/>
      <c r="Q493" s="137"/>
      <c r="R493" s="137"/>
      <c r="S493" s="137"/>
      <c r="T493" s="137"/>
      <c r="U493" s="137"/>
    </row>
    <row r="494" spans="1:21">
      <c r="A494" s="137"/>
      <c r="B494" s="137"/>
      <c r="C494" s="137"/>
      <c r="D494" s="137"/>
      <c r="E494" s="137"/>
      <c r="F494" s="137"/>
      <c r="G494" s="137"/>
      <c r="H494" s="137"/>
      <c r="I494" s="137"/>
      <c r="J494" s="137"/>
      <c r="K494" s="137"/>
      <c r="L494" s="137"/>
      <c r="M494" s="137"/>
      <c r="N494" s="137"/>
      <c r="O494" s="137"/>
      <c r="P494" s="137"/>
      <c r="Q494" s="137"/>
      <c r="R494" s="137"/>
      <c r="S494" s="137"/>
      <c r="T494" s="137"/>
      <c r="U494" s="137"/>
    </row>
    <row r="495" spans="1:21">
      <c r="A495" s="137"/>
      <c r="B495" s="137"/>
      <c r="C495" s="137"/>
      <c r="D495" s="137"/>
      <c r="E495" s="137"/>
      <c r="F495" s="137"/>
      <c r="G495" s="137"/>
      <c r="H495" s="137"/>
      <c r="I495" s="137"/>
      <c r="J495" s="137"/>
      <c r="K495" s="137"/>
      <c r="L495" s="137"/>
      <c r="M495" s="137"/>
      <c r="N495" s="137"/>
      <c r="O495" s="137"/>
      <c r="P495" s="137"/>
      <c r="Q495" s="137"/>
      <c r="R495" s="137"/>
      <c r="S495" s="137"/>
      <c r="T495" s="137"/>
      <c r="U495" s="137"/>
    </row>
    <row r="496" spans="1:21">
      <c r="A496" s="137"/>
      <c r="B496" s="137"/>
      <c r="C496" s="137"/>
      <c r="D496" s="137"/>
      <c r="E496" s="137"/>
      <c r="F496" s="137"/>
      <c r="G496" s="137"/>
      <c r="H496" s="137"/>
      <c r="I496" s="137"/>
      <c r="J496" s="137"/>
      <c r="K496" s="137"/>
      <c r="L496" s="137"/>
      <c r="M496" s="137"/>
      <c r="N496" s="137"/>
      <c r="O496" s="137"/>
      <c r="P496" s="137"/>
      <c r="Q496" s="137"/>
      <c r="R496" s="137"/>
      <c r="S496" s="137"/>
      <c r="T496" s="137"/>
      <c r="U496" s="137"/>
    </row>
    <row r="497" spans="1:21">
      <c r="A497" s="137"/>
      <c r="B497" s="137"/>
      <c r="C497" s="137"/>
      <c r="D497" s="137"/>
      <c r="E497" s="137"/>
      <c r="F497" s="137"/>
      <c r="G497" s="137"/>
      <c r="H497" s="137"/>
      <c r="I497" s="137"/>
      <c r="J497" s="137"/>
      <c r="K497" s="137"/>
      <c r="L497" s="137"/>
      <c r="M497" s="137"/>
      <c r="N497" s="137"/>
      <c r="O497" s="137"/>
      <c r="P497" s="137"/>
      <c r="Q497" s="137"/>
      <c r="R497" s="137"/>
      <c r="S497" s="137"/>
      <c r="T497" s="137"/>
      <c r="U497" s="137"/>
    </row>
    <row r="498" spans="1:21">
      <c r="A498" s="137"/>
      <c r="B498" s="137"/>
      <c r="C498" s="137"/>
      <c r="D498" s="137"/>
      <c r="E498" s="137"/>
      <c r="F498" s="137"/>
      <c r="G498" s="137"/>
      <c r="H498" s="137"/>
      <c r="I498" s="137"/>
      <c r="J498" s="137"/>
      <c r="K498" s="137"/>
      <c r="L498" s="137"/>
      <c r="M498" s="137"/>
      <c r="N498" s="137"/>
      <c r="O498" s="137"/>
      <c r="P498" s="137"/>
      <c r="Q498" s="137"/>
      <c r="R498" s="137"/>
      <c r="S498" s="137"/>
      <c r="T498" s="137"/>
      <c r="U498" s="137"/>
    </row>
    <row r="499" spans="1:21">
      <c r="A499" s="137"/>
      <c r="B499" s="137"/>
      <c r="C499" s="137"/>
      <c r="D499" s="137"/>
      <c r="E499" s="137"/>
      <c r="F499" s="137"/>
      <c r="G499" s="137"/>
      <c r="H499" s="137"/>
      <c r="I499" s="137"/>
      <c r="J499" s="137"/>
      <c r="K499" s="137"/>
      <c r="L499" s="137"/>
      <c r="M499" s="137"/>
      <c r="N499" s="137"/>
      <c r="O499" s="137"/>
      <c r="P499" s="137"/>
      <c r="Q499" s="137"/>
      <c r="R499" s="137"/>
      <c r="S499" s="137"/>
      <c r="T499" s="137"/>
      <c r="U499" s="137"/>
    </row>
    <row r="500" spans="1:21">
      <c r="A500" s="137"/>
      <c r="B500" s="137"/>
      <c r="C500" s="137"/>
      <c r="D500" s="137"/>
      <c r="E500" s="137"/>
      <c r="F500" s="137"/>
      <c r="G500" s="137"/>
      <c r="H500" s="137"/>
      <c r="I500" s="137"/>
      <c r="J500" s="137"/>
      <c r="K500" s="137"/>
      <c r="L500" s="137"/>
      <c r="M500" s="137"/>
      <c r="N500" s="137"/>
      <c r="O500" s="137"/>
      <c r="P500" s="137"/>
      <c r="Q500" s="137"/>
      <c r="R500" s="137"/>
      <c r="S500" s="137"/>
      <c r="T500" s="137"/>
      <c r="U500" s="137"/>
    </row>
    <row r="501" spans="1:21">
      <c r="A501" s="137"/>
      <c r="B501" s="137"/>
      <c r="C501" s="137"/>
      <c r="D501" s="137"/>
      <c r="E501" s="137"/>
      <c r="F501" s="137"/>
      <c r="G501" s="137"/>
      <c r="H501" s="137"/>
      <c r="I501" s="137"/>
      <c r="J501" s="137"/>
      <c r="K501" s="137"/>
      <c r="L501" s="137"/>
      <c r="M501" s="137"/>
      <c r="N501" s="137"/>
      <c r="O501" s="137"/>
      <c r="P501" s="137"/>
      <c r="Q501" s="137"/>
      <c r="R501" s="137"/>
      <c r="S501" s="137"/>
      <c r="T501" s="137"/>
      <c r="U501" s="137"/>
    </row>
    <row r="502" spans="1:21">
      <c r="A502" s="137"/>
      <c r="B502" s="137"/>
      <c r="C502" s="137"/>
      <c r="D502" s="137"/>
      <c r="E502" s="137"/>
      <c r="F502" s="137"/>
      <c r="G502" s="137"/>
      <c r="H502" s="137"/>
      <c r="I502" s="137"/>
      <c r="J502" s="137"/>
      <c r="K502" s="137"/>
      <c r="L502" s="137"/>
      <c r="M502" s="137"/>
      <c r="N502" s="137"/>
      <c r="O502" s="137"/>
      <c r="P502" s="137"/>
      <c r="Q502" s="137"/>
      <c r="R502" s="137"/>
      <c r="S502" s="137"/>
      <c r="T502" s="137"/>
      <c r="U502" s="137"/>
    </row>
    <row r="503" spans="1:21">
      <c r="A503" s="137"/>
      <c r="B503" s="137"/>
      <c r="C503" s="137"/>
      <c r="D503" s="137"/>
      <c r="E503" s="137"/>
      <c r="F503" s="137"/>
      <c r="G503" s="137"/>
      <c r="H503" s="137"/>
      <c r="I503" s="137"/>
      <c r="J503" s="137"/>
      <c r="K503" s="137"/>
      <c r="L503" s="137"/>
      <c r="M503" s="137"/>
      <c r="N503" s="137"/>
      <c r="O503" s="137"/>
      <c r="P503" s="137"/>
      <c r="Q503" s="137"/>
      <c r="R503" s="137"/>
      <c r="S503" s="137"/>
      <c r="T503" s="137"/>
      <c r="U503" s="137"/>
    </row>
    <row r="504" spans="1:21">
      <c r="A504" s="137"/>
      <c r="B504" s="137"/>
      <c r="C504" s="137"/>
      <c r="D504" s="137"/>
      <c r="E504" s="137"/>
      <c r="F504" s="137"/>
      <c r="G504" s="137"/>
      <c r="H504" s="137"/>
      <c r="I504" s="137"/>
      <c r="J504" s="137"/>
      <c r="K504" s="137"/>
      <c r="L504" s="137"/>
      <c r="M504" s="137"/>
      <c r="N504" s="137"/>
      <c r="O504" s="137"/>
      <c r="P504" s="137"/>
      <c r="Q504" s="137"/>
      <c r="R504" s="137"/>
      <c r="S504" s="137"/>
      <c r="T504" s="137"/>
      <c r="U504" s="137"/>
    </row>
    <row r="505" spans="1:21">
      <c r="A505" s="137"/>
      <c r="B505" s="137"/>
      <c r="C505" s="137"/>
      <c r="D505" s="137"/>
      <c r="E505" s="137"/>
      <c r="F505" s="137"/>
      <c r="G505" s="137"/>
      <c r="H505" s="137"/>
      <c r="I505" s="137"/>
      <c r="J505" s="137"/>
      <c r="K505" s="137"/>
      <c r="L505" s="137"/>
      <c r="M505" s="137"/>
      <c r="N505" s="137"/>
      <c r="O505" s="137"/>
      <c r="P505" s="137"/>
      <c r="Q505" s="137"/>
      <c r="R505" s="137"/>
      <c r="S505" s="137"/>
      <c r="T505" s="137"/>
      <c r="U505" s="137"/>
    </row>
    <row r="506" spans="1:21">
      <c r="A506" s="137"/>
      <c r="B506" s="137"/>
      <c r="C506" s="137"/>
      <c r="D506" s="137"/>
      <c r="E506" s="137"/>
      <c r="F506" s="137"/>
      <c r="G506" s="137"/>
      <c r="H506" s="137"/>
      <c r="I506" s="137"/>
      <c r="J506" s="137"/>
      <c r="K506" s="137"/>
      <c r="L506" s="137"/>
      <c r="M506" s="137"/>
      <c r="N506" s="137"/>
      <c r="O506" s="137"/>
      <c r="P506" s="137"/>
      <c r="Q506" s="137"/>
      <c r="R506" s="137"/>
      <c r="S506" s="137"/>
      <c r="T506" s="137"/>
      <c r="U506" s="137"/>
    </row>
    <row r="507" spans="1:21">
      <c r="A507" s="137"/>
      <c r="B507" s="137"/>
      <c r="C507" s="137"/>
      <c r="D507" s="137"/>
      <c r="E507" s="137"/>
      <c r="F507" s="137"/>
      <c r="G507" s="137"/>
      <c r="H507" s="137"/>
      <c r="I507" s="137"/>
      <c r="J507" s="137"/>
      <c r="K507" s="137"/>
      <c r="L507" s="137"/>
      <c r="M507" s="137"/>
      <c r="N507" s="137"/>
      <c r="O507" s="137"/>
      <c r="P507" s="137"/>
      <c r="Q507" s="137"/>
      <c r="R507" s="137"/>
      <c r="S507" s="137"/>
      <c r="T507" s="137"/>
      <c r="U507" s="137"/>
    </row>
    <row r="508" spans="1:21">
      <c r="A508" s="137"/>
      <c r="B508" s="137"/>
      <c r="C508" s="137"/>
      <c r="D508" s="137"/>
      <c r="E508" s="137"/>
      <c r="F508" s="137"/>
      <c r="G508" s="137"/>
      <c r="H508" s="137"/>
      <c r="I508" s="137"/>
      <c r="J508" s="137"/>
      <c r="K508" s="137"/>
      <c r="L508" s="137"/>
      <c r="M508" s="137"/>
      <c r="N508" s="137"/>
      <c r="O508" s="137"/>
      <c r="P508" s="137"/>
      <c r="Q508" s="137"/>
      <c r="R508" s="137"/>
      <c r="S508" s="137"/>
      <c r="T508" s="137"/>
      <c r="U508" s="137"/>
    </row>
    <row r="509" spans="1:21">
      <c r="A509" s="137"/>
      <c r="B509" s="137"/>
      <c r="C509" s="137"/>
      <c r="D509" s="137"/>
      <c r="E509" s="137"/>
      <c r="F509" s="137"/>
      <c r="G509" s="137"/>
      <c r="H509" s="137"/>
      <c r="I509" s="137"/>
      <c r="J509" s="137"/>
      <c r="K509" s="137"/>
      <c r="L509" s="137"/>
      <c r="M509" s="137"/>
      <c r="N509" s="137"/>
      <c r="O509" s="137"/>
      <c r="P509" s="137"/>
      <c r="Q509" s="137"/>
      <c r="R509" s="137"/>
      <c r="S509" s="137"/>
      <c r="T509" s="137"/>
      <c r="U509" s="137"/>
    </row>
    <row r="510" spans="1:21">
      <c r="A510" s="137"/>
      <c r="B510" s="137"/>
      <c r="C510" s="137"/>
      <c r="D510" s="137"/>
      <c r="E510" s="137"/>
      <c r="F510" s="137"/>
      <c r="G510" s="137"/>
      <c r="H510" s="137"/>
      <c r="I510" s="137"/>
      <c r="J510" s="137"/>
      <c r="K510" s="137"/>
      <c r="L510" s="137"/>
      <c r="M510" s="137"/>
      <c r="N510" s="137"/>
      <c r="O510" s="137"/>
      <c r="P510" s="137"/>
      <c r="Q510" s="137"/>
      <c r="R510" s="137"/>
      <c r="S510" s="137"/>
      <c r="T510" s="137"/>
      <c r="U510" s="137"/>
    </row>
    <row r="511" spans="1:21">
      <c r="A511" s="137"/>
      <c r="B511" s="137"/>
      <c r="C511" s="137"/>
      <c r="D511" s="137"/>
      <c r="E511" s="137"/>
      <c r="F511" s="137"/>
      <c r="G511" s="137"/>
      <c r="H511" s="137"/>
      <c r="I511" s="137"/>
      <c r="J511" s="137"/>
      <c r="K511" s="137"/>
      <c r="L511" s="137"/>
      <c r="M511" s="137"/>
      <c r="N511" s="137"/>
      <c r="O511" s="137"/>
      <c r="P511" s="137"/>
      <c r="Q511" s="137"/>
      <c r="R511" s="137"/>
      <c r="S511" s="137"/>
      <c r="T511" s="137"/>
      <c r="U511" s="137"/>
    </row>
    <row r="512" spans="1:21">
      <c r="A512" s="137"/>
      <c r="B512" s="137"/>
      <c r="C512" s="137"/>
      <c r="D512" s="137"/>
      <c r="E512" s="137"/>
      <c r="F512" s="137"/>
      <c r="G512" s="137"/>
      <c r="H512" s="137"/>
      <c r="I512" s="137"/>
      <c r="J512" s="137"/>
      <c r="K512" s="137"/>
      <c r="L512" s="137"/>
      <c r="M512" s="137"/>
      <c r="N512" s="137"/>
      <c r="O512" s="137"/>
      <c r="P512" s="137"/>
      <c r="Q512" s="137"/>
      <c r="R512" s="137"/>
      <c r="S512" s="137"/>
      <c r="T512" s="137"/>
      <c r="U512" s="137"/>
    </row>
    <row r="513" spans="1:21">
      <c r="A513" s="137"/>
      <c r="B513" s="137"/>
      <c r="C513" s="137"/>
      <c r="D513" s="137"/>
      <c r="E513" s="137"/>
      <c r="F513" s="137"/>
      <c r="G513" s="137"/>
      <c r="H513" s="137"/>
      <c r="I513" s="137"/>
      <c r="J513" s="137"/>
      <c r="K513" s="137"/>
      <c r="L513" s="137"/>
      <c r="M513" s="137"/>
      <c r="N513" s="137"/>
      <c r="O513" s="137"/>
      <c r="P513" s="137"/>
      <c r="Q513" s="137"/>
      <c r="R513" s="137"/>
      <c r="S513" s="137"/>
      <c r="T513" s="137"/>
      <c r="U513" s="137"/>
    </row>
    <row r="514" spans="1:21">
      <c r="A514" s="137"/>
      <c r="B514" s="137"/>
      <c r="C514" s="137"/>
      <c r="D514" s="137"/>
      <c r="E514" s="137"/>
      <c r="F514" s="137"/>
      <c r="G514" s="137"/>
      <c r="H514" s="137"/>
      <c r="I514" s="137"/>
      <c r="J514" s="137"/>
      <c r="K514" s="137"/>
      <c r="L514" s="137"/>
      <c r="M514" s="137"/>
      <c r="N514" s="137"/>
      <c r="O514" s="137"/>
      <c r="P514" s="137"/>
      <c r="Q514" s="137"/>
      <c r="R514" s="137"/>
      <c r="S514" s="137"/>
      <c r="T514" s="137"/>
      <c r="U514" s="137"/>
    </row>
    <row r="515" spans="1:21">
      <c r="A515" s="137"/>
      <c r="B515" s="137"/>
      <c r="C515" s="137"/>
      <c r="D515" s="137"/>
      <c r="E515" s="137"/>
      <c r="F515" s="137"/>
      <c r="G515" s="137"/>
      <c r="H515" s="137"/>
      <c r="I515" s="137"/>
      <c r="J515" s="137"/>
      <c r="K515" s="137"/>
      <c r="L515" s="137"/>
      <c r="M515" s="137"/>
      <c r="N515" s="137"/>
      <c r="O515" s="137"/>
      <c r="P515" s="137"/>
      <c r="Q515" s="137"/>
      <c r="R515" s="137"/>
      <c r="S515" s="137"/>
      <c r="T515" s="137"/>
      <c r="U515" s="137"/>
    </row>
    <row r="516" spans="1:21">
      <c r="A516" s="137"/>
      <c r="B516" s="137"/>
      <c r="C516" s="137"/>
      <c r="D516" s="137"/>
      <c r="E516" s="137"/>
      <c r="F516" s="137"/>
      <c r="G516" s="137"/>
      <c r="H516" s="137"/>
      <c r="I516" s="137"/>
      <c r="J516" s="137"/>
      <c r="K516" s="137"/>
      <c r="L516" s="137"/>
      <c r="M516" s="137"/>
      <c r="N516" s="137"/>
      <c r="O516" s="137"/>
      <c r="P516" s="137"/>
      <c r="Q516" s="137"/>
      <c r="R516" s="137"/>
      <c r="S516" s="137"/>
      <c r="T516" s="137"/>
      <c r="U516" s="137"/>
    </row>
    <row r="517" spans="1:21">
      <c r="A517" s="137"/>
      <c r="B517" s="137"/>
      <c r="C517" s="137"/>
      <c r="D517" s="137"/>
      <c r="E517" s="137"/>
      <c r="F517" s="137"/>
      <c r="G517" s="137"/>
      <c r="H517" s="137"/>
      <c r="I517" s="137"/>
      <c r="J517" s="137"/>
      <c r="K517" s="137"/>
      <c r="L517" s="137"/>
      <c r="M517" s="137"/>
      <c r="N517" s="137"/>
      <c r="O517" s="137"/>
      <c r="P517" s="137"/>
      <c r="Q517" s="137"/>
      <c r="R517" s="137"/>
      <c r="S517" s="137"/>
      <c r="T517" s="137"/>
      <c r="U517" s="137"/>
    </row>
    <row r="518" spans="1:21">
      <c r="A518" s="137"/>
      <c r="B518" s="137"/>
      <c r="C518" s="137"/>
      <c r="D518" s="137"/>
      <c r="E518" s="137"/>
      <c r="F518" s="137"/>
      <c r="G518" s="137"/>
      <c r="H518" s="137"/>
      <c r="I518" s="137"/>
      <c r="J518" s="137"/>
      <c r="K518" s="137"/>
      <c r="L518" s="137"/>
      <c r="M518" s="137"/>
      <c r="N518" s="137"/>
      <c r="O518" s="137"/>
      <c r="P518" s="137"/>
      <c r="Q518" s="137"/>
      <c r="R518" s="137"/>
      <c r="S518" s="137"/>
      <c r="T518" s="137"/>
      <c r="U518" s="137"/>
    </row>
    <row r="519" spans="1:21">
      <c r="A519" s="137"/>
      <c r="B519" s="137"/>
      <c r="C519" s="137"/>
      <c r="D519" s="137"/>
      <c r="E519" s="137"/>
      <c r="F519" s="137"/>
      <c r="G519" s="137"/>
      <c r="H519" s="137"/>
      <c r="I519" s="137"/>
      <c r="J519" s="137"/>
      <c r="K519" s="137"/>
      <c r="L519" s="137"/>
      <c r="M519" s="137"/>
      <c r="N519" s="137"/>
      <c r="O519" s="137"/>
      <c r="P519" s="137"/>
      <c r="Q519" s="137"/>
      <c r="R519" s="137"/>
      <c r="S519" s="137"/>
      <c r="T519" s="137"/>
      <c r="U519" s="137"/>
    </row>
    <row r="520" spans="1:21">
      <c r="A520" s="137"/>
      <c r="B520" s="137"/>
      <c r="C520" s="137"/>
      <c r="D520" s="137"/>
      <c r="E520" s="137"/>
      <c r="F520" s="137"/>
      <c r="G520" s="137"/>
      <c r="H520" s="137"/>
      <c r="I520" s="137"/>
      <c r="J520" s="137"/>
      <c r="K520" s="137"/>
      <c r="L520" s="137"/>
      <c r="M520" s="137"/>
      <c r="N520" s="137"/>
      <c r="O520" s="137"/>
      <c r="P520" s="137"/>
      <c r="Q520" s="137"/>
      <c r="R520" s="137"/>
      <c r="S520" s="137"/>
      <c r="T520" s="137"/>
      <c r="U520" s="137"/>
    </row>
    <row r="521" spans="1:21">
      <c r="A521" s="137"/>
      <c r="B521" s="137"/>
      <c r="C521" s="137"/>
      <c r="D521" s="137"/>
      <c r="E521" s="137"/>
      <c r="F521" s="137"/>
      <c r="G521" s="137"/>
      <c r="H521" s="137"/>
      <c r="I521" s="137"/>
      <c r="J521" s="137"/>
      <c r="K521" s="137"/>
      <c r="L521" s="137"/>
      <c r="M521" s="137"/>
      <c r="N521" s="137"/>
      <c r="O521" s="137"/>
      <c r="P521" s="137"/>
      <c r="Q521" s="137"/>
      <c r="R521" s="137"/>
      <c r="S521" s="137"/>
      <c r="T521" s="137"/>
      <c r="U521" s="137"/>
    </row>
    <row r="522" spans="1:21">
      <c r="A522" s="137"/>
      <c r="B522" s="137"/>
      <c r="C522" s="137"/>
      <c r="D522" s="137"/>
      <c r="E522" s="137"/>
      <c r="F522" s="137"/>
      <c r="G522" s="137"/>
      <c r="H522" s="137"/>
      <c r="I522" s="137"/>
      <c r="J522" s="137"/>
      <c r="K522" s="137"/>
      <c r="L522" s="137"/>
      <c r="M522" s="137"/>
      <c r="N522" s="137"/>
      <c r="O522" s="137"/>
      <c r="P522" s="137"/>
      <c r="Q522" s="137"/>
      <c r="R522" s="137"/>
      <c r="S522" s="137"/>
      <c r="T522" s="137"/>
      <c r="U522" s="137"/>
    </row>
    <row r="523" spans="1:21">
      <c r="A523" s="137"/>
      <c r="B523" s="137"/>
      <c r="C523" s="137"/>
      <c r="D523" s="137"/>
      <c r="E523" s="137"/>
      <c r="F523" s="137"/>
      <c r="G523" s="137"/>
      <c r="H523" s="137"/>
      <c r="I523" s="137"/>
      <c r="J523" s="137"/>
      <c r="K523" s="137"/>
      <c r="L523" s="137"/>
      <c r="M523" s="137"/>
      <c r="N523" s="137"/>
      <c r="O523" s="137"/>
      <c r="P523" s="137"/>
      <c r="Q523" s="137"/>
      <c r="R523" s="137"/>
      <c r="S523" s="137"/>
      <c r="T523" s="137"/>
      <c r="U523" s="137"/>
    </row>
    <row r="524" spans="1:21">
      <c r="A524" s="137"/>
      <c r="B524" s="137"/>
      <c r="C524" s="137"/>
      <c r="D524" s="137"/>
      <c r="E524" s="137"/>
      <c r="F524" s="137"/>
      <c r="G524" s="137"/>
      <c r="H524" s="137"/>
      <c r="I524" s="137"/>
      <c r="J524" s="137"/>
      <c r="K524" s="137"/>
      <c r="L524" s="137"/>
      <c r="M524" s="137"/>
      <c r="N524" s="137"/>
      <c r="O524" s="137"/>
      <c r="P524" s="137"/>
      <c r="Q524" s="137"/>
      <c r="R524" s="137"/>
      <c r="S524" s="137"/>
      <c r="T524" s="137"/>
      <c r="U524" s="137"/>
    </row>
    <row r="525" spans="1:21">
      <c r="A525" s="137"/>
      <c r="B525" s="137"/>
      <c r="C525" s="137"/>
      <c r="D525" s="137"/>
      <c r="E525" s="137"/>
      <c r="F525" s="137"/>
      <c r="G525" s="137"/>
      <c r="H525" s="137"/>
      <c r="I525" s="137"/>
      <c r="J525" s="137"/>
      <c r="K525" s="137"/>
      <c r="L525" s="137"/>
      <c r="M525" s="137"/>
      <c r="N525" s="137"/>
      <c r="O525" s="137"/>
      <c r="P525" s="137"/>
      <c r="Q525" s="137"/>
      <c r="R525" s="137"/>
      <c r="S525" s="137"/>
      <c r="T525" s="137"/>
      <c r="U525" s="137"/>
    </row>
    <row r="526" spans="1:21">
      <c r="A526" s="137"/>
      <c r="B526" s="137"/>
      <c r="C526" s="137"/>
      <c r="D526" s="137"/>
      <c r="E526" s="137"/>
      <c r="F526" s="137"/>
      <c r="G526" s="137"/>
      <c r="H526" s="137"/>
      <c r="I526" s="137"/>
      <c r="J526" s="137"/>
      <c r="K526" s="137"/>
      <c r="L526" s="137"/>
      <c r="M526" s="137"/>
      <c r="N526" s="137"/>
      <c r="O526" s="137"/>
      <c r="P526" s="137"/>
      <c r="Q526" s="137"/>
      <c r="R526" s="137"/>
      <c r="S526" s="137"/>
      <c r="T526" s="137"/>
      <c r="U526" s="137"/>
    </row>
    <row r="527" spans="1:21">
      <c r="A527" s="137"/>
      <c r="B527" s="137"/>
      <c r="C527" s="137"/>
      <c r="D527" s="137"/>
      <c r="E527" s="137"/>
      <c r="F527" s="137"/>
      <c r="G527" s="137"/>
      <c r="H527" s="137"/>
      <c r="I527" s="137"/>
      <c r="J527" s="137"/>
      <c r="K527" s="137"/>
      <c r="L527" s="137"/>
      <c r="M527" s="137"/>
      <c r="N527" s="137"/>
      <c r="O527" s="137"/>
      <c r="P527" s="137"/>
      <c r="Q527" s="137"/>
      <c r="R527" s="137"/>
      <c r="S527" s="137"/>
      <c r="T527" s="137"/>
      <c r="U527" s="137"/>
    </row>
    <row r="528" spans="1:21">
      <c r="A528" s="137"/>
      <c r="B528" s="137"/>
      <c r="C528" s="137"/>
      <c r="D528" s="137"/>
      <c r="E528" s="137"/>
      <c r="F528" s="137"/>
      <c r="G528" s="137"/>
      <c r="H528" s="137"/>
      <c r="I528" s="137"/>
      <c r="J528" s="137"/>
      <c r="K528" s="137"/>
      <c r="L528" s="137"/>
      <c r="M528" s="137"/>
      <c r="N528" s="137"/>
      <c r="O528" s="137"/>
      <c r="P528" s="137"/>
      <c r="Q528" s="137"/>
      <c r="R528" s="137"/>
      <c r="S528" s="137"/>
      <c r="T528" s="137"/>
      <c r="U528" s="137"/>
    </row>
    <row r="529" spans="1:21">
      <c r="A529" s="137"/>
      <c r="B529" s="137"/>
      <c r="C529" s="137"/>
      <c r="D529" s="137"/>
      <c r="E529" s="137"/>
      <c r="F529" s="137"/>
      <c r="G529" s="137"/>
      <c r="H529" s="137"/>
      <c r="I529" s="137"/>
      <c r="J529" s="137"/>
      <c r="K529" s="137"/>
      <c r="L529" s="137"/>
      <c r="M529" s="137"/>
      <c r="N529" s="137"/>
      <c r="O529" s="137"/>
      <c r="P529" s="137"/>
      <c r="Q529" s="137"/>
      <c r="R529" s="137"/>
      <c r="S529" s="137"/>
      <c r="T529" s="137"/>
      <c r="U529" s="137"/>
    </row>
    <row r="530" spans="1:21">
      <c r="A530" s="137"/>
      <c r="B530" s="137"/>
      <c r="C530" s="137"/>
      <c r="D530" s="137"/>
      <c r="E530" s="137"/>
      <c r="F530" s="137"/>
      <c r="G530" s="137"/>
      <c r="H530" s="137"/>
      <c r="I530" s="137"/>
      <c r="J530" s="137"/>
      <c r="K530" s="137"/>
      <c r="L530" s="137"/>
      <c r="M530" s="137"/>
      <c r="N530" s="137"/>
      <c r="O530" s="137"/>
      <c r="P530" s="137"/>
      <c r="Q530" s="137"/>
      <c r="R530" s="137"/>
      <c r="S530" s="137"/>
      <c r="T530" s="137"/>
      <c r="U530" s="137"/>
    </row>
    <row r="531" spans="1:21">
      <c r="A531" s="137"/>
      <c r="B531" s="137"/>
      <c r="C531" s="137"/>
      <c r="D531" s="137"/>
      <c r="E531" s="137"/>
      <c r="F531" s="137"/>
      <c r="G531" s="137"/>
      <c r="H531" s="137"/>
      <c r="I531" s="137"/>
      <c r="J531" s="137"/>
      <c r="K531" s="137"/>
      <c r="L531" s="137"/>
      <c r="M531" s="137"/>
      <c r="N531" s="137"/>
      <c r="O531" s="137"/>
      <c r="P531" s="137"/>
      <c r="Q531" s="137"/>
      <c r="R531" s="137"/>
      <c r="S531" s="137"/>
      <c r="T531" s="137"/>
      <c r="U531" s="137"/>
    </row>
    <row r="532" spans="1:21">
      <c r="A532" s="137"/>
      <c r="B532" s="137"/>
      <c r="C532" s="137"/>
      <c r="D532" s="137"/>
      <c r="E532" s="137"/>
      <c r="F532" s="137"/>
      <c r="G532" s="137"/>
      <c r="H532" s="137"/>
      <c r="I532" s="137"/>
      <c r="J532" s="137"/>
      <c r="K532" s="137"/>
      <c r="L532" s="137"/>
      <c r="M532" s="137"/>
      <c r="N532" s="137"/>
      <c r="O532" s="137"/>
      <c r="P532" s="137"/>
      <c r="Q532" s="137"/>
      <c r="R532" s="137"/>
      <c r="S532" s="137"/>
      <c r="T532" s="137"/>
      <c r="U532" s="137"/>
    </row>
    <row r="533" spans="1:21">
      <c r="A533" s="137"/>
      <c r="B533" s="137"/>
      <c r="C533" s="137"/>
      <c r="D533" s="137"/>
      <c r="E533" s="137"/>
      <c r="F533" s="137"/>
      <c r="G533" s="137"/>
      <c r="H533" s="137"/>
      <c r="I533" s="137"/>
      <c r="J533" s="137"/>
      <c r="K533" s="137"/>
      <c r="L533" s="137"/>
      <c r="M533" s="137"/>
      <c r="N533" s="137"/>
      <c r="O533" s="137"/>
      <c r="P533" s="137"/>
      <c r="Q533" s="137"/>
      <c r="R533" s="137"/>
      <c r="S533" s="137"/>
      <c r="T533" s="137"/>
      <c r="U533" s="137"/>
    </row>
    <row r="534" spans="1:21">
      <c r="A534" s="137"/>
      <c r="B534" s="137"/>
      <c r="C534" s="137"/>
      <c r="D534" s="137"/>
      <c r="E534" s="137"/>
      <c r="F534" s="137"/>
      <c r="G534" s="137"/>
      <c r="H534" s="137"/>
      <c r="I534" s="137"/>
      <c r="J534" s="137"/>
      <c r="K534" s="137"/>
      <c r="L534" s="137"/>
      <c r="M534" s="137"/>
      <c r="N534" s="137"/>
      <c r="O534" s="137"/>
      <c r="P534" s="137"/>
      <c r="Q534" s="137"/>
      <c r="R534" s="137"/>
      <c r="S534" s="137"/>
      <c r="T534" s="137"/>
      <c r="U534" s="137"/>
    </row>
    <row r="535" spans="1:21">
      <c r="A535" s="137"/>
      <c r="B535" s="137"/>
      <c r="C535" s="137"/>
      <c r="D535" s="137"/>
      <c r="E535" s="137"/>
      <c r="F535" s="137"/>
      <c r="G535" s="137"/>
      <c r="H535" s="137"/>
      <c r="I535" s="137"/>
      <c r="J535" s="137"/>
      <c r="K535" s="137"/>
      <c r="L535" s="137"/>
      <c r="M535" s="137"/>
      <c r="N535" s="137"/>
      <c r="O535" s="137"/>
      <c r="P535" s="137"/>
      <c r="Q535" s="137"/>
      <c r="R535" s="137"/>
      <c r="S535" s="137"/>
      <c r="T535" s="137"/>
      <c r="U535" s="137"/>
    </row>
    <row r="536" spans="1:21">
      <c r="A536" s="137"/>
      <c r="B536" s="137"/>
      <c r="C536" s="137"/>
      <c r="D536" s="137"/>
      <c r="E536" s="137"/>
      <c r="F536" s="137"/>
      <c r="G536" s="137"/>
      <c r="H536" s="137"/>
      <c r="I536" s="137"/>
      <c r="J536" s="137"/>
      <c r="K536" s="137"/>
      <c r="L536" s="137"/>
      <c r="M536" s="137"/>
      <c r="N536" s="137"/>
      <c r="O536" s="137"/>
      <c r="P536" s="137"/>
      <c r="Q536" s="137"/>
      <c r="R536" s="137"/>
      <c r="S536" s="137"/>
      <c r="T536" s="137"/>
      <c r="U536" s="137"/>
    </row>
    <row r="537" spans="1:21">
      <c r="A537" s="137"/>
      <c r="B537" s="137"/>
      <c r="C537" s="137"/>
      <c r="D537" s="137"/>
      <c r="E537" s="137"/>
      <c r="F537" s="137"/>
      <c r="G537" s="137"/>
      <c r="H537" s="137"/>
      <c r="I537" s="137"/>
      <c r="J537" s="137"/>
      <c r="K537" s="137"/>
      <c r="L537" s="137"/>
      <c r="M537" s="137"/>
      <c r="N537" s="137"/>
      <c r="O537" s="137"/>
      <c r="P537" s="137"/>
      <c r="Q537" s="137"/>
      <c r="R537" s="137"/>
      <c r="S537" s="137"/>
      <c r="T537" s="137"/>
      <c r="U537" s="137"/>
    </row>
    <row r="538" spans="1:21">
      <c r="A538" s="137"/>
      <c r="B538" s="137"/>
      <c r="C538" s="137"/>
      <c r="D538" s="137"/>
      <c r="E538" s="137"/>
      <c r="F538" s="137"/>
      <c r="G538" s="137"/>
      <c r="H538" s="137"/>
      <c r="I538" s="137"/>
      <c r="J538" s="137"/>
      <c r="K538" s="137"/>
      <c r="L538" s="137"/>
      <c r="M538" s="137"/>
      <c r="N538" s="137"/>
      <c r="O538" s="137"/>
      <c r="P538" s="137"/>
      <c r="Q538" s="137"/>
      <c r="R538" s="137"/>
      <c r="S538" s="137"/>
      <c r="T538" s="137"/>
      <c r="U538" s="137"/>
    </row>
    <row r="539" spans="1:21">
      <c r="A539" s="137"/>
      <c r="B539" s="137"/>
      <c r="C539" s="137"/>
      <c r="D539" s="137"/>
      <c r="E539" s="137"/>
      <c r="F539" s="137"/>
      <c r="G539" s="137"/>
      <c r="H539" s="137"/>
      <c r="I539" s="137"/>
      <c r="J539" s="137"/>
      <c r="K539" s="137"/>
      <c r="L539" s="137"/>
      <c r="M539" s="137"/>
      <c r="N539" s="137"/>
      <c r="O539" s="137"/>
      <c r="P539" s="137"/>
      <c r="Q539" s="137"/>
      <c r="R539" s="137"/>
      <c r="S539" s="137"/>
      <c r="T539" s="137"/>
      <c r="U539" s="137"/>
    </row>
    <row r="540" spans="1:21">
      <c r="A540" s="137"/>
      <c r="B540" s="137"/>
      <c r="C540" s="137"/>
      <c r="D540" s="137"/>
      <c r="E540" s="137"/>
      <c r="F540" s="137"/>
      <c r="G540" s="137"/>
      <c r="H540" s="137"/>
      <c r="I540" s="137"/>
      <c r="J540" s="137"/>
      <c r="K540" s="137"/>
      <c r="L540" s="137"/>
      <c r="M540" s="137"/>
      <c r="N540" s="137"/>
      <c r="O540" s="137"/>
      <c r="P540" s="137"/>
      <c r="Q540" s="137"/>
      <c r="R540" s="137"/>
      <c r="S540" s="137"/>
      <c r="T540" s="137"/>
      <c r="U540" s="137"/>
    </row>
    <row r="541" spans="1:21">
      <c r="A541" s="137"/>
      <c r="B541" s="137"/>
      <c r="C541" s="137"/>
      <c r="D541" s="137"/>
      <c r="E541" s="137"/>
      <c r="F541" s="137"/>
      <c r="G541" s="137"/>
      <c r="H541" s="137"/>
      <c r="I541" s="137"/>
      <c r="J541" s="137"/>
      <c r="K541" s="137"/>
      <c r="L541" s="137"/>
      <c r="M541" s="137"/>
      <c r="N541" s="137"/>
      <c r="O541" s="137"/>
      <c r="P541" s="137"/>
      <c r="Q541" s="137"/>
      <c r="R541" s="137"/>
      <c r="S541" s="137"/>
      <c r="T541" s="137"/>
      <c r="U541" s="137"/>
    </row>
  </sheetData>
  <sheetProtection algorithmName="SHA-512" hashValue="mjrKaHi6nl9j9zyLAytlOQnSOLXxHfpjmo6nwrUDaXO30oL5vdMJ4doB+Imy1jWT+rAzml+VHbRBMverKWmnvg==" saltValue="7evT+RpyVob7SSSsY29O7A==" spinCount="100000" sheet="1" selectLockedCells="1" selectUnlockedCells="1"/>
  <mergeCells count="374">
    <mergeCell ref="C85:D93"/>
    <mergeCell ref="C84:F84"/>
    <mergeCell ref="E85:F86"/>
    <mergeCell ref="E87:F88"/>
    <mergeCell ref="I96:U96"/>
    <mergeCell ref="C98:D99"/>
    <mergeCell ref="E98:F99"/>
    <mergeCell ref="C97:F97"/>
    <mergeCell ref="I95:U95"/>
    <mergeCell ref="E89:F90"/>
    <mergeCell ref="E91:F92"/>
    <mergeCell ref="E93:F93"/>
    <mergeCell ref="R93:U93"/>
    <mergeCell ref="M93:Q93"/>
    <mergeCell ref="I93:L93"/>
    <mergeCell ref="R92:U92"/>
    <mergeCell ref="M92:Q92"/>
    <mergeCell ref="I92:L92"/>
    <mergeCell ref="R91:U91"/>
    <mergeCell ref="M91:Q91"/>
    <mergeCell ref="I86:L86"/>
    <mergeCell ref="G98:H98"/>
    <mergeCell ref="K79:L79"/>
    <mergeCell ref="E78:I78"/>
    <mergeCell ref="R73:S73"/>
    <mergeCell ref="O76:P76"/>
    <mergeCell ref="O75:P75"/>
    <mergeCell ref="F52:H52"/>
    <mergeCell ref="F56:H56"/>
    <mergeCell ref="F53:H53"/>
    <mergeCell ref="I68:U69"/>
    <mergeCell ref="F58:F61"/>
    <mergeCell ref="G58:G61"/>
    <mergeCell ref="F62:F65"/>
    <mergeCell ref="G62:G65"/>
    <mergeCell ref="E70:E76"/>
    <mergeCell ref="O55:Q55"/>
    <mergeCell ref="R54:U54"/>
    <mergeCell ref="M72:N72"/>
    <mergeCell ref="O72:Q72"/>
    <mergeCell ref="O57:P57"/>
    <mergeCell ref="O65:P65"/>
    <mergeCell ref="O64:P64"/>
    <mergeCell ref="I56:J56"/>
    <mergeCell ref="K56:L56"/>
    <mergeCell ref="O56:Q56"/>
    <mergeCell ref="R56:S56"/>
    <mergeCell ref="T56:U56"/>
    <mergeCell ref="R72:S72"/>
    <mergeCell ref="O63:P63"/>
    <mergeCell ref="O62:P62"/>
    <mergeCell ref="O61:P61"/>
    <mergeCell ref="O60:P60"/>
    <mergeCell ref="O59:P59"/>
    <mergeCell ref="O58:P58"/>
    <mergeCell ref="O266:U266"/>
    <mergeCell ref="O265:U265"/>
    <mergeCell ref="H265:N265"/>
    <mergeCell ref="O268:U268"/>
    <mergeCell ref="H267:N267"/>
    <mergeCell ref="H266:N266"/>
    <mergeCell ref="M85:Q85"/>
    <mergeCell ref="R88:U88"/>
    <mergeCell ref="R87:U87"/>
    <mergeCell ref="M88:Q88"/>
    <mergeCell ref="M87:Q87"/>
    <mergeCell ref="I88:L88"/>
    <mergeCell ref="I91:L91"/>
    <mergeCell ref="R90:U90"/>
    <mergeCell ref="M90:Q90"/>
    <mergeCell ref="I90:L90"/>
    <mergeCell ref="R89:U89"/>
    <mergeCell ref="M89:Q89"/>
    <mergeCell ref="I89:L89"/>
    <mergeCell ref="R97:U97"/>
    <mergeCell ref="M97:Q97"/>
    <mergeCell ref="I97:L97"/>
    <mergeCell ref="I98:L98"/>
    <mergeCell ref="A261:A294"/>
    <mergeCell ref="S207:U207"/>
    <mergeCell ref="S235:U235"/>
    <mergeCell ref="S237:T237"/>
    <mergeCell ref="R99:U99"/>
    <mergeCell ref="R98:U98"/>
    <mergeCell ref="M99:Q99"/>
    <mergeCell ref="M98:Q98"/>
    <mergeCell ref="I99:L99"/>
    <mergeCell ref="E267:G267"/>
    <mergeCell ref="E266:G266"/>
    <mergeCell ref="J192:L195"/>
    <mergeCell ref="A142:N142"/>
    <mergeCell ref="O286:U286"/>
    <mergeCell ref="O285:U285"/>
    <mergeCell ref="E291:G291"/>
    <mergeCell ref="E290:G290"/>
    <mergeCell ref="H293:N293"/>
    <mergeCell ref="E272:G272"/>
    <mergeCell ref="E271:G271"/>
    <mergeCell ref="E288:G288"/>
    <mergeCell ref="H294:N294"/>
    <mergeCell ref="E294:G294"/>
    <mergeCell ref="E293:G293"/>
    <mergeCell ref="T28:U28"/>
    <mergeCell ref="K33:L33"/>
    <mergeCell ref="M33:N33"/>
    <mergeCell ref="O28:Q28"/>
    <mergeCell ref="O30:Q30"/>
    <mergeCell ref="O31:Q31"/>
    <mergeCell ref="I29:J29"/>
    <mergeCell ref="K29:L29"/>
    <mergeCell ref="T32:U32"/>
    <mergeCell ref="I28:J28"/>
    <mergeCell ref="K28:L28"/>
    <mergeCell ref="K30:L30"/>
    <mergeCell ref="I31:J31"/>
    <mergeCell ref="R28:S28"/>
    <mergeCell ref="O32:Q32"/>
    <mergeCell ref="M30:N30"/>
    <mergeCell ref="R31:S31"/>
    <mergeCell ref="M31:N31"/>
    <mergeCell ref="I30:J30"/>
    <mergeCell ref="D3:J3"/>
    <mergeCell ref="T33:U33"/>
    <mergeCell ref="M27:Q27"/>
    <mergeCell ref="R27:U27"/>
    <mergeCell ref="E24:M25"/>
    <mergeCell ref="T29:U29"/>
    <mergeCell ref="R33:S33"/>
    <mergeCell ref="D1:H1"/>
    <mergeCell ref="D13:G13"/>
    <mergeCell ref="D14:G14"/>
    <mergeCell ref="D15:G15"/>
    <mergeCell ref="D5:H5"/>
    <mergeCell ref="D12:G12"/>
    <mergeCell ref="D11:G11"/>
    <mergeCell ref="D10:H10"/>
    <mergeCell ref="D6:E6"/>
    <mergeCell ref="D7:E7"/>
    <mergeCell ref="D8:G8"/>
    <mergeCell ref="D17:G17"/>
    <mergeCell ref="I32:J32"/>
    <mergeCell ref="K31:L31"/>
    <mergeCell ref="K32:L32"/>
    <mergeCell ref="M28:N28"/>
    <mergeCell ref="M29:N29"/>
    <mergeCell ref="CS104:CS133"/>
    <mergeCell ref="BX104:CA104"/>
    <mergeCell ref="BW108:CA108"/>
    <mergeCell ref="BW109:BX109"/>
    <mergeCell ref="BW110:BX110"/>
    <mergeCell ref="BW111:BZ111"/>
    <mergeCell ref="BW113:CA113"/>
    <mergeCell ref="BW114:BZ114"/>
    <mergeCell ref="BW115:BZ115"/>
    <mergeCell ref="BW116:BZ116"/>
    <mergeCell ref="CC116:CQ116"/>
    <mergeCell ref="BW117:BZ117"/>
    <mergeCell ref="CC117:CQ117"/>
    <mergeCell ref="BW118:BZ118"/>
    <mergeCell ref="CC118:CQ118"/>
    <mergeCell ref="BW119:BZ119"/>
    <mergeCell ref="BW120:BZ120"/>
    <mergeCell ref="CJ122:CQ122"/>
    <mergeCell ref="BX123:CQ124"/>
    <mergeCell ref="CB125:CQ125"/>
    <mergeCell ref="CB126:CE126"/>
    <mergeCell ref="CF126:CI126"/>
    <mergeCell ref="CB127:CE127"/>
    <mergeCell ref="CF127:CI127"/>
    <mergeCell ref="CJ127:CM127"/>
    <mergeCell ref="CN127:CQ127"/>
    <mergeCell ref="CP128:CQ128"/>
    <mergeCell ref="CJ126:CM126"/>
    <mergeCell ref="CN126:CQ126"/>
    <mergeCell ref="CF128:CG128"/>
    <mergeCell ref="CH128:CI128"/>
    <mergeCell ref="CJ128:CK128"/>
    <mergeCell ref="CL128:CM128"/>
    <mergeCell ref="CN128:CO128"/>
    <mergeCell ref="BQ72:BQ121"/>
    <mergeCell ref="R42:U42"/>
    <mergeCell ref="R43:U43"/>
    <mergeCell ref="E43:O43"/>
    <mergeCell ref="R39:U39"/>
    <mergeCell ref="R38:U38"/>
    <mergeCell ref="R30:S30"/>
    <mergeCell ref="D19:H19"/>
    <mergeCell ref="M32:N32"/>
    <mergeCell ref="R29:S29"/>
    <mergeCell ref="R32:S32"/>
    <mergeCell ref="I26:U26"/>
    <mergeCell ref="I27:L27"/>
    <mergeCell ref="T72:U72"/>
    <mergeCell ref="T30:U30"/>
    <mergeCell ref="T31:U31"/>
    <mergeCell ref="M84:Q84"/>
    <mergeCell ref="K72:L72"/>
    <mergeCell ref="I84:L84"/>
    <mergeCell ref="K80:L80"/>
    <mergeCell ref="O33:Q33"/>
    <mergeCell ref="O29:Q29"/>
    <mergeCell ref="I54:L54"/>
    <mergeCell ref="M56:N56"/>
    <mergeCell ref="CR4:CR97"/>
    <mergeCell ref="CR98:CR138"/>
    <mergeCell ref="I71:L71"/>
    <mergeCell ref="M71:Q71"/>
    <mergeCell ref="R71:U71"/>
    <mergeCell ref="I72:J72"/>
    <mergeCell ref="I70:U70"/>
    <mergeCell ref="CF129:CG129"/>
    <mergeCell ref="CH129:CI129"/>
    <mergeCell ref="CJ129:CK129"/>
    <mergeCell ref="CL129:CM129"/>
    <mergeCell ref="CN129:CO129"/>
    <mergeCell ref="CP129:CQ129"/>
    <mergeCell ref="BY135:BY138"/>
    <mergeCell ref="BZ135:BZ138"/>
    <mergeCell ref="CB129:CC129"/>
    <mergeCell ref="I52:U52"/>
    <mergeCell ref="I83:U83"/>
    <mergeCell ref="CD129:CE129"/>
    <mergeCell ref="AU16:AV16"/>
    <mergeCell ref="AX48:AY48"/>
    <mergeCell ref="AX24:AY24"/>
    <mergeCell ref="CB128:CC128"/>
    <mergeCell ref="CD128:CE128"/>
    <mergeCell ref="E292:G292"/>
    <mergeCell ref="O294:U294"/>
    <mergeCell ref="Q283:R283"/>
    <mergeCell ref="O293:U293"/>
    <mergeCell ref="O292:U292"/>
    <mergeCell ref="O291:U291"/>
    <mergeCell ref="O287:U287"/>
    <mergeCell ref="H288:N288"/>
    <mergeCell ref="H287:N287"/>
    <mergeCell ref="H286:N286"/>
    <mergeCell ref="H285:N285"/>
    <mergeCell ref="H292:N292"/>
    <mergeCell ref="H291:N291"/>
    <mergeCell ref="E273:G273"/>
    <mergeCell ref="G99:H99"/>
    <mergeCell ref="AC138:AI138"/>
    <mergeCell ref="AC137:AI137"/>
    <mergeCell ref="AC136:AI136"/>
    <mergeCell ref="AC135:AI135"/>
    <mergeCell ref="H279:N279"/>
    <mergeCell ref="AJ138:AP138"/>
    <mergeCell ref="AJ137:AP137"/>
    <mergeCell ref="AJ136:AP136"/>
    <mergeCell ref="AJ135:AP135"/>
    <mergeCell ref="Z138:AB138"/>
    <mergeCell ref="Z137:AB137"/>
    <mergeCell ref="Z136:AB136"/>
    <mergeCell ref="Z135:AB135"/>
    <mergeCell ref="H273:N273"/>
    <mergeCell ref="H278:N278"/>
    <mergeCell ref="H277:N277"/>
    <mergeCell ref="H276:N276"/>
    <mergeCell ref="H275:N275"/>
    <mergeCell ref="H274:N274"/>
    <mergeCell ref="E234:J234"/>
    <mergeCell ref="E270:G270"/>
    <mergeCell ref="N192:Q195"/>
    <mergeCell ref="E268:G268"/>
    <mergeCell ref="E279:G279"/>
    <mergeCell ref="AJ134:AP134"/>
    <mergeCell ref="AJ133:AP133"/>
    <mergeCell ref="O290:U290"/>
    <mergeCell ref="O289:U289"/>
    <mergeCell ref="Q152:U152"/>
    <mergeCell ref="AA162:AA164"/>
    <mergeCell ref="AB162:AD162"/>
    <mergeCell ref="AB163:AD163"/>
    <mergeCell ref="AA170:AB170"/>
    <mergeCell ref="O288:U288"/>
    <mergeCell ref="S143:U143"/>
    <mergeCell ref="AC134:AI134"/>
    <mergeCell ref="AC133:AI133"/>
    <mergeCell ref="Z134:AB134"/>
    <mergeCell ref="Z133:AB133"/>
    <mergeCell ref="O270:U270"/>
    <mergeCell ref="O279:U279"/>
    <mergeCell ref="O278:U278"/>
    <mergeCell ref="O277:U277"/>
    <mergeCell ref="O269:U269"/>
    <mergeCell ref="O272:U272"/>
    <mergeCell ref="E274:G274"/>
    <mergeCell ref="O280:U280"/>
    <mergeCell ref="A200:U200"/>
    <mergeCell ref="A481:N481"/>
    <mergeCell ref="A260:N260"/>
    <mergeCell ref="A100:N100"/>
    <mergeCell ref="S263:U263"/>
    <mergeCell ref="S283:U283"/>
    <mergeCell ref="E280:G280"/>
    <mergeCell ref="H280:N280"/>
    <mergeCell ref="H272:N272"/>
    <mergeCell ref="H271:N271"/>
    <mergeCell ref="H270:N270"/>
    <mergeCell ref="H269:N269"/>
    <mergeCell ref="H268:N268"/>
    <mergeCell ref="A303:N303"/>
    <mergeCell ref="H290:N290"/>
    <mergeCell ref="A192:H195"/>
    <mergeCell ref="E289:G289"/>
    <mergeCell ref="E287:G287"/>
    <mergeCell ref="E286:G286"/>
    <mergeCell ref="E285:G285"/>
    <mergeCell ref="O276:U276"/>
    <mergeCell ref="O275:U275"/>
    <mergeCell ref="E269:G269"/>
    <mergeCell ref="A361:N361"/>
    <mergeCell ref="A421:N421"/>
    <mergeCell ref="H289:N289"/>
    <mergeCell ref="E278:G278"/>
    <mergeCell ref="E277:G277"/>
    <mergeCell ref="E276:G276"/>
    <mergeCell ref="E275:G275"/>
    <mergeCell ref="O73:Q73"/>
    <mergeCell ref="K78:L78"/>
    <mergeCell ref="K81:L81"/>
    <mergeCell ref="O74:P74"/>
    <mergeCell ref="I73:J73"/>
    <mergeCell ref="K73:L73"/>
    <mergeCell ref="M73:N73"/>
    <mergeCell ref="F74:H74"/>
    <mergeCell ref="M78:N78"/>
    <mergeCell ref="O267:U267"/>
    <mergeCell ref="O274:U274"/>
    <mergeCell ref="O273:U273"/>
    <mergeCell ref="G97:H97"/>
    <mergeCell ref="E265:G265"/>
    <mergeCell ref="R84:U84"/>
    <mergeCell ref="I82:U82"/>
    <mergeCell ref="O271:U271"/>
    <mergeCell ref="E41:O41"/>
    <mergeCell ref="E40:O40"/>
    <mergeCell ref="E35:M36"/>
    <mergeCell ref="E38:O38"/>
    <mergeCell ref="E39:O39"/>
    <mergeCell ref="E37:Q37"/>
    <mergeCell ref="E32:H32"/>
    <mergeCell ref="R40:U40"/>
    <mergeCell ref="M55:N55"/>
    <mergeCell ref="M54:Q54"/>
    <mergeCell ref="M53:Q53"/>
    <mergeCell ref="R53:U53"/>
    <mergeCell ref="E42:O42"/>
    <mergeCell ref="I33:J33"/>
    <mergeCell ref="E30:H30"/>
    <mergeCell ref="E31:H31"/>
    <mergeCell ref="F6:U6"/>
    <mergeCell ref="F7:U7"/>
    <mergeCell ref="F75:H75"/>
    <mergeCell ref="F76:H76"/>
    <mergeCell ref="M86:Q86"/>
    <mergeCell ref="D16:G16"/>
    <mergeCell ref="E202:I202"/>
    <mergeCell ref="R37:U37"/>
    <mergeCell ref="I55:J55"/>
    <mergeCell ref="T73:U73"/>
    <mergeCell ref="R41:U41"/>
    <mergeCell ref="F57:H57"/>
    <mergeCell ref="I85:L85"/>
    <mergeCell ref="I87:L87"/>
    <mergeCell ref="R86:U86"/>
    <mergeCell ref="R85:U85"/>
    <mergeCell ref="I53:L53"/>
    <mergeCell ref="I50:U51"/>
    <mergeCell ref="T55:U55"/>
    <mergeCell ref="E52:E65"/>
    <mergeCell ref="K55:L55"/>
    <mergeCell ref="R55:S55"/>
  </mergeCells>
  <phoneticPr fontId="33" type="noConversion"/>
  <conditionalFormatting sqref="I83:I84 M84 R84">
    <cfRule type="containsText" dxfId="289" priority="243" operator="containsText" text="N/D">
      <formula>NOT(ISERROR(SEARCH("N/D",I83)))</formula>
    </cfRule>
  </conditionalFormatting>
  <conditionalFormatting sqref="M78:N78">
    <cfRule type="containsText" dxfId="288" priority="105" operator="containsText" text="Mur de">
      <formula>NOT(ISERROR(SEARCH("Mur de",M78)))</formula>
    </cfRule>
  </conditionalFormatting>
  <conditionalFormatting sqref="E53:U56 E75:O76 Q75:U76 E66:U67 E68 E52:I52 E70:U73 E58:H65 E57:O57 Q57:U57 E74:H74">
    <cfRule type="containsText" dxfId="287" priority="103" operator="containsText" text="N/D">
      <formula>NOT(ISERROR(SEARCH("N/D",E52)))</formula>
    </cfRule>
  </conditionalFormatting>
  <conditionalFormatting sqref="S144:U145 S147:U148 S146 S143">
    <cfRule type="containsText" dxfId="286" priority="73" operator="containsText" text="N/D">
      <formula>NOT(ISERROR(SEARCH("N/D",S143)))</formula>
    </cfRule>
  </conditionalFormatting>
  <conditionalFormatting sqref="Z133:AP140">
    <cfRule type="containsText" dxfId="285" priority="69" operator="containsText" text="a">
      <formula>NOT(ISERROR(SEARCH("a",Z133)))</formula>
    </cfRule>
  </conditionalFormatting>
  <conditionalFormatting sqref="I58:O65 Q58:U65">
    <cfRule type="containsText" dxfId="284" priority="284" operator="containsText" text="N/D">
      <formula>NOT(ISERROR(SEARCH("N/D",I58)))</formula>
    </cfRule>
  </conditionalFormatting>
  <conditionalFormatting sqref="I97 M97 R97">
    <cfRule type="containsText" dxfId="283" priority="16" operator="containsText" text="N/D">
      <formula>NOT(ISERROR(SEARCH("N/D",I97)))</formula>
    </cfRule>
  </conditionalFormatting>
  <conditionalFormatting sqref="I96">
    <cfRule type="containsText" dxfId="282" priority="15" operator="containsText" text="N/D">
      <formula>NOT(ISERROR(SEARCH("N/D",I96)))</formula>
    </cfRule>
  </conditionalFormatting>
  <conditionalFormatting sqref="M58:O65 Q58:Q65">
    <cfRule type="cellIs" dxfId="281" priority="11" operator="equal">
      <formula>$J$40</formula>
    </cfRule>
  </conditionalFormatting>
  <conditionalFormatting sqref="I74:O74 Q74:U74">
    <cfRule type="containsText" dxfId="280" priority="8" operator="containsText" text="N/D">
      <formula>NOT(ISERROR(SEARCH("N/D",I74)))</formula>
    </cfRule>
  </conditionalFormatting>
  <conditionalFormatting sqref="K81:L81">
    <cfRule type="containsText" dxfId="279" priority="7" operator="containsText" text="FM">
      <formula>NOT(ISERROR(SEARCH("FM",K81)))</formula>
    </cfRule>
  </conditionalFormatting>
  <dataValidations disablePrompts="1" count="1">
    <dataValidation type="whole" operator="notEqual" allowBlank="1" showInputMessage="1" showErrorMessage="1" sqref="Z7" xr:uid="{464AE795-9A38-40D3-8D25-010446F06EA1}">
      <formula1>2</formula1>
    </dataValidation>
  </dataValidations>
  <hyperlinks>
    <hyperlink ref="S144:U144" r:id="rId1" display="https://www.fmapprovals.com/products-we-certify/understanding-the-benefits/fm-approved-insulated-panels" xr:uid="{BB06B42B-4F37-4DC9-AFB1-82348280CF32}"/>
    <hyperlink ref="T145" r:id="rId2" display="https://norbec.com/wp-content/uploads/2018/06/FM-Listing-4880-Norex-L-H.pdf" xr:uid="{2A824B37-459C-4CDA-843E-1205AE5C346E}"/>
    <hyperlink ref="U145" r:id="rId3" display="https://norbec.com/wp-content/uploads/2018/06/FM-Listing-4881-Norex-L-H-1.pdf" xr:uid="{6C9D0B22-A9FE-4CF9-BFC9-5CF6D0393E4A}"/>
    <hyperlink ref="S147:U147" r:id="rId4" display="https://norbec.com/norbec-cad-library/REX-IC-2.06-FM-4881-Approved-pattern-FP1.pdf" xr:uid="{50ABB355-F9D3-46EA-BB81-15A545536FAD}"/>
    <hyperlink ref="S148:U148" r:id="rId5" display="https://norbec.com/norbec-cad-library/REX-IC-2.07-FM-4881-Approved-pattern-FP4.pdf" xr:uid="{3F287BC9-ADB3-4202-9EFE-0830A7D68B59}"/>
    <hyperlink ref="A196:H196" r:id="rId6" display="NAI-IC 10, 10" xr:uid="{AAAC19CE-6FCB-4910-80A1-54CB279FE068}"/>
    <hyperlink ref="N196:Q196" r:id="rId7" display="Description (EN)" xr:uid="{2D7F400E-455C-450B-AE28-7825E881DAD3}"/>
    <hyperlink ref="E33:H33" r:id="rId8" display="Largeur de la bande de polyéthylène" xr:uid="{3AAE9A1B-0075-428C-B99D-9C36CA50C222}"/>
    <hyperlink ref="S209:T209" r:id="rId9" display="Catalogue Buildex" xr:uid="{67F364FA-2CC9-4D69-A47E-0F6827EED14F}"/>
    <hyperlink ref="S210:T210" r:id="rId10" display="Manuel d'utilisation UCAN" xr:uid="{6F7B99BF-AD7A-4CC0-9505-6935710640B1}"/>
    <hyperlink ref="S237:T237" r:id="rId11" display="Page d'information StarDrive GPR" xr:uid="{058649F4-3060-4ED7-91A1-6842A8130B6D}"/>
    <hyperlink ref="L196" r:id="rId12" xr:uid="{EE1B3781-3F7D-4189-9668-276240E376FF}"/>
    <hyperlink ref="L197" r:id="rId13" xr:uid="{1FFFACBE-2835-4A1D-8FCF-E4286DDAA0C8}"/>
    <hyperlink ref="E263:G263" r:id="rId14" display="Fiche technique" xr:uid="{841B37EA-DB1B-4D0F-BDDA-0C44A8C8E203}"/>
    <hyperlink ref="E264:H264" r:id="rId15" display="Résultats de test" xr:uid="{09064AF5-A5A8-45D2-91C0-7469C8824DEE}"/>
    <hyperlink ref="E283:G283" r:id="rId16" display="Fiche technique" xr:uid="{B54AA21E-5396-4FD1-91C4-F65982064AFB}"/>
    <hyperlink ref="E284:H284" r:id="rId17" display="Résultats de test" xr:uid="{48333BC6-B6BF-4C68-BF8C-0362E4114332}"/>
    <hyperlink ref="K55:L55" r:id="rId18" display=" 12''- 2x Teks 1/4''" xr:uid="{5CCC2044-496D-4930-91D2-58B650278159}"/>
    <hyperlink ref="I55:J55" r:id="rId19" display=" 5''- 2x Teks 1/4''" xr:uid="{4E9DA3F0-849C-40E4-993B-093577494689}"/>
  </hyperlinks>
  <pageMargins left="0.7" right="0.7" top="0.75" bottom="0.75" header="0.3" footer="0.3"/>
  <pageSetup scale="48" fitToHeight="0" orientation="landscape" r:id="rId20"/>
  <headerFooter>
    <oddHeader>&amp;R&amp;G</oddHeader>
    <oddFooter>&amp;LImprimé le : &amp;D - &amp;T&amp;R&amp;P</oddFooter>
  </headerFooter>
  <rowBreaks count="11" manualBreakCount="11">
    <brk id="46" max="20" man="1"/>
    <brk id="97" min="21" max="41" man="1"/>
    <brk id="99" max="20" man="1"/>
    <brk id="140" max="20" man="1"/>
    <brk id="198" max="20" man="1"/>
    <brk id="257" max="20" man="1"/>
    <brk id="301" max="20" man="1"/>
    <brk id="359" max="20" man="1"/>
    <brk id="419" max="16383" man="1"/>
    <brk id="480" max="20" man="1"/>
    <brk id="541" max="20" man="1"/>
  </rowBreaks>
  <colBreaks count="1" manualBreakCount="1">
    <brk id="22" max="1048575" man="1"/>
  </colBreaks>
  <ignoredErrors>
    <ignoredError sqref="H85:H88" twoDigitTextYear="1"/>
  </ignoredErrors>
  <drawing r:id="rId21"/>
  <legacyDrawingHF r:id="rId22"/>
  <extLst>
    <ext xmlns:x14="http://schemas.microsoft.com/office/spreadsheetml/2009/9/main" uri="{78C0D931-6437-407d-A8EE-F0AAD7539E65}">
      <x14:conditionalFormattings>
        <x14:conditionalFormatting xmlns:xm="http://schemas.microsoft.com/office/excel/2006/main">
          <x14:cfRule type="cellIs" priority="12" operator="equal" id="{8AC21939-22FA-4821-991D-2F8E020DC9B4}">
            <xm:f>'Synthèse résultat'!$P$11</xm:f>
            <x14:dxf>
              <fill>
                <patternFill>
                  <bgColor theme="7" tint="0.79998168889431442"/>
                </patternFill>
              </fill>
            </x14:dxf>
          </x14:cfRule>
          <xm:sqref>I58:L65</xm:sqref>
        </x14:conditionalFormatting>
        <x14:conditionalFormatting xmlns:xm="http://schemas.microsoft.com/office/excel/2006/main">
          <x14:cfRule type="cellIs" priority="14" operator="equal" id="{876E8425-37C4-47E0-B534-8AC32FBB01D6}">
            <xm:f>'Synthèse résultat'!$P$19</xm:f>
            <x14:dxf>
              <fill>
                <patternFill>
                  <bgColor theme="7" tint="0.79998168889431442"/>
                </patternFill>
              </fill>
            </x14:dxf>
          </x14:cfRule>
          <xm:sqref>R58:U65</xm:sqref>
        </x14:conditionalFormatting>
        <x14:conditionalFormatting xmlns:xm="http://schemas.microsoft.com/office/excel/2006/main">
          <x14:cfRule type="cellIs" priority="39" operator="equal" id="{760EEB70-4CB1-4A3F-9B3B-30BA9D0E95DE}">
            <xm:f>'Synthèse résultat'!$AQ$13</xm:f>
            <x14:dxf>
              <fill>
                <patternFill>
                  <bgColor theme="2" tint="-9.9948118533890809E-2"/>
                </patternFill>
              </fill>
            </x14:dxf>
          </x14:cfRule>
          <x14:cfRule type="cellIs" priority="56" operator="equal" id="{618C4BA1-52A4-4FAD-AF14-3A5624061002}">
            <xm:f>'Synthèse résultat'!$B$87</xm:f>
            <x14:dxf>
              <fill>
                <patternFill>
                  <bgColor theme="9" tint="0.79998168889431442"/>
                </patternFill>
              </fill>
            </x14:dxf>
          </x14:cfRule>
          <xm:sqref>I62:I65 K62:K65</xm:sqref>
        </x14:conditionalFormatting>
        <x14:conditionalFormatting xmlns:xm="http://schemas.microsoft.com/office/excel/2006/main">
          <x14:cfRule type="cellIs" priority="13" operator="equal" id="{9A9B2143-1A23-4FE9-81B9-DEF4C703F28A}">
            <xm:f>'Synthèse résultat'!$P$15</xm:f>
            <x14:dxf>
              <fill>
                <patternFill>
                  <bgColor theme="7" tint="0.79998168889431442"/>
                </patternFill>
              </fill>
            </x14:dxf>
          </x14:cfRule>
          <xm:sqref>M58:Q65</xm:sqref>
        </x14:conditionalFormatting>
        <x14:conditionalFormatting xmlns:xm="http://schemas.microsoft.com/office/excel/2006/main">
          <x14:cfRule type="cellIs" priority="38" operator="equal" id="{E8B238F0-0D3A-4189-865D-84AB3B97BF35}">
            <xm:f>'Synthèse résultat'!$AQ$14</xm:f>
            <x14:dxf>
              <fill>
                <patternFill>
                  <bgColor theme="2" tint="-9.9948118533890809E-2"/>
                </patternFill>
              </fill>
            </x14:dxf>
          </x14:cfRule>
          <x14:cfRule type="cellIs" priority="52" operator="equal" id="{E0D5B5E0-F992-499B-966D-F4A26D3FAD20}">
            <xm:f>'Synthèse résultat'!$C$87</xm:f>
            <x14:dxf>
              <fill>
                <patternFill>
                  <bgColor theme="9" tint="0.79998168889431442"/>
                </patternFill>
              </fill>
            </x14:dxf>
          </x14:cfRule>
          <xm:sqref>J62:J65 L62:L65</xm:sqref>
        </x14:conditionalFormatting>
        <x14:conditionalFormatting xmlns:xm="http://schemas.microsoft.com/office/excel/2006/main">
          <x14:cfRule type="cellIs" priority="51" operator="equal" id="{45ABE0A9-2792-4816-9877-0CC91412C8BE}">
            <xm:f>'Synthèse résultat'!$D$87</xm:f>
            <x14:dxf>
              <fill>
                <patternFill>
                  <bgColor theme="9" tint="0.79998168889431442"/>
                </patternFill>
              </fill>
            </x14:dxf>
          </x14:cfRule>
          <xm:sqref>M62:M65 O62:P65 O76:P76</xm:sqref>
        </x14:conditionalFormatting>
        <x14:conditionalFormatting xmlns:xm="http://schemas.microsoft.com/office/excel/2006/main">
          <x14:cfRule type="cellIs" priority="50" operator="equal" id="{C9A5CA7D-121C-42DB-BB9D-B38D68E39825}">
            <xm:f>'Synthèse résultat'!$E$87</xm:f>
            <x14:dxf>
              <fill>
                <patternFill>
                  <bgColor theme="9" tint="0.79998168889431442"/>
                </patternFill>
              </fill>
            </x14:dxf>
          </x14:cfRule>
          <xm:sqref>N62:N65 Q62:Q65 Q76</xm:sqref>
        </x14:conditionalFormatting>
        <x14:conditionalFormatting xmlns:xm="http://schemas.microsoft.com/office/excel/2006/main">
          <x14:cfRule type="cellIs" priority="49" operator="equal" id="{C3999132-AF14-4B48-AB09-643C26A456D2}">
            <xm:f>'Synthèse résultat'!$F$87</xm:f>
            <x14:dxf>
              <fill>
                <patternFill>
                  <bgColor theme="9" tint="0.79998168889431442"/>
                </patternFill>
              </fill>
            </x14:dxf>
          </x14:cfRule>
          <xm:sqref>R62:R65 T62:T65 T76</xm:sqref>
        </x14:conditionalFormatting>
        <x14:conditionalFormatting xmlns:xm="http://schemas.microsoft.com/office/excel/2006/main">
          <x14:cfRule type="cellIs" priority="48" operator="equal" id="{360C4382-27B6-4C84-A1E3-520D72033878}">
            <xm:f>'Synthèse résultat'!$G$87</xm:f>
            <x14:dxf>
              <fill>
                <patternFill>
                  <bgColor theme="9" tint="0.79998168889431442"/>
                </patternFill>
              </fill>
            </x14:dxf>
          </x14:cfRule>
          <xm:sqref>S62:S65 U62:U65 U76</xm:sqref>
        </x14:conditionalFormatting>
        <x14:conditionalFormatting xmlns:xm="http://schemas.microsoft.com/office/excel/2006/main">
          <x14:cfRule type="cellIs" priority="41" operator="equal" id="{D53775D4-8B95-4CAA-9D4D-8CE0D6DEE1EB}">
            <xm:f>'Synthèse résultat'!$AQ$11</xm:f>
            <x14:dxf>
              <fill>
                <patternFill>
                  <bgColor theme="2" tint="-9.9948118533890809E-2"/>
                </patternFill>
              </fill>
            </x14:dxf>
          </x14:cfRule>
          <x14:cfRule type="cellIs" priority="47" operator="equal" id="{93EC46D4-F9CC-49C9-8AE0-395E4391E1EB}">
            <xm:f>'Synthèse résultat'!$B$86</xm:f>
            <x14:dxf>
              <fill>
                <patternFill>
                  <bgColor theme="9" tint="0.79998168889431442"/>
                </patternFill>
              </fill>
            </x14:dxf>
          </x14:cfRule>
          <xm:sqref>I58:I61 K58:K61</xm:sqref>
        </x14:conditionalFormatting>
        <x14:conditionalFormatting xmlns:xm="http://schemas.microsoft.com/office/excel/2006/main">
          <x14:cfRule type="cellIs" priority="40" operator="equal" id="{09C1B122-F405-4FD4-B706-F78F22E29361}">
            <xm:f>'Synthèse résultat'!$AQ$12</xm:f>
            <x14:dxf>
              <fill>
                <patternFill>
                  <bgColor theme="2" tint="-9.9948118533890809E-2"/>
                </patternFill>
              </fill>
            </x14:dxf>
          </x14:cfRule>
          <x14:cfRule type="cellIs" priority="46" operator="equal" id="{6BB08F61-4922-4CC0-A1F9-D80EDAC63C97}">
            <xm:f>'Synthèse résultat'!$C$86</xm:f>
            <x14:dxf>
              <fill>
                <patternFill>
                  <bgColor theme="9" tint="0.79998168889431442"/>
                </patternFill>
              </fill>
            </x14:dxf>
          </x14:cfRule>
          <xm:sqref>J58:J61 L58:L61</xm:sqref>
        </x14:conditionalFormatting>
        <x14:conditionalFormatting xmlns:xm="http://schemas.microsoft.com/office/excel/2006/main">
          <x14:cfRule type="cellIs" priority="45" operator="equal" id="{5B8EDE36-D68B-4429-B050-172230A1FA19}">
            <xm:f>'Synthèse résultat'!$D$86</xm:f>
            <x14:dxf>
              <fill>
                <patternFill>
                  <bgColor theme="9" tint="0.79998168889431442"/>
                </patternFill>
              </fill>
            </x14:dxf>
          </x14:cfRule>
          <xm:sqref>M58:M61 O58:P61 O75:P75</xm:sqref>
        </x14:conditionalFormatting>
        <x14:conditionalFormatting xmlns:xm="http://schemas.microsoft.com/office/excel/2006/main">
          <x14:cfRule type="cellIs" priority="44" operator="equal" id="{1F4BB023-849E-4D18-A072-7800D798EF53}">
            <xm:f>'Synthèse résultat'!$E$86</xm:f>
            <x14:dxf>
              <fill>
                <patternFill>
                  <bgColor theme="9" tint="0.79998168889431442"/>
                </patternFill>
              </fill>
            </x14:dxf>
          </x14:cfRule>
          <xm:sqref>N58:N61 Q58:Q61 Q75</xm:sqref>
        </x14:conditionalFormatting>
        <x14:conditionalFormatting xmlns:xm="http://schemas.microsoft.com/office/excel/2006/main">
          <x14:cfRule type="cellIs" priority="43" operator="equal" id="{CB291AAD-BBBE-434E-B5BE-5A00E14CAA47}">
            <xm:f>'Synthèse résultat'!$F$86</xm:f>
            <x14:dxf>
              <fill>
                <patternFill>
                  <bgColor theme="9" tint="0.79998168889431442"/>
                </patternFill>
              </fill>
            </x14:dxf>
          </x14:cfRule>
          <xm:sqref>R58:R61 T58:T61 T75</xm:sqref>
        </x14:conditionalFormatting>
        <x14:conditionalFormatting xmlns:xm="http://schemas.microsoft.com/office/excel/2006/main">
          <x14:cfRule type="cellIs" priority="42" operator="equal" id="{11AA2A08-A4A5-40C2-A365-AE80FEFBE165}">
            <xm:f>'Synthèse résultat'!$G$86</xm:f>
            <x14:dxf>
              <fill>
                <patternFill>
                  <bgColor theme="9" tint="0.79998168889431442"/>
                </patternFill>
              </fill>
            </x14:dxf>
          </x14:cfRule>
          <xm:sqref>S58:S61 U58:U61 U75</xm:sqref>
        </x14:conditionalFormatting>
        <x14:conditionalFormatting xmlns:xm="http://schemas.microsoft.com/office/excel/2006/main">
          <x14:cfRule type="cellIs" priority="33" operator="equal" id="{0C903381-4637-4345-885F-4DF48FB4AED4}">
            <xm:f>'Synthèse résultat'!$B$86</xm:f>
            <x14:dxf>
              <fill>
                <patternFill>
                  <bgColor theme="9" tint="0.79998168889431442"/>
                </patternFill>
              </fill>
            </x14:dxf>
          </x14:cfRule>
          <xm:sqref>I75 K75</xm:sqref>
        </x14:conditionalFormatting>
        <x14:conditionalFormatting xmlns:xm="http://schemas.microsoft.com/office/excel/2006/main">
          <x14:cfRule type="cellIs" priority="32" operator="equal" id="{38938ECA-89BF-45B1-9CC6-A3F92EAB3EF6}">
            <xm:f>'Synthèse résultat'!$P$11</xm:f>
            <x14:dxf>
              <fill>
                <patternFill>
                  <bgColor theme="7" tint="0.79998168889431442"/>
                </patternFill>
              </fill>
            </x14:dxf>
          </x14:cfRule>
          <xm:sqref>I75:L76</xm:sqref>
        </x14:conditionalFormatting>
        <x14:conditionalFormatting xmlns:xm="http://schemas.microsoft.com/office/excel/2006/main">
          <x14:cfRule type="cellIs" priority="31" operator="equal" id="{50034D6F-84C8-410D-99FA-1D922FE3D2AA}">
            <xm:f>'Synthèse résultat'!$P$15</xm:f>
            <x14:dxf>
              <fill>
                <patternFill>
                  <bgColor theme="7" tint="0.79998168889431442"/>
                </patternFill>
              </fill>
            </x14:dxf>
          </x14:cfRule>
          <xm:sqref>M75:Q76</xm:sqref>
        </x14:conditionalFormatting>
        <x14:conditionalFormatting xmlns:xm="http://schemas.microsoft.com/office/excel/2006/main">
          <x14:cfRule type="cellIs" priority="30" operator="equal" id="{CEB27691-036C-4BE2-9887-A866D1B1E25D}">
            <xm:f>'Synthèse résultat'!$P$19</xm:f>
            <x14:dxf>
              <fill>
                <patternFill>
                  <bgColor theme="7" tint="0.79998168889431442"/>
                </patternFill>
              </fill>
            </x14:dxf>
          </x14:cfRule>
          <xm:sqref>R75:U76</xm:sqref>
        </x14:conditionalFormatting>
        <x14:conditionalFormatting xmlns:xm="http://schemas.microsoft.com/office/excel/2006/main">
          <x14:cfRule type="cellIs" priority="29" operator="equal" id="{0191055A-2DBC-44AF-816C-70F5682100B2}">
            <xm:f>'Synthèse résultat'!$C$86</xm:f>
            <x14:dxf>
              <fill>
                <patternFill>
                  <bgColor theme="9" tint="0.79998168889431442"/>
                </patternFill>
              </fill>
            </x14:dxf>
          </x14:cfRule>
          <xm:sqref>J75 L75</xm:sqref>
        </x14:conditionalFormatting>
        <x14:conditionalFormatting xmlns:xm="http://schemas.microsoft.com/office/excel/2006/main">
          <x14:cfRule type="cellIs" priority="28" operator="equal" id="{2E519C16-36DE-458C-B1CD-7C3144F62680}">
            <xm:f>'Synthèse résultat'!$B$87</xm:f>
            <x14:dxf>
              <fill>
                <patternFill>
                  <bgColor theme="9" tint="0.79998168889431442"/>
                </patternFill>
              </fill>
            </x14:dxf>
          </x14:cfRule>
          <xm:sqref>I76 K76</xm:sqref>
        </x14:conditionalFormatting>
        <x14:conditionalFormatting xmlns:xm="http://schemas.microsoft.com/office/excel/2006/main">
          <x14:cfRule type="cellIs" priority="27" operator="equal" id="{B21A420F-011F-4A52-80DA-6EC85544E2DD}">
            <xm:f>'Synthèse résultat'!$C$87</xm:f>
            <x14:dxf>
              <fill>
                <patternFill>
                  <bgColor theme="9" tint="0.79998168889431442"/>
                </patternFill>
              </fill>
            </x14:dxf>
          </x14:cfRule>
          <xm:sqref>J76 L76</xm:sqref>
        </x14:conditionalFormatting>
        <x14:conditionalFormatting xmlns:xm="http://schemas.microsoft.com/office/excel/2006/main">
          <x14:cfRule type="cellIs" priority="26" operator="equal" id="{D1F1B4AE-CC58-41D9-865F-8E90F498333E}">
            <xm:f>'Synthèse résultat'!$D$86</xm:f>
            <x14:dxf>
              <fill>
                <patternFill>
                  <bgColor theme="9" tint="0.79998168889431442"/>
                </patternFill>
              </fill>
            </x14:dxf>
          </x14:cfRule>
          <xm:sqref>M75</xm:sqref>
        </x14:conditionalFormatting>
        <x14:conditionalFormatting xmlns:xm="http://schemas.microsoft.com/office/excel/2006/main">
          <x14:cfRule type="cellIs" priority="25" operator="equal" id="{83D2C1A3-4CB6-404E-8DE8-88A34B62D072}">
            <xm:f>'Synthèse résultat'!$E$86</xm:f>
            <x14:dxf>
              <fill>
                <patternFill>
                  <bgColor theme="9" tint="0.79998168889431442"/>
                </patternFill>
              </fill>
            </x14:dxf>
          </x14:cfRule>
          <xm:sqref>N75</xm:sqref>
        </x14:conditionalFormatting>
        <x14:conditionalFormatting xmlns:xm="http://schemas.microsoft.com/office/excel/2006/main">
          <x14:cfRule type="cellIs" priority="24" operator="equal" id="{E1F7552C-0FD4-47FB-BAB2-B9C68F6161DE}">
            <xm:f>'Synthèse résultat'!$D$87</xm:f>
            <x14:dxf>
              <fill>
                <patternFill>
                  <bgColor theme="9" tint="0.79998168889431442"/>
                </patternFill>
              </fill>
            </x14:dxf>
          </x14:cfRule>
          <xm:sqref>M76</xm:sqref>
        </x14:conditionalFormatting>
        <x14:conditionalFormatting xmlns:xm="http://schemas.microsoft.com/office/excel/2006/main">
          <x14:cfRule type="cellIs" priority="23" operator="equal" id="{F2682835-9B47-471B-9AB9-1590E167AB07}">
            <xm:f>'Synthèse résultat'!$E$87</xm:f>
            <x14:dxf>
              <fill>
                <patternFill>
                  <bgColor theme="9" tint="0.79998168889431442"/>
                </patternFill>
              </fill>
            </x14:dxf>
          </x14:cfRule>
          <xm:sqref>N76</xm:sqref>
        </x14:conditionalFormatting>
        <x14:conditionalFormatting xmlns:xm="http://schemas.microsoft.com/office/excel/2006/main">
          <x14:cfRule type="cellIs" priority="22" operator="equal" id="{17E52EFC-9C96-4781-8539-611E291F4038}">
            <xm:f>'Synthèse résultat'!$F$86</xm:f>
            <x14:dxf>
              <fill>
                <patternFill>
                  <bgColor theme="9" tint="0.79998168889431442"/>
                </patternFill>
              </fill>
            </x14:dxf>
          </x14:cfRule>
          <xm:sqref>R75</xm:sqref>
        </x14:conditionalFormatting>
        <x14:conditionalFormatting xmlns:xm="http://schemas.microsoft.com/office/excel/2006/main">
          <x14:cfRule type="cellIs" priority="21" operator="equal" id="{331ADE2C-8BAE-47A2-8A03-ED112709B66C}">
            <xm:f>'Synthèse résultat'!$G$86</xm:f>
            <x14:dxf>
              <fill>
                <patternFill>
                  <bgColor theme="9" tint="0.79998168889431442"/>
                </patternFill>
              </fill>
            </x14:dxf>
          </x14:cfRule>
          <xm:sqref>S75</xm:sqref>
        </x14:conditionalFormatting>
        <x14:conditionalFormatting xmlns:xm="http://schemas.microsoft.com/office/excel/2006/main">
          <x14:cfRule type="cellIs" priority="20" operator="equal" id="{5611BDAA-984F-4FFD-8DD3-6826B41A909B}">
            <xm:f>'Synthèse résultat'!$F$87</xm:f>
            <x14:dxf>
              <fill>
                <patternFill>
                  <bgColor theme="9" tint="0.79998168889431442"/>
                </patternFill>
              </fill>
            </x14:dxf>
          </x14:cfRule>
          <xm:sqref>R76</xm:sqref>
        </x14:conditionalFormatting>
        <x14:conditionalFormatting xmlns:xm="http://schemas.microsoft.com/office/excel/2006/main">
          <x14:cfRule type="cellIs" priority="19" operator="equal" id="{B23B2D52-F432-4C1C-8935-ACEB2FF074BA}">
            <xm:f>'Synthèse résultat'!$G$87</xm:f>
            <x14:dxf>
              <fill>
                <patternFill>
                  <bgColor theme="9" tint="0.79998168889431442"/>
                </patternFill>
              </fill>
            </x14:dxf>
          </x14:cfRule>
          <xm:sqref>S76</xm:sqref>
        </x14:conditionalFormatting>
        <x14:conditionalFormatting xmlns:xm="http://schemas.microsoft.com/office/excel/2006/main">
          <x14:cfRule type="cellIs" priority="37" operator="equal" id="{42DAD8CC-7592-4501-9AED-A5F5B6E53B34}">
            <xm:f>'Synthèse résultat'!$AQ$15</xm:f>
            <x14:dxf>
              <fill>
                <patternFill>
                  <bgColor theme="2" tint="-9.9948118533890809E-2"/>
                </patternFill>
              </fill>
            </x14:dxf>
          </x14:cfRule>
          <xm:sqref>M58:M60</xm:sqref>
        </x14:conditionalFormatting>
        <x14:conditionalFormatting xmlns:xm="http://schemas.microsoft.com/office/excel/2006/main">
          <x14:cfRule type="cellIs" priority="36" operator="equal" id="{76DD690B-FAD6-4282-AB66-A0294D8D8E1A}">
            <xm:f>'Synthèse résultat'!$AQ$16</xm:f>
            <x14:dxf>
              <fill>
                <patternFill>
                  <bgColor theme="2" tint="-9.9948118533890809E-2"/>
                </patternFill>
              </fill>
            </x14:dxf>
          </x14:cfRule>
          <xm:sqref>N58:N60</xm:sqref>
        </x14:conditionalFormatting>
        <x14:conditionalFormatting xmlns:xm="http://schemas.microsoft.com/office/excel/2006/main">
          <x14:cfRule type="cellIs" priority="35" operator="equal" id="{1783224A-981D-4F80-868C-54297ABDFCAA}">
            <xm:f>'Synthèse résultat'!$AQ$19</xm:f>
            <x14:dxf>
              <fill>
                <patternFill>
                  <bgColor theme="2" tint="-9.9948118533890809E-2"/>
                </patternFill>
              </fill>
            </x14:dxf>
          </x14:cfRule>
          <xm:sqref>R58:R60</xm:sqref>
        </x14:conditionalFormatting>
        <x14:conditionalFormatting xmlns:xm="http://schemas.microsoft.com/office/excel/2006/main">
          <x14:cfRule type="cellIs" priority="34" operator="equal" id="{9E3C2927-02E1-4AAE-9750-9F6CB5C75969}">
            <xm:f>'Synthèse résultat'!$AQ$20</xm:f>
            <x14:dxf>
              <fill>
                <patternFill>
                  <bgColor theme="2" tint="-9.9948118533890809E-2"/>
                </patternFill>
              </fill>
            </x14:dxf>
          </x14:cfRule>
          <xm:sqref>S58:S60</xm:sqref>
        </x14:conditionalFormatting>
        <x14:conditionalFormatting xmlns:xm="http://schemas.microsoft.com/office/excel/2006/main">
          <x14:cfRule type="cellIs" priority="6" operator="equal" id="{3F35954D-CC71-4D41-BC83-79B13639B3D8}">
            <xm:f>'Synthèse résultat'!$P$13</xm:f>
            <x14:dxf>
              <fill>
                <patternFill>
                  <bgColor theme="7" tint="0.79998168889431442"/>
                </patternFill>
              </fill>
            </x14:dxf>
          </x14:cfRule>
          <xm:sqref>I62:L65</xm:sqref>
        </x14:conditionalFormatting>
        <x14:conditionalFormatting xmlns:xm="http://schemas.microsoft.com/office/excel/2006/main">
          <x14:cfRule type="cellIs" priority="5" operator="equal" id="{BE2A4C06-5C5D-4B5E-96C2-D4A111B80E40}">
            <xm:f>'Synthèse résultat'!$P$17</xm:f>
            <x14:dxf>
              <fill>
                <patternFill>
                  <bgColor theme="7" tint="0.79998168889431442"/>
                </patternFill>
              </fill>
            </x14:dxf>
          </x14:cfRule>
          <xm:sqref>M62:Q65</xm:sqref>
        </x14:conditionalFormatting>
        <x14:conditionalFormatting xmlns:xm="http://schemas.microsoft.com/office/excel/2006/main">
          <x14:cfRule type="cellIs" priority="4" operator="equal" id="{8B9E6B03-3595-4E32-8349-E18DB2CB1396}">
            <xm:f>'Synthèse résultat'!$P$21</xm:f>
            <x14:dxf>
              <fill>
                <patternFill>
                  <bgColor theme="7" tint="0.79998168889431442"/>
                </patternFill>
              </fill>
            </x14:dxf>
          </x14:cfRule>
          <xm:sqref>R62:U65</xm:sqref>
        </x14:conditionalFormatting>
        <x14:conditionalFormatting xmlns:xm="http://schemas.microsoft.com/office/excel/2006/main">
          <x14:cfRule type="cellIs" priority="3" operator="equal" id="{2A8EDBCA-C03D-496F-81AA-F67566C20A49}">
            <xm:f>'Synthèse résultat'!$P$13</xm:f>
            <x14:dxf>
              <fill>
                <patternFill>
                  <bgColor theme="7" tint="0.79998168889431442"/>
                </patternFill>
              </fill>
            </x14:dxf>
          </x14:cfRule>
          <xm:sqref>I76:L76</xm:sqref>
        </x14:conditionalFormatting>
        <x14:conditionalFormatting xmlns:xm="http://schemas.microsoft.com/office/excel/2006/main">
          <x14:cfRule type="cellIs" priority="2" operator="equal" id="{1A98AFA8-8B80-45AD-8F94-0C553CC45E6D}">
            <xm:f>'Synthèse résultat'!$P$17</xm:f>
            <x14:dxf>
              <fill>
                <patternFill>
                  <bgColor theme="7" tint="0.79998168889431442"/>
                </patternFill>
              </fill>
            </x14:dxf>
          </x14:cfRule>
          <xm:sqref>M76:Q76</xm:sqref>
        </x14:conditionalFormatting>
        <x14:conditionalFormatting xmlns:xm="http://schemas.microsoft.com/office/excel/2006/main">
          <x14:cfRule type="cellIs" priority="1" operator="equal" id="{0AAD9FC3-AE16-4A14-9804-3EEBD908F646}">
            <xm:f>'Synthèse résultat'!$P$21</xm:f>
            <x14:dxf>
              <fill>
                <patternFill>
                  <bgColor theme="7" tint="0.79998168889431442"/>
                </patternFill>
              </fill>
            </x14:dxf>
          </x14:cfRule>
          <xm:sqref>R76:U76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665BB-26DA-4E6D-B629-E9E4DF4CBE98}">
  <sheetPr published="0" codeName="Feuil12">
    <pageSetUpPr fitToPage="1"/>
  </sheetPr>
  <dimension ref="A1:CR77"/>
  <sheetViews>
    <sheetView zoomScale="90" zoomScaleNormal="90" zoomScalePageLayoutView="60" workbookViewId="0">
      <selection activeCell="B3" sqref="B3:K6"/>
    </sheetView>
  </sheetViews>
  <sheetFormatPr defaultColWidth="11.42578125" defaultRowHeight="14.45"/>
  <cols>
    <col min="1" max="4" width="2.85546875" customWidth="1"/>
    <col min="5" max="5" width="9" customWidth="1"/>
    <col min="6" max="6" width="11.85546875" customWidth="1"/>
    <col min="7" max="7" width="14.28515625" customWidth="1"/>
    <col min="8" max="8" width="15.140625" customWidth="1"/>
    <col min="9" max="12" width="15" customWidth="1"/>
    <col min="13" max="13" width="15.42578125" customWidth="1"/>
    <col min="14" max="15" width="13.85546875" customWidth="1"/>
    <col min="16" max="16" width="1.140625" customWidth="1"/>
    <col min="17" max="17" width="17.140625" customWidth="1"/>
    <col min="18" max="18" width="15.42578125" customWidth="1"/>
    <col min="19" max="19" width="17.42578125" customWidth="1"/>
    <col min="20" max="20" width="15.42578125" customWidth="1"/>
    <col min="21" max="21" width="16.5703125" customWidth="1"/>
    <col min="22" max="22" width="24" customWidth="1"/>
    <col min="23" max="23" width="12.7109375" bestFit="1" customWidth="1"/>
    <col min="24" max="24" width="5.42578125" style="129" customWidth="1"/>
    <col min="25" max="25" width="10.85546875" style="129" customWidth="1"/>
    <col min="26" max="26" width="11.42578125" style="129" customWidth="1"/>
    <col min="27" max="27" width="15.42578125" customWidth="1"/>
    <col min="28" max="28" width="15.85546875" customWidth="1"/>
    <col min="29" max="29" width="6.7109375" customWidth="1"/>
    <col min="30" max="30" width="9.28515625" customWidth="1"/>
    <col min="31" max="32" width="11.85546875" customWidth="1"/>
    <col min="33" max="34" width="10.7109375" customWidth="1"/>
    <col min="35" max="36" width="6" customWidth="1"/>
    <col min="37" max="37" width="27.42578125" customWidth="1"/>
    <col min="38" max="41" width="7.5703125" customWidth="1"/>
    <col min="42" max="42" width="18.42578125" customWidth="1"/>
    <col min="43" max="47" width="5" customWidth="1"/>
    <col min="48" max="48" width="11.85546875" customWidth="1"/>
    <col min="49" max="50" width="4.5703125" customWidth="1"/>
    <col min="51" max="51" width="17.5703125" customWidth="1"/>
    <col min="52" max="52" width="11.5703125" customWidth="1"/>
    <col min="53" max="53" width="15.140625" customWidth="1"/>
    <col min="56" max="56" width="11.5703125" customWidth="1"/>
    <col min="57" max="57" width="15.28515625" customWidth="1"/>
    <col min="60" max="60" width="11.5703125" customWidth="1"/>
    <col min="61" max="61" width="15.140625" customWidth="1"/>
    <col min="64" max="64" width="11.5703125" customWidth="1"/>
    <col min="65" max="65" width="14.28515625" customWidth="1"/>
  </cols>
  <sheetData>
    <row r="1" spans="1:96">
      <c r="A1" s="137"/>
      <c r="B1" s="137"/>
      <c r="C1" s="137"/>
      <c r="D1" s="1442">
        <f ca="1">TODAY()</f>
        <v>46136</v>
      </c>
      <c r="E1" s="1442"/>
      <c r="F1" s="1442"/>
      <c r="G1" s="1442"/>
      <c r="H1" s="1442"/>
      <c r="I1" s="137"/>
      <c r="J1" s="137"/>
      <c r="K1" s="137"/>
      <c r="L1" s="137"/>
      <c r="M1" s="137"/>
      <c r="N1" s="137"/>
      <c r="O1" s="137"/>
      <c r="P1" s="137"/>
      <c r="Q1" s="137"/>
      <c r="R1" s="137"/>
      <c r="S1" s="137"/>
      <c r="T1" s="137"/>
      <c r="U1" s="137"/>
      <c r="V1" s="756"/>
    </row>
    <row r="2" spans="1:96" ht="20.45" customHeight="1">
      <c r="A2" s="137"/>
      <c r="B2" s="137"/>
      <c r="C2" s="137"/>
      <c r="D2" s="137"/>
      <c r="E2" s="137"/>
      <c r="F2" s="137"/>
      <c r="G2" s="137"/>
      <c r="H2" s="137"/>
      <c r="I2" s="137"/>
      <c r="J2" s="137"/>
      <c r="K2" s="137"/>
      <c r="L2" s="137"/>
      <c r="M2" s="137"/>
      <c r="N2" s="137"/>
      <c r="O2" s="137"/>
      <c r="P2" s="137"/>
      <c r="Q2" s="137"/>
      <c r="R2" s="137"/>
      <c r="S2" s="137"/>
      <c r="T2" s="137"/>
      <c r="U2" s="137"/>
      <c r="AA2" s="755"/>
    </row>
    <row r="3" spans="1:96" ht="29.1" customHeight="1">
      <c r="A3" s="137"/>
      <c r="B3" s="137"/>
      <c r="C3" s="137"/>
      <c r="D3" s="1440" t="s">
        <v>71</v>
      </c>
      <c r="E3" s="1440"/>
      <c r="F3" s="1440"/>
      <c r="G3" s="1440"/>
      <c r="H3" s="1440"/>
      <c r="I3" s="1440"/>
      <c r="J3" s="1440"/>
      <c r="K3" s="137"/>
      <c r="L3" s="137"/>
      <c r="M3" s="137"/>
      <c r="N3" s="137"/>
      <c r="O3" s="137"/>
      <c r="P3" s="137"/>
      <c r="Q3" s="137"/>
      <c r="R3" s="137"/>
      <c r="S3" s="137"/>
      <c r="T3" s="137"/>
      <c r="U3" s="137"/>
      <c r="X3" s="752"/>
    </row>
    <row r="4" spans="1:96" ht="26.45" customHeight="1">
      <c r="A4" s="137"/>
      <c r="B4" s="137"/>
      <c r="C4" s="137"/>
      <c r="D4" s="137"/>
      <c r="E4" s="137"/>
      <c r="F4" s="137"/>
      <c r="G4" s="137"/>
      <c r="H4" s="137"/>
      <c r="I4" s="137"/>
      <c r="J4" s="137"/>
      <c r="K4" s="137"/>
      <c r="L4" s="137"/>
      <c r="M4" s="137"/>
      <c r="N4" s="137"/>
      <c r="O4" s="137"/>
      <c r="P4" s="137"/>
      <c r="Q4" s="137"/>
      <c r="R4" s="137"/>
      <c r="S4" s="137"/>
      <c r="T4" s="137"/>
      <c r="U4" s="137"/>
      <c r="CR4" s="429"/>
    </row>
    <row r="5" spans="1:96" ht="27.4" customHeight="1">
      <c r="A5" s="137"/>
      <c r="B5" s="137"/>
      <c r="C5" s="137"/>
      <c r="D5" s="1422" t="s">
        <v>72</v>
      </c>
      <c r="E5" s="1422"/>
      <c r="F5" s="1422"/>
      <c r="G5" s="1422"/>
      <c r="H5" s="1422"/>
      <c r="I5" s="137"/>
      <c r="J5" s="137"/>
      <c r="K5" s="137"/>
      <c r="L5" s="137"/>
      <c r="M5" s="137"/>
      <c r="N5" s="137"/>
      <c r="O5" s="137"/>
      <c r="P5" s="137"/>
      <c r="Q5" s="137"/>
      <c r="R5" s="137"/>
      <c r="S5" s="137"/>
      <c r="T5" s="137"/>
      <c r="U5" s="608"/>
      <c r="V5" s="13"/>
      <c r="W5" s="13"/>
      <c r="CR5" s="429"/>
    </row>
    <row r="6" spans="1:96" ht="33.6" customHeight="1">
      <c r="A6" s="137"/>
      <c r="B6" s="137"/>
      <c r="C6" s="137"/>
      <c r="D6" s="1281" t="s">
        <v>73</v>
      </c>
      <c r="E6" s="1281"/>
      <c r="F6" s="1290" t="str">
        <f>'Saisie de données'!D9</f>
        <v>Formation sur l'outil de calcul d'espacement des entremises</v>
      </c>
      <c r="G6" s="1290"/>
      <c r="H6" s="1290"/>
      <c r="I6" s="1290"/>
      <c r="J6" s="1290"/>
      <c r="K6" s="1290"/>
      <c r="L6" s="1290"/>
      <c r="M6" s="1290"/>
      <c r="N6" s="1290"/>
      <c r="O6" s="1290"/>
      <c r="P6" s="1290"/>
      <c r="Q6" s="1290"/>
      <c r="R6" s="1290"/>
      <c r="S6" s="1290"/>
      <c r="T6" s="1290"/>
      <c r="U6" s="1290"/>
      <c r="V6" s="13"/>
      <c r="W6" s="13"/>
      <c r="CR6" s="429"/>
    </row>
    <row r="7" spans="1:96" ht="33.950000000000003" customHeight="1">
      <c r="A7" s="137"/>
      <c r="B7" s="137"/>
      <c r="C7" s="137"/>
      <c r="D7" s="1281" t="s">
        <v>74</v>
      </c>
      <c r="E7" s="1281"/>
      <c r="F7" s="1290" t="str">
        <f>'Saisie de données'!D8</f>
        <v>Norbec</v>
      </c>
      <c r="G7" s="1290"/>
      <c r="H7" s="1290"/>
      <c r="I7" s="1290"/>
      <c r="J7" s="1290"/>
      <c r="K7" s="1290"/>
      <c r="L7" s="1290"/>
      <c r="M7" s="1290"/>
      <c r="N7" s="1290"/>
      <c r="O7" s="1290"/>
      <c r="P7" s="1290"/>
      <c r="Q7" s="1290"/>
      <c r="R7" s="1290"/>
      <c r="S7" s="1290"/>
      <c r="T7" s="1290"/>
      <c r="U7" s="1290"/>
      <c r="V7" s="13"/>
      <c r="W7" s="13"/>
      <c r="CR7" s="429"/>
    </row>
    <row r="8" spans="1:96" ht="30.6" customHeight="1">
      <c r="A8" s="137"/>
      <c r="B8" s="137"/>
      <c r="C8" s="137"/>
      <c r="D8" s="1443" t="s">
        <v>75</v>
      </c>
      <c r="E8" s="1443"/>
      <c r="F8" s="1443"/>
      <c r="G8" s="1443"/>
      <c r="H8" s="610" t="str">
        <f>IF('Saisie de données'!$D$16='Menu déroulant'!$B$21,'Saisie de données'!$J$20&amp;", "&amp;'Saisie de données'!$D$20,'Saisie de données'!J24&amp;", "&amp;'Saisie de données'!D24)</f>
        <v>, Ontario</v>
      </c>
      <c r="I8" s="137"/>
      <c r="J8" s="137"/>
      <c r="K8" s="137"/>
      <c r="L8" s="137"/>
      <c r="M8" s="137"/>
      <c r="N8" s="137"/>
      <c r="O8" s="137"/>
      <c r="P8" s="137"/>
      <c r="Q8" s="137"/>
      <c r="R8" s="137"/>
      <c r="S8" s="137"/>
      <c r="T8" s="137"/>
      <c r="U8" s="608"/>
      <c r="V8" s="13"/>
      <c r="W8" s="13"/>
      <c r="CR8" s="429"/>
    </row>
    <row r="9" spans="1:96">
      <c r="A9" s="137"/>
      <c r="B9" s="137"/>
      <c r="C9" s="137"/>
      <c r="D9" s="137"/>
      <c r="E9" s="137"/>
      <c r="F9" s="137"/>
      <c r="G9" s="137"/>
      <c r="H9" s="611"/>
      <c r="I9" s="137"/>
      <c r="J9" s="137"/>
      <c r="K9" s="137"/>
      <c r="L9" s="137"/>
      <c r="M9" s="137"/>
      <c r="N9" s="137"/>
      <c r="O9" s="454"/>
      <c r="P9" s="454"/>
      <c r="Q9" s="137"/>
      <c r="R9" s="137"/>
      <c r="S9" s="137"/>
      <c r="T9" s="608"/>
      <c r="U9" s="608"/>
      <c r="V9" s="13"/>
      <c r="W9" s="13"/>
      <c r="CR9" s="429"/>
    </row>
    <row r="10" spans="1:96" ht="14.45" customHeight="1">
      <c r="A10" s="137"/>
      <c r="B10" s="137"/>
      <c r="C10" s="137"/>
      <c r="D10" s="1422" t="s">
        <v>76</v>
      </c>
      <c r="E10" s="1422"/>
      <c r="F10" s="1422"/>
      <c r="G10" s="1422"/>
      <c r="H10" s="1422"/>
      <c r="I10" s="137"/>
      <c r="J10" s="137"/>
      <c r="K10" s="137"/>
      <c r="L10" s="612"/>
      <c r="M10" s="608"/>
      <c r="N10" s="137"/>
      <c r="O10" s="454"/>
      <c r="P10" s="454"/>
      <c r="Q10" s="137"/>
      <c r="R10" s="137"/>
      <c r="S10" s="137"/>
      <c r="T10" s="608"/>
      <c r="U10" s="608"/>
      <c r="V10" s="13"/>
      <c r="W10" s="13"/>
      <c r="CR10" s="429"/>
    </row>
    <row r="11" spans="1:96">
      <c r="A11" s="137"/>
      <c r="B11" s="137"/>
      <c r="C11" s="137"/>
      <c r="D11" s="1444" t="s">
        <v>77</v>
      </c>
      <c r="E11" s="1444"/>
      <c r="F11" s="1444"/>
      <c r="G11" s="1444"/>
      <c r="H11" s="610" t="str" cm="1">
        <f t="array" ref="H11">_xlfn.IFS(OR(ISNUMBER('Saisie de données'!E30),ISNUMBER('Saisie de données'!E31)),"",'Saisie de données'!$D$16='Menu déroulant'!$B$21,"CNBC 2020",'Saisie de données'!$D$16='Menu déroulant'!$B$20,"ASCE 7-16")</f>
        <v>CNBC 2020</v>
      </c>
      <c r="I11" s="137"/>
      <c r="J11" s="137"/>
      <c r="K11" s="137"/>
      <c r="L11" s="612"/>
      <c r="M11" s="608"/>
      <c r="N11" s="137"/>
      <c r="O11" s="137"/>
      <c r="P11" s="137"/>
      <c r="Q11" s="137"/>
      <c r="R11" s="137"/>
      <c r="S11" s="137"/>
      <c r="T11" s="608"/>
      <c r="U11" s="608"/>
      <c r="V11" s="13"/>
      <c r="W11" s="13"/>
      <c r="CR11" s="429"/>
    </row>
    <row r="12" spans="1:96" ht="15" customHeight="1">
      <c r="A12" s="137"/>
      <c r="B12" s="137"/>
      <c r="C12" s="137"/>
      <c r="D12" s="1444" t="s">
        <v>78</v>
      </c>
      <c r="E12" s="1444"/>
      <c r="F12" s="1444"/>
      <c r="G12" s="1444"/>
      <c r="H12" s="610" t="str">
        <f>VLOOKUP('Saisie de données'!D13,'Menu déroulant'!AA3:AD17,2,0)</f>
        <v>Non</v>
      </c>
      <c r="I12" s="137"/>
      <c r="J12" s="137"/>
      <c r="K12" s="137"/>
      <c r="L12" s="240"/>
      <c r="M12" s="137"/>
      <c r="N12" s="137"/>
      <c r="O12" s="454"/>
      <c r="P12" s="454"/>
      <c r="Q12" s="137"/>
      <c r="R12" s="137"/>
      <c r="S12" s="137"/>
      <c r="T12" s="608"/>
      <c r="U12" s="608"/>
      <c r="V12" s="13"/>
      <c r="W12" s="13"/>
      <c r="X12" s="735"/>
      <c r="Y12" s="735"/>
      <c r="Z12" s="735"/>
      <c r="AA12" s="13"/>
      <c r="CR12" s="429"/>
    </row>
    <row r="13" spans="1:96" ht="13.9" customHeight="1">
      <c r="A13" s="137"/>
      <c r="B13" s="137"/>
      <c r="C13" s="137"/>
      <c r="D13" s="1443" t="str">
        <f>IF('Saisie de données'!$D$16='Menu déroulant'!$B$21,"Catégorie de risque de bâtiment :","Vitesse du vent de base :")</f>
        <v>Catégorie de risque de bâtiment :</v>
      </c>
      <c r="E13" s="1443"/>
      <c r="F13" s="1443"/>
      <c r="G13" s="1443"/>
      <c r="H13" s="610" t="str" cm="1">
        <f t="array" ref="H13">_xlfn.IFS(OR(ISNUMBER('Saisie de données'!E30),ISNUMBER('Saisie de données'!E31)),"",'Saisie de données'!$D$16='Menu déroulant'!$B$21,VLOOKUP('Saisie de données'!E45,'Menu déroulant'!AA4:AD17,2,0),'Saisie de données'!$D$16='Menu déroulant'!$B$20,'Saisie de données'!$K$45&amp;" "&amp;"mph")</f>
        <v>Normal</v>
      </c>
      <c r="I13" s="137"/>
      <c r="J13" s="137"/>
      <c r="K13" s="137"/>
      <c r="L13" s="137"/>
      <c r="M13" s="137"/>
      <c r="N13" s="137"/>
      <c r="O13" s="137"/>
      <c r="P13" s="137"/>
      <c r="Q13" s="137"/>
      <c r="R13" s="137"/>
      <c r="S13" s="137"/>
      <c r="T13" s="137"/>
      <c r="U13" s="137"/>
      <c r="V13" s="13"/>
      <c r="W13" s="13"/>
      <c r="X13" s="735"/>
      <c r="Y13" s="735"/>
      <c r="Z13" s="735"/>
      <c r="AA13" s="13"/>
      <c r="CR13" s="429"/>
    </row>
    <row r="14" spans="1:96" ht="13.9" customHeight="1">
      <c r="A14" s="137"/>
      <c r="B14" s="137"/>
      <c r="C14" s="137"/>
      <c r="D14" s="1443" t="str">
        <f>IF('Saisie de données'!$D$16='Menu déroulant'!$B$21,"Catégorie de terrain de bâtiment :","Classe d'exposition du bâtiment :")</f>
        <v>Catégorie de terrain de bâtiment :</v>
      </c>
      <c r="E14" s="1443"/>
      <c r="F14" s="1443"/>
      <c r="G14" s="1443"/>
      <c r="H14" s="610" t="str" cm="1">
        <f t="array" ref="H14">_xlfn.IFS(OR(ISNUMBER('Saisie de données'!E30),ISNUMBER('Saisie de données'!E31)),"",'Saisie de données'!$D$16='Menu déroulant'!$B$21,VLOOKUP('Saisie de données'!E49,'Menu déroulant'!AA4:AD17,2,0),'Saisie de données'!$D$16='Menu déroulant'!$B$20,'Saisie de données'!$K$49)</f>
        <v>À découvert</v>
      </c>
      <c r="I14" s="137"/>
      <c r="J14" s="137"/>
      <c r="K14" s="137"/>
      <c r="L14" s="137"/>
      <c r="M14" s="137"/>
      <c r="N14" s="137"/>
      <c r="O14" s="137"/>
      <c r="P14" s="137"/>
      <c r="Q14" s="137"/>
      <c r="R14" s="137"/>
      <c r="S14" s="137"/>
      <c r="T14" s="137"/>
      <c r="U14" s="137"/>
      <c r="V14" s="13"/>
      <c r="W14" s="13"/>
      <c r="X14" s="735"/>
      <c r="Y14" s="735"/>
      <c r="Z14" s="735"/>
      <c r="AA14" s="13"/>
      <c r="CR14" s="429"/>
    </row>
    <row r="15" spans="1:96" ht="13.9" customHeight="1">
      <c r="A15" s="137"/>
      <c r="B15" s="137"/>
      <c r="C15" s="137"/>
      <c r="D15" s="1443" t="s">
        <v>79</v>
      </c>
      <c r="E15" s="1443"/>
      <c r="F15" s="1443"/>
      <c r="G15" s="1443"/>
      <c r="H15" s="610" t="str" cm="1">
        <f t="array" ref="H15">_xlfn.IFS(OR(ISNUMBER('Saisie de données'!E30),ISNUMBER('Saisie de données'!E31)),"",'Saisie de données'!$D$16='Menu déroulant'!$B$21,VLOOKUP('Saisie de données'!E47,'Menu déroulant'!AA4:AD17,2,0),'Saisie de données'!$D$16='Menu déroulant'!$B$20,VLOOKUP('Saisie de données'!$K$47,'Menu déroulant'!$AA$44:$AD$46,4,0))</f>
        <v>Catégorie 2</v>
      </c>
      <c r="I15" s="137"/>
      <c r="J15" s="137"/>
      <c r="K15" s="137"/>
      <c r="L15" s="137"/>
      <c r="M15" s="137"/>
      <c r="N15" s="137"/>
      <c r="O15" s="137"/>
      <c r="P15" s="137"/>
      <c r="R15" s="137"/>
      <c r="S15" s="137"/>
      <c r="T15" s="137"/>
      <c r="U15" s="137"/>
      <c r="V15" s="13"/>
      <c r="W15" s="13"/>
      <c r="X15" s="735"/>
      <c r="Y15" s="735"/>
      <c r="Z15" s="735"/>
      <c r="AA15" s="13"/>
      <c r="BC15" s="129"/>
      <c r="BD15" s="327"/>
      <c r="CR15" s="429"/>
    </row>
    <row r="16" spans="1:96" ht="16.899999999999999" customHeight="1">
      <c r="A16" s="137"/>
      <c r="B16" s="137"/>
      <c r="C16" s="137"/>
      <c r="D16" s="1281" t="s">
        <v>80</v>
      </c>
      <c r="E16" s="1281"/>
      <c r="F16" s="1281"/>
      <c r="G16" s="1281"/>
      <c r="H16" s="138" t="str" cm="1">
        <f t="array" ref="H16">_xlfn.IFS(OR(ISNUMBER('Saisie de données'!E30),ISNUMBER('Saisie de données'!E31)),"",OR('Saisie de données'!E51='Menu déroulant'!AE56,'Saisie de données'!K51='Menu déroulant'!AE56),'Menu déroulant'!$AF$56,OR('Saisie de données'!E51='Menu déroulant'!AE57,'Saisie de données'!K51='Menu déroulant'!AE57),'Menu déroulant'!AH57)</f>
        <v>Terrain plat</v>
      </c>
      <c r="I16" s="137"/>
      <c r="J16" s="137"/>
      <c r="K16" s="137"/>
      <c r="L16" s="137"/>
      <c r="M16" s="137"/>
      <c r="N16" s="137"/>
      <c r="O16" s="137"/>
      <c r="P16" s="137"/>
      <c r="Q16" s="137"/>
      <c r="R16" s="137"/>
      <c r="S16" s="137"/>
      <c r="T16" s="137"/>
      <c r="U16" s="137"/>
      <c r="V16" s="14"/>
      <c r="W16" s="736"/>
      <c r="X16"/>
      <c r="Y16"/>
      <c r="Z16" s="735"/>
      <c r="AA16" s="13"/>
      <c r="AJ16" s="16"/>
      <c r="AR16" s="16"/>
      <c r="AU16" s="1397"/>
      <c r="AV16" s="1397"/>
      <c r="BC16" s="129"/>
      <c r="BD16" s="327"/>
      <c r="CR16" s="429"/>
    </row>
    <row r="17" spans="1:96" ht="16.899999999999999" customHeight="1">
      <c r="A17" s="137"/>
      <c r="B17" s="137"/>
      <c r="C17" s="137"/>
      <c r="D17" s="1281"/>
      <c r="E17" s="1281"/>
      <c r="F17" s="1281"/>
      <c r="G17" s="1281"/>
      <c r="H17" s="589"/>
      <c r="I17" s="137"/>
      <c r="J17" s="137"/>
      <c r="K17" s="137"/>
      <c r="L17" s="137"/>
      <c r="M17" s="137"/>
      <c r="N17" s="137"/>
      <c r="O17" s="137"/>
      <c r="P17" s="137"/>
      <c r="Q17" s="137"/>
      <c r="R17" s="137"/>
      <c r="S17" s="137"/>
      <c r="T17" s="137"/>
      <c r="U17" s="137"/>
      <c r="V17" s="736"/>
      <c r="W17" s="736"/>
      <c r="X17"/>
      <c r="Y17"/>
      <c r="Z17" s="735"/>
      <c r="AA17" s="13"/>
      <c r="AJ17" s="16"/>
      <c r="AR17" s="16"/>
      <c r="AU17" s="129"/>
      <c r="AV17" s="129"/>
      <c r="BC17" s="129"/>
      <c r="BD17" s="327"/>
      <c r="CR17" s="429"/>
    </row>
    <row r="18" spans="1:96" ht="16.899999999999999" customHeight="1">
      <c r="A18" s="137"/>
      <c r="B18" s="137"/>
      <c r="C18" s="137"/>
      <c r="D18" s="554"/>
      <c r="E18" s="554"/>
      <c r="F18" s="554"/>
      <c r="G18" s="554"/>
      <c r="H18" s="589"/>
      <c r="I18" s="137"/>
      <c r="J18" s="137"/>
      <c r="K18" s="137"/>
      <c r="L18" s="137"/>
      <c r="M18" s="137"/>
      <c r="N18" s="137"/>
      <c r="O18" s="137"/>
      <c r="P18" s="137"/>
      <c r="Q18" s="137"/>
      <c r="R18" s="137"/>
      <c r="S18" s="137"/>
      <c r="T18" s="137"/>
      <c r="U18" s="137"/>
      <c r="V18" s="736"/>
      <c r="W18" s="736"/>
      <c r="X18"/>
      <c r="Y18"/>
      <c r="Z18" s="735"/>
      <c r="AA18" s="13"/>
      <c r="AJ18" s="16"/>
      <c r="AR18" s="16"/>
      <c r="AU18" s="129"/>
      <c r="AV18" s="129"/>
      <c r="BC18" s="129"/>
      <c r="BD18" s="327"/>
      <c r="CR18" s="429"/>
    </row>
    <row r="19" spans="1:96" ht="16.899999999999999" customHeight="1">
      <c r="A19" s="137"/>
      <c r="B19" s="137"/>
      <c r="C19" s="137"/>
      <c r="D19" s="1422" t="s">
        <v>81</v>
      </c>
      <c r="E19" s="1422"/>
      <c r="F19" s="1422"/>
      <c r="G19" s="1422"/>
      <c r="H19" s="1422"/>
      <c r="I19" s="137"/>
      <c r="J19" s="137"/>
      <c r="K19" s="137"/>
      <c r="L19" s="137"/>
      <c r="M19" s="137"/>
      <c r="N19" s="137"/>
      <c r="O19" s="137"/>
      <c r="P19" s="137"/>
      <c r="Q19" s="137"/>
      <c r="R19" s="137"/>
      <c r="S19" s="137"/>
      <c r="T19" s="137"/>
      <c r="U19" s="137"/>
      <c r="V19" s="736"/>
      <c r="W19" s="736"/>
      <c r="X19"/>
      <c r="Y19"/>
      <c r="Z19" s="735"/>
      <c r="AA19" s="13"/>
      <c r="AJ19" s="16"/>
      <c r="AR19" s="16"/>
      <c r="AU19" s="129"/>
      <c r="AV19" s="129"/>
      <c r="BC19" s="129"/>
      <c r="BD19" s="327"/>
      <c r="CR19" s="429"/>
    </row>
    <row r="20" spans="1:96" ht="16.899999999999999" customHeight="1">
      <c r="A20" s="137"/>
      <c r="B20" s="137"/>
      <c r="C20" s="137"/>
      <c r="D20" s="554"/>
      <c r="E20" s="554"/>
      <c r="F20" s="554"/>
      <c r="G20" s="554"/>
      <c r="H20" s="589"/>
      <c r="I20" s="137"/>
      <c r="J20" s="137"/>
      <c r="K20" s="137"/>
      <c r="L20" s="137"/>
      <c r="M20" s="137"/>
      <c r="N20" s="137"/>
      <c r="O20" s="137"/>
      <c r="P20" s="137"/>
      <c r="Q20" s="137"/>
      <c r="R20" s="137"/>
      <c r="S20" s="137"/>
      <c r="T20" s="137"/>
      <c r="U20" s="137"/>
      <c r="V20" s="736"/>
      <c r="W20" s="736"/>
      <c r="X20"/>
      <c r="Y20"/>
      <c r="Z20" s="735"/>
      <c r="AA20" s="13"/>
      <c r="AJ20" s="16"/>
      <c r="AR20" s="16"/>
      <c r="AU20" s="129"/>
      <c r="AV20" s="129"/>
      <c r="BC20" s="129"/>
      <c r="BD20" s="327"/>
      <c r="CR20" s="429"/>
    </row>
    <row r="21" spans="1:96" ht="16.899999999999999" customHeight="1">
      <c r="A21" s="137"/>
      <c r="B21" s="137"/>
      <c r="C21" s="137"/>
      <c r="D21" s="137" t="s">
        <v>82</v>
      </c>
      <c r="E21" s="137"/>
      <c r="F21" s="137"/>
      <c r="G21" s="137"/>
      <c r="H21" s="611"/>
      <c r="I21" s="613" t="e" cm="1">
        <f t="array" ref="I21">IF(ISBLANK('Saisie de données'!$E$31),_xlfn.IFS(OR('Saisie de données'!D13='Menu déroulant'!AA3,'Saisie de données'!D13='Menu déroulant'!AA4),'Charges de ventFM'!D22,'Saisie de données'!$D$16='Menu déroulant'!B21,'Charges de vent'!$D$21*20.885,'Saisie de données'!$D$16='Menu déroulant'!B20,'Charges de ventUSA'!$D$22),'Saisie de données'!$E$31)</f>
        <v>#N/A</v>
      </c>
      <c r="J21" s="137"/>
      <c r="K21" s="137"/>
      <c r="L21" s="137"/>
      <c r="M21" s="137"/>
      <c r="N21" s="137"/>
      <c r="O21" s="137"/>
      <c r="P21" s="137"/>
      <c r="Q21" s="137"/>
      <c r="R21" s="137"/>
      <c r="S21" s="137"/>
      <c r="T21" s="137"/>
      <c r="U21" s="137"/>
      <c r="V21" s="736"/>
      <c r="W21" s="736"/>
      <c r="X21"/>
      <c r="Y21"/>
      <c r="Z21" s="735"/>
      <c r="AA21" s="13"/>
      <c r="AJ21" s="16"/>
      <c r="AR21" s="16"/>
      <c r="AU21" s="129"/>
      <c r="AV21" s="129"/>
      <c r="BC21" s="129"/>
      <c r="BD21" s="327"/>
      <c r="CR21" s="429"/>
    </row>
    <row r="22" spans="1:96" ht="16.899999999999999" customHeight="1">
      <c r="A22" s="137"/>
      <c r="B22" s="137"/>
      <c r="C22" s="137"/>
      <c r="D22" s="137" t="s">
        <v>83</v>
      </c>
      <c r="E22" s="554"/>
      <c r="F22" s="554"/>
      <c r="G22" s="554"/>
      <c r="H22" s="611"/>
      <c r="I22" s="614" t="e" cm="1">
        <f t="array" ref="I22">IF(ISBLANK('Saisie de données'!$E$30),_xlfn.IFS(OR('Saisie de données'!D13='Menu déroulant'!AA3,'Saisie de données'!D13='Menu déroulant'!AA4),'Charges de ventFM'!E22,'Saisie de données'!$D$16='Menu déroulant'!B21,'Charges de vent'!$E$21*20.885,'Saisie de données'!$D$16='Menu déroulant'!B20,'Charges de ventUSA'!$E$22),'Saisie de données'!$E$30)</f>
        <v>#N/A</v>
      </c>
      <c r="J22" s="137"/>
      <c r="K22" s="137"/>
      <c r="L22" s="137"/>
      <c r="M22" s="137"/>
      <c r="N22" s="137"/>
      <c r="O22" s="137"/>
      <c r="P22" s="137"/>
      <c r="Q22" s="137"/>
      <c r="R22" s="137"/>
      <c r="S22" s="137"/>
      <c r="T22" s="137"/>
      <c r="U22" s="137"/>
      <c r="V22" s="736"/>
      <c r="W22" s="736"/>
      <c r="X22"/>
      <c r="Y22"/>
      <c r="Z22" s="735"/>
      <c r="AA22" s="13"/>
      <c r="AJ22" s="16"/>
      <c r="AR22" s="16"/>
      <c r="AU22" s="129"/>
      <c r="AV22" s="129"/>
      <c r="BC22" s="129"/>
      <c r="BD22" s="327"/>
      <c r="CR22" s="429"/>
    </row>
    <row r="23" spans="1:96" ht="15.95" customHeight="1">
      <c r="A23" s="137"/>
      <c r="B23" s="137"/>
      <c r="C23" s="137"/>
      <c r="D23" s="137"/>
      <c r="E23" s="137"/>
      <c r="F23" s="137"/>
      <c r="G23" s="137"/>
      <c r="H23" s="137"/>
      <c r="I23" s="137"/>
      <c r="J23" s="137"/>
      <c r="K23" s="137"/>
      <c r="L23" s="137"/>
      <c r="M23" s="137"/>
      <c r="N23" s="137"/>
      <c r="O23" s="137"/>
      <c r="P23" s="137"/>
      <c r="Q23" s="137"/>
      <c r="R23" s="137"/>
      <c r="S23" s="137"/>
      <c r="T23" s="137"/>
      <c r="U23" s="137"/>
      <c r="V23" s="18"/>
      <c r="AJ23" s="16"/>
      <c r="AM23" s="17"/>
      <c r="AR23" s="16"/>
      <c r="AU23" s="129"/>
      <c r="AV23" s="129"/>
      <c r="BC23" s="129"/>
      <c r="BD23" s="327"/>
      <c r="CR23" s="429"/>
    </row>
    <row r="24" spans="1:96" ht="21.95" customHeight="1">
      <c r="A24" s="137"/>
      <c r="B24" s="137"/>
      <c r="C24" s="137"/>
      <c r="D24" s="170"/>
      <c r="E24" s="675"/>
      <c r="F24" s="675"/>
      <c r="G24" s="675"/>
      <c r="H24" s="675"/>
      <c r="I24" s="616"/>
      <c r="J24" s="616"/>
      <c r="K24" s="617"/>
      <c r="L24" s="617"/>
      <c r="M24" s="616"/>
      <c r="N24" s="616"/>
      <c r="O24" s="617"/>
      <c r="P24" s="617"/>
      <c r="Q24" s="617"/>
      <c r="R24" s="616"/>
      <c r="S24" s="616"/>
      <c r="T24" s="617"/>
      <c r="U24" s="617"/>
      <c r="V24" s="682"/>
      <c r="W24" s="42"/>
      <c r="X24" s="42"/>
      <c r="Z24" s="188"/>
      <c r="AA24" s="188"/>
      <c r="AB24" s="129"/>
      <c r="AF24" s="129"/>
      <c r="AG24" s="19"/>
      <c r="AH24" s="19"/>
      <c r="AX24" s="129"/>
      <c r="CR24" s="429"/>
    </row>
    <row r="25" spans="1:96" ht="21.95" customHeight="1">
      <c r="A25" s="137"/>
      <c r="B25" s="137"/>
      <c r="C25" s="137"/>
      <c r="D25" s="137"/>
      <c r="E25" s="1325" t="s">
        <v>97</v>
      </c>
      <c r="F25" s="1325"/>
      <c r="G25" s="1325"/>
      <c r="H25" s="1325"/>
      <c r="I25" s="1325"/>
      <c r="J25" s="1325"/>
      <c r="K25" s="1325"/>
      <c r="L25" s="1325"/>
      <c r="M25" s="1325"/>
      <c r="N25" s="616"/>
      <c r="O25" s="617"/>
      <c r="P25" s="617"/>
      <c r="Q25" s="617"/>
      <c r="R25" s="616"/>
      <c r="S25" s="616"/>
      <c r="T25" s="617"/>
      <c r="U25" s="617"/>
      <c r="V25" s="682"/>
      <c r="W25" s="42"/>
      <c r="X25" s="42"/>
      <c r="Z25" s="188"/>
      <c r="AA25" s="188"/>
      <c r="AB25" s="129"/>
      <c r="AF25" s="129"/>
      <c r="AG25" s="19"/>
      <c r="AH25" s="19"/>
      <c r="AX25" s="129"/>
      <c r="CR25" s="429"/>
    </row>
    <row r="26" spans="1:96" ht="6" customHeight="1">
      <c r="A26" s="137"/>
      <c r="B26" s="137"/>
      <c r="C26" s="137"/>
      <c r="D26" s="137"/>
      <c r="E26" s="1325"/>
      <c r="F26" s="1325"/>
      <c r="G26" s="1325"/>
      <c r="H26" s="1325"/>
      <c r="I26" s="1325"/>
      <c r="J26" s="1325"/>
      <c r="K26" s="1325"/>
      <c r="L26" s="1325"/>
      <c r="M26" s="1325"/>
      <c r="N26" s="616"/>
      <c r="O26" s="617"/>
      <c r="P26" s="617"/>
      <c r="Q26" s="617"/>
      <c r="R26" s="616"/>
      <c r="S26" s="616"/>
      <c r="T26" s="617"/>
      <c r="U26" s="617"/>
      <c r="V26" s="682"/>
      <c r="W26" s="42"/>
      <c r="X26" s="42"/>
      <c r="Z26" s="188"/>
      <c r="AA26" s="188"/>
      <c r="AB26" s="129"/>
      <c r="AF26" s="129"/>
      <c r="AG26" s="19"/>
      <c r="AH26" s="19"/>
      <c r="AX26" s="129"/>
      <c r="CR26" s="429"/>
    </row>
    <row r="27" spans="1:96" ht="26.45" customHeight="1">
      <c r="A27" s="137"/>
      <c r="B27" s="137"/>
      <c r="C27" s="137"/>
      <c r="D27" s="137"/>
      <c r="E27" s="1328" t="s">
        <v>98</v>
      </c>
      <c r="F27" s="1328"/>
      <c r="G27" s="1328"/>
      <c r="H27" s="1328"/>
      <c r="I27" s="1328"/>
      <c r="J27" s="1328"/>
      <c r="K27" s="1328"/>
      <c r="L27" s="1328"/>
      <c r="M27" s="1328"/>
      <c r="N27" s="1328"/>
      <c r="O27" s="1328"/>
      <c r="P27" s="1328"/>
      <c r="Q27" s="1328"/>
      <c r="R27" s="1301" t="s">
        <v>99</v>
      </c>
      <c r="S27" s="1301"/>
      <c r="T27" s="1301"/>
      <c r="U27" s="1301"/>
      <c r="V27" s="682"/>
      <c r="W27" s="42"/>
      <c r="X27" s="42"/>
      <c r="Z27" s="188"/>
      <c r="AA27" s="188"/>
      <c r="AB27" s="129"/>
      <c r="AF27" s="129"/>
      <c r="AG27" s="19"/>
      <c r="AH27" s="19"/>
      <c r="AX27" s="129"/>
      <c r="CR27" s="429"/>
    </row>
    <row r="28" spans="1:96" ht="26.45" customHeight="1">
      <c r="A28" s="137"/>
      <c r="B28" s="137"/>
      <c r="C28" s="137"/>
      <c r="D28" s="137"/>
      <c r="E28" s="1326" t="s">
        <v>100</v>
      </c>
      <c r="F28" s="1326"/>
      <c r="G28" s="1326"/>
      <c r="H28" s="1326"/>
      <c r="I28" s="1326"/>
      <c r="J28" s="1326"/>
      <c r="K28" s="1326"/>
      <c r="L28" s="1326"/>
      <c r="M28" s="1326"/>
      <c r="N28" s="1326"/>
      <c r="O28" s="1326"/>
      <c r="P28" s="711"/>
      <c r="Q28" s="711"/>
      <c r="R28" s="1281"/>
      <c r="S28" s="1281"/>
      <c r="T28" s="1281"/>
      <c r="U28" s="1281"/>
      <c r="V28" s="682"/>
      <c r="W28" s="42"/>
      <c r="X28" s="42"/>
      <c r="Z28" s="188"/>
      <c r="AA28" s="188"/>
      <c r="AB28" s="129"/>
      <c r="AF28" s="129"/>
      <c r="AG28" s="19"/>
      <c r="AH28" s="19"/>
      <c r="AX28" s="129"/>
      <c r="CR28" s="429"/>
    </row>
    <row r="29" spans="1:96" ht="26.45" customHeight="1">
      <c r="A29" s="137"/>
      <c r="B29" s="137"/>
      <c r="C29" s="137"/>
      <c r="D29" s="137"/>
      <c r="E29" s="1327" t="str">
        <f>IF(OR('Saisie de données'!K60='Menu déroulant'!AA34,'Saisie de données'!K61='Menu déroulant'!AA34,'Saisie de données'!K62='Menu déroulant'!AA34),"***Mise en garde (Option non-standard) : Au moins un des panneaux sélectionnés utilisent une portée simple. Une portée simple implique une fixation avec seulement deux points d'appuis, soit le bas du panneau et le haut du panneau.","")</f>
        <v/>
      </c>
      <c r="F29" s="1327"/>
      <c r="G29" s="1327"/>
      <c r="H29" s="1327"/>
      <c r="I29" s="1327"/>
      <c r="J29" s="1327"/>
      <c r="K29" s="1327"/>
      <c r="L29" s="1327"/>
      <c r="M29" s="1327"/>
      <c r="N29" s="1327"/>
      <c r="O29" s="1327"/>
      <c r="P29" s="711"/>
      <c r="Q29" s="711"/>
      <c r="R29" s="1421" t="str">
        <f>IF(OR('Saisie de données'!K60='Menu déroulant'!AA34,'Saisie de données'!K61='Menu déroulant'!AA34,'Saisie de données'!K62='Menu déroulant'!AA34),"Se référer à la fiche ASTM E72 du produit pour plus d'informations.","")</f>
        <v/>
      </c>
      <c r="S29" s="1421"/>
      <c r="T29" s="1421"/>
      <c r="U29" s="1421"/>
      <c r="V29" s="682"/>
      <c r="W29" s="42"/>
      <c r="X29" s="42"/>
      <c r="Z29" s="188"/>
      <c r="AA29" s="188"/>
      <c r="AB29" s="129"/>
      <c r="AF29" s="129"/>
      <c r="AG29" s="19"/>
      <c r="AH29" s="19"/>
      <c r="AX29" s="129"/>
      <c r="CR29" s="429"/>
    </row>
    <row r="30" spans="1:96" ht="31.15" customHeight="1">
      <c r="A30" s="137"/>
      <c r="B30" s="137"/>
      <c r="C30" s="137"/>
      <c r="D30" s="710"/>
      <c r="E30" s="1305" t="str">
        <f>IF(AND(ISBLANK('Saisie de données'!E47),ISBLANK('Saisie de données'!K47)),"",IF('Saisie de données'!$D$16='Menu déroulant'!$B$20,VLOOKUP('Saisie de données'!K47,'Menu déroulant'!$AN$4:$AP$10,2,0),VLOOKUP('Saisie de données'!E47,'Menu déroulant'!$AJ$4:$AL$13,2,0)))</f>
        <v/>
      </c>
      <c r="F30" s="1305"/>
      <c r="G30" s="1305"/>
      <c r="H30" s="1305"/>
      <c r="I30" s="1305"/>
      <c r="J30" s="1305"/>
      <c r="K30" s="1305"/>
      <c r="L30" s="1305"/>
      <c r="M30" s="1305"/>
      <c r="N30" s="1305"/>
      <c r="O30" s="1305"/>
      <c r="P30" s="408"/>
      <c r="Q30" s="408"/>
      <c r="R30" s="1305" t="str">
        <f>IF(AND(ISBLANK('Saisie de données'!E47),ISBLANK('Saisie de données'!K47)),"",IF('Saisie de données'!$D$16='Menu déroulant'!$B$20,VLOOKUP('Saisie de données'!K47,'Menu déroulant'!$AN$19:$AP$25,2,0),VLOOKUP('Saisie de données'!E47,'Menu déroulant'!$AJ$19:$AL$28,2,0)))</f>
        <v/>
      </c>
      <c r="S30" s="1305"/>
      <c r="T30" s="1305"/>
      <c r="U30" s="1305"/>
      <c r="V30" s="682"/>
      <c r="W30" s="42"/>
      <c r="X30" s="42"/>
      <c r="Z30" s="188"/>
      <c r="AA30" s="737"/>
      <c r="AB30" s="129"/>
      <c r="AF30" s="129"/>
      <c r="AG30" s="19"/>
      <c r="AH30" s="19"/>
      <c r="AX30" s="129"/>
      <c r="CR30" s="429"/>
    </row>
    <row r="31" spans="1:96" ht="31.15" customHeight="1">
      <c r="A31" s="137"/>
      <c r="B31" s="137"/>
      <c r="C31" s="137"/>
      <c r="D31" s="408"/>
      <c r="E31" s="1305" t="str">
        <f>IF(AND(ISBLANK('Saisie de données'!E49),ISBLANK('Saisie de données'!K49)),"",IF('Saisie de données'!$D$16='Menu déroulant'!$B$20,VLOOKUP('Saisie de données'!K49,'Menu déroulant'!$AN$4:$AP$10,2,0),VLOOKUP('Saisie de données'!E49,'Menu déroulant'!$AJ$4:$AL$13,2,0)))</f>
        <v/>
      </c>
      <c r="F31" s="1305"/>
      <c r="G31" s="1305"/>
      <c r="H31" s="1305"/>
      <c r="I31" s="1305"/>
      <c r="J31" s="1305"/>
      <c r="K31" s="1305"/>
      <c r="L31" s="1305"/>
      <c r="M31" s="1305"/>
      <c r="N31" s="1305"/>
      <c r="O31" s="1305"/>
      <c r="P31" s="408"/>
      <c r="Q31" s="408"/>
      <c r="R31" s="1305" t="str">
        <f>IF(AND(ISBLANK('Saisie de données'!E49),ISBLANK('Saisie de données'!K49)),"",IF('Saisie de données'!$D$16='Menu déroulant'!$B$20,VLOOKUP('Saisie de données'!K49,'Menu déroulant'!$AN$19:$AP$25,2,0),VLOOKUP('Saisie de données'!E49,'Menu déroulant'!$AJ$19:$AL$28,2,0)))</f>
        <v/>
      </c>
      <c r="S31" s="1305"/>
      <c r="T31" s="1305"/>
      <c r="U31" s="1305"/>
      <c r="V31" s="682"/>
      <c r="W31" s="42"/>
      <c r="X31" s="42"/>
      <c r="Z31" s="188"/>
      <c r="AA31" s="188"/>
      <c r="AB31" s="129"/>
      <c r="AF31" s="129"/>
      <c r="AG31" s="19"/>
      <c r="AH31" s="19"/>
      <c r="AX31" s="129"/>
      <c r="CR31" s="429"/>
    </row>
    <row r="32" spans="1:96" ht="31.15" customHeight="1">
      <c r="A32" s="137"/>
      <c r="B32" s="137"/>
      <c r="C32" s="137"/>
      <c r="D32" s="611"/>
      <c r="E32" s="1305" t="str">
        <f>IF(ISBLANK('Saisie de données'!E45),"",IF('Saisie de données'!$D$16='Menu déroulant'!$B$20,"",VLOOKUP('Saisie de données'!E45,'Menu déroulant'!$AJ$4:$AL$13,2,0)))</f>
        <v/>
      </c>
      <c r="F32" s="1305"/>
      <c r="G32" s="1305"/>
      <c r="H32" s="1305"/>
      <c r="I32" s="1305"/>
      <c r="J32" s="1305"/>
      <c r="K32" s="1305"/>
      <c r="L32" s="1305"/>
      <c r="M32" s="1305"/>
      <c r="N32" s="1305"/>
      <c r="O32" s="1305"/>
      <c r="P32" s="408"/>
      <c r="Q32" s="408"/>
      <c r="R32" s="1419" t="str">
        <f>IF(AND(ISBLANK('Saisie de données'!E45),ISBLANK('Saisie de données'!K45)),"",IF('Saisie de données'!$D$16='Menu déroulant'!$B$20,"",VLOOKUP('Saisie de données'!E45,'Menu déroulant'!$AJ$19:$AL$28,2,0)))</f>
        <v/>
      </c>
      <c r="S32" s="1419"/>
      <c r="T32" s="1419"/>
      <c r="U32" s="1419"/>
      <c r="V32" s="682"/>
      <c r="W32" s="42"/>
      <c r="X32" s="42"/>
      <c r="Z32" s="188"/>
      <c r="AA32" s="188"/>
      <c r="AB32" s="129"/>
      <c r="AF32" s="129"/>
      <c r="AG32" s="19"/>
      <c r="AH32" s="19"/>
      <c r="AX32" s="129"/>
      <c r="CR32" s="429"/>
    </row>
    <row r="33" spans="1:96" ht="31.15" customHeight="1">
      <c r="A33" s="137"/>
      <c r="B33" s="137"/>
      <c r="C33" s="137"/>
      <c r="D33" s="170"/>
      <c r="E33" s="1305" t="str">
        <f>IF(AND(ISBLANK('Saisie de données'!E51),ISBLANK('Saisie de données'!K51)),"",IF('Saisie de données'!$D$16='Menu déroulant'!$B$20,VLOOKUP('Saisie de données'!K51,'Menu déroulant'!$AN$4:$AP$12,2,0),VLOOKUP('Saisie de données'!E51,'Menu déroulant'!$AJ$4:$AL$15,2,0)))</f>
        <v/>
      </c>
      <c r="F33" s="1305"/>
      <c r="G33" s="1305"/>
      <c r="H33" s="1305"/>
      <c r="I33" s="1305"/>
      <c r="J33" s="1305"/>
      <c r="K33" s="1305"/>
      <c r="L33" s="1305"/>
      <c r="M33" s="1305"/>
      <c r="N33" s="1305"/>
      <c r="O33" s="1305"/>
      <c r="P33" s="408"/>
      <c r="Q33" s="408"/>
      <c r="R33" s="1420" t="str">
        <f>IF(AND(ISBLANK('Saisie de données'!E51),ISBLANK('Saisie de données'!K51)),"",IF('Saisie de données'!$D$16='Menu déroulant'!$B$20,VLOOKUP('Saisie de données'!K51,'Menu déroulant'!$AN$19:$AP$27,2,0),VLOOKUP('Saisie de données'!E51,'Menu déroulant'!$AJ$19:$AL$30,2,0)))</f>
        <v/>
      </c>
      <c r="S33" s="1421"/>
      <c r="T33" s="1421"/>
      <c r="U33" s="1421"/>
      <c r="V33" s="682"/>
      <c r="W33" s="42"/>
      <c r="X33" s="42"/>
      <c r="Z33" s="188"/>
      <c r="AA33" s="188"/>
      <c r="AB33" s="129"/>
      <c r="AF33" s="129"/>
      <c r="AG33" s="19"/>
      <c r="AH33" s="19"/>
      <c r="AX33" s="129"/>
      <c r="CR33" s="429"/>
    </row>
    <row r="34" spans="1:96" ht="20.45" customHeight="1">
      <c r="A34" s="137"/>
      <c r="B34" s="137"/>
      <c r="C34" s="137"/>
      <c r="D34" s="137"/>
      <c r="E34" s="1300"/>
      <c r="F34" s="1300"/>
      <c r="G34" s="1300"/>
      <c r="H34" s="1300"/>
      <c r="I34" s="1300"/>
      <c r="J34" s="1300"/>
      <c r="K34" s="618"/>
      <c r="L34" s="618"/>
      <c r="M34" s="618"/>
      <c r="N34" s="618"/>
      <c r="O34" s="619"/>
      <c r="P34" s="618"/>
      <c r="Q34" s="618"/>
      <c r="R34" s="618"/>
      <c r="S34" s="618"/>
      <c r="T34" s="618"/>
      <c r="U34" s="618"/>
      <c r="V34" s="33"/>
      <c r="W34" s="42"/>
      <c r="X34" s="42"/>
      <c r="Y34" s="42"/>
      <c r="Z34" s="42"/>
      <c r="AA34" s="129"/>
      <c r="AB34" s="24"/>
      <c r="AX34" s="387"/>
      <c r="AY34" s="387"/>
      <c r="CR34" s="429"/>
    </row>
    <row r="35" spans="1:96" ht="20.45" customHeight="1">
      <c r="A35" s="137"/>
      <c r="B35" s="137"/>
      <c r="C35" s="137"/>
      <c r="D35" s="137"/>
      <c r="E35" s="620"/>
      <c r="F35" s="620"/>
      <c r="G35" s="620"/>
      <c r="I35" s="706"/>
      <c r="J35" s="706"/>
      <c r="K35" s="706"/>
      <c r="L35" s="706"/>
      <c r="M35" s="706"/>
      <c r="N35" s="706"/>
      <c r="O35" s="706"/>
      <c r="P35" s="706"/>
      <c r="Q35" s="706"/>
      <c r="R35" s="706"/>
      <c r="S35" s="706"/>
      <c r="T35" s="706"/>
      <c r="U35" s="33"/>
      <c r="V35" s="42"/>
      <c r="W35" s="42"/>
      <c r="X35" s="42"/>
      <c r="Y35" s="42"/>
      <c r="AA35" s="24"/>
      <c r="AW35" s="387"/>
      <c r="AX35" s="387"/>
      <c r="CQ35" s="429"/>
    </row>
    <row r="36" spans="1:96" ht="20.45" customHeight="1">
      <c r="A36" s="137"/>
      <c r="B36" s="137"/>
      <c r="C36" s="137"/>
      <c r="D36" s="137"/>
      <c r="E36" s="620"/>
      <c r="F36" s="620"/>
      <c r="G36" s="620"/>
      <c r="H36" s="706"/>
      <c r="I36" s="706"/>
      <c r="J36" s="706"/>
      <c r="K36" s="706"/>
      <c r="L36" s="706"/>
      <c r="M36" s="706"/>
      <c r="N36" s="706"/>
      <c r="O36" s="706"/>
      <c r="P36" s="706"/>
      <c r="Q36" s="706"/>
      <c r="R36" s="706"/>
      <c r="S36" s="706"/>
      <c r="T36" s="706"/>
      <c r="U36" s="33"/>
      <c r="V36" s="42"/>
      <c r="W36" s="42"/>
      <c r="X36" s="42"/>
      <c r="Y36" s="42"/>
      <c r="AA36" s="24"/>
      <c r="AW36" s="387"/>
      <c r="AX36" s="387"/>
      <c r="CQ36" s="429"/>
    </row>
    <row r="37" spans="1:96" ht="20.45" customHeight="1">
      <c r="A37" s="137"/>
      <c r="B37" s="137"/>
      <c r="C37" s="137"/>
      <c r="D37" s="137"/>
      <c r="E37" s="620"/>
      <c r="F37" s="620"/>
      <c r="G37" s="620"/>
      <c r="H37" s="706"/>
      <c r="I37" s="706"/>
      <c r="J37" s="706"/>
      <c r="K37" s="706"/>
      <c r="L37" s="706"/>
      <c r="M37" s="706"/>
      <c r="N37" s="706"/>
      <c r="O37" s="706"/>
      <c r="P37" s="706"/>
      <c r="Q37" s="706"/>
      <c r="R37" s="706"/>
      <c r="S37" s="706"/>
      <c r="T37" s="706"/>
      <c r="U37" s="33"/>
      <c r="V37" s="42"/>
      <c r="W37" s="42"/>
      <c r="X37" s="42"/>
      <c r="Y37" s="42"/>
      <c r="AA37" s="24"/>
      <c r="AW37" s="387"/>
      <c r="AX37" s="387"/>
      <c r="CQ37" s="429"/>
    </row>
    <row r="38" spans="1:96" ht="20.45" customHeight="1">
      <c r="A38" s="137"/>
      <c r="B38" s="137"/>
      <c r="C38" s="137"/>
      <c r="D38" s="137"/>
      <c r="E38" s="620"/>
      <c r="F38" s="620"/>
      <c r="G38" s="620"/>
      <c r="H38" s="706"/>
      <c r="I38" s="706"/>
      <c r="J38" s="706"/>
      <c r="K38" s="706"/>
      <c r="L38" s="706"/>
      <c r="M38" s="706"/>
      <c r="N38" s="706"/>
      <c r="O38" s="706"/>
      <c r="P38" s="706"/>
      <c r="Q38" s="706"/>
      <c r="R38" s="706"/>
      <c r="S38" s="706"/>
      <c r="T38" s="706"/>
      <c r="U38" s="33"/>
      <c r="V38" s="42"/>
      <c r="W38" s="42"/>
      <c r="X38" s="42"/>
      <c r="Y38" s="42"/>
      <c r="AA38" s="24"/>
      <c r="AW38" s="387"/>
      <c r="AX38" s="387"/>
      <c r="CQ38" s="429"/>
    </row>
    <row r="39" spans="1:96" ht="20.45" customHeight="1">
      <c r="A39" s="137"/>
      <c r="B39" s="137"/>
      <c r="C39" s="137"/>
      <c r="D39" s="137"/>
      <c r="E39" s="620"/>
      <c r="F39" s="620"/>
      <c r="G39" s="620"/>
      <c r="H39" s="706"/>
      <c r="I39" s="706"/>
      <c r="J39" s="706"/>
      <c r="K39" s="706"/>
      <c r="L39" s="706"/>
      <c r="M39" s="706"/>
      <c r="N39" s="706"/>
      <c r="O39" s="706"/>
      <c r="P39" s="706"/>
      <c r="Q39" s="706"/>
      <c r="R39" s="706"/>
      <c r="S39" s="706"/>
      <c r="T39" s="706"/>
      <c r="U39" s="843"/>
      <c r="V39" s="42"/>
      <c r="W39" s="42"/>
      <c r="X39" s="42"/>
      <c r="Y39" s="42"/>
      <c r="AA39" s="24"/>
      <c r="AW39" s="387"/>
      <c r="AX39" s="387"/>
      <c r="CQ39" s="429"/>
    </row>
    <row r="40" spans="1:96" ht="20.45" customHeight="1">
      <c r="A40" s="137"/>
      <c r="B40" s="137"/>
      <c r="C40" s="137"/>
      <c r="D40" s="137"/>
      <c r="E40" s="620"/>
      <c r="F40" s="620"/>
      <c r="G40" s="620"/>
      <c r="H40" s="763"/>
      <c r="I40" s="763"/>
      <c r="J40" s="763"/>
      <c r="K40" s="763"/>
      <c r="L40" s="763"/>
      <c r="M40" s="763"/>
      <c r="N40" s="763"/>
      <c r="O40" s="763"/>
      <c r="P40" s="763"/>
      <c r="Q40" s="763"/>
      <c r="R40" s="763"/>
      <c r="S40" s="763"/>
      <c r="T40" s="763"/>
      <c r="U40" s="843"/>
      <c r="V40" s="42"/>
      <c r="W40" s="42"/>
      <c r="X40" s="42"/>
      <c r="Y40" s="42"/>
      <c r="AA40" s="24"/>
      <c r="AW40" s="387"/>
      <c r="AX40" s="387"/>
      <c r="CQ40" s="429"/>
    </row>
    <row r="41" spans="1:96" ht="20.45" customHeight="1" thickBot="1">
      <c r="A41" s="137"/>
      <c r="B41" s="137"/>
      <c r="C41" s="137"/>
      <c r="D41" s="137"/>
      <c r="E41" s="1317" t="str">
        <f>"ESPACEMENT DES ENTREMISES - ACIER  ("&amp;VLOOKUP('Saisie de données'!F38,'Menu déroulant'!AA18:AC19,2,1)&amp;")"</f>
        <v>ESPACEMENT DES ENTREMISES - ACIER  (pieds)</v>
      </c>
      <c r="F41" s="1317"/>
      <c r="G41" s="1317"/>
      <c r="H41" s="1317"/>
      <c r="I41" s="1317"/>
      <c r="J41" s="1317"/>
      <c r="K41" s="1317"/>
      <c r="L41" s="1317"/>
      <c r="M41" s="1317"/>
      <c r="N41" s="1317"/>
      <c r="O41" s="1317"/>
      <c r="P41" s="1317"/>
      <c r="Q41" s="1317"/>
      <c r="R41" s="1317"/>
      <c r="S41" s="1317"/>
      <c r="T41" s="1317"/>
      <c r="U41" s="843"/>
      <c r="V41" s="42"/>
      <c r="W41" s="42"/>
      <c r="X41" s="42"/>
      <c r="Y41" s="42"/>
      <c r="AA41" s="24"/>
      <c r="AW41" s="387"/>
      <c r="AX41" s="387"/>
      <c r="CQ41" s="429"/>
    </row>
    <row r="42" spans="1:96" ht="20.45" customHeight="1" thickTop="1" thickBot="1">
      <c r="A42" s="137"/>
      <c r="B42" s="137"/>
      <c r="C42" s="137"/>
      <c r="D42" s="137"/>
      <c r="E42" s="1471"/>
      <c r="F42" s="1472"/>
      <c r="G42" s="1473"/>
      <c r="H42" s="1410" t="s">
        <v>85</v>
      </c>
      <c r="I42" s="1411"/>
      <c r="J42" s="1411"/>
      <c r="K42" s="1411"/>
      <c r="L42" s="1411"/>
      <c r="M42" s="1411"/>
      <c r="N42" s="1411"/>
      <c r="O42" s="1411"/>
      <c r="P42" s="1411"/>
      <c r="Q42" s="1411"/>
      <c r="R42" s="1411"/>
      <c r="S42" s="1411"/>
      <c r="T42" s="1412"/>
      <c r="U42" s="843"/>
      <c r="V42" s="42"/>
      <c r="W42" s="42"/>
      <c r="X42" s="42"/>
      <c r="Y42" s="42"/>
      <c r="AA42" s="24"/>
      <c r="AW42" s="387"/>
      <c r="AX42" s="387"/>
      <c r="CQ42" s="429"/>
    </row>
    <row r="43" spans="1:96" ht="20.45" customHeight="1" thickTop="1" thickBot="1">
      <c r="A43" s="137"/>
      <c r="B43" s="137"/>
      <c r="C43" s="137"/>
      <c r="D43" s="137"/>
      <c r="E43" s="1474"/>
      <c r="F43" s="1475"/>
      <c r="G43" s="1476"/>
      <c r="H43" s="1550" t="str">
        <f>IF('Saisie de données'!$C$60='Menu déroulant'!$AA$31,HYPERLINK("https://norbec.com/wp-content/uploads/2021/06/NOREX-Fiche-technique-3.pdf",'Saisie de données'!C60&amp;"-"&amp;'Saisie de données'!D60&amp;" "&amp;'Saisie de données'!E60&amp;""" ("&amp;'Saisie de données'!F60&amp;""")"),HYPERLINK("https://norbec.com/wp-content/uploads/2021/06/NOROC_Fiche-technique-3.pdf",'Saisie de données'!C60&amp;"-"&amp;'Saisie de données'!D60&amp;" "&amp;'Saisie de données'!E60&amp;""" ("&amp;'Saisie de données'!F60&amp;""")"))</f>
        <v>Norex-L 6" (36")</v>
      </c>
      <c r="I43" s="1551"/>
      <c r="J43" s="1551"/>
      <c r="K43" s="1552"/>
      <c r="L43" s="1335" t="str">
        <f>IF('Saisie de données'!$C$61='Menu déroulant'!$AA$31,HYPERLINK("https://norbec.com/wp-content/uploads/2021/06/NOREX-Fiche-technique-3.pdf",'Saisie de données'!C61&amp;"-"&amp;'Saisie de données'!D61&amp;" "&amp;'Saisie de données'!E61&amp;""" ("&amp;'Saisie de données'!F61&amp;""")"),HYPERLINK("https://norbec.com/wp-content/uploads/2021/06/NOROC_Fiche-technique-3.pdf",'Saisie de données'!C61&amp;"-"&amp;'Saisie de données'!D61&amp;" "&amp;'Saisie de données'!E61&amp;""" ("&amp;'Saisie de données'!F61&amp;""")"))</f>
        <v>Norex-L 4" (36")</v>
      </c>
      <c r="M43" s="1336"/>
      <c r="N43" s="1336"/>
      <c r="O43" s="1336"/>
      <c r="P43" s="1337"/>
      <c r="Q43" s="1335" t="str">
        <f>IF('Saisie de données'!$C$62='Menu déroulant'!$AA$31,HYPERLINK("https://norbec.com/wp-content/uploads/2021/06/NOREX-Fiche-technique-3.pdf",'Saisie de données'!C62&amp;"-"&amp;'Saisie de données'!D62&amp;" "&amp;'Saisie de données'!E62&amp;""" ("&amp;'Saisie de données'!F62&amp;""")"),HYPERLINK("https://norbec.com/wp-content/uploads/2021/06/NOROC_Fiche-technique-3.pdf",'Saisie de données'!C62&amp;"-"&amp;'Saisie de données'!D62&amp;" "&amp;'Saisie de données'!E62&amp;""" ("&amp;'Saisie de données'!F62&amp;""")"))</f>
        <v>Noroc- 8" (42,5")</v>
      </c>
      <c r="R43" s="1336"/>
      <c r="S43" s="1336"/>
      <c r="T43" s="1337"/>
      <c r="U43" s="843"/>
      <c r="V43" s="42"/>
      <c r="W43" s="42"/>
      <c r="X43" s="42"/>
      <c r="Y43" s="42"/>
      <c r="AA43" s="24"/>
      <c r="AW43" s="387"/>
      <c r="AX43" s="387"/>
      <c r="CQ43" s="429"/>
    </row>
    <row r="44" spans="1:96" ht="20.45" customHeight="1" thickBot="1">
      <c r="A44" s="137"/>
      <c r="B44" s="137"/>
      <c r="C44" s="137"/>
      <c r="D44" s="137"/>
      <c r="E44" s="1474"/>
      <c r="F44" s="1475"/>
      <c r="G44" s="1476"/>
      <c r="H44" s="1333" t="s">
        <v>105</v>
      </c>
      <c r="I44" s="1334"/>
      <c r="J44" s="1334"/>
      <c r="K44" s="1304"/>
      <c r="L44" s="1333" t="s">
        <v>105</v>
      </c>
      <c r="M44" s="1334"/>
      <c r="N44" s="1334"/>
      <c r="O44" s="1334"/>
      <c r="P44" s="1304"/>
      <c r="Q44" s="1333" t="s">
        <v>105</v>
      </c>
      <c r="R44" s="1334"/>
      <c r="S44" s="1334"/>
      <c r="T44" s="1304"/>
      <c r="U44" s="843"/>
      <c r="V44" s="42"/>
      <c r="W44" s="42"/>
      <c r="Y44" s="42"/>
      <c r="AA44" s="24"/>
      <c r="AW44" s="387"/>
      <c r="AX44" s="387"/>
      <c r="CQ44" s="429"/>
    </row>
    <row r="45" spans="1:96" ht="20.45" customHeight="1" thickBot="1">
      <c r="A45" s="137"/>
      <c r="B45" s="137"/>
      <c r="C45" s="137"/>
      <c r="D45" s="137"/>
      <c r="E45" s="1306"/>
      <c r="F45" s="1307"/>
      <c r="G45" s="1308"/>
      <c r="H45" s="1522" t="str">
        <f>IF('Saisie de données'!$D$16='Menu déroulant'!$B$20,"5-","e- (coin)")</f>
        <v>e- (coin)</v>
      </c>
      <c r="I45" s="1523"/>
      <c r="J45" s="1537" t="str">
        <f>IF('Saisie de données'!$D$16='Menu déroulant'!$B$20,"4-","w- (centre)")</f>
        <v>w- (centre)</v>
      </c>
      <c r="K45" s="1539"/>
      <c r="L45" s="1522" t="str">
        <f>IF('Saisie de données'!$D$16='Menu déroulant'!$B$20,"5-","e- (coin)")</f>
        <v>e- (coin)</v>
      </c>
      <c r="M45" s="1523"/>
      <c r="N45" s="1537" t="str">
        <f>IF('Saisie de données'!$D$16='Menu déroulant'!$B$20,"4-","w- (centre)")</f>
        <v>w- (centre)</v>
      </c>
      <c r="O45" s="1538"/>
      <c r="P45" s="1539"/>
      <c r="Q45" s="1522" t="str">
        <f>IF('Saisie de données'!$D$16='Menu déroulant'!$B$20,"5-","e- (coin)")</f>
        <v>e- (coin)</v>
      </c>
      <c r="R45" s="1523"/>
      <c r="S45" s="1537" t="str">
        <f>IF('Saisie de données'!$D$16='Menu déroulant'!$B$20,"4-","w- (centre)")</f>
        <v>w- (centre)</v>
      </c>
      <c r="T45" s="1539"/>
      <c r="U45" s="843"/>
      <c r="V45" s="42"/>
      <c r="W45" s="42"/>
      <c r="X45" s="42"/>
      <c r="Y45" s="42"/>
      <c r="AA45" s="24"/>
      <c r="AW45" s="387"/>
      <c r="AX45" s="387"/>
      <c r="CQ45" s="429"/>
    </row>
    <row r="46" spans="1:96" ht="19.899999999999999" customHeight="1" thickTop="1">
      <c r="A46" s="137"/>
      <c r="B46" s="137"/>
      <c r="C46" s="137"/>
      <c r="D46" s="137"/>
      <c r="E46" s="1483" t="str">
        <f>IF(AND(ISBLANK('Saisie de données'!E30),ISBLANK('Saisie de données'!E31)),"0 à "&amp;'Saisie de données'!D38&amp;VLOOKUP('Saisie de données'!F38,'Menu déroulant'!AA23:AC24,2,0),"Mur")</f>
        <v>0 à 29'</v>
      </c>
      <c r="F46" s="1480" t="s">
        <v>106</v>
      </c>
      <c r="G46" s="84" t="s">
        <v>107</v>
      </c>
      <c r="H46" s="1535" t="str">
        <f ca="1">IFERROR(MIN('Synthèse résultat'!$B$86,'Synthèse résultat'!$R11,'Synthèse résultat'!$P$11,'Synthèse résultat'!$AQ$11,'Synthèse résultat'!$AR$11),"N/D")</f>
        <v>N/D</v>
      </c>
      <c r="I46" s="1529"/>
      <c r="J46" s="1466" t="str">
        <f ca="1">IF(OR($H$46="N/D",$H$47="N/D",$H$48="N/D"),"N/D",MIN('Synthèse résultat'!$C$86,'Synthèse résultat'!$R12,'Synthèse résultat'!$P$12,'Synthèse résultat'!$AQ$12,'Synthèse résultat'!$AR$12))</f>
        <v>N/D</v>
      </c>
      <c r="K46" s="1530"/>
      <c r="L46" s="1535" t="str">
        <f ca="1">IFERROR(MIN('Synthèse résultat'!$D$86,'Synthèse résultat'!$R15,'Synthèse résultat'!$P$15,'Synthèse résultat'!$AQ$15,'Synthèse résultat'!$AR$15),"N/D")</f>
        <v>N/D</v>
      </c>
      <c r="M46" s="1536"/>
      <c r="N46" s="1529" t="str">
        <f ca="1">IF(OR($L$46="N/D",$L$47="N/D",$L$48="N/D"),"N/D",MIN('Synthèse résultat'!$E$86,'Synthèse résultat'!$R16,'Synthèse résultat'!$P$16,'Synthèse résultat'!$AQ$16,'Synthèse résultat'!$AR$16))</f>
        <v>N/D</v>
      </c>
      <c r="O46" s="1529"/>
      <c r="P46" s="1530"/>
      <c r="Q46" s="1535" t="str">
        <f ca="1">IFERROR(MIN('Synthèse résultat'!$F$86,'Synthèse résultat'!$R19,'Synthèse résultat'!$P$19,'Synthèse résultat'!$AQ$19,'Synthèse résultat'!$AR$19),"N/D")</f>
        <v>N/D</v>
      </c>
      <c r="R46" s="1536"/>
      <c r="S46" s="1529" t="str">
        <f ca="1">IF(OR($Q$46="N/D",$Q$47="N/D",$Q$48="N/D"),"N/D",MIN('Synthèse résultat'!$G$86,'Synthèse résultat'!$R20,'Synthèse résultat'!$P$20,'Synthèse résultat'!$AQ$20,'Synthèse résultat'!$AR$20))</f>
        <v>N/D</v>
      </c>
      <c r="T46" s="1530"/>
      <c r="U46" s="843"/>
      <c r="V46" s="42"/>
      <c r="W46" s="42"/>
      <c r="X46" s="42"/>
      <c r="Y46" s="42"/>
      <c r="AA46" s="24"/>
      <c r="AW46" s="387"/>
      <c r="AX46" s="387"/>
      <c r="CQ46" s="429"/>
    </row>
    <row r="47" spans="1:96" ht="19.899999999999999" customHeight="1">
      <c r="A47" s="137"/>
      <c r="B47" s="137"/>
      <c r="C47" s="137"/>
      <c r="D47" s="137"/>
      <c r="E47" s="1484"/>
      <c r="F47" s="1481"/>
      <c r="G47" s="80" t="s">
        <v>108</v>
      </c>
      <c r="H47" s="1533" t="str">
        <f ca="1">IFERROR(MIN('Synthèse résultat'!$B$86,'Synthèse résultat'!$S11,'Synthèse résultat'!$P$11,'Synthèse résultat'!$AQ$11,'Synthèse résultat'!$AR$11),"N/D")</f>
        <v>N/D</v>
      </c>
      <c r="I47" s="1527"/>
      <c r="J47" s="1464" t="str">
        <f ca="1">IF(OR($H$46="N/D",$H$47="N/D",$H$48="N/D"),"N/D",MIN('Synthèse résultat'!$C$86,'Synthèse résultat'!$S12,'Synthèse résultat'!$P$12,'Synthèse résultat'!$AQ$12,'Synthèse résultat'!$AR$12))</f>
        <v>N/D</v>
      </c>
      <c r="K47" s="1528"/>
      <c r="L47" s="1533" t="str">
        <f ca="1">IFERROR(MIN('Synthèse résultat'!$D$86,'Synthèse résultat'!$S15,'Synthèse résultat'!$P$15,'Synthèse résultat'!$AQ$15,'Synthèse résultat'!$AR$15),"N/D")</f>
        <v>N/D</v>
      </c>
      <c r="M47" s="1534"/>
      <c r="N47" s="1527" t="str">
        <f ca="1">IF(OR($L$46="N/D",$L$47="N/D",$L$48="N/D"),"N/D",MIN('Synthèse résultat'!$E$86,'Synthèse résultat'!$S16,'Synthèse résultat'!$P$16,'Synthèse résultat'!$AQ$16,'Synthèse résultat'!$AR$16))</f>
        <v>N/D</v>
      </c>
      <c r="O47" s="1527"/>
      <c r="P47" s="1528"/>
      <c r="Q47" s="1533" t="str">
        <f ca="1">IFERROR(MIN('Synthèse résultat'!$F$86,'Synthèse résultat'!$S19,'Synthèse résultat'!$P$19,'Synthèse résultat'!$AQ$19,'Synthèse résultat'!$AR$19),"N/D")</f>
        <v>N/D</v>
      </c>
      <c r="R47" s="1534"/>
      <c r="S47" s="1527" t="str">
        <f ca="1">IF(OR($Q$46="N/D",$Q$47="N/D",$Q$48="N/D"),"N/D",MIN('Synthèse résultat'!$G$86,'Synthèse résultat'!$S20,'Synthèse résultat'!$P$20,'Synthèse résultat'!$AQ$20,'Synthèse résultat'!$AR$20))</f>
        <v>N/D</v>
      </c>
      <c r="T47" s="1528"/>
      <c r="U47" s="844"/>
      <c r="V47" s="42"/>
      <c r="W47" s="42"/>
      <c r="X47" s="42"/>
      <c r="Y47" s="42"/>
      <c r="AA47" s="24"/>
      <c r="AW47" s="387"/>
      <c r="AX47" s="387"/>
      <c r="CQ47" s="429"/>
    </row>
    <row r="48" spans="1:96" ht="19.899999999999999" customHeight="1">
      <c r="A48" s="137"/>
      <c r="B48" s="137"/>
      <c r="C48" s="137"/>
      <c r="D48" s="137"/>
      <c r="E48" s="1484"/>
      <c r="F48" s="1481"/>
      <c r="G48" s="80" t="s">
        <v>109</v>
      </c>
      <c r="H48" s="1533" t="str">
        <f ca="1">IFERROR(MIN('Synthèse résultat'!$B$86,'Synthèse résultat'!$T11,'Synthèse résultat'!$P$11,'Synthèse résultat'!$AQ$11,'Synthèse résultat'!$AR$11),"N/D")</f>
        <v>N/D</v>
      </c>
      <c r="I48" s="1527"/>
      <c r="J48" s="1464" t="str">
        <f ca="1">IF(OR($H$46="N/D",$H$47="N/D",$H$48="N/D"),"N/D",MIN('Synthèse résultat'!$C$86,'Synthèse résultat'!$T12,'Synthèse résultat'!$P$12,'Synthèse résultat'!$AQ$12,'Synthèse résultat'!$AR$12))</f>
        <v>N/D</v>
      </c>
      <c r="K48" s="1528"/>
      <c r="L48" s="1533" t="str">
        <f ca="1">IFERROR(MIN('Synthèse résultat'!$D$86,'Synthèse résultat'!$T15,'Synthèse résultat'!$P$15,'Synthèse résultat'!$AQ$15,'Synthèse résultat'!$AR$15),"N/D")</f>
        <v>N/D</v>
      </c>
      <c r="M48" s="1534"/>
      <c r="N48" s="1527" t="str">
        <f ca="1">IF(OR($L$46="N/D",$L$47="N/D",$L$48="N/D"),"N/D",MIN('Synthèse résultat'!$E$86,'Synthèse résultat'!$T16,'Synthèse résultat'!$P$16,'Synthèse résultat'!$AQ$16,'Synthèse résultat'!$AR$16))</f>
        <v>N/D</v>
      </c>
      <c r="O48" s="1527"/>
      <c r="P48" s="1528"/>
      <c r="Q48" s="1533" t="str">
        <f ca="1">IFERROR(MIN('Synthèse résultat'!$F$86,'Synthèse résultat'!$T19,'Synthèse résultat'!$P$19,'Synthèse résultat'!$AQ$19,'Synthèse résultat'!$AR$19),"N/D")</f>
        <v>N/D</v>
      </c>
      <c r="R48" s="1534"/>
      <c r="S48" s="1527" t="str">
        <f ca="1">IF(OR($Q$46="N/D",$Q$47="N/D",$Q$48="N/D"),"N/D",MIN('Synthèse résultat'!$G$86,'Synthèse résultat'!$T20,'Synthèse résultat'!$P$20,'Synthèse résultat'!$AQ$20,'Synthèse résultat'!$AR$20))</f>
        <v>N/D</v>
      </c>
      <c r="T48" s="1528"/>
      <c r="U48" s="844"/>
      <c r="V48" s="42"/>
      <c r="W48" s="42"/>
      <c r="X48" s="42"/>
      <c r="Y48" s="42"/>
      <c r="AA48" s="24"/>
      <c r="AW48" s="387"/>
      <c r="AX48" s="387"/>
      <c r="CQ48" s="429"/>
    </row>
    <row r="49" spans="1:96" ht="19.899999999999999" customHeight="1" thickBot="1">
      <c r="A49" s="137"/>
      <c r="B49" s="137"/>
      <c r="C49" s="137"/>
      <c r="D49" s="137"/>
      <c r="E49" s="1485"/>
      <c r="F49" s="1482"/>
      <c r="G49" s="86" t="s">
        <v>110</v>
      </c>
      <c r="H49" s="1531" t="str">
        <f ca="1">IFERROR(IF(OR('Saisie de données'!$D$13='Menu déroulant'!$AA$4,'Saisie de données'!$D$13='Menu déroulant'!$AA$3),"N/D",MIN('Synthèse résultat'!$B$86,'Synthèse résultat'!U11,'Synthèse résultat'!P11,'Synthèse résultat'!$AQ$11,'Synthèse résultat'!$AR$11)),"N/D")</f>
        <v>N/D</v>
      </c>
      <c r="I49" s="1525"/>
      <c r="J49" s="1468" t="str">
        <f ca="1">IFERROR(IF(OR('Saisie de données'!$D$13='Menu déroulant'!$AA$4,'Saisie de données'!$D$13='Menu déroulant'!$AA$3),"N/D",MIN('Synthèse résultat'!$C$86,'Synthèse résultat'!U12,'Synthèse résultat'!P12,'Synthèse résultat'!$AQ$12,'Synthèse résultat'!$AR$12)),"N/D")</f>
        <v>N/D</v>
      </c>
      <c r="K49" s="1526"/>
      <c r="L49" s="1531" t="str">
        <f ca="1">IFERROR(IF(OR('Saisie de données'!$D$13='Menu déroulant'!$AA$4,'Saisie de données'!$D$13='Menu déroulant'!$AA$3),"N/D",MIN('Synthèse résultat'!$D$86,'Synthèse résultat'!$U15,'Synthèse résultat'!$P$15,'Synthèse résultat'!$AQ$15,'Synthèse résultat'!$AR$15)),"N/D")</f>
        <v>N/D</v>
      </c>
      <c r="M49" s="1532"/>
      <c r="N49" s="1525" t="str">
        <f ca="1">IFERROR(IF(OR('Saisie de données'!$D$13='Menu déroulant'!$AA$4,'Saisie de données'!$D$13='Menu déroulant'!$AA$3),"N/D",MIN('Synthèse résultat'!$E$86,'Synthèse résultat'!$U16,'Synthèse résultat'!$P$16,'Synthèse résultat'!$AQ$16,'Synthèse résultat'!$AR$16)),"N/D")</f>
        <v>N/D</v>
      </c>
      <c r="O49" s="1525"/>
      <c r="P49" s="1526"/>
      <c r="Q49" s="1531" t="str">
        <f ca="1">IFERROR(IF(OR('Saisie de données'!$D$13='Menu déroulant'!$AA$4,'Saisie de données'!$D$13='Menu déroulant'!$AA$3),"N/D",MIN('Synthèse résultat'!$F$86,'Synthèse résultat'!$U19,'Synthèse résultat'!$P$19,'Synthèse résultat'!$AQ$19,'Synthèse résultat'!$AR$19)),"N/D")</f>
        <v>N/D</v>
      </c>
      <c r="R49" s="1532"/>
      <c r="S49" s="1525" t="str">
        <f ca="1">IFERROR(IF(OR('Saisie de données'!$D$13='Menu déroulant'!$AA$4,'Saisie de données'!$D$13='Menu déroulant'!$AA$3),"N/D",MIN('Synthèse résultat'!$G$86,'Synthèse résultat'!$U20,'Synthèse résultat'!$P$20,'Synthèse résultat'!$AQ$20,'Synthèse résultat'!$AR$20)),"N/D")</f>
        <v>N/D</v>
      </c>
      <c r="T49" s="1526"/>
      <c r="U49" s="844"/>
      <c r="V49" s="42"/>
      <c r="W49" s="42"/>
      <c r="X49" s="42"/>
      <c r="Y49" s="42"/>
      <c r="AA49" s="24"/>
      <c r="AW49" s="387"/>
      <c r="AX49" s="387"/>
      <c r="CQ49" s="429"/>
    </row>
    <row r="50" spans="1:96" ht="14.45" customHeight="1" thickTop="1">
      <c r="A50" s="137"/>
      <c r="B50" s="137"/>
      <c r="C50" s="137"/>
      <c r="D50" s="137"/>
      <c r="E50" s="622"/>
      <c r="F50" s="623"/>
      <c r="G50" s="622"/>
      <c r="H50" s="582"/>
      <c r="I50" s="624"/>
      <c r="J50" s="624"/>
      <c r="K50" s="624"/>
      <c r="L50" s="624"/>
      <c r="M50" s="624"/>
      <c r="N50" s="624"/>
      <c r="O50" s="624"/>
      <c r="P50" s="624"/>
      <c r="Q50" s="624"/>
      <c r="R50" s="625"/>
      <c r="S50" s="624"/>
      <c r="T50" s="624"/>
      <c r="U50" s="624"/>
      <c r="Z50" s="24"/>
      <c r="AA50" s="129"/>
      <c r="AB50" s="24"/>
      <c r="AM50" s="19"/>
      <c r="AN50" s="22"/>
      <c r="AX50" s="129"/>
      <c r="CR50" s="429"/>
    </row>
    <row r="51" spans="1:96" ht="23.1" customHeight="1">
      <c r="A51" s="137"/>
      <c r="B51" s="137"/>
      <c r="C51" s="137"/>
      <c r="D51" s="137"/>
      <c r="E51" s="1549" t="s">
        <v>232</v>
      </c>
      <c r="F51" s="1549"/>
      <c r="G51" s="1549"/>
      <c r="H51" s="1549"/>
      <c r="I51" s="137"/>
      <c r="J51" s="137"/>
      <c r="K51" s="137"/>
      <c r="L51" s="137"/>
      <c r="M51" s="137"/>
      <c r="N51" s="137"/>
      <c r="O51" s="137"/>
      <c r="P51" s="137"/>
      <c r="Q51" s="137"/>
      <c r="R51" s="137"/>
      <c r="S51" s="137"/>
      <c r="T51" s="137"/>
      <c r="U51" s="137"/>
      <c r="X51"/>
      <c r="AA51" s="23"/>
      <c r="AB51" s="23"/>
      <c r="AC51" s="23"/>
      <c r="BQ51" s="1397"/>
      <c r="CR51" s="429"/>
    </row>
    <row r="52" spans="1:96" ht="17.649999999999999" customHeight="1">
      <c r="A52" s="137"/>
      <c r="B52" s="137"/>
      <c r="C52" s="137"/>
      <c r="D52" s="137"/>
      <c r="E52" s="1252" t="s">
        <v>115</v>
      </c>
      <c r="F52" s="1252"/>
      <c r="G52" s="1252"/>
      <c r="H52" s="1252"/>
      <c r="I52" s="627"/>
      <c r="J52" s="1345" t="s">
        <v>116</v>
      </c>
      <c r="K52" s="1345"/>
      <c r="L52" s="1345"/>
      <c r="M52" s="1231" t="str" cm="1">
        <f t="array" ref="M52">IFERROR(_xlfn.IFS('Saisie de données'!$D$13='Menu déroulant'!$AA$3,"FM 4881",'Saisie de données'!$D$13='Menu déroulant'!$AA$4,"FM 4881",'Saisie de données'!$D$13='Menu déroulant'!$AA$5,""),"")</f>
        <v/>
      </c>
      <c r="N52" s="1231"/>
      <c r="O52" s="1231"/>
      <c r="P52" s="137"/>
      <c r="Q52" s="137"/>
      <c r="R52" s="137"/>
      <c r="S52" s="137"/>
      <c r="T52" s="137"/>
      <c r="U52" s="137"/>
      <c r="X52"/>
      <c r="Y52" s="133"/>
      <c r="Z52" s="133"/>
      <c r="AA52" s="23"/>
      <c r="AB52" s="23"/>
      <c r="AC52" s="23"/>
      <c r="BQ52" s="1397"/>
      <c r="CR52" s="429"/>
    </row>
    <row r="53" spans="1:96" ht="17.649999999999999" customHeight="1">
      <c r="A53" s="137"/>
      <c r="B53" s="137"/>
      <c r="C53" s="137"/>
      <c r="D53" s="137"/>
      <c r="E53" s="626"/>
      <c r="F53" s="626"/>
      <c r="G53" s="626"/>
      <c r="H53" s="627"/>
      <c r="I53" s="137"/>
      <c r="J53" s="1470" t="s">
        <v>117</v>
      </c>
      <c r="K53" s="1470"/>
      <c r="L53" s="1470"/>
      <c r="M53" s="1351" t="str">
        <f>IF(OR('Saisie de données'!$AL$70='Menu déroulant'!$AG$50,'Saisie de données'!$AL$71='Menu déroulant'!$AG$50,'Saisie de données'!$AL$72='Menu déroulant'!$AG$50),"Mur de massonnerie","")</f>
        <v/>
      </c>
      <c r="N53" s="1351"/>
      <c r="O53" s="1351"/>
      <c r="P53" s="137"/>
      <c r="Q53" s="137"/>
      <c r="R53" s="137"/>
      <c r="S53" s="137"/>
      <c r="T53" s="137"/>
      <c r="U53" s="137"/>
      <c r="X53"/>
      <c r="BQ53" s="1397"/>
      <c r="CR53" s="429"/>
    </row>
    <row r="54" spans="1:96" ht="17.649999999999999" customHeight="1">
      <c r="A54" s="137"/>
      <c r="B54" s="137"/>
      <c r="C54" s="137"/>
      <c r="D54" s="137"/>
      <c r="E54" s="137"/>
      <c r="F54" s="629"/>
      <c r="G54" s="629"/>
      <c r="H54" s="630"/>
      <c r="I54" s="137"/>
      <c r="J54" s="1427" t="s">
        <v>118</v>
      </c>
      <c r="K54" s="1427"/>
      <c r="L54" s="1427"/>
      <c r="M54" s="628"/>
      <c r="N54" s="628"/>
      <c r="O54" s="137"/>
      <c r="P54" s="137"/>
      <c r="Q54" s="137"/>
      <c r="R54" s="137"/>
      <c r="S54" s="137"/>
      <c r="T54" s="137"/>
      <c r="U54" s="137"/>
      <c r="BQ54" s="1397"/>
      <c r="CR54" s="429"/>
    </row>
    <row r="55" spans="1:96" ht="17.649999999999999" customHeight="1">
      <c r="A55" s="137"/>
      <c r="B55" s="137"/>
      <c r="C55" s="137"/>
      <c r="D55" s="137"/>
      <c r="E55" s="137"/>
      <c r="F55" s="629"/>
      <c r="G55" s="629"/>
      <c r="H55" s="630"/>
      <c r="I55" s="137"/>
      <c r="J55" s="631"/>
      <c r="K55" s="631"/>
      <c r="L55" s="631"/>
      <c r="M55" s="628"/>
      <c r="N55" s="628"/>
      <c r="O55" s="137"/>
      <c r="P55" s="137"/>
      <c r="Q55" s="137"/>
      <c r="R55" s="137"/>
      <c r="S55" s="137"/>
      <c r="T55" s="137"/>
      <c r="U55" s="137"/>
      <c r="BQ55" s="1397"/>
      <c r="CR55" s="429"/>
    </row>
    <row r="56" spans="1:96" ht="17.649999999999999" customHeight="1">
      <c r="A56" s="137"/>
      <c r="B56" s="137"/>
      <c r="C56" s="137"/>
      <c r="D56" s="137"/>
      <c r="E56" s="137"/>
      <c r="F56" s="629"/>
      <c r="G56" s="629"/>
      <c r="H56" s="630"/>
      <c r="I56" s="137"/>
      <c r="J56" s="631"/>
      <c r="K56" s="631"/>
      <c r="L56" s="631"/>
      <c r="M56" s="628"/>
      <c r="N56" s="628"/>
      <c r="O56" s="137"/>
      <c r="P56" s="137"/>
      <c r="Q56" s="137"/>
      <c r="R56" s="137"/>
      <c r="S56" s="137"/>
      <c r="T56" s="137"/>
      <c r="U56" s="137"/>
      <c r="BQ56" s="1397"/>
      <c r="CR56" s="429"/>
    </row>
    <row r="57" spans="1:96" ht="17.649999999999999" customHeight="1">
      <c r="A57" s="137"/>
      <c r="B57" s="137"/>
      <c r="C57" s="137"/>
      <c r="D57" s="137"/>
      <c r="E57" s="137"/>
      <c r="F57" s="629"/>
      <c r="G57" s="629"/>
      <c r="H57" s="630"/>
      <c r="I57" s="137"/>
      <c r="J57" s="631"/>
      <c r="K57" s="631"/>
      <c r="L57" s="631"/>
      <c r="M57" s="628"/>
      <c r="N57" s="628"/>
      <c r="O57" s="137"/>
      <c r="P57" s="137"/>
      <c r="Q57" s="137"/>
      <c r="R57" s="137"/>
      <c r="S57" s="137"/>
      <c r="T57" s="137"/>
      <c r="U57" s="137"/>
      <c r="BQ57" s="1397"/>
      <c r="CR57" s="429"/>
    </row>
    <row r="58" spans="1:96" ht="17.649999999999999" customHeight="1">
      <c r="A58" s="137"/>
      <c r="B58" s="137"/>
      <c r="C58" s="137"/>
      <c r="D58" s="137"/>
      <c r="E58" s="137"/>
      <c r="F58" s="629"/>
      <c r="G58" s="629"/>
      <c r="H58" s="630"/>
      <c r="I58" s="137"/>
      <c r="J58" s="137"/>
      <c r="K58" s="137"/>
      <c r="L58" s="137"/>
      <c r="M58" s="706"/>
      <c r="N58" s="706"/>
      <c r="O58" s="706"/>
      <c r="P58" s="706"/>
      <c r="Q58" s="706"/>
      <c r="R58" s="706"/>
      <c r="S58" s="706"/>
      <c r="T58" s="706"/>
      <c r="U58" s="706"/>
      <c r="W58" s="603"/>
      <c r="X58" s="603"/>
      <c r="BQ58" s="1397"/>
      <c r="CR58" s="429"/>
    </row>
    <row r="59" spans="1:96" ht="22.5" customHeight="1" thickBot="1">
      <c r="A59" s="137"/>
      <c r="B59" s="137"/>
      <c r="C59" s="137"/>
      <c r="D59" s="137"/>
      <c r="E59" s="1540" t="s">
        <v>119</v>
      </c>
      <c r="F59" s="1540"/>
      <c r="G59" s="1540"/>
      <c r="H59" s="1540"/>
      <c r="I59" s="1317" t="s">
        <v>120</v>
      </c>
      <c r="J59" s="1317"/>
      <c r="K59" s="1317"/>
      <c r="L59" s="1317"/>
      <c r="M59" s="1317"/>
      <c r="N59" s="1317"/>
      <c r="O59" s="1317"/>
      <c r="P59" s="1317"/>
      <c r="Q59" s="1317"/>
      <c r="R59" s="1317"/>
      <c r="S59" s="1317"/>
      <c r="T59" s="1317"/>
      <c r="U59" s="1317"/>
      <c r="W59" s="603"/>
      <c r="X59" s="603"/>
      <c r="BQ59" s="1397"/>
      <c r="CR59" s="429"/>
    </row>
    <row r="60" spans="1:96" ht="22.5" customHeight="1" thickTop="1" thickBot="1">
      <c r="A60" s="137"/>
      <c r="B60" s="137"/>
      <c r="C60" s="137"/>
      <c r="D60" s="137"/>
      <c r="E60" s="137"/>
      <c r="F60" s="137"/>
      <c r="G60" s="137"/>
      <c r="H60" s="137"/>
      <c r="I60" s="1415" t="s">
        <v>85</v>
      </c>
      <c r="J60" s="1416"/>
      <c r="K60" s="1416"/>
      <c r="L60" s="1416"/>
      <c r="M60" s="1416"/>
      <c r="N60" s="1416"/>
      <c r="O60" s="1416"/>
      <c r="P60" s="1416"/>
      <c r="Q60" s="1416"/>
      <c r="R60" s="1416"/>
      <c r="S60" s="1416"/>
      <c r="T60" s="1416"/>
      <c r="U60" s="1417"/>
      <c r="BQ60" s="1397"/>
      <c r="CR60" s="429"/>
    </row>
    <row r="61" spans="1:96" ht="30.95" customHeight="1" thickTop="1" thickBot="1">
      <c r="A61" s="137"/>
      <c r="B61" s="137"/>
      <c r="C61" s="137"/>
      <c r="D61" s="137"/>
      <c r="E61" s="1495" t="s">
        <v>121</v>
      </c>
      <c r="F61" s="1497"/>
      <c r="G61" s="835" t="s">
        <v>122</v>
      </c>
      <c r="H61" s="836" t="s">
        <v>123</v>
      </c>
      <c r="I61" s="1541" t="str">
        <f>$H$43</f>
        <v>Norex-L 6" (36")</v>
      </c>
      <c r="J61" s="1542"/>
      <c r="K61" s="1542"/>
      <c r="L61" s="1543"/>
      <c r="M61" s="1541" t="str">
        <f>$L$43</f>
        <v>Norex-L 4" (36")</v>
      </c>
      <c r="N61" s="1542"/>
      <c r="O61" s="1542"/>
      <c r="P61" s="1542"/>
      <c r="Q61" s="1543"/>
      <c r="R61" s="1541" t="str">
        <f>$Q$43</f>
        <v>Noroc- 8" (42,5")</v>
      </c>
      <c r="S61" s="1542"/>
      <c r="T61" s="1542"/>
      <c r="U61" s="1543"/>
      <c r="BQ61" s="1397"/>
      <c r="CR61" s="429"/>
    </row>
    <row r="62" spans="1:96" ht="25.15" customHeight="1" thickTop="1" thickBot="1">
      <c r="A62" s="137"/>
      <c r="B62" s="137"/>
      <c r="C62" s="137"/>
      <c r="D62" s="137"/>
      <c r="E62" s="1544" t="s">
        <v>124</v>
      </c>
      <c r="F62" s="1548" t="s">
        <v>125</v>
      </c>
      <c r="G62" s="874" t="s">
        <v>126</v>
      </c>
      <c r="H62" s="837" t="s">
        <v>127</v>
      </c>
      <c r="I62" s="1312" t="str">
        <f>IF('Saisie de données'!$D$60='Menu déroulant'!$AB$31,"Teks 3 - "&amp;HLOOKUP('Saisie de données'!E60,'Infos Techniques'!$AC$50:$AE$60,3,0),"Teks 3 - "&amp;HLOOKUP('Saisie de données'!E60,'Infos Techniques'!$AC$70:$AH$80,3,0))</f>
        <v>Teks 3 - N/D</v>
      </c>
      <c r="J62" s="1313"/>
      <c r="K62" s="1313"/>
      <c r="L62" s="1314"/>
      <c r="M62" s="1312" t="str">
        <f>IF('Saisie de données'!$D$61='Menu déroulant'!$AB$31,"Teks 3 - "&amp;HLOOKUP('Saisie de données'!E61,'Infos Techniques'!$AC$50:$AE$60,3,0),"Teks 3 - "&amp;HLOOKUP('Saisie de données'!E61,'Infos Techniques'!$AC$70:$AH$80,3,0))</f>
        <v>Teks 3 - 4'' (1429000)</v>
      </c>
      <c r="N62" s="1313"/>
      <c r="O62" s="1313"/>
      <c r="P62" s="1313"/>
      <c r="Q62" s="1314"/>
      <c r="R62" s="1312" t="str">
        <f>IF('Saisie de données'!$D$62='Menu déroulant'!$AB$31,"Teks 3 - "&amp;HLOOKUP('Saisie de données'!E62,'Infos Techniques'!$AC$50:$AE$60,3,0),"Teks 3 - "&amp;HLOOKUP('Saisie de données'!E62,'Infos Techniques'!$AC$70:$AH$80,3,0))</f>
        <v>Teks 3 - N/D</v>
      </c>
      <c r="S62" s="1313"/>
      <c r="T62" s="1313"/>
      <c r="U62" s="1314"/>
      <c r="BQ62" s="1397"/>
      <c r="CR62" s="429"/>
    </row>
    <row r="63" spans="1:96" ht="25.15" customHeight="1" thickBot="1">
      <c r="A63" s="137"/>
      <c r="B63" s="137"/>
      <c r="C63" s="137"/>
      <c r="D63" s="137"/>
      <c r="E63" s="1545"/>
      <c r="F63" s="1547"/>
      <c r="G63" s="875" t="s">
        <v>233</v>
      </c>
      <c r="H63" s="838" t="s">
        <v>129</v>
      </c>
      <c r="I63" s="1297" t="str">
        <f>IF('Saisie de données'!$D$60='Menu déroulant'!$AB$31,"Teks 5 - "&amp;HLOOKUP('Saisie de données'!E60,'Infos Techniques'!$AC$50:$AE$60,4,0),"Teks 5 - "&amp;HLOOKUP('Saisie de données'!E60,'Infos Techniques'!$AC$70:$AH$80,4,0))</f>
        <v>Teks 5 - 8'' (1619000)</v>
      </c>
      <c r="J63" s="1298"/>
      <c r="K63" s="1298"/>
      <c r="L63" s="1299"/>
      <c r="M63" s="1297" t="str">
        <f>IF('Saisie de données'!$D$61='Menu déroulant'!$AB$31,"Teks 3 - "&amp;HLOOKUP('Saisie de données'!E61,'Infos Techniques'!$AC$50:$AE$60,4,0),"Teks 3 - "&amp;HLOOKUP('Saisie de données'!E61,'Infos Techniques'!$AC$70:$AH$80,4,0))</f>
        <v>Teks 3 - 5'' (1647000)</v>
      </c>
      <c r="N63" s="1298"/>
      <c r="O63" s="1298"/>
      <c r="P63" s="1298"/>
      <c r="Q63" s="1299"/>
      <c r="R63" s="1297" t="str">
        <f>IF('Saisie de données'!$D$62='Menu déroulant'!$AB$31,"Teks 3 - "&amp;HLOOKUP('Saisie de données'!E62,'Infos Techniques'!$AC$50:$AE$60,4,0),"Teks 3 - "&amp;HLOOKUP('Saisie de données'!E62,'Infos Techniques'!$AC$70:$AH$80,4,0))</f>
        <v>Teks 3 - N/D</v>
      </c>
      <c r="S63" s="1298"/>
      <c r="T63" s="1298"/>
      <c r="U63" s="1299"/>
      <c r="BQ63" s="1397"/>
      <c r="CR63" s="429"/>
    </row>
    <row r="64" spans="1:96" ht="25.15" customHeight="1" thickBot="1">
      <c r="A64" s="137"/>
      <c r="B64" s="137"/>
      <c r="C64" s="137"/>
      <c r="D64" s="137"/>
      <c r="E64" s="1545"/>
      <c r="F64" s="1547" t="s">
        <v>130</v>
      </c>
      <c r="G64" s="874" t="s">
        <v>131</v>
      </c>
      <c r="H64" s="837" t="s">
        <v>127</v>
      </c>
      <c r="I64" s="1312" t="str">
        <f>IF('Saisie de données'!$D$60='Menu déroulant'!$AB$31,"UDRILLS - "&amp;HLOOKUP('Saisie de données'!E60,'Infos Techniques'!$AC$50:$AE$60,5,0),"UDRILLS - "&amp;HLOOKUP('Saisie de données'!E60,'Infos Techniques'!$AC$70:$AH$80,5,0))</f>
        <v>UDRILLS - 6'' (THW 146B)</v>
      </c>
      <c r="J64" s="1313"/>
      <c r="K64" s="1313"/>
      <c r="L64" s="1314"/>
      <c r="M64" s="1312" t="str">
        <f>IF('Saisie de données'!$D$61='Menu déroulant'!$AB$31,"UDRILLS - "&amp;HLOOKUP('Saisie de données'!E61,'Infos Techniques'!$AC$50:$AE$60,5,0),"UDRILLS - "&amp;HLOOKUP('Saisie de données'!E61,'Infos Techniques'!$AC$70:$AH$80,5,0))</f>
        <v>UDRILLS - 4'' (THW 144BN)</v>
      </c>
      <c r="N64" s="1313"/>
      <c r="O64" s="1313"/>
      <c r="P64" s="1313"/>
      <c r="Q64" s="1314"/>
      <c r="R64" s="1312" t="str">
        <f>IF('Saisie de données'!$D$62='Menu déroulant'!$AB$31,"UDRILLS - "&amp;HLOOKUP('Saisie de données'!E62,'Infos Techniques'!$AC$50:$AE$60,5,0),"UDRILLS - "&amp;HLOOKUP('Saisie de données'!E62,'Infos Techniques'!$AC$70:$AH$80,5,0))</f>
        <v>UDRILLS - N/D</v>
      </c>
      <c r="S64" s="1313"/>
      <c r="T64" s="1313"/>
      <c r="U64" s="1314"/>
      <c r="BQ64" s="1397"/>
      <c r="CR64" s="429"/>
    </row>
    <row r="65" spans="1:96" ht="25.15" customHeight="1" thickBot="1">
      <c r="A65" s="137"/>
      <c r="B65" s="137"/>
      <c r="C65" s="137"/>
      <c r="D65" s="137"/>
      <c r="E65" s="1545"/>
      <c r="F65" s="1547"/>
      <c r="G65" s="875" t="s">
        <v>234</v>
      </c>
      <c r="H65" s="838" t="s">
        <v>129</v>
      </c>
      <c r="I65" s="1297" t="str">
        <f>IF('Saisie de données'!$D$60='Menu déroulant'!$AB$31,"UDRILLS - "&amp;HLOOKUP('Saisie de données'!E60,'Infos Techniques'!$AC$50:$AE$60,6,0),"UDRILLS - "&amp;HLOOKUP('Saisie de données'!E60,'Infos Techniques'!$AC$70:$AH$80,6,0))</f>
        <v>UDRILLS - 6'' (TRH 146B5N)</v>
      </c>
      <c r="J65" s="1298"/>
      <c r="K65" s="1298"/>
      <c r="L65" s="1299"/>
      <c r="M65" s="1297" t="str">
        <f>IF('Saisie de données'!$D$61='Menu déroulant'!$AB$31,"UDRILLS - "&amp;HLOOKUP('Saisie de données'!E61,'Infos Techniques'!$AC$50:$AE$60,6,0),"UDRILLS - "&amp;HLOOKUP('Saisie de données'!E61,'Infos Techniques'!$AC$70:$AH$80,6,0))</f>
        <v>UDRILLS - 4'' (TRH 144B5N)</v>
      </c>
      <c r="N65" s="1298"/>
      <c r="O65" s="1298"/>
      <c r="P65" s="1298"/>
      <c r="Q65" s="1299"/>
      <c r="R65" s="1297" t="str">
        <f>IF('Saisie de données'!$D$62='Menu déroulant'!$AB$31,"UDRILLS - "&amp;HLOOKUP('Saisie de données'!E62,'Infos Techniques'!$AC$50:$AE$60,6,0),"UDRILLS - "&amp;HLOOKUP('Saisie de données'!E62,'Infos Techniques'!$AC$70:$AH$80,6,0))</f>
        <v>UDRILLS - 8" (TRH 148B5)</v>
      </c>
      <c r="S65" s="1298"/>
      <c r="T65" s="1298"/>
      <c r="U65" s="1299"/>
      <c r="BQ65" s="1397"/>
      <c r="CR65" s="429"/>
    </row>
    <row r="66" spans="1:96" ht="25.15" customHeight="1" thickBot="1">
      <c r="A66" s="137"/>
      <c r="B66" s="137"/>
      <c r="C66" s="137"/>
      <c r="D66" s="137"/>
      <c r="E66" s="1545"/>
      <c r="F66" s="1524" t="s">
        <v>133</v>
      </c>
      <c r="G66" s="874" t="s">
        <v>134</v>
      </c>
      <c r="H66" s="839" t="s">
        <v>127</v>
      </c>
      <c r="I66" s="1312" t="str">
        <f>IF('Saisie de données'!$D$60='Menu déroulant'!$AB$31,"Blazers - "&amp;HLOOKUP('Saisie de données'!E60,'Infos Techniques'!$AC$50:$AE$60,7,0),"Blazers - "&amp;HLOOKUP('Saisie de données'!E60,'Infos Techniques'!$AC$70:$AH$80,7,0))</f>
        <v>Blazers - 8"</v>
      </c>
      <c r="J66" s="1313"/>
      <c r="K66" s="1313"/>
      <c r="L66" s="1314"/>
      <c r="M66" s="1312" t="str">
        <f>IF('Saisie de données'!$D$61='Menu déroulant'!$AB$31,"Blazers - "&amp;HLOOKUP('Saisie de données'!E61,'Infos Techniques'!$AC$50:$AE$60,7,0),"Blazers - "&amp;HLOOKUP('Saisie de données'!E61,'Infos Techniques'!$AC$70:$AH$80,7,0))</f>
        <v>Blazers - 5"</v>
      </c>
      <c r="N66" s="1313"/>
      <c r="O66" s="1313"/>
      <c r="P66" s="1313"/>
      <c r="Q66" s="1314"/>
      <c r="R66" s="1312" t="str">
        <f>IF('Saisie de données'!$D$62='Menu déroulant'!$AB$31,"Blazers - "&amp;HLOOKUP('Saisie de données'!E62,'Infos Techniques'!$AC$50:$AE$60,7,0),"Blazers - "&amp;HLOOKUP('Saisie de données'!E62,'Infos Techniques'!$AC$70:$AH$80,7,0))</f>
        <v>Blazers - 10"</v>
      </c>
      <c r="S66" s="1313"/>
      <c r="T66" s="1313"/>
      <c r="U66" s="1314"/>
      <c r="BQ66" s="1397"/>
      <c r="CR66" s="429"/>
    </row>
    <row r="67" spans="1:96" ht="25.15" customHeight="1" thickBot="1">
      <c r="A67" s="137"/>
      <c r="B67" s="137"/>
      <c r="C67" s="137"/>
      <c r="D67" s="137"/>
      <c r="E67" s="1545"/>
      <c r="F67" s="1524"/>
      <c r="G67" s="875" t="s">
        <v>135</v>
      </c>
      <c r="H67" s="840" t="s">
        <v>136</v>
      </c>
      <c r="I67" s="1297" t="str">
        <f>IF('Saisie de données'!$D$60='Menu déroulant'!$AB$31,"Blazers - "&amp;HLOOKUP('Saisie de données'!E60,'Infos Techniques'!$AC$50:$AE$60,8,0),"Blazers - "&amp;HLOOKUP('Saisie de données'!E60,'Infos Techniques'!$AC$70:$AH$80,8,0))</f>
        <v>Blazers - 7"</v>
      </c>
      <c r="J67" s="1298"/>
      <c r="K67" s="1298"/>
      <c r="L67" s="1299"/>
      <c r="M67" s="1297" t="str">
        <f>IF('Saisie de données'!$D$61='Menu déroulant'!$AB$31,"Blazers - "&amp;HLOOKUP('Saisie de données'!E61,'Infos Techniques'!$AC$50:$AE$60,8,0),"Blazers - "&amp;HLOOKUP('Saisie de données'!E61,'Infos Techniques'!$AC$70:$AH$80,8,0))</f>
        <v>Blazers - 5"</v>
      </c>
      <c r="N67" s="1298"/>
      <c r="O67" s="1298"/>
      <c r="P67" s="1298"/>
      <c r="Q67" s="1299"/>
      <c r="R67" s="1297" t="str">
        <f>IF('Saisie de données'!$D$62='Menu déroulant'!$AB$31,"Blazers - "&amp;HLOOKUP('Saisie de données'!E62,'Infos Techniques'!$AC$50:$AE$60,8,0),"Blazers - "&amp;HLOOKUP('Saisie de données'!E62,'Infos Techniques'!$AC$70:$AH$80,8,0))</f>
        <v>Blazers - N/D</v>
      </c>
      <c r="S67" s="1298"/>
      <c r="T67" s="1298"/>
      <c r="U67" s="1299"/>
      <c r="BQ67" s="1397"/>
      <c r="CR67" s="429"/>
    </row>
    <row r="68" spans="1:96" ht="25.15" customHeight="1" thickBot="1">
      <c r="A68" s="137"/>
      <c r="B68" s="137"/>
      <c r="C68" s="137"/>
      <c r="D68" s="137"/>
      <c r="E68" s="1545"/>
      <c r="F68" s="1524" t="s">
        <v>137</v>
      </c>
      <c r="G68" s="874" t="s">
        <v>138</v>
      </c>
      <c r="H68" s="839" t="s">
        <v>127</v>
      </c>
      <c r="I68" s="1312" t="str">
        <f>IF('Saisie de données'!$D$60='Menu déroulant'!$AB$31,"Master Drillers - "&amp;HLOOKUP('Saisie de données'!E60,'Infos Techniques'!$AC$50:$AE$60,9,0),"Master Drillers - "&amp;HLOOKUP('Saisie de données'!E60,'Infos Techniques'!$AC$70:$AH$80,9,0))</f>
        <v>Master Drillers - 8"</v>
      </c>
      <c r="J68" s="1313"/>
      <c r="K68" s="1313"/>
      <c r="L68" s="1314"/>
      <c r="M68" s="1312" t="str">
        <f>IF('Saisie de données'!$D$61='Menu déroulant'!$AB$31,"Master Drillers - "&amp;HLOOKUP('Saisie de données'!E61,'Infos Techniques'!$AC$50:$AE$60,9,0),"Master Drillers - "&amp;HLOOKUP('Saisie de données'!E61,'Infos Techniques'!$AC$70:$AH$80,9,0))</f>
        <v>Master Drillers - 5"</v>
      </c>
      <c r="N68" s="1313"/>
      <c r="O68" s="1313"/>
      <c r="P68" s="1313"/>
      <c r="Q68" s="1314"/>
      <c r="R68" s="1312" t="str">
        <f>IF('Saisie de données'!$D$62='Menu déroulant'!$AB$31,"Master Drillers - "&amp;HLOOKUP('Saisie de données'!E62,'Infos Techniques'!$AC$50:$AE$60,9,0),"Master Drillers - "&amp;HLOOKUP('Saisie de données'!E62,'Infos Techniques'!$AC$70:$AH$80,9,0))</f>
        <v>Master Drillers - 10"</v>
      </c>
      <c r="S68" s="1313"/>
      <c r="T68" s="1313"/>
      <c r="U68" s="1314"/>
      <c r="BQ68" s="1397"/>
      <c r="CR68" s="429"/>
    </row>
    <row r="69" spans="1:96" ht="25.15" customHeight="1" thickBot="1">
      <c r="A69" s="137"/>
      <c r="B69" s="137"/>
      <c r="C69" s="137"/>
      <c r="D69" s="137"/>
      <c r="E69" s="1545"/>
      <c r="F69" s="1524"/>
      <c r="G69" s="875" t="s">
        <v>139</v>
      </c>
      <c r="H69" s="840" t="s">
        <v>136</v>
      </c>
      <c r="I69" s="1297" t="str">
        <f>IF('Saisie de données'!$D$60='Menu déroulant'!$AB$31,"Master Drillers - "&amp;HLOOKUP('Saisie de données'!E60,'Infos Techniques'!$AC$50:$AE$60,10,0),"Master Drillers - "&amp;HLOOKUP('Saisie de données'!E60,'Infos Techniques'!$AC$70:$AH$80,10,0))</f>
        <v>Master Drillers - 7"</v>
      </c>
      <c r="J69" s="1298"/>
      <c r="K69" s="1298"/>
      <c r="L69" s="1299"/>
      <c r="M69" s="1297" t="str">
        <f>IF('Saisie de données'!$D$61='Menu déroulant'!$AB$31,"Master Drillers - "&amp;HLOOKUP('Saisie de données'!E61,'Infos Techniques'!$AC$50:$AE$60,10,0),"Master Drillers - "&amp;HLOOKUP('Saisie de données'!E61,'Infos Techniques'!$AC$70:$AH$80,10,0))</f>
        <v>Master Drillers - 5"</v>
      </c>
      <c r="N69" s="1298"/>
      <c r="O69" s="1298"/>
      <c r="P69" s="1298"/>
      <c r="Q69" s="1299"/>
      <c r="R69" s="1297" t="str">
        <f>IF('Saisie de données'!$D$62='Menu déroulant'!$AB$31,"Master Drillers - "&amp;HLOOKUP('Saisie de données'!E62,'Infos Techniques'!$AC$50:$AE$60,10,0),"Master Drillers - "&amp;HLOOKUP('Saisie de données'!E62,'Infos Techniques'!$AC$70:$AH$80,10,0))</f>
        <v>Master Drillers - N/D</v>
      </c>
      <c r="S69" s="1298"/>
      <c r="T69" s="1298"/>
      <c r="U69" s="1299"/>
      <c r="BQ69" s="1397"/>
      <c r="CR69" s="429"/>
    </row>
    <row r="70" spans="1:96" ht="25.15" customHeight="1" thickBot="1">
      <c r="A70" s="137"/>
      <c r="B70" s="137"/>
      <c r="C70" s="137"/>
      <c r="D70" s="137"/>
      <c r="E70" s="1546"/>
      <c r="F70" s="841" t="s">
        <v>140</v>
      </c>
      <c r="G70" s="876" t="s">
        <v>141</v>
      </c>
      <c r="H70" s="842" t="s">
        <v>127</v>
      </c>
      <c r="I70" s="1517" t="str">
        <f>IF('Saisie de données'!$D$60='Menu déroulant'!$AB$31,"JT2 D6H - "&amp;HLOOKUP('Saisie de données'!E60,'Infos Techniques'!$AC$50:$AE$60,11,0),"JT2 D6H - "&amp;HLOOKUP('Saisie de données'!E60,'Infos Techniques'!$AC$70:$AH$80,11,0))</f>
        <v>JT2 D6H - 7-1/2"</v>
      </c>
      <c r="J70" s="1518"/>
      <c r="K70" s="1518"/>
      <c r="L70" s="1519"/>
      <c r="M70" s="1517" t="str">
        <f>IF('Saisie de données'!$D$61='Menu déroulant'!$AB$31,"JT2 D6H - "&amp;HLOOKUP('Saisie de données'!E61,'Infos Techniques'!$AC$50:$AE$60,11,0),"JT2 D6H - "&amp;HLOOKUP('Saisie de données'!E61,'Infos Techniques'!$AC$70:$AH$80,11,0))</f>
        <v>JT2 D6H - 5"</v>
      </c>
      <c r="N70" s="1518"/>
      <c r="O70" s="1518"/>
      <c r="P70" s="1518"/>
      <c r="Q70" s="1519"/>
      <c r="R70" s="1517" t="str">
        <f>IF('Saisie de données'!$D$62='Menu déroulant'!$AB$31,"JT2 D6H - "&amp;HLOOKUP('Saisie de données'!E62,'Infos Techniques'!$AC$50:$AE$60,11,0),"JT2 D6H - "&amp;HLOOKUP('Saisie de données'!E62,'Infos Techniques'!$AC$70:$AH$80,11,0))</f>
        <v>JT2 D6H - 8-1/3"</v>
      </c>
      <c r="S70" s="1518"/>
      <c r="T70" s="1518"/>
      <c r="U70" s="1519"/>
      <c r="BQ70" s="1397"/>
      <c r="CR70" s="429"/>
    </row>
    <row r="71" spans="1:96" ht="25.9" customHeight="1" thickTop="1">
      <c r="A71" s="137"/>
      <c r="B71" s="137"/>
      <c r="C71" s="137"/>
      <c r="D71" s="137"/>
      <c r="E71" s="832"/>
      <c r="F71" s="673"/>
      <c r="G71" s="673"/>
      <c r="H71" s="674"/>
      <c r="I71" s="582"/>
      <c r="J71" s="582"/>
      <c r="K71" s="582"/>
      <c r="L71" s="582"/>
      <c r="M71" s="582"/>
      <c r="N71" s="582"/>
      <c r="O71" s="582"/>
      <c r="P71" s="582"/>
      <c r="Q71" s="582"/>
      <c r="R71" s="582"/>
      <c r="S71" s="582"/>
      <c r="T71" s="582"/>
      <c r="U71" s="582"/>
      <c r="BQ71" s="1397"/>
      <c r="CR71" s="429"/>
    </row>
    <row r="72" spans="1:96" ht="25.9" customHeight="1">
      <c r="A72" s="137"/>
      <c r="B72" s="137"/>
      <c r="C72" s="137"/>
      <c r="D72" s="137"/>
      <c r="E72" s="832"/>
      <c r="F72" s="673"/>
      <c r="G72" s="673"/>
      <c r="H72" s="674"/>
      <c r="I72" s="582"/>
      <c r="J72" s="582"/>
      <c r="K72" s="582"/>
      <c r="L72" s="582"/>
      <c r="M72" s="582"/>
      <c r="N72" s="582"/>
      <c r="O72" s="582"/>
      <c r="P72" s="582"/>
      <c r="Q72" s="582"/>
      <c r="R72" s="582"/>
      <c r="S72" s="582"/>
      <c r="T72" s="582"/>
      <c r="U72" s="582"/>
      <c r="BQ72" s="1397"/>
      <c r="CR72" s="429"/>
    </row>
    <row r="73" spans="1:96" ht="25.9" customHeight="1">
      <c r="A73" s="137"/>
      <c r="B73" s="137"/>
      <c r="C73" s="137"/>
      <c r="D73" s="137"/>
      <c r="E73" s="832"/>
      <c r="F73" s="673"/>
      <c r="G73" s="673"/>
      <c r="H73" s="674"/>
      <c r="I73" s="582"/>
      <c r="J73" s="582"/>
      <c r="K73" s="582"/>
      <c r="L73" s="582"/>
      <c r="M73" s="582"/>
      <c r="N73" s="582"/>
      <c r="O73" s="582"/>
      <c r="P73" s="582"/>
      <c r="Q73" s="582"/>
      <c r="R73" s="582"/>
      <c r="S73" s="582"/>
      <c r="T73" s="582"/>
      <c r="U73" s="582"/>
      <c r="BQ73" s="1397"/>
      <c r="CR73" s="429"/>
    </row>
    <row r="74" spans="1:96" ht="25.9" customHeight="1">
      <c r="A74" s="137"/>
      <c r="B74" s="137"/>
      <c r="C74" s="137"/>
      <c r="D74" s="137"/>
      <c r="E74" s="832"/>
      <c r="F74" s="673"/>
      <c r="G74" s="673"/>
      <c r="H74" s="674"/>
      <c r="I74" s="582"/>
      <c r="J74" s="582"/>
      <c r="K74" s="582"/>
      <c r="L74" s="582"/>
      <c r="M74" s="582"/>
      <c r="N74" s="582"/>
      <c r="O74" s="582"/>
      <c r="P74" s="582"/>
      <c r="Q74" s="582"/>
      <c r="R74" s="582"/>
      <c r="S74" s="582"/>
      <c r="T74" s="582"/>
      <c r="U74" s="582"/>
      <c r="BQ74" s="1397"/>
      <c r="CR74" s="429"/>
    </row>
    <row r="75" spans="1:96" ht="25.9" customHeight="1">
      <c r="A75" s="137"/>
      <c r="B75" s="137"/>
      <c r="C75" s="137"/>
      <c r="D75" s="137"/>
      <c r="E75" s="832"/>
      <c r="F75" s="137"/>
      <c r="G75" s="137"/>
      <c r="H75" s="137"/>
      <c r="I75" s="1316"/>
      <c r="J75" s="1316"/>
      <c r="K75" s="1316"/>
      <c r="L75" s="1316"/>
      <c r="M75" s="1316"/>
      <c r="N75" s="1316"/>
      <c r="O75" s="1316"/>
      <c r="P75" s="1316"/>
      <c r="Q75" s="1316"/>
      <c r="R75" s="1316"/>
      <c r="S75" s="1316"/>
      <c r="T75" s="1316"/>
      <c r="U75" s="1316"/>
      <c r="BQ75" s="1397"/>
      <c r="CR75" s="429"/>
    </row>
    <row r="76" spans="1:96" ht="25.9" customHeight="1">
      <c r="A76" s="137"/>
      <c r="B76" s="137"/>
      <c r="C76" s="137"/>
      <c r="D76" s="137"/>
      <c r="E76" s="832"/>
      <c r="BQ76" s="1397"/>
      <c r="CR76" s="429"/>
    </row>
    <row r="77" spans="1:96" ht="25.9" customHeight="1">
      <c r="A77" s="137"/>
      <c r="B77" s="137"/>
      <c r="C77" s="137"/>
      <c r="D77" s="137"/>
      <c r="E77" s="137"/>
      <c r="BQ77" s="1397"/>
      <c r="CR77" s="429"/>
    </row>
  </sheetData>
  <sheetProtection algorithmName="SHA-512" hashValue="Ue6r2z77rsWR67//+3ksb1z7O7VIzpvwLQvUcmUOks8EBYLYbVUwSXYuds5HoHmXhcDLUXeP70E8oPWz+kT9pA==" saltValue="sPfhIuKSz6ALmdJIRxaH8A==" spinCount="100000" sheet="1" selectLockedCells="1"/>
  <mergeCells count="126">
    <mergeCell ref="D1:H1"/>
    <mergeCell ref="D3:J3"/>
    <mergeCell ref="D5:H5"/>
    <mergeCell ref="D6:E6"/>
    <mergeCell ref="F6:U6"/>
    <mergeCell ref="D7:E7"/>
    <mergeCell ref="F7:U7"/>
    <mergeCell ref="D8:G8"/>
    <mergeCell ref="D10:H10"/>
    <mergeCell ref="AU16:AV16"/>
    <mergeCell ref="D17:G17"/>
    <mergeCell ref="D19:H19"/>
    <mergeCell ref="D11:G11"/>
    <mergeCell ref="D12:G12"/>
    <mergeCell ref="D13:G13"/>
    <mergeCell ref="D14:G14"/>
    <mergeCell ref="D15:G15"/>
    <mergeCell ref="D16:G16"/>
    <mergeCell ref="E30:O30"/>
    <mergeCell ref="R30:U30"/>
    <mergeCell ref="E31:O31"/>
    <mergeCell ref="R31:U31"/>
    <mergeCell ref="E32:O32"/>
    <mergeCell ref="R32:U32"/>
    <mergeCell ref="E25:M26"/>
    <mergeCell ref="E27:Q27"/>
    <mergeCell ref="R27:U27"/>
    <mergeCell ref="E28:O28"/>
    <mergeCell ref="R28:U28"/>
    <mergeCell ref="E29:O29"/>
    <mergeCell ref="R29:U29"/>
    <mergeCell ref="L43:P43"/>
    <mergeCell ref="Q43:T43"/>
    <mergeCell ref="E33:O33"/>
    <mergeCell ref="R33:U33"/>
    <mergeCell ref="E34:J34"/>
    <mergeCell ref="E42:G42"/>
    <mergeCell ref="H42:T42"/>
    <mergeCell ref="E43:G43"/>
    <mergeCell ref="H43:K43"/>
    <mergeCell ref="E41:T41"/>
    <mergeCell ref="E45:G45"/>
    <mergeCell ref="E46:E49"/>
    <mergeCell ref="F46:F49"/>
    <mergeCell ref="H45:I45"/>
    <mergeCell ref="J45:K45"/>
    <mergeCell ref="S45:T45"/>
    <mergeCell ref="E44:G44"/>
    <mergeCell ref="H44:K44"/>
    <mergeCell ref="E62:E70"/>
    <mergeCell ref="I63:L63"/>
    <mergeCell ref="M63:Q63"/>
    <mergeCell ref="R63:U63"/>
    <mergeCell ref="F64:F65"/>
    <mergeCell ref="I64:L64"/>
    <mergeCell ref="M64:Q64"/>
    <mergeCell ref="R64:U64"/>
    <mergeCell ref="I65:L65"/>
    <mergeCell ref="M65:Q65"/>
    <mergeCell ref="R65:U65"/>
    <mergeCell ref="F62:F63"/>
    <mergeCell ref="I62:L62"/>
    <mergeCell ref="M62:Q62"/>
    <mergeCell ref="E51:H51"/>
    <mergeCell ref="E52:H52"/>
    <mergeCell ref="M53:O53"/>
    <mergeCell ref="E59:H59"/>
    <mergeCell ref="I59:U59"/>
    <mergeCell ref="J54:L54"/>
    <mergeCell ref="J53:L53"/>
    <mergeCell ref="J52:L52"/>
    <mergeCell ref="BQ51:BQ77"/>
    <mergeCell ref="I75:U75"/>
    <mergeCell ref="L49:M49"/>
    <mergeCell ref="R70:U70"/>
    <mergeCell ref="M70:Q70"/>
    <mergeCell ref="I70:L70"/>
    <mergeCell ref="I69:L69"/>
    <mergeCell ref="M69:Q69"/>
    <mergeCell ref="I60:U60"/>
    <mergeCell ref="E61:F61"/>
    <mergeCell ref="I61:L61"/>
    <mergeCell ref="M61:Q61"/>
    <mergeCell ref="R61:U61"/>
    <mergeCell ref="R67:U67"/>
    <mergeCell ref="M67:Q67"/>
    <mergeCell ref="I67:L67"/>
    <mergeCell ref="R66:U66"/>
    <mergeCell ref="M66:Q66"/>
    <mergeCell ref="N46:P46"/>
    <mergeCell ref="N45:P45"/>
    <mergeCell ref="L48:M48"/>
    <mergeCell ref="L47:M47"/>
    <mergeCell ref="L46:M46"/>
    <mergeCell ref="H49:I49"/>
    <mergeCell ref="H48:I48"/>
    <mergeCell ref="H47:I47"/>
    <mergeCell ref="H46:I46"/>
    <mergeCell ref="J49:K49"/>
    <mergeCell ref="J48:K48"/>
    <mergeCell ref="J47:K47"/>
    <mergeCell ref="J46:K46"/>
    <mergeCell ref="I66:L66"/>
    <mergeCell ref="R62:U62"/>
    <mergeCell ref="Q45:R45"/>
    <mergeCell ref="Q44:T44"/>
    <mergeCell ref="L44:P44"/>
    <mergeCell ref="F66:F67"/>
    <mergeCell ref="F68:F69"/>
    <mergeCell ref="R69:U69"/>
    <mergeCell ref="R68:U68"/>
    <mergeCell ref="M68:Q68"/>
    <mergeCell ref="I68:L68"/>
    <mergeCell ref="L45:M45"/>
    <mergeCell ref="S49:T49"/>
    <mergeCell ref="S48:T48"/>
    <mergeCell ref="S47:T47"/>
    <mergeCell ref="S46:T46"/>
    <mergeCell ref="Q49:R49"/>
    <mergeCell ref="Q48:R48"/>
    <mergeCell ref="Q47:R47"/>
    <mergeCell ref="Q46:R46"/>
    <mergeCell ref="M52:O52"/>
    <mergeCell ref="N49:P49"/>
    <mergeCell ref="N48:P48"/>
    <mergeCell ref="N47:P47"/>
  </mergeCells>
  <conditionalFormatting sqref="I60:I61 M61 R61">
    <cfRule type="containsText" dxfId="234" priority="54" operator="containsText" text="N/D">
      <formula>NOT(ISERROR(SEARCH("N/D",I60)))</formula>
    </cfRule>
  </conditionalFormatting>
  <conditionalFormatting sqref="M53">
    <cfRule type="containsText" dxfId="233" priority="53" operator="containsText" text="Mur de">
      <formula>NOT(ISERROR(SEARCH("Mur de",M53)))</formula>
    </cfRule>
  </conditionalFormatting>
  <conditionalFormatting sqref="E50:U50 J45:J49 L44:L49 N45:N49 S45:S49 Q44:Q49 E43:T43 E42:H42 E44:H49">
    <cfRule type="containsText" dxfId="232" priority="52" operator="containsText" text="N/D">
      <formula>NOT(ISERROR(SEARCH("N/D",E42)))</formula>
    </cfRule>
  </conditionalFormatting>
  <conditionalFormatting sqref="L46:L49 N46:N49">
    <cfRule type="cellIs" dxfId="231" priority="9" operator="equal">
      <formula>$J$30</formula>
    </cfRule>
  </conditionalFormatting>
  <conditionalFormatting sqref="M52">
    <cfRule type="containsText" dxfId="230" priority="7" operator="containsText" text="FM">
      <formula>NOT(ISERROR(SEARCH("FM",M52)))</formula>
    </cfRule>
  </conditionalFormatting>
  <dataValidations disablePrompts="1" count="1">
    <dataValidation type="whole" operator="notEqual" allowBlank="1" showInputMessage="1" showErrorMessage="1" sqref="Z7" xr:uid="{96A43495-349C-4F18-A35A-BC7E973BE8E2}">
      <formula1>2</formula1>
    </dataValidation>
  </dataValidations>
  <hyperlinks>
    <hyperlink ref="E51" r:id="rId1" xr:uid="{221C443F-BB9A-400D-BFB6-CE56EE0B88A0}"/>
  </hyperlinks>
  <pageMargins left="0.7" right="0.7" top="0.75" bottom="0.75" header="0.3" footer="0.3"/>
  <pageSetup scale="49" fitToHeight="0" orientation="landscape" r:id="rId2"/>
  <headerFooter>
    <oddHeader>&amp;R&amp;G</oddHeader>
    <oddFooter>&amp;LImprimé le : &amp;D - &amp;T&amp;R&amp;P</oddFooter>
  </headerFooter>
  <rowBreaks count="2" manualBreakCount="2">
    <brk id="38" max="20" man="1"/>
    <brk id="77" max="20" man="1"/>
  </rowBreaks>
  <colBreaks count="1" manualBreakCount="1">
    <brk id="22" max="1048575" man="1"/>
  </colBreaks>
  <drawing r:id="rId3"/>
  <legacyDrawingHF r:id="rId4"/>
  <extLst>
    <ext xmlns:x14="http://schemas.microsoft.com/office/spreadsheetml/2009/9/main" uri="{78C0D931-6437-407d-A8EE-F0AAD7539E65}">
      <x14:conditionalFormattings>
        <x14:conditionalFormatting xmlns:xm="http://schemas.microsoft.com/office/excel/2006/main">
          <x14:cfRule type="cellIs" priority="10" operator="equal" id="{3A23C854-3849-4EB4-AF19-E9EA4725B94E}">
            <xm:f>'Synthèse résultat'!$P$11</xm:f>
            <x14:dxf>
              <fill>
                <patternFill>
                  <bgColor theme="7" tint="0.79998168889431442"/>
                </patternFill>
              </fill>
            </x14:dxf>
          </x14:cfRule>
          <xm:sqref>H46:H49 J46:J49</xm:sqref>
        </x14:conditionalFormatting>
        <x14:conditionalFormatting xmlns:xm="http://schemas.microsoft.com/office/excel/2006/main">
          <x14:cfRule type="cellIs" priority="12" operator="equal" id="{668AA4C8-5347-4389-9531-5CA51697C413}">
            <xm:f>'Synthèse résultat'!$P$19</xm:f>
            <x14:dxf>
              <fill>
                <patternFill>
                  <bgColor theme="7" tint="0.79998168889431442"/>
                </patternFill>
              </fill>
            </x14:dxf>
          </x14:cfRule>
          <xm:sqref>Q46:Q49 S46:S49</xm:sqref>
        </x14:conditionalFormatting>
        <x14:conditionalFormatting xmlns:xm="http://schemas.microsoft.com/office/excel/2006/main">
          <x14:cfRule type="cellIs" priority="11" operator="equal" id="{55460BBB-1BC4-4BDF-A942-DB7660932F9C}">
            <xm:f>'Synthèse résultat'!$P$15</xm:f>
            <x14:dxf>
              <fill>
                <patternFill>
                  <bgColor theme="7" tint="0.79998168889431442"/>
                </patternFill>
              </fill>
            </x14:dxf>
          </x14:cfRule>
          <xm:sqref>L46:L49 N46:N49</xm:sqref>
        </x14:conditionalFormatting>
        <x14:conditionalFormatting xmlns:xm="http://schemas.microsoft.com/office/excel/2006/main">
          <x14:cfRule type="cellIs" priority="37" operator="equal" id="{60338261-2A8B-43C1-A3DC-7030A8F8FD93}">
            <xm:f>'Synthèse résultat'!$AQ$11</xm:f>
            <x14:dxf>
              <fill>
                <patternFill>
                  <bgColor theme="2" tint="-9.9948118533890809E-2"/>
                </patternFill>
              </fill>
            </x14:dxf>
          </x14:cfRule>
          <x14:cfRule type="cellIs" priority="43" operator="equal" id="{48AF442E-5FF8-4627-A213-4E699E73867F}">
            <xm:f>'Synthèse résultat'!$B$86</xm:f>
            <x14:dxf>
              <fill>
                <patternFill>
                  <bgColor theme="9" tint="0.79998168889431442"/>
                </patternFill>
              </fill>
            </x14:dxf>
          </x14:cfRule>
          <xm:sqref>H46:H49</xm:sqref>
        </x14:conditionalFormatting>
        <x14:conditionalFormatting xmlns:xm="http://schemas.microsoft.com/office/excel/2006/main">
          <x14:cfRule type="cellIs" priority="36" operator="equal" id="{5E2193BC-E14D-4830-8466-FB1D2F80918F}">
            <xm:f>'Synthèse résultat'!$AQ$12</xm:f>
            <x14:dxf>
              <fill>
                <patternFill>
                  <bgColor theme="2" tint="-9.9948118533890809E-2"/>
                </patternFill>
              </fill>
            </x14:dxf>
          </x14:cfRule>
          <x14:cfRule type="cellIs" priority="42" operator="equal" id="{41D05728-53BF-40E0-BB8C-8942F4D86AE3}">
            <xm:f>'Synthèse résultat'!$C$86</xm:f>
            <x14:dxf>
              <fill>
                <patternFill>
                  <bgColor theme="9" tint="0.79998168889431442"/>
                </patternFill>
              </fill>
            </x14:dxf>
          </x14:cfRule>
          <xm:sqref>J46:J49</xm:sqref>
        </x14:conditionalFormatting>
        <x14:conditionalFormatting xmlns:xm="http://schemas.microsoft.com/office/excel/2006/main">
          <x14:cfRule type="cellIs" priority="41" operator="equal" id="{76910360-3453-417E-B629-A0E411F314DB}">
            <xm:f>'Synthèse résultat'!$D$86</xm:f>
            <x14:dxf>
              <fill>
                <patternFill>
                  <bgColor theme="9" tint="0.79998168889431442"/>
                </patternFill>
              </fill>
            </x14:dxf>
          </x14:cfRule>
          <xm:sqref>L46:L49 N46:N49</xm:sqref>
        </x14:conditionalFormatting>
        <x14:conditionalFormatting xmlns:xm="http://schemas.microsoft.com/office/excel/2006/main">
          <x14:cfRule type="cellIs" priority="40" operator="equal" id="{09ECEABF-320D-4105-A97B-AE72894249EE}">
            <xm:f>'Synthèse résultat'!$E$86</xm:f>
            <x14:dxf>
              <fill>
                <patternFill>
                  <bgColor theme="9" tint="0.79998168889431442"/>
                </patternFill>
              </fill>
            </x14:dxf>
          </x14:cfRule>
          <xm:sqref>N46:N49</xm:sqref>
        </x14:conditionalFormatting>
        <x14:conditionalFormatting xmlns:xm="http://schemas.microsoft.com/office/excel/2006/main">
          <x14:cfRule type="cellIs" priority="39" operator="equal" id="{E60E6B1B-A887-4AB2-8BDD-316258799DDE}">
            <xm:f>'Synthèse résultat'!$F$86</xm:f>
            <x14:dxf>
              <fill>
                <patternFill>
                  <bgColor theme="9" tint="0.79998168889431442"/>
                </patternFill>
              </fill>
            </x14:dxf>
          </x14:cfRule>
          <xm:sqref>Q46:Q49</xm:sqref>
        </x14:conditionalFormatting>
        <x14:conditionalFormatting xmlns:xm="http://schemas.microsoft.com/office/excel/2006/main">
          <x14:cfRule type="cellIs" priority="38" operator="equal" id="{3B22A4D1-DE5D-44AC-B7BA-DF92C68A288F}">
            <xm:f>'Synthèse résultat'!$G$86</xm:f>
            <x14:dxf>
              <fill>
                <patternFill>
                  <bgColor theme="9" tint="0.79998168889431442"/>
                </patternFill>
              </fill>
            </x14:dxf>
          </x14:cfRule>
          <xm:sqref>S46:S49</xm:sqref>
        </x14:conditionalFormatting>
        <x14:conditionalFormatting xmlns:xm="http://schemas.microsoft.com/office/excel/2006/main">
          <x14:cfRule type="cellIs" priority="33" operator="equal" id="{61223121-AA1B-4FBF-8CA7-BEE579D4D195}">
            <xm:f>'Synthèse résultat'!$AQ$15</xm:f>
            <x14:dxf>
              <fill>
                <patternFill>
                  <bgColor theme="2" tint="-9.9948118533890809E-2"/>
                </patternFill>
              </fill>
            </x14:dxf>
          </x14:cfRule>
          <xm:sqref>L46:L48</xm:sqref>
        </x14:conditionalFormatting>
        <x14:conditionalFormatting xmlns:xm="http://schemas.microsoft.com/office/excel/2006/main">
          <x14:cfRule type="cellIs" priority="32" operator="equal" id="{4E502278-2AA1-4002-A2F4-435D4D1500E0}">
            <xm:f>'Synthèse résultat'!$AQ$16</xm:f>
            <x14:dxf>
              <fill>
                <patternFill>
                  <bgColor theme="2" tint="-9.9948118533890809E-2"/>
                </patternFill>
              </fill>
            </x14:dxf>
          </x14:cfRule>
          <xm:sqref>N46:N48</xm:sqref>
        </x14:conditionalFormatting>
        <x14:conditionalFormatting xmlns:xm="http://schemas.microsoft.com/office/excel/2006/main">
          <x14:cfRule type="cellIs" priority="31" operator="equal" id="{EE2F899B-F3F0-43E7-B2C9-3C4C6785427F}">
            <xm:f>'Synthèse résultat'!$AQ$19</xm:f>
            <x14:dxf>
              <fill>
                <patternFill>
                  <bgColor theme="2" tint="-9.9948118533890809E-2"/>
                </patternFill>
              </fill>
            </x14:dxf>
          </x14:cfRule>
          <xm:sqref>Q46:Q48</xm:sqref>
        </x14:conditionalFormatting>
        <x14:conditionalFormatting xmlns:xm="http://schemas.microsoft.com/office/excel/2006/main">
          <x14:cfRule type="cellIs" priority="30" operator="equal" id="{7E93CEE9-E9FE-4480-88C2-81D1FB097251}">
            <xm:f>'Synthèse résultat'!$AQ$20</xm:f>
            <x14:dxf>
              <fill>
                <patternFill>
                  <bgColor theme="2" tint="-9.9948118533890809E-2"/>
                </patternFill>
              </fill>
            </x14:dxf>
          </x14:cfRule>
          <xm:sqref>S46:S48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0FEAD-0607-478D-957D-FA1D2E61E9E8}">
  <sheetPr published="0" codeName="Feuil4">
    <pageSetUpPr fitToPage="1"/>
  </sheetPr>
  <dimension ref="A1:CS541"/>
  <sheetViews>
    <sheetView topLeftCell="A13" zoomScale="60" zoomScaleNormal="74" zoomScaleSheetLayoutView="100" zoomScalePageLayoutView="70" workbookViewId="0">
      <selection activeCell="B3" sqref="B3:K6"/>
    </sheetView>
  </sheetViews>
  <sheetFormatPr defaultColWidth="11.42578125" defaultRowHeight="14.45"/>
  <cols>
    <col min="1" max="4" width="2.85546875" customWidth="1"/>
    <col min="5" max="5" width="9" customWidth="1"/>
    <col min="6" max="6" width="5.5703125" customWidth="1"/>
    <col min="7" max="7" width="14.28515625" customWidth="1"/>
    <col min="8" max="8" width="15.140625" customWidth="1"/>
    <col min="9" max="9" width="16.5703125" customWidth="1"/>
    <col min="10" max="10" width="17.5703125" customWidth="1"/>
    <col min="11" max="12" width="19.7109375" customWidth="1"/>
    <col min="13" max="13" width="15.42578125" customWidth="1"/>
    <col min="14" max="14" width="17.140625" customWidth="1"/>
    <col min="15" max="15" width="15.42578125" customWidth="1"/>
    <col min="16" max="16" width="1.140625" customWidth="1"/>
    <col min="17" max="17" width="17.140625" customWidth="1"/>
    <col min="18" max="18" width="15.42578125" customWidth="1"/>
    <col min="19" max="19" width="17.42578125" customWidth="1"/>
    <col min="20" max="20" width="15.42578125" customWidth="1"/>
    <col min="21" max="21" width="16.5703125" customWidth="1"/>
    <col min="22" max="22" width="17.140625" customWidth="1"/>
    <col min="23" max="23" width="12.7109375" bestFit="1" customWidth="1"/>
    <col min="24" max="24" width="5.42578125" style="129" customWidth="1"/>
    <col min="25" max="25" width="10.85546875" style="129" customWidth="1"/>
    <col min="26" max="26" width="11.42578125" style="129" customWidth="1"/>
    <col min="27" max="27" width="15.42578125" customWidth="1"/>
    <col min="28" max="28" width="15.85546875" customWidth="1"/>
    <col min="29" max="29" width="6.7109375" customWidth="1"/>
    <col min="30" max="30" width="9.28515625" customWidth="1"/>
    <col min="31" max="32" width="11.85546875" customWidth="1"/>
    <col min="33" max="34" width="10.7109375" customWidth="1"/>
    <col min="35" max="36" width="6" customWidth="1"/>
    <col min="37" max="37" width="27.42578125" customWidth="1"/>
    <col min="38" max="41" width="7.5703125" customWidth="1"/>
    <col min="42" max="42" width="18.42578125" customWidth="1"/>
    <col min="43" max="47" width="5" customWidth="1"/>
    <col min="48" max="48" width="11.85546875" customWidth="1"/>
    <col min="49" max="50" width="4.5703125" customWidth="1"/>
    <col min="51" max="51" width="17.5703125" customWidth="1"/>
    <col min="52" max="52" width="11.5703125" customWidth="1"/>
    <col min="53" max="53" width="15.140625" customWidth="1"/>
    <col min="56" max="56" width="11.5703125" customWidth="1"/>
    <col min="57" max="57" width="15.28515625" customWidth="1"/>
    <col min="60" max="60" width="11.5703125" customWidth="1"/>
    <col min="61" max="61" width="15.140625" customWidth="1"/>
    <col min="64" max="64" width="11.5703125" customWidth="1"/>
    <col min="65" max="65" width="14.28515625" customWidth="1"/>
  </cols>
  <sheetData>
    <row r="1" spans="1:96">
      <c r="A1" s="137"/>
      <c r="B1" s="137"/>
      <c r="C1" s="137"/>
      <c r="D1" s="1553">
        <f ca="1">TODAY()</f>
        <v>46136</v>
      </c>
      <c r="E1" s="1553"/>
      <c r="F1" s="1553"/>
      <c r="G1" s="1553"/>
      <c r="H1" s="1553"/>
      <c r="I1" s="137"/>
      <c r="J1" s="137"/>
      <c r="K1" s="137"/>
      <c r="L1" s="137"/>
      <c r="M1" s="137"/>
      <c r="N1" s="137"/>
      <c r="O1" s="137"/>
      <c r="P1" s="137"/>
      <c r="Q1" s="137"/>
      <c r="R1" s="137"/>
      <c r="S1" s="137"/>
      <c r="T1" s="137"/>
      <c r="U1" s="137"/>
    </row>
    <row r="2" spans="1:96" ht="20.45" customHeight="1">
      <c r="A2" s="137"/>
      <c r="B2" s="137"/>
      <c r="C2" s="137"/>
      <c r="D2" s="137"/>
      <c r="E2" s="137"/>
      <c r="F2" s="137"/>
      <c r="G2" s="137"/>
      <c r="H2" s="137"/>
      <c r="I2" s="137"/>
      <c r="J2" s="137"/>
      <c r="K2" s="137"/>
      <c r="L2" s="137"/>
      <c r="M2" s="137"/>
      <c r="N2" s="137"/>
      <c r="O2" s="137"/>
      <c r="P2" s="137"/>
      <c r="Q2" s="137"/>
      <c r="R2" s="137"/>
      <c r="S2" s="137"/>
      <c r="T2" s="137"/>
      <c r="U2" s="137"/>
    </row>
    <row r="3" spans="1:96" ht="29.1" customHeight="1">
      <c r="A3" s="137"/>
      <c r="B3" s="137"/>
      <c r="C3" s="137"/>
      <c r="D3" s="1440" t="s">
        <v>235</v>
      </c>
      <c r="E3" s="1440"/>
      <c r="F3" s="1440"/>
      <c r="G3" s="1440"/>
      <c r="H3" s="1440"/>
      <c r="I3" s="1440"/>
      <c r="J3" s="1440"/>
      <c r="K3" s="137"/>
      <c r="L3" s="137"/>
      <c r="M3" s="137"/>
      <c r="N3" s="137"/>
      <c r="O3" s="137"/>
      <c r="P3" s="137"/>
      <c r="Q3" s="137"/>
      <c r="R3" s="137"/>
      <c r="S3" s="137"/>
      <c r="T3" s="137"/>
      <c r="U3" s="137"/>
      <c r="X3" s="752"/>
    </row>
    <row r="4" spans="1:96" ht="26.45" customHeight="1">
      <c r="A4" s="137"/>
      <c r="B4" s="137"/>
      <c r="C4" s="137"/>
      <c r="D4" s="137"/>
      <c r="E4" s="137"/>
      <c r="F4" s="137"/>
      <c r="G4" s="137"/>
      <c r="H4" s="137"/>
      <c r="I4" s="137"/>
      <c r="J4" s="137"/>
      <c r="K4" s="137"/>
      <c r="L4" s="137"/>
      <c r="M4" s="137"/>
      <c r="N4" s="137"/>
      <c r="O4" s="137"/>
      <c r="P4" s="137"/>
      <c r="Q4" s="137"/>
      <c r="R4" s="137"/>
      <c r="S4" s="137"/>
      <c r="T4" s="137"/>
      <c r="U4" s="137"/>
      <c r="CR4" s="1404"/>
    </row>
    <row r="5" spans="1:96" ht="27.4" customHeight="1">
      <c r="A5" s="137"/>
      <c r="B5" s="137"/>
      <c r="C5" s="137"/>
      <c r="D5" s="1422" t="s">
        <v>236</v>
      </c>
      <c r="E5" s="1422"/>
      <c r="F5" s="1422"/>
      <c r="G5" s="1422"/>
      <c r="H5" s="1422"/>
      <c r="I5" s="137"/>
      <c r="J5" s="137"/>
      <c r="K5" s="137"/>
      <c r="L5" s="137"/>
      <c r="M5" s="137"/>
      <c r="N5" s="137"/>
      <c r="O5" s="137"/>
      <c r="P5" s="137"/>
      <c r="Q5" s="137"/>
      <c r="R5" s="137"/>
      <c r="S5" s="137"/>
      <c r="T5" s="137"/>
      <c r="U5" s="608"/>
      <c r="V5" s="13"/>
      <c r="W5" s="13"/>
      <c r="CR5" s="1404"/>
    </row>
    <row r="6" spans="1:96" ht="33.6" customHeight="1">
      <c r="A6" s="137"/>
      <c r="B6" s="137"/>
      <c r="C6" s="137"/>
      <c r="D6" s="1281" t="s">
        <v>237</v>
      </c>
      <c r="E6" s="1281"/>
      <c r="F6" s="589" t="str">
        <f>'Saisie de données'!D9</f>
        <v>Formation sur l'outil de calcul d'espacement des entremises</v>
      </c>
      <c r="G6" s="554"/>
      <c r="H6" s="137"/>
      <c r="I6" s="137"/>
      <c r="J6" s="137"/>
      <c r="K6" s="137"/>
      <c r="L6" s="137"/>
      <c r="M6" s="609"/>
      <c r="N6" s="137"/>
      <c r="O6" s="137"/>
      <c r="P6" s="137"/>
      <c r="Q6" s="137"/>
      <c r="R6" s="137"/>
      <c r="S6" s="137"/>
      <c r="T6" s="137"/>
      <c r="U6" s="608"/>
      <c r="V6" s="13"/>
      <c r="W6" s="13"/>
      <c r="CR6" s="1404"/>
    </row>
    <row r="7" spans="1:96" ht="33.950000000000003" customHeight="1">
      <c r="A7" s="137"/>
      <c r="B7" s="137"/>
      <c r="C7" s="137"/>
      <c r="D7" s="1281" t="s">
        <v>238</v>
      </c>
      <c r="E7" s="1281"/>
      <c r="F7" s="589" t="str">
        <f>'Saisie de données'!D8</f>
        <v>Norbec</v>
      </c>
      <c r="G7" s="554"/>
      <c r="H7" s="137"/>
      <c r="I7" s="137"/>
      <c r="J7" s="137"/>
      <c r="K7" s="137"/>
      <c r="L7" s="137"/>
      <c r="M7" s="137"/>
      <c r="N7" s="137"/>
      <c r="O7" s="137"/>
      <c r="P7" s="137"/>
      <c r="Q7" s="137"/>
      <c r="R7" s="137"/>
      <c r="S7" s="137"/>
      <c r="T7" s="137"/>
      <c r="U7" s="608"/>
      <c r="V7" s="13"/>
      <c r="W7" s="13"/>
      <c r="CR7" s="1404"/>
    </row>
    <row r="8" spans="1:96" ht="30.6" customHeight="1">
      <c r="A8" s="137"/>
      <c r="B8" s="137"/>
      <c r="C8" s="137"/>
      <c r="D8" s="1443" t="s">
        <v>239</v>
      </c>
      <c r="E8" s="1443"/>
      <c r="F8" s="1443"/>
      <c r="G8" s="1443"/>
      <c r="H8" s="610" t="str">
        <f>IF('Saisie de données'!$D$16='Menu déroulant'!$B$21,'Saisie de données'!$J$20&amp;", "&amp;'Saisie de données'!$D$20,'Saisie de données'!J24&amp;", "&amp;'Saisie de données'!D24)</f>
        <v>, Ontario</v>
      </c>
      <c r="I8" s="137"/>
      <c r="J8" s="137"/>
      <c r="K8" s="137"/>
      <c r="L8" s="137"/>
      <c r="M8" s="137"/>
      <c r="N8" s="137"/>
      <c r="O8" s="137"/>
      <c r="P8" s="137"/>
      <c r="Q8" s="137"/>
      <c r="R8" s="137"/>
      <c r="S8" s="137"/>
      <c r="T8" s="137"/>
      <c r="U8" s="608"/>
      <c r="V8" s="13"/>
      <c r="W8" s="13"/>
      <c r="CR8" s="1404"/>
    </row>
    <row r="9" spans="1:96">
      <c r="A9" s="137"/>
      <c r="B9" s="137"/>
      <c r="C9" s="137"/>
      <c r="D9" s="137"/>
      <c r="E9" s="137"/>
      <c r="F9" s="137"/>
      <c r="G9" s="137"/>
      <c r="H9" s="611"/>
      <c r="I9" s="137"/>
      <c r="J9" s="137"/>
      <c r="K9" s="137"/>
      <c r="L9" s="137"/>
      <c r="M9" s="137"/>
      <c r="N9" s="137"/>
      <c r="O9" s="454"/>
      <c r="P9" s="454"/>
      <c r="Q9" s="137"/>
      <c r="R9" s="137"/>
      <c r="S9" s="137"/>
      <c r="T9" s="608"/>
      <c r="U9" s="608"/>
      <c r="V9" s="13"/>
      <c r="W9" s="13"/>
      <c r="CR9" s="1404"/>
    </row>
    <row r="10" spans="1:96" ht="14.45" customHeight="1">
      <c r="A10" s="137"/>
      <c r="B10" s="137"/>
      <c r="C10" s="137"/>
      <c r="D10" s="1422" t="s">
        <v>240</v>
      </c>
      <c r="E10" s="1422"/>
      <c r="F10" s="1422"/>
      <c r="G10" s="1422"/>
      <c r="H10" s="1422"/>
      <c r="I10" s="137"/>
      <c r="J10" s="137"/>
      <c r="K10" s="137"/>
      <c r="L10" s="612"/>
      <c r="M10" s="608"/>
      <c r="N10" s="137"/>
      <c r="O10" s="454"/>
      <c r="P10" s="454"/>
      <c r="Q10" s="137"/>
      <c r="R10" s="137"/>
      <c r="S10" s="137"/>
      <c r="T10" s="608"/>
      <c r="U10" s="608"/>
      <c r="V10" s="13"/>
      <c r="W10" s="13"/>
      <c r="CR10" s="1404"/>
    </row>
    <row r="11" spans="1:96">
      <c r="A11" s="137"/>
      <c r="B11" s="137"/>
      <c r="C11" s="137"/>
      <c r="D11" s="1444" t="s">
        <v>241</v>
      </c>
      <c r="E11" s="1444"/>
      <c r="F11" s="1444"/>
      <c r="G11" s="1444"/>
      <c r="H11" s="610" t="str" cm="1">
        <f t="array" ref="H11">_xlfn.IFS(OR(ISNUMBER('Saisie de données'!E30),ISNUMBER('Saisie de données'!E31)),"",'Saisie de données'!$D$16='Menu déroulant'!$B$21,"NBCC 2020",'Saisie de données'!$D$16='Menu déroulant'!$B$20,"ASCE 7-16")</f>
        <v>NBCC 2020</v>
      </c>
      <c r="I11" s="137"/>
      <c r="J11" s="137"/>
      <c r="K11" s="137"/>
      <c r="L11" s="612"/>
      <c r="M11" s="608"/>
      <c r="N11" s="137"/>
      <c r="O11" s="137"/>
      <c r="P11" s="137"/>
      <c r="Q11" s="137"/>
      <c r="R11" s="137"/>
      <c r="S11" s="137"/>
      <c r="T11" s="608"/>
      <c r="U11" s="608"/>
      <c r="V11" s="13"/>
      <c r="W11" s="13"/>
      <c r="CR11" s="1404"/>
    </row>
    <row r="12" spans="1:96" ht="15" customHeight="1">
      <c r="A12" s="137"/>
      <c r="B12" s="137"/>
      <c r="C12" s="137"/>
      <c r="D12" s="1444" t="s">
        <v>78</v>
      </c>
      <c r="E12" s="1444"/>
      <c r="F12" s="1444"/>
      <c r="G12" s="1444"/>
      <c r="H12" s="610" t="str">
        <f>VLOOKUP('Saisie de données'!D13,'Menu déroulant'!AA3:AD17,3,0)</f>
        <v>No</v>
      </c>
      <c r="I12" s="137"/>
      <c r="J12" s="137"/>
      <c r="K12" s="137"/>
      <c r="L12" s="240"/>
      <c r="M12" s="137"/>
      <c r="N12" s="137"/>
      <c r="O12" s="454"/>
      <c r="P12" s="454"/>
      <c r="Q12" s="137"/>
      <c r="R12" s="137"/>
      <c r="S12" s="137"/>
      <c r="T12" s="608"/>
      <c r="U12" s="608"/>
      <c r="V12" s="13"/>
      <c r="W12" s="13"/>
      <c r="X12" s="735"/>
      <c r="Y12" s="735"/>
      <c r="Z12" s="735"/>
      <c r="AA12" s="13"/>
      <c r="CR12" s="1404"/>
    </row>
    <row r="13" spans="1:96" ht="13.9" customHeight="1">
      <c r="A13" s="137"/>
      <c r="B13" s="137"/>
      <c r="C13" s="137"/>
      <c r="D13" s="1443" t="str">
        <f>IF('Saisie de données'!$D$16='Menu déroulant'!$B$21,"Building risk category:","Basic wind speed (3 sec. Gust):")</f>
        <v>Building risk category:</v>
      </c>
      <c r="E13" s="1443"/>
      <c r="F13" s="1443"/>
      <c r="G13" s="1443"/>
      <c r="H13" s="610" t="str" cm="1">
        <f t="array" ref="H13">_xlfn.IFS(OR(ISNUMBER('Saisie de données'!E30),ISNUMBER('Saisie de données'!E31)),"",'Saisie de données'!$D$16='Menu déroulant'!$B$21,VLOOKUP('Saisie de données'!E45,'Menu déroulant'!AA4:AD17,3,0),'Saisie de données'!$D$16='Menu déroulant'!$B$20,'Saisie de données'!$K$45&amp;" "&amp;"mph")</f>
        <v>Normal</v>
      </c>
      <c r="I13" s="137"/>
      <c r="J13" s="137"/>
      <c r="K13" s="137"/>
      <c r="L13" s="137"/>
      <c r="M13" s="137"/>
      <c r="N13" s="137"/>
      <c r="O13" s="137"/>
      <c r="P13" s="137"/>
      <c r="Q13" s="137"/>
      <c r="R13" s="137"/>
      <c r="S13" s="137"/>
      <c r="T13" s="137"/>
      <c r="U13" s="137"/>
      <c r="V13" s="13"/>
      <c r="W13" s="13"/>
      <c r="X13" s="735"/>
      <c r="Y13" s="735"/>
      <c r="Z13" s="735"/>
      <c r="AA13" s="13"/>
      <c r="CR13" s="1404"/>
    </row>
    <row r="14" spans="1:96" ht="13.9" customHeight="1">
      <c r="A14" s="137"/>
      <c r="B14" s="137"/>
      <c r="C14" s="137"/>
      <c r="D14" s="1443" t="str">
        <f>IF('Saisie de données'!$D$16='Menu déroulant'!$B$21,"Terrain type:","Exposure class:")</f>
        <v>Terrain type:</v>
      </c>
      <c r="E14" s="1443"/>
      <c r="F14" s="1443"/>
      <c r="G14" s="1443"/>
      <c r="H14" s="610" t="str" cm="1">
        <f t="array" ref="H14">_xlfn.IFS(OR(ISNUMBER('Saisie de données'!E30),ISNUMBER('Saisie de données'!E31)),"",'Saisie de données'!$D$16='Menu déroulant'!$B$21,VLOOKUP('Saisie de données'!E49,'Menu déroulant'!AA4:AD17,3,0),'Saisie de données'!$D$16='Menu déroulant'!$B$20,'Saisie de données'!$K$49)</f>
        <v>Open</v>
      </c>
      <c r="I14" s="137"/>
      <c r="J14" s="137"/>
      <c r="K14" s="137"/>
      <c r="L14" s="137"/>
      <c r="M14" s="137"/>
      <c r="N14" s="137"/>
      <c r="O14" s="137"/>
      <c r="P14" s="137"/>
      <c r="Q14" s="137"/>
      <c r="R14" s="137"/>
      <c r="S14" s="137"/>
      <c r="T14" s="137"/>
      <c r="U14" s="137"/>
      <c r="V14" s="13"/>
      <c r="W14" s="13"/>
      <c r="X14" s="735"/>
      <c r="Y14" s="735"/>
      <c r="Z14" s="735"/>
      <c r="AA14" s="13"/>
      <c r="CR14" s="1404"/>
    </row>
    <row r="15" spans="1:96" ht="13.9" customHeight="1">
      <c r="A15" s="137"/>
      <c r="B15" s="137"/>
      <c r="C15" s="137"/>
      <c r="D15" s="1443" t="s">
        <v>242</v>
      </c>
      <c r="E15" s="1443"/>
      <c r="F15" s="1443"/>
      <c r="G15" s="1443"/>
      <c r="H15" s="610" t="str" cm="1">
        <f t="array" ref="H15">_xlfn.IFS(OR(ISNUMBER('Saisie de données'!E30),ISNUMBER('Saisie de données'!E31)),"",'Saisie de données'!$D$16='Menu déroulant'!$B$21,VLOOKUP('Saisie de données'!E47,'Menu déroulant'!AA4:AD17,3,0),'Saisie de données'!$D$16='Menu déroulant'!$B$20,'Saisie de données'!K47)</f>
        <v>Category 2</v>
      </c>
      <c r="I15" s="137"/>
      <c r="J15" s="137"/>
      <c r="K15" s="137"/>
      <c r="L15" s="137"/>
      <c r="M15" s="137"/>
      <c r="N15" s="137"/>
      <c r="O15" s="137"/>
      <c r="P15" s="137"/>
      <c r="R15" s="137"/>
      <c r="S15" s="137"/>
      <c r="T15" s="137"/>
      <c r="U15" s="137"/>
      <c r="V15" s="13"/>
      <c r="W15" s="13"/>
      <c r="X15" s="735"/>
      <c r="Y15" s="735"/>
      <c r="Z15" s="735"/>
      <c r="AA15" s="13"/>
      <c r="BC15" s="129"/>
      <c r="BD15" s="327"/>
      <c r="CR15" s="1404"/>
    </row>
    <row r="16" spans="1:96" ht="16.899999999999999" customHeight="1">
      <c r="A16" s="137"/>
      <c r="B16" s="137"/>
      <c r="C16" s="137"/>
      <c r="D16" s="1281" t="s">
        <v>243</v>
      </c>
      <c r="E16" s="1281"/>
      <c r="F16" s="1281"/>
      <c r="G16" s="1281"/>
      <c r="H16" s="138" t="str" cm="1">
        <f t="array" ref="H16">_xlfn.IFS(OR(ISNUMBER('Saisie de données'!E30),ISNUMBER('Saisie de données'!E31)),"",OR('Saisie de données'!E51='Menu déroulant'!AE56,'Saisie de données'!K51='Menu déroulant'!AE56),'Menu déroulant'!$AG$56,OR('Saisie de données'!E51='Menu déroulant'!AE57,'Saisie de données'!K51='Menu déroulant'!AE57),'Menu déroulant'!AG57)</f>
        <v>Flat Terrain</v>
      </c>
      <c r="I16" s="137"/>
      <c r="J16" s="137"/>
      <c r="K16" s="137"/>
      <c r="L16" s="137"/>
      <c r="M16" s="137"/>
      <c r="N16" s="137"/>
      <c r="O16" s="137"/>
      <c r="P16" s="137"/>
      <c r="Q16" s="137"/>
      <c r="R16" s="137"/>
      <c r="S16" s="137"/>
      <c r="T16" s="137"/>
      <c r="U16" s="137"/>
      <c r="V16" s="14"/>
      <c r="W16" s="736"/>
      <c r="X16"/>
      <c r="Y16"/>
      <c r="Z16" s="735"/>
      <c r="AA16" s="13"/>
      <c r="AJ16" s="16"/>
      <c r="AR16" s="16"/>
      <c r="AU16" s="1397"/>
      <c r="AV16" s="1397"/>
      <c r="BC16" s="129"/>
      <c r="BD16" s="327"/>
      <c r="CR16" s="1404"/>
    </row>
    <row r="17" spans="1:96" ht="16.899999999999999" customHeight="1">
      <c r="A17" s="137"/>
      <c r="B17" s="137"/>
      <c r="C17" s="137"/>
      <c r="D17" s="1281"/>
      <c r="E17" s="1281"/>
      <c r="F17" s="1281"/>
      <c r="G17" s="1281"/>
      <c r="H17" s="589"/>
      <c r="I17" s="137"/>
      <c r="J17" s="137"/>
      <c r="K17" s="137"/>
      <c r="L17" s="137"/>
      <c r="M17" s="137"/>
      <c r="N17" s="137"/>
      <c r="O17" s="137"/>
      <c r="P17" s="137"/>
      <c r="Q17" s="137"/>
      <c r="R17" s="137"/>
      <c r="S17" s="137"/>
      <c r="T17" s="137"/>
      <c r="U17" s="137"/>
      <c r="V17" s="736"/>
      <c r="W17" s="736"/>
      <c r="X17"/>
      <c r="Y17"/>
      <c r="Z17" s="735"/>
      <c r="AA17" s="13"/>
      <c r="AJ17" s="16"/>
      <c r="AR17" s="16"/>
      <c r="AU17" s="129"/>
      <c r="AV17" s="129"/>
      <c r="BC17" s="129"/>
      <c r="BD17" s="327"/>
      <c r="CR17" s="1404"/>
    </row>
    <row r="18" spans="1:96" ht="16.899999999999999" customHeight="1">
      <c r="A18" s="137"/>
      <c r="B18" s="137"/>
      <c r="C18" s="137"/>
      <c r="D18" s="554"/>
      <c r="E18" s="554"/>
      <c r="F18" s="554"/>
      <c r="G18" s="554"/>
      <c r="H18" s="589"/>
      <c r="I18" s="137"/>
      <c r="J18" s="137"/>
      <c r="K18" s="137"/>
      <c r="L18" s="137"/>
      <c r="M18" s="137"/>
      <c r="N18" s="137"/>
      <c r="O18" s="137"/>
      <c r="P18" s="137"/>
      <c r="Q18" s="137"/>
      <c r="R18" s="137"/>
      <c r="S18" s="137"/>
      <c r="T18" s="137"/>
      <c r="U18" s="137"/>
      <c r="V18" s="736"/>
      <c r="W18" s="736"/>
      <c r="X18"/>
      <c r="Y18"/>
      <c r="Z18" s="735"/>
      <c r="AA18" s="13"/>
      <c r="AJ18" s="16"/>
      <c r="AR18" s="16"/>
      <c r="AU18" s="129"/>
      <c r="AV18" s="129"/>
      <c r="BC18" s="129"/>
      <c r="BD18" s="327"/>
      <c r="CR18" s="1404"/>
    </row>
    <row r="19" spans="1:96" ht="16.899999999999999" customHeight="1">
      <c r="A19" s="137"/>
      <c r="B19" s="137"/>
      <c r="C19" s="137"/>
      <c r="D19" s="1422" t="s">
        <v>244</v>
      </c>
      <c r="E19" s="1422"/>
      <c r="F19" s="1422"/>
      <c r="G19" s="1422"/>
      <c r="H19" s="1422"/>
      <c r="I19" s="137"/>
      <c r="J19" s="137"/>
      <c r="K19" s="137"/>
      <c r="L19" s="137"/>
      <c r="M19" s="137"/>
      <c r="N19" s="137"/>
      <c r="O19" s="137"/>
      <c r="P19" s="137"/>
      <c r="Q19" s="137"/>
      <c r="R19" s="137"/>
      <c r="S19" s="137"/>
      <c r="T19" s="137"/>
      <c r="U19" s="137"/>
      <c r="V19" s="736"/>
      <c r="W19" s="736"/>
      <c r="X19"/>
      <c r="Y19"/>
      <c r="Z19" s="735"/>
      <c r="AA19" s="13"/>
      <c r="AJ19" s="16"/>
      <c r="AR19" s="16"/>
      <c r="AU19" s="129"/>
      <c r="AV19" s="129"/>
      <c r="BC19" s="129"/>
      <c r="BD19" s="327"/>
      <c r="CR19" s="1404"/>
    </row>
    <row r="20" spans="1:96" ht="16.899999999999999" customHeight="1">
      <c r="A20" s="137"/>
      <c r="B20" s="137"/>
      <c r="C20" s="137"/>
      <c r="D20" s="554"/>
      <c r="E20" s="554"/>
      <c r="F20" s="554"/>
      <c r="G20" s="554"/>
      <c r="H20" s="589"/>
      <c r="I20" s="137"/>
      <c r="J20" s="137"/>
      <c r="K20" s="137"/>
      <c r="L20" s="137"/>
      <c r="M20" s="137"/>
      <c r="N20" s="137"/>
      <c r="O20" s="137"/>
      <c r="P20" s="137"/>
      <c r="Q20" s="137"/>
      <c r="R20" s="137"/>
      <c r="S20" s="137"/>
      <c r="T20" s="137"/>
      <c r="U20" s="137"/>
      <c r="V20" s="736"/>
      <c r="W20" s="736"/>
      <c r="X20"/>
      <c r="Y20"/>
      <c r="Z20" s="735"/>
      <c r="AA20" s="13"/>
      <c r="AJ20" s="16"/>
      <c r="AR20" s="16"/>
      <c r="AU20" s="129"/>
      <c r="AV20" s="129"/>
      <c r="BC20" s="129"/>
      <c r="BD20" s="327"/>
      <c r="CR20" s="1404"/>
    </row>
    <row r="21" spans="1:96" ht="16.899999999999999" customHeight="1">
      <c r="A21" s="137"/>
      <c r="B21" s="137"/>
      <c r="C21" s="137"/>
      <c r="D21" s="137" t="s">
        <v>245</v>
      </c>
      <c r="E21" s="137"/>
      <c r="F21" s="137"/>
      <c r="G21" s="137"/>
      <c r="H21" s="611"/>
      <c r="I21" s="613" t="e" cm="1">
        <f t="array" ref="I21">IF(ISBLANK('Saisie de données'!$E$31),_xlfn.IFS(OR('Saisie de données'!D13='Menu déroulant'!AA3,'Saisie de données'!D13='Menu déroulant'!AA4),'Charges de ventFM'!D22,'Saisie de données'!$D$16='Menu déroulant'!B21,'Charges de vent'!$D$21*20.885,'Saisie de données'!$D$16='Menu déroulant'!B20,'Charges de ventUSA'!$D$22),'Saisie de données'!$E$31)</f>
        <v>#N/A</v>
      </c>
      <c r="J21" s="137"/>
      <c r="K21" s="137"/>
      <c r="L21" s="137"/>
      <c r="M21" s="137"/>
      <c r="N21" s="137"/>
      <c r="O21" s="137"/>
      <c r="P21" s="137"/>
      <c r="Q21" s="137"/>
      <c r="R21" s="137"/>
      <c r="S21" s="137"/>
      <c r="T21" s="137"/>
      <c r="U21" s="137"/>
      <c r="V21" s="736"/>
      <c r="W21" s="736"/>
      <c r="X21"/>
      <c r="Y21"/>
      <c r="Z21" s="735"/>
      <c r="AA21" s="13"/>
      <c r="AJ21" s="16"/>
      <c r="AR21" s="16"/>
      <c r="AU21" s="129"/>
      <c r="AV21" s="129"/>
      <c r="BC21" s="129"/>
      <c r="BD21" s="327"/>
      <c r="CR21" s="1404"/>
    </row>
    <row r="22" spans="1:96" ht="16.899999999999999" customHeight="1">
      <c r="A22" s="137"/>
      <c r="B22" s="137"/>
      <c r="C22" s="137"/>
      <c r="D22" s="137" t="s">
        <v>246</v>
      </c>
      <c r="E22" s="554"/>
      <c r="F22" s="554"/>
      <c r="G22" s="554"/>
      <c r="H22" s="611"/>
      <c r="I22" s="614" t="e" cm="1">
        <f t="array" ref="I22">IF(ISBLANK('Saisie de données'!$E$30),_xlfn.IFS(OR('Saisie de données'!D13='Menu déroulant'!AA3,'Saisie de données'!D13='Menu déroulant'!AA4),'Charges de ventFM'!E22,'Saisie de données'!$D$16='Menu déroulant'!B21,'Charges de vent'!$E$21*20.885,'Saisie de données'!$D$16='Menu déroulant'!B20,'Charges de ventUSA'!$E$22),'Saisie de données'!$E$30)</f>
        <v>#N/A</v>
      </c>
      <c r="J22" s="137"/>
      <c r="K22" s="137"/>
      <c r="L22" s="137"/>
      <c r="M22" s="137"/>
      <c r="N22" s="137"/>
      <c r="O22" s="137"/>
      <c r="P22" s="137"/>
      <c r="Q22" s="137"/>
      <c r="R22" s="137"/>
      <c r="S22" s="137"/>
      <c r="T22" s="137"/>
      <c r="U22" s="137"/>
      <c r="V22" s="736"/>
      <c r="W22" s="736"/>
      <c r="X22"/>
      <c r="Y22"/>
      <c r="Z22" s="735"/>
      <c r="AA22" s="13"/>
      <c r="AJ22" s="16"/>
      <c r="AR22" s="16"/>
      <c r="AU22" s="129"/>
      <c r="AV22" s="129"/>
      <c r="BC22" s="129"/>
      <c r="BD22" s="327"/>
      <c r="CR22" s="1404"/>
    </row>
    <row r="23" spans="1:96" ht="16.899999999999999" customHeight="1">
      <c r="A23" s="137"/>
      <c r="B23" s="137"/>
      <c r="C23" s="137"/>
      <c r="D23" s="137"/>
      <c r="E23" s="137"/>
      <c r="F23" s="137"/>
      <c r="G23" s="137"/>
      <c r="H23" s="137"/>
      <c r="I23" s="137"/>
      <c r="J23" s="137"/>
      <c r="K23" s="137"/>
      <c r="L23" s="137"/>
      <c r="M23" s="137"/>
      <c r="N23" s="137"/>
      <c r="O23" s="137"/>
      <c r="P23" s="137"/>
      <c r="Q23" s="137"/>
      <c r="R23" s="137"/>
      <c r="S23" s="137"/>
      <c r="T23" s="137"/>
      <c r="U23" s="137"/>
      <c r="V23" s="18"/>
      <c r="AJ23" s="16"/>
      <c r="AM23" s="17"/>
      <c r="AR23" s="16"/>
      <c r="AU23" s="129"/>
      <c r="AV23" s="129"/>
      <c r="BC23" s="129"/>
      <c r="BD23" s="327"/>
      <c r="CR23" s="1404"/>
    </row>
    <row r="24" spans="1:96" ht="20.65" customHeight="1">
      <c r="A24" s="137"/>
      <c r="B24" s="137"/>
      <c r="C24" s="137"/>
      <c r="D24" s="137"/>
      <c r="E24" s="1325" t="s">
        <v>247</v>
      </c>
      <c r="F24" s="1325"/>
      <c r="G24" s="1325"/>
      <c r="H24" s="1325"/>
      <c r="I24" s="1325"/>
      <c r="J24" s="1325"/>
      <c r="K24" s="1325"/>
      <c r="L24" s="1325"/>
      <c r="M24" s="1325"/>
      <c r="N24" s="137"/>
      <c r="O24" s="137"/>
      <c r="P24" s="137"/>
      <c r="Q24" s="137"/>
      <c r="R24" s="137"/>
      <c r="S24" s="615"/>
      <c r="T24" s="137"/>
      <c r="U24" s="137"/>
      <c r="V24" s="18"/>
      <c r="AD24" s="131"/>
      <c r="AE24" s="131"/>
      <c r="AF24" s="131"/>
      <c r="AX24" s="1418"/>
      <c r="AY24" s="1418"/>
      <c r="AZ24" s="379"/>
      <c r="BC24" s="129"/>
      <c r="BD24" s="327"/>
      <c r="CR24" s="1404"/>
    </row>
    <row r="25" spans="1:96" ht="16.899999999999999" customHeight="1" thickBot="1">
      <c r="A25" s="137"/>
      <c r="B25" s="137"/>
      <c r="C25" s="137"/>
      <c r="D25" s="137"/>
      <c r="E25" s="1441"/>
      <c r="F25" s="1441"/>
      <c r="G25" s="1441"/>
      <c r="H25" s="1441"/>
      <c r="I25" s="1441"/>
      <c r="J25" s="1441"/>
      <c r="K25" s="1441"/>
      <c r="L25" s="1441"/>
      <c r="M25" s="1441"/>
      <c r="N25" s="137"/>
      <c r="O25" s="137"/>
      <c r="P25" s="137"/>
      <c r="Q25" s="137"/>
      <c r="R25" s="137"/>
      <c r="S25" s="137"/>
      <c r="T25" s="137"/>
      <c r="U25" s="137"/>
      <c r="V25" s="18"/>
      <c r="AD25" s="131"/>
      <c r="AE25" s="131"/>
      <c r="AF25" s="131"/>
      <c r="AX25" s="129"/>
      <c r="AY25" s="129"/>
      <c r="CR25" s="1404"/>
    </row>
    <row r="26" spans="1:96" ht="16.899999999999999" customHeight="1" thickTop="1" thickBot="1">
      <c r="A26" s="137"/>
      <c r="B26" s="137"/>
      <c r="C26" s="137"/>
      <c r="D26" s="137"/>
      <c r="E26" s="476"/>
      <c r="F26" s="477"/>
      <c r="G26" s="477"/>
      <c r="H26" s="478"/>
      <c r="I26" s="1410" t="s">
        <v>248</v>
      </c>
      <c r="J26" s="1411"/>
      <c r="K26" s="1411"/>
      <c r="L26" s="1411"/>
      <c r="M26" s="1411"/>
      <c r="N26" s="1411"/>
      <c r="O26" s="1411"/>
      <c r="P26" s="1411"/>
      <c r="Q26" s="1411"/>
      <c r="R26" s="1411"/>
      <c r="S26" s="1411"/>
      <c r="T26" s="1411"/>
      <c r="U26" s="1412"/>
      <c r="V26" s="18"/>
      <c r="AE26" s="129"/>
      <c r="AX26" s="129"/>
      <c r="CR26" s="1404"/>
    </row>
    <row r="27" spans="1:96" ht="21" customHeight="1" thickTop="1" thickBot="1">
      <c r="A27" s="137"/>
      <c r="B27" s="137"/>
      <c r="C27" s="137"/>
      <c r="D27" s="137"/>
      <c r="E27" s="473"/>
      <c r="F27" s="474"/>
      <c r="G27" s="474"/>
      <c r="H27" s="475"/>
      <c r="I27" s="1335" t="str">
        <f>I53</f>
        <v>Norex-L 6" (36")</v>
      </c>
      <c r="J27" s="1336"/>
      <c r="K27" s="1336"/>
      <c r="L27" s="1337"/>
      <c r="M27" s="1335" t="str">
        <f>M53</f>
        <v>Norex-L 4" (36")</v>
      </c>
      <c r="N27" s="1336"/>
      <c r="O27" s="1336"/>
      <c r="P27" s="1336"/>
      <c r="Q27" s="1337"/>
      <c r="R27" s="1335" t="str">
        <f>R53</f>
        <v>Noroc- 8" (42,5")</v>
      </c>
      <c r="S27" s="1336"/>
      <c r="T27" s="1336"/>
      <c r="U27" s="1337"/>
      <c r="AE27" s="129"/>
      <c r="AX27" s="129"/>
      <c r="CR27" s="1404"/>
    </row>
    <row r="28" spans="1:96" ht="21.95" customHeight="1" thickTop="1">
      <c r="A28" s="137"/>
      <c r="B28" s="137"/>
      <c r="C28" s="137"/>
      <c r="D28" s="137"/>
      <c r="E28" s="769" t="s">
        <v>249</v>
      </c>
      <c r="F28" s="770"/>
      <c r="G28" s="770"/>
      <c r="H28" s="771"/>
      <c r="I28" s="1309">
        <f>IF('Saisie de données'!C60='Menu déroulant'!AA31,VLOOKUP('Saisie de données'!E60,'Infos Techniques'!A18:D23,2,0),VLOOKUP('Saisie de données'!E60,'Infos Techniques'!A18:D23,4,0))</f>
        <v>44.7</v>
      </c>
      <c r="J28" s="1310"/>
      <c r="K28" s="1191" t="s">
        <v>250</v>
      </c>
      <c r="L28" s="1191"/>
      <c r="M28" s="1309">
        <f>IF('Saisie de données'!C61='Menu déroulant'!AA31,VLOOKUP('Saisie de données'!E61,'Infos Techniques'!A18:D23,2,0),VLOOKUP('Saisie de données'!E61,'Infos Techniques'!A18:D25,4,0))</f>
        <v>29.8</v>
      </c>
      <c r="N28" s="1310"/>
      <c r="O28" s="1191" t="str">
        <f>K28</f>
        <v>sq.ft. F/BTU</v>
      </c>
      <c r="P28" s="1191"/>
      <c r="Q28" s="1185"/>
      <c r="R28" s="1309">
        <f>IF('Saisie de données'!C62='Menu déroulant'!AA31,VLOOKUP('Saisie de données'!E62,'Infos Techniques'!A18:D23,2,0),VLOOKUP('Saisie de données'!E62,'Infos Techniques'!A18:D23,4,0))</f>
        <v>32</v>
      </c>
      <c r="S28" s="1310"/>
      <c r="T28" s="1191" t="str">
        <f>K28</f>
        <v>sq.ft. F/BTU</v>
      </c>
      <c r="U28" s="1185"/>
      <c r="AE28" s="129"/>
      <c r="AX28" s="129"/>
      <c r="CR28" s="1404"/>
    </row>
    <row r="29" spans="1:96" ht="21.95" customHeight="1">
      <c r="A29" s="137"/>
      <c r="B29" s="137"/>
      <c r="C29" s="137"/>
      <c r="D29" s="137"/>
      <c r="E29" s="772" t="s">
        <v>251</v>
      </c>
      <c r="F29" s="773"/>
      <c r="G29" s="773"/>
      <c r="H29" s="774"/>
      <c r="I29" s="1381">
        <f>IF('Saisie de données'!C60='Menu déroulant'!AA31,VLOOKUP('Saisie de données'!E60,'Infos Techniques'!A18:E23,3,0),VLOOKUP('Saisie de données'!E60,'Infos Techniques'!A18:E23,5,0))</f>
        <v>40.67</v>
      </c>
      <c r="J29" s="1382"/>
      <c r="K29" s="1178" t="s">
        <v>250</v>
      </c>
      <c r="L29" s="1178"/>
      <c r="M29" s="1381">
        <f>IF('Saisie de données'!C61='Menu déroulant'!AA31,VLOOKUP('Saisie de données'!E61,'Infos Techniques'!A18:E23,3,0),VLOOKUP('Saisie de données'!E61,'Infos Techniques'!A18:E23,5,0))</f>
        <v>25.77</v>
      </c>
      <c r="N29" s="1382"/>
      <c r="O29" s="1178" t="str">
        <f>K29</f>
        <v>sq.ft. F/BTU</v>
      </c>
      <c r="P29" s="1178"/>
      <c r="Q29" s="1189"/>
      <c r="R29" s="1381">
        <f>IF('Saisie de données'!C62='Menu déroulant'!AA31,VLOOKUP('Saisie de données'!E62,'Infos Techniques'!A18:E23,3,0),VLOOKUP('Saisie de données'!E62,'Infos Techniques'!A18:E23,5,0))</f>
        <v>26.44</v>
      </c>
      <c r="S29" s="1382"/>
      <c r="T29" s="1178" t="str">
        <f>K29</f>
        <v>sq.ft. F/BTU</v>
      </c>
      <c r="U29" s="1189"/>
      <c r="AE29" s="129"/>
      <c r="AX29" s="129"/>
      <c r="CR29" s="1404"/>
    </row>
    <row r="30" spans="1:96" ht="21.95" customHeight="1">
      <c r="A30" s="137"/>
      <c r="B30" s="137"/>
      <c r="C30" s="137"/>
      <c r="D30" s="137"/>
      <c r="E30" s="1284" t="s">
        <v>252</v>
      </c>
      <c r="F30" s="1285"/>
      <c r="G30" s="1285"/>
      <c r="H30" s="1286"/>
      <c r="I30" s="1381">
        <f>IF('Saisie de données'!C60='Menu déroulant'!AA31,0,VLOOKUP('Saisie de données'!E60,'Infos Techniques'!G18:I23,3,0))</f>
        <v>0</v>
      </c>
      <c r="J30" s="1382"/>
      <c r="K30" s="1178" t="s">
        <v>253</v>
      </c>
      <c r="L30" s="1178"/>
      <c r="M30" s="1381">
        <f>IF('Saisie de données'!C61='Menu déroulant'!AA31,0,VLOOKUP('Saisie de données'!E61,'Infos Techniques'!G18:I23,3,0))</f>
        <v>0</v>
      </c>
      <c r="N30" s="1382"/>
      <c r="O30" s="1178" t="str">
        <f t="shared" ref="O30:O33" si="0">K30</f>
        <v>hours</v>
      </c>
      <c r="P30" s="1178"/>
      <c r="Q30" s="1189"/>
      <c r="R30" s="1381">
        <f>IF('Saisie de données'!C62='Menu déroulant'!AA31,0,VLOOKUP('Saisie de données'!E62,'Infos Techniques'!G18:I23,3,0))</f>
        <v>3</v>
      </c>
      <c r="S30" s="1382"/>
      <c r="T30" s="1178" t="str">
        <f t="shared" ref="T30:T33" si="1">K30</f>
        <v>hours</v>
      </c>
      <c r="U30" s="1189"/>
      <c r="AE30" s="129"/>
      <c r="AX30" s="129"/>
      <c r="CR30" s="1404"/>
    </row>
    <row r="31" spans="1:96" ht="21.95" customHeight="1">
      <c r="A31" s="137"/>
      <c r="B31" s="137"/>
      <c r="C31" s="137"/>
      <c r="D31" s="137"/>
      <c r="E31" s="1287" t="s">
        <v>254</v>
      </c>
      <c r="F31" s="1288"/>
      <c r="G31" s="1288"/>
      <c r="H31" s="1289"/>
      <c r="I31" s="1445">
        <f>IF('Saisie de données'!C60='Menu déroulant'!AA31,MIN((Longueur_Panneau!F12)/12,52.25),MIN((Longueur_Panneau!F12)/12,40))</f>
        <v>25.793780947950893</v>
      </c>
      <c r="J31" s="1446"/>
      <c r="K31" s="1288" t="s">
        <v>255</v>
      </c>
      <c r="L31" s="1288"/>
      <c r="M31" s="1445">
        <f>IF('Saisie de données'!C61='Menu déroulant'!AA31,MIN((Longueur_Panneau!N12)/12,52.25),MIN((Longueur_Panneau!N12)/12,40))</f>
        <v>25.793780947950893</v>
      </c>
      <c r="N31" s="1446"/>
      <c r="O31" s="1288" t="str">
        <f t="shared" si="0"/>
        <v>feet</v>
      </c>
      <c r="P31" s="1288"/>
      <c r="Q31" s="1289"/>
      <c r="R31" s="1445">
        <f>IF('Saisie de données'!C62='Menu déroulant'!AA31,MIN((Longueur_Panneau!F24)/12,52.25),MIN((Longueur_Panneau!F24)/12,40))</f>
        <v>40</v>
      </c>
      <c r="S31" s="1446"/>
      <c r="T31" s="1288" t="str">
        <f t="shared" si="1"/>
        <v>feet</v>
      </c>
      <c r="U31" s="1289"/>
      <c r="V31" s="18"/>
      <c r="W31" s="42"/>
      <c r="X31" s="42"/>
      <c r="AF31" s="129"/>
      <c r="AG31" s="129"/>
      <c r="AH31" s="129"/>
      <c r="AX31" s="129"/>
      <c r="AY31" s="380"/>
      <c r="CR31" s="1404"/>
    </row>
    <row r="32" spans="1:96" ht="21.95" customHeight="1">
      <c r="A32" s="137"/>
      <c r="B32" s="137"/>
      <c r="C32" s="137"/>
      <c r="D32" s="170"/>
      <c r="E32" s="1329" t="s">
        <v>256</v>
      </c>
      <c r="F32" s="1330"/>
      <c r="G32" s="1330"/>
      <c r="H32" s="1331"/>
      <c r="I32" s="1423">
        <f>IF('Saisie de données'!C60='Menu déroulant'!AA31,(VLOOKUP('Saisie de données'!E60,'Infos Techniques'!K35:M40,3,0)),(VLOOKUP('Saisie de données'!E60,'Infos Techniques'!K35:M40,2,0)))+VLOOKUP('Saisie de données'!H60,'Infos Techniques'!L27:M29,2,0)+VLOOKUP('Saisie de données'!I60,'Infos Techniques'!L27:M29,2,0)</f>
        <v>3.0207200000000007</v>
      </c>
      <c r="J32" s="1424"/>
      <c r="K32" s="1178" t="s">
        <v>257</v>
      </c>
      <c r="L32" s="1178"/>
      <c r="M32" s="1423">
        <f>IF('Saisie de données'!C61='Menu déroulant'!AA31,(VLOOKUP('Saisie de données'!E61,'Infos Techniques'!K35:M40,3,0)),(VLOOKUP('Saisie de données'!E61,'Infos Techniques'!K35:M40,2,0)))+VLOOKUP('Saisie de données'!H61,'Infos Techniques'!L27:M29,2,0)+VLOOKUP('Saisie de données'!I61,'Infos Techniques'!L27:M29,2,0)</f>
        <v>2.6040533333333338</v>
      </c>
      <c r="N32" s="1424"/>
      <c r="O32" s="1178" t="str">
        <f t="shared" si="0"/>
        <v>lbs/sq.ft.</v>
      </c>
      <c r="P32" s="1178"/>
      <c r="Q32" s="1189"/>
      <c r="R32" s="1423">
        <f>IF('Saisie de données'!C62='Menu déroulant'!AA31,(VLOOKUP('Saisie de données'!E62,'Infos Techniques'!K35:M40,3,0)),(VLOOKUP('Saisie de données'!E62,'Infos Techniques'!K35:M40,2,0)))+VLOOKUP('Saisie de données'!H62,'Infos Techniques'!L27:M29,2,0)+VLOOKUP('Saisie de données'!I62,'Infos Techniques'!L27:M29,2,0)</f>
        <v>7.4373866666666668</v>
      </c>
      <c r="S32" s="1424"/>
      <c r="T32" s="1178" t="str">
        <f t="shared" si="1"/>
        <v>lbs/sq.ft.</v>
      </c>
      <c r="U32" s="1189"/>
      <c r="V32" s="33"/>
      <c r="W32" s="42"/>
      <c r="X32" s="42"/>
      <c r="AA32" s="129"/>
      <c r="AF32" s="129"/>
      <c r="AG32" s="19"/>
      <c r="AH32" s="19"/>
      <c r="AX32" s="129"/>
      <c r="CR32" s="1404"/>
    </row>
    <row r="33" spans="1:96" ht="21.95" customHeight="1" thickBot="1">
      <c r="A33" s="137"/>
      <c r="B33" s="137"/>
      <c r="C33" s="137"/>
      <c r="D33" s="170"/>
      <c r="E33" s="750" t="s">
        <v>95</v>
      </c>
      <c r="F33" s="751"/>
      <c r="G33" s="765"/>
      <c r="H33" s="766"/>
      <c r="I33" s="1338">
        <f>ROUNDUP((I$31*I$32)/('Infos Techniques'!$K$52*12),1)</f>
        <v>0.7</v>
      </c>
      <c r="J33" s="1339"/>
      <c r="K33" s="1428" t="s">
        <v>258</v>
      </c>
      <c r="L33" s="1428"/>
      <c r="M33" s="1338">
        <f>ROUNDUP((M$31*M$32)/('Infos Techniques'!$K$52*12),1)</f>
        <v>0.6</v>
      </c>
      <c r="N33" s="1339"/>
      <c r="O33" s="1428" t="str">
        <f t="shared" si="0"/>
        <v>inches</v>
      </c>
      <c r="P33" s="1428"/>
      <c r="Q33" s="1429"/>
      <c r="R33" s="1338">
        <f>ROUNDUP((R$31*R$32)/('Infos Techniques'!$K$52*12),1)</f>
        <v>2.5</v>
      </c>
      <c r="S33" s="1339"/>
      <c r="T33" s="1428" t="str">
        <f t="shared" si="1"/>
        <v>inches</v>
      </c>
      <c r="U33" s="1429"/>
      <c r="V33" s="682"/>
      <c r="W33" s="42"/>
      <c r="X33" s="42"/>
      <c r="Z33" s="188"/>
      <c r="AA33" s="188"/>
      <c r="AB33" s="129"/>
      <c r="AF33" s="129"/>
      <c r="AG33" s="19"/>
      <c r="AH33" s="19"/>
      <c r="AX33" s="129"/>
      <c r="CR33" s="1404"/>
    </row>
    <row r="34" spans="1:96" ht="21.95" customHeight="1" thickTop="1">
      <c r="A34" s="137"/>
      <c r="B34" s="137"/>
      <c r="C34" s="137"/>
      <c r="D34" s="170"/>
      <c r="E34" s="675"/>
      <c r="F34" s="675"/>
      <c r="G34" s="675"/>
      <c r="H34" s="675"/>
      <c r="I34" s="616"/>
      <c r="J34" s="616"/>
      <c r="K34" s="617"/>
      <c r="L34" s="617"/>
      <c r="M34" s="616"/>
      <c r="N34" s="616"/>
      <c r="O34" s="617"/>
      <c r="P34" s="617"/>
      <c r="Q34" s="617"/>
      <c r="R34" s="616"/>
      <c r="S34" s="616"/>
      <c r="T34" s="617"/>
      <c r="U34" s="617"/>
      <c r="V34" s="682"/>
      <c r="W34" s="42"/>
      <c r="X34" s="42"/>
      <c r="Z34" s="188"/>
      <c r="AA34" s="188"/>
      <c r="AB34" s="129"/>
      <c r="AF34" s="129"/>
      <c r="AG34" s="19"/>
      <c r="AH34" s="19"/>
      <c r="AX34" s="129"/>
      <c r="CR34" s="1404"/>
    </row>
    <row r="35" spans="1:96" ht="21.95" customHeight="1">
      <c r="A35" s="137"/>
      <c r="B35" s="137"/>
      <c r="C35" s="137"/>
      <c r="D35" s="137"/>
      <c r="E35" s="1325" t="s">
        <v>259</v>
      </c>
      <c r="F35" s="1325"/>
      <c r="G35" s="1325"/>
      <c r="H35" s="1325"/>
      <c r="I35" s="1325"/>
      <c r="J35" s="1325"/>
      <c r="K35" s="1325"/>
      <c r="L35" s="1325"/>
      <c r="M35" s="1325"/>
      <c r="N35" s="616"/>
      <c r="O35" s="617"/>
      <c r="P35" s="617"/>
      <c r="Q35" s="617"/>
      <c r="R35" s="616"/>
      <c r="S35" s="616"/>
      <c r="T35" s="617"/>
      <c r="U35" s="617"/>
      <c r="V35" s="682"/>
      <c r="W35" s="42"/>
      <c r="X35" s="42"/>
      <c r="Z35" s="188"/>
      <c r="AA35" s="188"/>
      <c r="AB35" s="129"/>
      <c r="AF35" s="129"/>
      <c r="AG35" s="19"/>
      <c r="AH35" s="19"/>
      <c r="AX35" s="129"/>
      <c r="CR35" s="1404"/>
    </row>
    <row r="36" spans="1:96" ht="6" customHeight="1">
      <c r="A36" s="137"/>
      <c r="B36" s="137"/>
      <c r="C36" s="137"/>
      <c r="D36" s="137"/>
      <c r="E36" s="1325"/>
      <c r="F36" s="1325"/>
      <c r="G36" s="1325"/>
      <c r="H36" s="1325"/>
      <c r="I36" s="1325"/>
      <c r="J36" s="1325"/>
      <c r="K36" s="1325"/>
      <c r="L36" s="1325"/>
      <c r="M36" s="1325"/>
      <c r="N36" s="616"/>
      <c r="O36" s="617"/>
      <c r="P36" s="617"/>
      <c r="Q36" s="617"/>
      <c r="R36" s="616"/>
      <c r="S36" s="616"/>
      <c r="T36" s="617"/>
      <c r="U36" s="617"/>
      <c r="V36" s="682"/>
      <c r="W36" s="42"/>
      <c r="X36" s="42"/>
      <c r="Z36" s="188"/>
      <c r="AA36" s="188"/>
      <c r="AB36" s="129"/>
      <c r="AF36" s="129"/>
      <c r="AG36" s="19"/>
      <c r="AH36" s="19"/>
      <c r="AX36" s="129"/>
      <c r="CR36" s="1404"/>
    </row>
    <row r="37" spans="1:96" ht="26.45" customHeight="1">
      <c r="A37" s="137"/>
      <c r="B37" s="137"/>
      <c r="C37" s="137"/>
      <c r="D37" s="137"/>
      <c r="E37" s="1328" t="s">
        <v>98</v>
      </c>
      <c r="F37" s="1328"/>
      <c r="G37" s="1328"/>
      <c r="H37" s="1328"/>
      <c r="I37" s="1328"/>
      <c r="J37" s="1328"/>
      <c r="K37" s="1328"/>
      <c r="L37" s="1328"/>
      <c r="M37" s="1328"/>
      <c r="N37" s="1328"/>
      <c r="O37" s="1328"/>
      <c r="P37" s="1328"/>
      <c r="Q37" s="1328"/>
      <c r="R37" s="1301" t="s">
        <v>260</v>
      </c>
      <c r="S37" s="1301"/>
      <c r="T37" s="1301"/>
      <c r="U37" s="1301"/>
      <c r="V37" s="682"/>
      <c r="W37" s="42"/>
      <c r="X37" s="42"/>
      <c r="Z37" s="188"/>
      <c r="AA37" s="188"/>
      <c r="AB37" s="129"/>
      <c r="AF37" s="129"/>
      <c r="AG37" s="19"/>
      <c r="AH37" s="19"/>
      <c r="AX37" s="129"/>
      <c r="CR37" s="1404"/>
    </row>
    <row r="38" spans="1:96" ht="26.45" customHeight="1">
      <c r="A38" s="137"/>
      <c r="B38" s="137"/>
      <c r="C38" s="137"/>
      <c r="D38" s="137"/>
      <c r="E38" s="1326" t="s">
        <v>261</v>
      </c>
      <c r="F38" s="1326"/>
      <c r="G38" s="1326"/>
      <c r="H38" s="1326"/>
      <c r="I38" s="1326"/>
      <c r="J38" s="1326"/>
      <c r="K38" s="1326"/>
      <c r="L38" s="1326"/>
      <c r="M38" s="1326"/>
      <c r="N38" s="1326"/>
      <c r="O38" s="1326"/>
      <c r="P38" s="711"/>
      <c r="Q38" s="711"/>
      <c r="R38" s="1281"/>
      <c r="S38" s="1281"/>
      <c r="T38" s="1281"/>
      <c r="U38" s="1281"/>
      <c r="V38" s="682"/>
      <c r="W38" s="42"/>
      <c r="X38" s="42"/>
      <c r="Z38" s="188"/>
      <c r="AA38" s="188"/>
      <c r="AB38" s="129"/>
      <c r="AF38" s="129"/>
      <c r="AG38" s="19"/>
      <c r="AH38" s="19"/>
      <c r="AX38" s="129"/>
      <c r="CR38" s="1404"/>
    </row>
    <row r="39" spans="1:96" ht="26.45" customHeight="1">
      <c r="A39" s="137"/>
      <c r="B39" s="137"/>
      <c r="C39" s="137"/>
      <c r="D39" s="137"/>
      <c r="E39" s="1327" t="str">
        <f>IF(OR('Saisie de données'!K60='Menu déroulant'!AA34,'Saisie de données'!K61='Menu déroulant'!AA34,'Saisie de données'!K62='Menu déroulant'!AA34),"***Warning (Non-standard Option) : At least one of the selected panels are set to ""Single-Span"". Single-Span implies that a panel is attached to only two points on a building's wall.","")</f>
        <v/>
      </c>
      <c r="F39" s="1327"/>
      <c r="G39" s="1327"/>
      <c r="H39" s="1327"/>
      <c r="I39" s="1327"/>
      <c r="J39" s="1327"/>
      <c r="K39" s="1327"/>
      <c r="L39" s="1327"/>
      <c r="M39" s="1327"/>
      <c r="N39" s="1327"/>
      <c r="O39" s="1327"/>
      <c r="P39" s="711"/>
      <c r="Q39" s="711"/>
      <c r="R39" s="1421" t="str">
        <f>IF(OR('Saisie de données'!K60='Menu déroulant'!AA34,'Saisie de données'!K61='Menu déroulant'!AA34,'Saisie de données'!K62='Menu déroulant'!AA34),"Please refer to the ASTM E72 data sheets for more details.","")</f>
        <v/>
      </c>
      <c r="S39" s="1421"/>
      <c r="T39" s="1421"/>
      <c r="U39" s="1421"/>
      <c r="V39" s="682"/>
      <c r="W39" s="42"/>
      <c r="X39" s="42"/>
      <c r="Z39" s="188"/>
      <c r="AA39" s="188"/>
      <c r="AB39" s="129"/>
      <c r="AF39" s="129"/>
      <c r="AG39" s="19"/>
      <c r="AH39" s="19"/>
      <c r="AX39" s="129"/>
      <c r="CR39" s="1404"/>
    </row>
    <row r="40" spans="1:96" ht="31.15" customHeight="1">
      <c r="A40" s="137"/>
      <c r="B40" s="137"/>
      <c r="C40" s="137"/>
      <c r="D40" s="710"/>
      <c r="E40" s="1305" t="str">
        <f>IF(AND(ISBLANK('Saisie de données'!E47),ISBLANK('Saisie de données'!K47)),"",IF('Saisie de données'!$D$16='Menu déroulant'!$B$20,VLOOKUP('Saisie de données'!K47,'Menu déroulant'!$AN$4:$AP$10,3,0),VLOOKUP('Saisie de données'!E47,'Menu déroulant'!$AJ$4:$AL$13,3,0)))</f>
        <v/>
      </c>
      <c r="F40" s="1305"/>
      <c r="G40" s="1305"/>
      <c r="H40" s="1305"/>
      <c r="I40" s="1305"/>
      <c r="J40" s="1305"/>
      <c r="K40" s="1305"/>
      <c r="L40" s="1305"/>
      <c r="M40" s="1305"/>
      <c r="N40" s="1305"/>
      <c r="O40" s="1305"/>
      <c r="P40" s="408"/>
      <c r="Q40" s="408"/>
      <c r="R40" s="1305" t="str">
        <f>IF(AND(ISBLANK('Saisie de données'!E47),ISBLANK('Saisie de données'!K47)),"",IF('Saisie de données'!$D$16='Menu déroulant'!$B$20,VLOOKUP('Saisie de données'!K47,'Menu déroulant'!$AN$19:$AP$25,3,0),VLOOKUP('Saisie de données'!E47,'Menu déroulant'!$AJ$19:$AL$28,3,0)))</f>
        <v/>
      </c>
      <c r="S40" s="1305"/>
      <c r="T40" s="1305"/>
      <c r="U40" s="1305"/>
      <c r="V40" s="682"/>
      <c r="W40" s="42"/>
      <c r="X40" s="42"/>
      <c r="Z40" s="188"/>
      <c r="AA40" s="737"/>
      <c r="AB40" s="129"/>
      <c r="AF40" s="129"/>
      <c r="AG40" s="19"/>
      <c r="AH40" s="19"/>
      <c r="AX40" s="129"/>
      <c r="CR40" s="1404"/>
    </row>
    <row r="41" spans="1:96" ht="31.15" customHeight="1">
      <c r="A41" s="137"/>
      <c r="B41" s="137"/>
      <c r="C41" s="137"/>
      <c r="D41" s="408"/>
      <c r="E41" s="1305" t="str">
        <f>IF(AND(ISBLANK('Saisie de données'!E49),ISBLANK('Saisie de données'!K49)),"",IF('Saisie de données'!$D$16='Menu déroulant'!$B$20,VLOOKUP('Saisie de données'!K49,'Menu déroulant'!$AN$4:$AP$10,3,0),VLOOKUP('Saisie de données'!E49,'Menu déroulant'!$AJ$4:$AL$13,3,0)))</f>
        <v/>
      </c>
      <c r="F41" s="1305"/>
      <c r="G41" s="1305"/>
      <c r="H41" s="1305"/>
      <c r="I41" s="1305"/>
      <c r="J41" s="1305"/>
      <c r="K41" s="1305"/>
      <c r="L41" s="1305"/>
      <c r="M41" s="1305"/>
      <c r="N41" s="1305"/>
      <c r="O41" s="1305"/>
      <c r="P41" s="408"/>
      <c r="Q41" s="408"/>
      <c r="R41" s="1305" t="str">
        <f>IF(AND(ISBLANK('Saisie de données'!E49),ISBLANK('Saisie de données'!K49)),"",IF('Saisie de données'!$D$16='Menu déroulant'!$B$20,VLOOKUP('Saisie de données'!K49,'Menu déroulant'!$AN$19:$AP$25,3,0),VLOOKUP('Saisie de données'!E49,'Menu déroulant'!$AJ$19:$AL$28,3,0)))</f>
        <v/>
      </c>
      <c r="S41" s="1305"/>
      <c r="T41" s="1305"/>
      <c r="U41" s="1305"/>
      <c r="V41" s="682"/>
      <c r="W41" s="42"/>
      <c r="X41" s="42"/>
      <c r="Z41" s="188"/>
      <c r="AA41" s="188"/>
      <c r="AB41" s="129"/>
      <c r="AF41" s="129"/>
      <c r="AG41" s="19"/>
      <c r="AH41" s="19"/>
      <c r="AX41" s="129"/>
      <c r="CR41" s="1404"/>
    </row>
    <row r="42" spans="1:96" ht="31.15" customHeight="1">
      <c r="A42" s="137"/>
      <c r="B42" s="137"/>
      <c r="C42" s="137"/>
      <c r="D42" s="611"/>
      <c r="E42" s="1305" t="str">
        <f>IF(ISBLANK('Saisie de données'!E45),"",IF('Saisie de données'!$D$16='Menu déroulant'!$B$20,"",VLOOKUP('Saisie de données'!E45,'Menu déroulant'!$AJ$4:$AL$13,3,0)))</f>
        <v/>
      </c>
      <c r="F42" s="1305"/>
      <c r="G42" s="1305"/>
      <c r="H42" s="1305"/>
      <c r="I42" s="1305"/>
      <c r="J42" s="1305"/>
      <c r="K42" s="1305"/>
      <c r="L42" s="1305"/>
      <c r="M42" s="1305"/>
      <c r="N42" s="1305"/>
      <c r="O42" s="1305"/>
      <c r="P42" s="408"/>
      <c r="Q42" s="408"/>
      <c r="R42" s="1419" t="str">
        <f>IF(AND(ISBLANK('Saisie de données'!E45),ISBLANK('Saisie de données'!K45)),"",IF('Saisie de données'!$D$16='Menu déroulant'!$B$20,"",VLOOKUP('Saisie de données'!E45,'Menu déroulant'!$AJ$19:$AL$28,3,0)))</f>
        <v/>
      </c>
      <c r="S42" s="1419"/>
      <c r="T42" s="1419"/>
      <c r="U42" s="1419"/>
      <c r="V42" s="682"/>
      <c r="W42" s="42"/>
      <c r="X42" s="42"/>
      <c r="Z42" s="188"/>
      <c r="AA42" s="188"/>
      <c r="AB42" s="129"/>
      <c r="AF42" s="129"/>
      <c r="AG42" s="19"/>
      <c r="AH42" s="19"/>
      <c r="AX42" s="129"/>
      <c r="CR42" s="1404"/>
    </row>
    <row r="43" spans="1:96" ht="31.15" customHeight="1">
      <c r="A43" s="137"/>
      <c r="B43" s="137"/>
      <c r="C43" s="137"/>
      <c r="D43" s="170"/>
      <c r="E43" s="1305" t="str">
        <f>IF(AND(ISBLANK('Saisie de données'!E51),ISBLANK('Saisie de données'!K51)),"",IF('Saisie de données'!$D$16='Menu déroulant'!$B$20,VLOOKUP('Saisie de données'!K51,'Menu déroulant'!$AN$4:$AP$12,3,0),VLOOKUP('Saisie de données'!E51,'Menu déroulant'!$AJ$4:$AL$15,3,0)))</f>
        <v/>
      </c>
      <c r="F43" s="1305"/>
      <c r="G43" s="1305"/>
      <c r="H43" s="1305"/>
      <c r="I43" s="1305"/>
      <c r="J43" s="1305"/>
      <c r="K43" s="1305"/>
      <c r="L43" s="1305"/>
      <c r="M43" s="1305"/>
      <c r="N43" s="1305"/>
      <c r="O43" s="1305"/>
      <c r="P43" s="408"/>
      <c r="Q43" s="408"/>
      <c r="R43" s="1420" t="str">
        <f>IF(AND(ISBLANK('Saisie de données'!E51),ISBLANK('Saisie de données'!K51)),"",IF('Saisie de données'!$D$16='Menu déroulant'!$B$20,VLOOKUP('Saisie de données'!K51,'Menu déroulant'!$AN$19:$AP$27,3,0),VLOOKUP('Saisie de données'!E51,'Menu déroulant'!$AJ$19:$AL$30,3,0)))</f>
        <v/>
      </c>
      <c r="S43" s="1421"/>
      <c r="T43" s="1421"/>
      <c r="U43" s="1421"/>
      <c r="V43" s="682"/>
      <c r="W43" s="42"/>
      <c r="X43" s="42"/>
      <c r="Z43" s="188"/>
      <c r="AA43" s="188"/>
      <c r="AB43" s="129"/>
      <c r="AF43" s="129"/>
      <c r="AG43" s="19"/>
      <c r="AH43" s="19"/>
      <c r="AX43" s="129"/>
      <c r="CR43" s="1404"/>
    </row>
    <row r="44" spans="1:96" ht="31.9" customHeight="1">
      <c r="A44" s="137"/>
      <c r="B44" s="137"/>
      <c r="C44" s="137"/>
      <c r="D44" s="170"/>
      <c r="E44" s="712"/>
      <c r="F44" s="712"/>
      <c r="G44" s="712"/>
      <c r="H44" s="675"/>
      <c r="I44" s="616"/>
      <c r="J44" s="616"/>
      <c r="K44" s="617"/>
      <c r="L44" s="617"/>
      <c r="M44" s="616"/>
      <c r="N44" s="616"/>
      <c r="O44" s="617"/>
      <c r="P44" s="617"/>
      <c r="Q44" s="617"/>
      <c r="R44" s="616"/>
      <c r="S44" s="616"/>
      <c r="T44" s="617"/>
      <c r="U44" s="617"/>
      <c r="V44" s="682"/>
      <c r="W44" s="42"/>
      <c r="X44" s="42"/>
      <c r="Z44" s="188"/>
      <c r="AA44" s="188"/>
      <c r="AB44" s="129"/>
      <c r="AF44" s="129"/>
      <c r="AG44" s="19"/>
      <c r="AH44" s="19"/>
      <c r="AX44" s="129"/>
      <c r="CR44" s="1404"/>
    </row>
    <row r="45" spans="1:96" ht="31.9" customHeight="1">
      <c r="A45" s="137"/>
      <c r="B45" s="137"/>
      <c r="C45" s="137"/>
      <c r="D45" s="170"/>
      <c r="E45" s="675"/>
      <c r="F45" s="675"/>
      <c r="G45" s="675"/>
      <c r="H45" s="675"/>
      <c r="I45" s="616"/>
      <c r="J45" s="616"/>
      <c r="K45" s="617"/>
      <c r="L45" s="617"/>
      <c r="M45" s="616"/>
      <c r="N45" s="616"/>
      <c r="O45" s="617"/>
      <c r="P45" s="617"/>
      <c r="Q45" s="617"/>
      <c r="R45" s="616"/>
      <c r="S45" s="616"/>
      <c r="T45" s="617"/>
      <c r="U45" s="617"/>
      <c r="V45" s="682"/>
      <c r="W45" s="42"/>
      <c r="X45" s="42"/>
      <c r="Z45" s="188"/>
      <c r="AA45" s="188"/>
      <c r="AB45" s="129"/>
      <c r="AF45" s="129"/>
      <c r="AG45" s="19"/>
      <c r="AH45" s="19"/>
      <c r="AX45" s="129"/>
      <c r="CR45" s="1404"/>
    </row>
    <row r="46" spans="1:96" ht="31.9" customHeight="1">
      <c r="A46" s="137"/>
      <c r="B46" s="137"/>
      <c r="C46" s="137"/>
      <c r="D46" s="170"/>
      <c r="E46" s="675"/>
      <c r="F46" s="675"/>
      <c r="G46" s="675"/>
      <c r="H46" s="675"/>
      <c r="I46" s="616"/>
      <c r="J46" s="616"/>
      <c r="K46" s="617"/>
      <c r="L46" s="617"/>
      <c r="M46" s="616"/>
      <c r="N46" s="616"/>
      <c r="O46" s="617"/>
      <c r="P46" s="617"/>
      <c r="Q46" s="617"/>
      <c r="R46" s="616"/>
      <c r="S46" s="616"/>
      <c r="T46" s="617"/>
      <c r="U46" s="617"/>
      <c r="V46" s="682"/>
      <c r="W46" s="42"/>
      <c r="X46" s="42"/>
      <c r="Z46" s="188"/>
      <c r="AA46" s="188"/>
      <c r="AB46" s="129"/>
      <c r="AF46" s="129"/>
      <c r="AG46" s="19"/>
      <c r="AH46" s="19"/>
      <c r="AX46" s="129"/>
      <c r="CR46" s="1404"/>
    </row>
    <row r="47" spans="1:96" ht="20.45" customHeight="1">
      <c r="A47" s="137"/>
      <c r="B47" s="137"/>
      <c r="C47" s="137"/>
      <c r="D47" s="137"/>
      <c r="E47" s="137"/>
      <c r="F47" s="865"/>
      <c r="G47" s="865"/>
      <c r="H47" s="865"/>
      <c r="I47" s="865"/>
      <c r="J47" s="865"/>
      <c r="K47" s="618"/>
      <c r="L47" s="618"/>
      <c r="M47" s="618"/>
      <c r="N47" s="618"/>
      <c r="O47" s="619"/>
      <c r="P47" s="618"/>
      <c r="Q47" s="618"/>
      <c r="R47" s="618"/>
      <c r="S47" s="618"/>
      <c r="T47" s="618"/>
      <c r="U47" s="618"/>
      <c r="V47" s="33"/>
      <c r="W47" s="42"/>
      <c r="X47" s="42"/>
      <c r="Y47" s="42"/>
      <c r="Z47" s="42"/>
      <c r="AA47" s="129"/>
      <c r="AB47" s="24"/>
      <c r="AX47" s="387"/>
      <c r="AY47" s="387"/>
      <c r="CR47" s="1404"/>
    </row>
    <row r="48" spans="1:96" ht="20.45" customHeight="1">
      <c r="A48" s="137"/>
      <c r="B48" s="137"/>
      <c r="C48" s="137"/>
      <c r="D48" s="137"/>
      <c r="E48" s="137"/>
      <c r="F48" s="620"/>
      <c r="G48" s="620"/>
      <c r="H48" s="620"/>
      <c r="I48" s="1316" t="s">
        <v>262</v>
      </c>
      <c r="J48" s="1316"/>
      <c r="K48" s="1316"/>
      <c r="L48" s="1316"/>
      <c r="M48" s="1316"/>
      <c r="N48" s="1316"/>
      <c r="O48" s="1316"/>
      <c r="P48" s="1316"/>
      <c r="Q48" s="1316"/>
      <c r="R48" s="1316"/>
      <c r="S48" s="1316"/>
      <c r="T48" s="1316"/>
      <c r="U48" s="1316"/>
      <c r="V48" s="33"/>
      <c r="W48" s="42"/>
      <c r="X48" s="42"/>
      <c r="Y48" s="42"/>
      <c r="Z48" s="42"/>
      <c r="AA48" s="129"/>
      <c r="AB48" s="24"/>
      <c r="AX48" s="387"/>
      <c r="AY48" s="387"/>
      <c r="CR48" s="1404"/>
    </row>
    <row r="49" spans="1:96" ht="20.45" customHeight="1">
      <c r="A49" s="137"/>
      <c r="B49" s="137"/>
      <c r="C49" s="865" t="str">
        <f>"Girt Spacing ("&amp;VLOOKUP('Saisie de données'!F38,'Menu déroulant'!AA18:AC19,3,1)&amp;")"</f>
        <v>Girt Spacing (feet)</v>
      </c>
      <c r="D49" s="137"/>
      <c r="E49" s="137"/>
      <c r="F49" s="620"/>
      <c r="G49" s="620"/>
      <c r="H49" s="620"/>
      <c r="I49" s="1316"/>
      <c r="J49" s="1316"/>
      <c r="K49" s="1316"/>
      <c r="L49" s="1316"/>
      <c r="M49" s="1316"/>
      <c r="N49" s="1316"/>
      <c r="O49" s="1316"/>
      <c r="P49" s="1316"/>
      <c r="Q49" s="1316"/>
      <c r="R49" s="1316"/>
      <c r="S49" s="1316"/>
      <c r="T49" s="1316"/>
      <c r="U49" s="1316"/>
      <c r="V49" s="33"/>
      <c r="W49" s="42"/>
      <c r="X49" s="42"/>
      <c r="Y49" s="42"/>
      <c r="Z49" s="42"/>
      <c r="AA49" s="129"/>
      <c r="AB49" s="24"/>
      <c r="AX49" s="387"/>
      <c r="AY49" s="387"/>
      <c r="CR49" s="1404"/>
    </row>
    <row r="50" spans="1:96" ht="20.45" customHeight="1">
      <c r="A50" s="137"/>
      <c r="B50" s="137"/>
      <c r="C50" s="137"/>
      <c r="D50" s="137"/>
      <c r="E50" s="137"/>
      <c r="F50" s="620"/>
      <c r="G50" s="620"/>
      <c r="H50" s="620"/>
      <c r="I50" s="1316"/>
      <c r="J50" s="1316"/>
      <c r="K50" s="1316"/>
      <c r="L50" s="1316"/>
      <c r="M50" s="1316"/>
      <c r="N50" s="1316"/>
      <c r="O50" s="1316"/>
      <c r="P50" s="1316"/>
      <c r="Q50" s="1316"/>
      <c r="R50" s="1316"/>
      <c r="S50" s="1316"/>
      <c r="T50" s="1316"/>
      <c r="U50" s="1316"/>
      <c r="V50" s="33"/>
      <c r="W50" s="42"/>
      <c r="X50" s="42"/>
      <c r="Y50" s="42"/>
      <c r="Z50" s="42"/>
      <c r="AA50" s="129"/>
      <c r="AB50" s="24"/>
      <c r="AX50" s="387"/>
      <c r="AY50" s="387"/>
      <c r="CR50" s="1404"/>
    </row>
    <row r="51" spans="1:96" ht="20.45" customHeight="1" thickBot="1">
      <c r="A51" s="137"/>
      <c r="B51" s="137"/>
      <c r="C51" s="137"/>
      <c r="D51" s="137"/>
      <c r="F51" s="621"/>
      <c r="G51" s="621"/>
      <c r="H51" s="621"/>
      <c r="I51" s="1317"/>
      <c r="J51" s="1317"/>
      <c r="K51" s="1317"/>
      <c r="L51" s="1317"/>
      <c r="M51" s="1317"/>
      <c r="N51" s="1317"/>
      <c r="O51" s="1317"/>
      <c r="P51" s="1317"/>
      <c r="Q51" s="1317"/>
      <c r="R51" s="1317"/>
      <c r="S51" s="1317"/>
      <c r="T51" s="1317"/>
      <c r="U51" s="1317"/>
      <c r="V51" s="427"/>
      <c r="W51" s="42"/>
      <c r="X51" s="42"/>
      <c r="Y51" s="42"/>
      <c r="Z51" s="42"/>
      <c r="AA51" s="129"/>
      <c r="AB51" s="24"/>
      <c r="AX51" s="387"/>
      <c r="AY51" s="387"/>
      <c r="CR51" s="1404"/>
    </row>
    <row r="52" spans="1:96" ht="20.45" customHeight="1" thickTop="1" thickBot="1">
      <c r="A52" s="137"/>
      <c r="B52" s="137"/>
      <c r="C52" s="137"/>
      <c r="D52" s="137"/>
      <c r="E52" s="1320"/>
      <c r="F52" s="1471"/>
      <c r="G52" s="1472"/>
      <c r="H52" s="1473"/>
      <c r="I52" s="1410" t="s">
        <v>248</v>
      </c>
      <c r="J52" s="1411"/>
      <c r="K52" s="1411"/>
      <c r="L52" s="1411"/>
      <c r="M52" s="1411"/>
      <c r="N52" s="1411"/>
      <c r="O52" s="1411"/>
      <c r="P52" s="1411"/>
      <c r="Q52" s="1411"/>
      <c r="R52" s="1411"/>
      <c r="S52" s="1411"/>
      <c r="T52" s="1411"/>
      <c r="U52" s="1412"/>
      <c r="V52" s="427"/>
      <c r="W52" s="42"/>
      <c r="X52" s="42"/>
      <c r="Y52" s="42"/>
      <c r="Z52" s="42"/>
      <c r="AA52" s="129"/>
      <c r="AB52" s="24"/>
      <c r="AX52" s="387"/>
      <c r="AY52" s="387"/>
      <c r="CR52" s="1404"/>
    </row>
    <row r="53" spans="1:96" ht="20.45" customHeight="1" thickTop="1" thickBot="1">
      <c r="A53" s="137"/>
      <c r="B53" s="137"/>
      <c r="C53" s="137"/>
      <c r="D53" s="137"/>
      <c r="E53" s="1320"/>
      <c r="F53" s="1474"/>
      <c r="G53" s="1475"/>
      <c r="H53" s="1476"/>
      <c r="I53" s="1315" t="str">
        <f>IF('Saisie de données'!$C$60='Menu déroulant'!$AA$31,HYPERLINK("https://norbec.com/wp-content/uploads/2021/06/NOREX-Fiche-technique-3.pdf",'Saisie de données'!C60&amp;"-"&amp;'Saisie de données'!D60&amp;" "&amp;'Saisie de données'!E60&amp;""" ("&amp;'Saisie de données'!F60&amp;""")"),HYPERLINK("https://norbec.com/wp-content/uploads/2021/06/NOROC_Fiche-technique-3.pdf",'Saisie de données'!C60&amp;"-"&amp;'Saisie de données'!D60&amp;" "&amp;'Saisie de données'!E60&amp;""" ("&amp;'Saisie de données'!F60&amp;""")"))</f>
        <v>Norex-L 6" (36")</v>
      </c>
      <c r="J53" s="1315"/>
      <c r="K53" s="1315"/>
      <c r="L53" s="1315"/>
      <c r="M53" s="1335" t="str">
        <f>IF('Saisie de données'!$C$61='Menu déroulant'!$AA$31,HYPERLINK("https://norbec.com/wp-content/uploads/2021/06/NOREX-Fiche-technique-3.pdf",'Saisie de données'!C61&amp;"-"&amp;'Saisie de données'!D61&amp;" "&amp;'Saisie de données'!E61&amp;""" ("&amp;'Saisie de données'!F61&amp;""")"),HYPERLINK("https://norbec.com/wp-content/uploads/2021/06/NOROC_Fiche-technique-3.pdf",'Saisie de données'!C61&amp;"-"&amp;'Saisie de données'!D61&amp;" "&amp;'Saisie de données'!E61&amp;""" ("&amp;'Saisie de données'!F61&amp;""")"))</f>
        <v>Norex-L 4" (36")</v>
      </c>
      <c r="N53" s="1336"/>
      <c r="O53" s="1336"/>
      <c r="P53" s="1336"/>
      <c r="Q53" s="1337"/>
      <c r="R53" s="1335" t="str">
        <f>IF('Saisie de données'!$C$62='Menu déroulant'!$AA$31,HYPERLINK("https://norbec.com/wp-content/uploads/2021/06/NOREX-Fiche-technique-3.pdf",'Saisie de données'!C62&amp;"-"&amp;'Saisie de données'!D62&amp;" "&amp;'Saisie de données'!E62&amp;""" ("&amp;'Saisie de données'!F62&amp;""")"),HYPERLINK("https://norbec.com/wp-content/uploads/2021/06/NOROC_Fiche-technique-3.pdf",'Saisie de données'!C62&amp;"-"&amp;'Saisie de données'!D62&amp;" "&amp;'Saisie de données'!E62&amp;""" ("&amp;'Saisie de données'!F62&amp;""")"))</f>
        <v>Noroc- 8" (42,5")</v>
      </c>
      <c r="S53" s="1336"/>
      <c r="T53" s="1336"/>
      <c r="U53" s="1337"/>
      <c r="V53" s="427"/>
      <c r="W53" s="42"/>
      <c r="X53" s="42"/>
      <c r="Y53" s="42"/>
      <c r="Z53" s="42"/>
      <c r="AA53" s="129"/>
      <c r="AB53" s="24"/>
      <c r="AX53" s="387"/>
      <c r="AY53" s="387"/>
      <c r="CR53" s="1404"/>
    </row>
    <row r="54" spans="1:96" ht="20.45" customHeight="1" thickBot="1">
      <c r="A54" s="137"/>
      <c r="B54" s="137"/>
      <c r="C54" s="137"/>
      <c r="D54" s="137"/>
      <c r="E54" s="1320"/>
      <c r="F54" s="481"/>
      <c r="G54" s="479"/>
      <c r="H54" s="480"/>
      <c r="I54" s="1333" t="s">
        <v>263</v>
      </c>
      <c r="J54" s="1334"/>
      <c r="K54" s="1334"/>
      <c r="L54" s="1304"/>
      <c r="M54" s="1333" t="s">
        <v>263</v>
      </c>
      <c r="N54" s="1334"/>
      <c r="O54" s="1334"/>
      <c r="P54" s="1334"/>
      <c r="Q54" s="1304"/>
      <c r="R54" s="1333" t="s">
        <v>263</v>
      </c>
      <c r="S54" s="1334"/>
      <c r="T54" s="1334"/>
      <c r="U54" s="1304"/>
      <c r="V54" s="427"/>
      <c r="W54" s="42"/>
      <c r="X54" s="42"/>
      <c r="Y54" s="42"/>
      <c r="Z54" s="42"/>
      <c r="AA54" s="129"/>
      <c r="AB54" s="24"/>
      <c r="AX54" s="387"/>
      <c r="AY54" s="387"/>
      <c r="CR54" s="1404"/>
    </row>
    <row r="55" spans="1:96" ht="20.45" customHeight="1" thickBot="1">
      <c r="A55" s="137"/>
      <c r="B55" s="137"/>
      <c r="C55" s="137"/>
      <c r="D55" s="137"/>
      <c r="E55" s="1320"/>
      <c r="F55" s="473"/>
      <c r="G55" s="474"/>
      <c r="H55" s="475"/>
      <c r="I55" s="1302" t="s">
        <v>103</v>
      </c>
      <c r="J55" s="1302"/>
      <c r="K55" s="1321" t="s">
        <v>104</v>
      </c>
      <c r="L55" s="1322"/>
      <c r="M55" s="1332" t="s">
        <v>103</v>
      </c>
      <c r="N55" s="1332"/>
      <c r="O55" s="1318" t="s">
        <v>104</v>
      </c>
      <c r="P55" s="1487"/>
      <c r="Q55" s="1319"/>
      <c r="R55" s="1323" t="s">
        <v>103</v>
      </c>
      <c r="S55" s="1324"/>
      <c r="T55" s="1318" t="s">
        <v>104</v>
      </c>
      <c r="U55" s="1319"/>
      <c r="V55" s="427"/>
      <c r="W55" s="42"/>
      <c r="X55" s="42"/>
      <c r="Z55" s="42"/>
      <c r="AA55" s="129"/>
      <c r="AB55" s="24"/>
      <c r="AX55" s="387"/>
      <c r="AY55" s="387"/>
      <c r="CR55" s="1404"/>
    </row>
    <row r="56" spans="1:96" ht="20.45" customHeight="1" thickBot="1">
      <c r="A56" s="137"/>
      <c r="B56" s="137"/>
      <c r="C56" s="137"/>
      <c r="D56" s="137"/>
      <c r="E56" s="1320"/>
      <c r="F56" s="1474"/>
      <c r="G56" s="1475"/>
      <c r="H56" s="1476"/>
      <c r="I56" s="1333" t="s">
        <v>105</v>
      </c>
      <c r="J56" s="1347"/>
      <c r="K56" s="1303" t="s">
        <v>105</v>
      </c>
      <c r="L56" s="1304"/>
      <c r="M56" s="1333" t="s">
        <v>105</v>
      </c>
      <c r="N56" s="1347"/>
      <c r="O56" s="1303" t="s">
        <v>105</v>
      </c>
      <c r="P56" s="1334"/>
      <c r="Q56" s="1304"/>
      <c r="R56" s="1333" t="s">
        <v>105</v>
      </c>
      <c r="S56" s="1347"/>
      <c r="T56" s="1303" t="s">
        <v>105</v>
      </c>
      <c r="U56" s="1304"/>
      <c r="V56" s="427"/>
      <c r="W56" s="42"/>
      <c r="X56" s="42"/>
      <c r="Z56" s="42"/>
      <c r="AA56" s="129"/>
      <c r="AB56" s="24"/>
      <c r="AX56" s="387"/>
      <c r="AY56" s="387"/>
      <c r="CR56" s="1404"/>
    </row>
    <row r="57" spans="1:96" ht="20.45" customHeight="1" thickBot="1">
      <c r="A57" s="137"/>
      <c r="B57" s="137"/>
      <c r="C57" s="137"/>
      <c r="D57" s="137"/>
      <c r="E57" s="1320"/>
      <c r="F57" s="1306"/>
      <c r="G57" s="1307"/>
      <c r="H57" s="1308"/>
      <c r="I57" s="707" t="str">
        <f>IF('Saisie de données'!$D$16='Menu déroulant'!$B$20,"5-","e- (corner)")</f>
        <v>e- (corner)</v>
      </c>
      <c r="J57" s="708" t="str">
        <f>IF('Saisie de données'!$D$16='Menu déroulant'!$B$20,"4-","w- (middle)")</f>
        <v>w- (middle)</v>
      </c>
      <c r="K57" s="708" t="str">
        <f>IF('Saisie de données'!$D$16='Menu déroulant'!$B$20,"5-","e- (corner)")</f>
        <v>e- (corner)</v>
      </c>
      <c r="L57" s="708" t="str">
        <f>IF('Saisie de données'!$D$16='Menu déroulant'!$B$20,"4-","w- (middle)")</f>
        <v>w- (middle)</v>
      </c>
      <c r="M57" s="707" t="str">
        <f>IF('Saisie de données'!$D$16='Menu déroulant'!$B$20,"5-","e- (corner)")</f>
        <v>e- (corner)</v>
      </c>
      <c r="N57" s="708" t="str">
        <f>IF('Saisie de données'!$D$16='Menu déroulant'!$B$20,"4-","w- (middle)")</f>
        <v>w- (middle)</v>
      </c>
      <c r="O57" s="1346" t="str">
        <f>IF('Saisie de données'!$D$16='Menu déroulant'!$B$20,"5-","e- (corner)")</f>
        <v>e- (corner)</v>
      </c>
      <c r="P57" s="1346"/>
      <c r="Q57" s="708" t="str">
        <f>IF('Saisie de données'!$D$16='Menu déroulant'!$B$20,"4-","w- (middle)")</f>
        <v>w- (middle)</v>
      </c>
      <c r="R57" s="707" t="str">
        <f>IF('Saisie de données'!$D$16='Menu déroulant'!$B$20,"5-","e- (corner)")</f>
        <v>e- (corner)</v>
      </c>
      <c r="S57" s="708" t="str">
        <f>IF('Saisie de données'!$D$16='Menu déroulant'!$B$20,"4-","w- (middle)")</f>
        <v>w- (middle)</v>
      </c>
      <c r="T57" s="708" t="str">
        <f>IF('Saisie de données'!$D$16='Menu déroulant'!$B$20,"5-","e- (corner)")</f>
        <v>e- (corner)</v>
      </c>
      <c r="U57" s="708" t="str">
        <f>IF('Saisie de données'!$D$16='Menu déroulant'!$B$20,"4-","w- (middle)")</f>
        <v>w- (middle)</v>
      </c>
      <c r="V57" s="427"/>
      <c r="W57" s="42"/>
      <c r="X57" s="42"/>
      <c r="Y57" s="42"/>
      <c r="Z57" s="42"/>
      <c r="AA57" s="129"/>
      <c r="AB57" s="24"/>
      <c r="AX57" s="387"/>
      <c r="AY57" s="387"/>
      <c r="CR57" s="1404"/>
    </row>
    <row r="58" spans="1:96" ht="19.899999999999999" customHeight="1" thickTop="1">
      <c r="A58" s="137"/>
      <c r="B58" s="137"/>
      <c r="C58" s="137"/>
      <c r="D58" s="137"/>
      <c r="E58" s="1320"/>
      <c r="F58" s="1477" t="str">
        <f>IF(AND(ISBLANK('Saisie de données'!E30),ISBLANK('Saisie de données'!E31)),"0 to "&amp;'Saisie de données'!D38&amp;VLOOKUP('Saisie de données'!F38,'Menu déroulant'!AA23:AC24,2,0),"Wall")</f>
        <v>0 to 29'</v>
      </c>
      <c r="G58" s="1480" t="s">
        <v>264</v>
      </c>
      <c r="H58" s="84" t="s">
        <v>107</v>
      </c>
      <c r="I58" s="533" t="str">
        <f ca="1">IFERROR(MIN('Synthèse résultat'!$B$86,'Synthèse résultat'!$R11,'Synthèse résultat'!$P$11,'Synthèse résultat'!$AQ$11,'Synthèse résultat'!$AR$11),"N/D")</f>
        <v>N/D</v>
      </c>
      <c r="J58" s="542" t="str">
        <f ca="1">IF(OR($I$58="N/D",$I$59="N/D",$I$60="N/D"),"N/D",MIN('Synthèse résultat'!$C$86,'Synthèse résultat'!$R12,'Synthèse résultat'!$P$12,'Synthèse résultat'!$AQ$12,'Synthèse résultat'!$AR$12))</f>
        <v>N/D</v>
      </c>
      <c r="K58" s="565" t="str">
        <f ca="1">IFERROR(IF(OR('Saisie de données'!$D$13='Menu déroulant'!$AA$4,'Saisie de données'!$D$13='Menu déroulant'!$AA$3),"N/D",MIN('Synthèse résultat'!$B$86,'Synthèse résultat'!$W11,'Synthèse résultat'!$P$11,'Synthèse résultat'!$AQ$11,'Synthèse résultat'!$AR$11)),"N/D")</f>
        <v>N/D</v>
      </c>
      <c r="L58" s="566" t="str">
        <f ca="1">IFERROR(IF(OR('Saisie de données'!$D$13='Menu déroulant'!$AA$4,'Saisie de données'!$D$13='Menu déroulant'!$AA$3),"N/D",MIN('Synthèse résultat'!$C$86,'Synthèse résultat'!$W12,'Synthèse résultat'!$P$12,'Synthèse résultat'!$AQ$12,'Synthèse résultat'!$AR$12)),"N/D")</f>
        <v>N/D</v>
      </c>
      <c r="M58" s="533" t="str">
        <f ca="1">IFERROR(MIN('Synthèse résultat'!$D$86,'Synthèse résultat'!$R15,'Synthèse résultat'!$P$15,'Synthèse résultat'!$AQ$15,'Synthèse résultat'!$AR$15),"N/D")</f>
        <v>N/D</v>
      </c>
      <c r="N58" s="542" t="str">
        <f ca="1">IF(OR($M$58="N/D",$M$59="N/D",$M$60="N/D"),"N/D",MIN('Synthèse résultat'!$E$86,'Synthèse résultat'!$R16,'Synthèse résultat'!$P$16,'Synthèse résultat'!$AQ$16,'Synthèse résultat'!$AR$16))</f>
        <v>N/D</v>
      </c>
      <c r="O58" s="1466" t="str">
        <f ca="1">IFERROR(IF(OR('Saisie de données'!$D$13='Menu déroulant'!$AA$4,'Saisie de données'!$D$13='Menu déroulant'!$AA$3),"N/D",MIN('Synthèse résultat'!$D$86,'Synthèse résultat'!$W15,'Synthèse résultat'!$P$15,'Synthèse résultat'!$AQ$15,'Synthèse résultat'!$AR$15)),"N/D")</f>
        <v>N/D</v>
      </c>
      <c r="P58" s="1467"/>
      <c r="Q58" s="567" t="str">
        <f ca="1">IFERROR(IF(OR('Saisie de données'!$D$13='Menu déroulant'!$AA$4,'Saisie de données'!$D$13='Menu déroulant'!$AA$3),"N/D",MIN('Synthèse résultat'!$E$86,'Synthèse résultat'!$W16,'Synthèse résultat'!$P$16,'Synthèse résultat'!$AQ$16,'Synthèse résultat'!$AR$16)),"N/D")</f>
        <v>N/D</v>
      </c>
      <c r="R58" s="533" t="str">
        <f ca="1">IFERROR(MIN('Synthèse résultat'!$F$86,'Synthèse résultat'!$R19,'Synthèse résultat'!$P$19,'Synthèse résultat'!$AQ$19,'Synthèse résultat'!$AR$19),"N/D")</f>
        <v>N/D</v>
      </c>
      <c r="S58" s="542" t="str">
        <f ca="1">IF(OR($R$58="N/D",$R$59="N/D",$R$60="N/D"),"N/D",MIN('Synthèse résultat'!$G$86,'Synthèse résultat'!$R20,'Synthèse résultat'!$P$20,'Synthèse résultat'!$AQ$20,'Synthèse résultat'!$AR$20))</f>
        <v>N/D</v>
      </c>
      <c r="T58" s="565" t="str">
        <f ca="1">IFERROR(IF(OR('Saisie de données'!$D$13='Menu déroulant'!$AA$4,'Saisie de données'!$D$13='Menu déroulant'!$AA$3),"N/D",MIN('Synthèse résultat'!$F$86,'Synthèse résultat'!$W19,'Synthèse résultat'!$P$19,'Synthèse résultat'!$AQ$19,'Synthèse résultat'!$AR$19)),"N/D")</f>
        <v>N/D</v>
      </c>
      <c r="U58" s="566" t="str">
        <f ca="1">IFERROR(IF(OR('Saisie de données'!$D$13='Menu déroulant'!$AA$4,'Saisie de données'!$D$13='Menu déroulant'!$AA$3),"N/D",MIN('Synthèse résultat'!$G$86,'Synthèse résultat'!$W20,'Synthèse résultat'!$P$20,'Synthèse résultat'!$AQ$20,'Synthèse résultat'!$AR$20)),"N/D")</f>
        <v>N/D</v>
      </c>
      <c r="V58" s="427"/>
      <c r="W58" s="42"/>
      <c r="X58" s="42"/>
      <c r="Y58" s="42"/>
      <c r="Z58" s="42"/>
      <c r="AA58" s="129"/>
      <c r="AB58" s="24"/>
      <c r="AX58" s="387"/>
      <c r="AY58" s="387"/>
      <c r="CR58" s="1404"/>
    </row>
    <row r="59" spans="1:96" ht="19.899999999999999" customHeight="1">
      <c r="A59" s="137"/>
      <c r="B59" s="137"/>
      <c r="C59" s="137"/>
      <c r="D59" s="137"/>
      <c r="E59" s="1320"/>
      <c r="F59" s="1478"/>
      <c r="G59" s="1481"/>
      <c r="H59" s="80" t="s">
        <v>108</v>
      </c>
      <c r="I59" s="534" t="str">
        <f ca="1">IFERROR(MIN('Synthèse résultat'!$B$86,'Synthèse résultat'!$S11,'Synthèse résultat'!$P$11,'Synthèse résultat'!$AQ$11,'Synthèse résultat'!$AR$11),"N/D")</f>
        <v>N/D</v>
      </c>
      <c r="J59" s="536" t="str">
        <f ca="1">IF(OR($I$58="N/D",$I$59="N/D",$I$60="N/D"),"N/D",MIN('Synthèse résultat'!$C$86,'Synthèse résultat'!$S12,'Synthèse résultat'!$P$12,'Synthèse résultat'!$AQ$12,'Synthèse résultat'!$AR$12))</f>
        <v>N/D</v>
      </c>
      <c r="K59" s="552" t="str">
        <f ca="1">IFERROR(IF(OR('Saisie de données'!$D$13='Menu déroulant'!$AA$4,'Saisie de données'!$D$13='Menu déroulant'!$AA$3),"N/D",MIN('Synthèse résultat'!$B$86,'Synthèse résultat'!$X11,'Synthèse résultat'!$P$11,'Synthèse résultat'!$AQ$11,'Synthèse résultat'!$AR$11)),"N/D")</f>
        <v>N/D</v>
      </c>
      <c r="L59" s="539" t="str">
        <f ca="1">IFERROR(IF(OR('Saisie de données'!$D$13='Menu déroulant'!$AA$4,'Saisie de données'!$D$13='Menu déroulant'!$AA$3),"N/D",MIN('Synthèse résultat'!$C$86,'Synthèse résultat'!$X12,'Synthèse résultat'!$P$12,'Synthèse résultat'!$AQ$12,'Synthèse résultat'!$AR$12)),"N/D")</f>
        <v>N/D</v>
      </c>
      <c r="M59" s="534" t="str">
        <f ca="1">IFERROR(MIN('Synthèse résultat'!$D$86,'Synthèse résultat'!$S15,'Synthèse résultat'!$P$15,'Synthèse résultat'!$AQ$15,'Synthèse résultat'!$AR$15),"N/D")</f>
        <v>N/D</v>
      </c>
      <c r="N59" s="536" t="str">
        <f ca="1">IF(OR($M$58="N/D",$M$59="N/D",$M$60="N/D"),"N/D",MIN('Synthèse résultat'!$E$86,'Synthèse résultat'!$S16,'Synthèse résultat'!$P$16,'Synthèse résultat'!$AQ$16,'Synthèse résultat'!$AR$16))</f>
        <v>N/D</v>
      </c>
      <c r="O59" s="1464" t="str">
        <f ca="1">IFERROR(IF(OR('Saisie de données'!$D$13='Menu déroulant'!$AA$4,'Saisie de données'!$D$13='Menu déroulant'!$AA$3),"N/D",MIN('Synthèse résultat'!$D$86,'Synthèse résultat'!$X15,'Synthèse résultat'!$P$15,'Synthèse résultat'!$AQ$15,'Synthèse résultat'!$AR$15)),"N/D")</f>
        <v>N/D</v>
      </c>
      <c r="P59" s="1465"/>
      <c r="Q59" s="543" t="str">
        <f ca="1">IFERROR(IF(OR('Saisie de données'!$D$13='Menu déroulant'!$AA$4,'Saisie de données'!$D$13='Menu déroulant'!$AA$3),"N/D",MIN('Synthèse résultat'!$E$86,'Synthèse résultat'!$X16,'Synthèse résultat'!$P$16,'Synthèse résultat'!$AQ$16,'Synthèse résultat'!$AR$16)),"N/D")</f>
        <v>N/D</v>
      </c>
      <c r="R59" s="534" t="str">
        <f ca="1">IFERROR(MIN('Synthèse résultat'!$F$86,'Synthèse résultat'!$S19,'Synthèse résultat'!$P$19,'Synthèse résultat'!$AQ$19,'Synthèse résultat'!$AR$19),"N/D")</f>
        <v>N/D</v>
      </c>
      <c r="S59" s="536" t="str">
        <f ca="1">IF(OR($R$58="N/D",$R$59="N/D",$R$60="N/D"),"N/D",MIN('Synthèse résultat'!$G$86,'Synthèse résultat'!$S20,'Synthèse résultat'!$P$20,'Synthèse résultat'!$AQ$20,'Synthèse résultat'!$AR$20))</f>
        <v>N/D</v>
      </c>
      <c r="T59" s="552" t="str">
        <f ca="1">IFERROR(IF(OR('Saisie de données'!$D$13='Menu déroulant'!$AA$4,'Saisie de données'!$D$13='Menu déroulant'!$AA$3),"N/D",MIN('Synthèse résultat'!$F$86,'Synthèse résultat'!$X19,'Synthèse résultat'!$P$19,'Synthèse résultat'!$AQ$19,'Synthèse résultat'!$AR$19)),"N/D")</f>
        <v>N/D</v>
      </c>
      <c r="U59" s="539" t="str">
        <f ca="1">IFERROR(IF(OR('Saisie de données'!$D$13='Menu déroulant'!$AA$4,'Saisie de données'!$D$13='Menu déroulant'!$AA$3),"N/D",MIN('Synthèse résultat'!$G$86,'Synthèse résultat'!$X20,'Synthèse résultat'!$P$20,'Synthèse résultat'!$AQ$20,'Synthèse résultat'!$AR$20)),"N/D")</f>
        <v>N/D</v>
      </c>
      <c r="V59" s="33"/>
      <c r="W59" s="42"/>
      <c r="X59" s="42"/>
      <c r="Y59" s="42"/>
      <c r="Z59" s="42"/>
      <c r="AA59" s="129"/>
      <c r="AB59" s="24"/>
      <c r="AX59" s="387"/>
      <c r="AY59" s="387"/>
      <c r="CR59" s="1404"/>
    </row>
    <row r="60" spans="1:96" ht="19.899999999999999" customHeight="1">
      <c r="A60" s="137"/>
      <c r="B60" s="137"/>
      <c r="C60" s="137"/>
      <c r="D60" s="137"/>
      <c r="E60" s="1320"/>
      <c r="F60" s="1478"/>
      <c r="G60" s="1481"/>
      <c r="H60" s="80" t="s">
        <v>109</v>
      </c>
      <c r="I60" s="534" t="str">
        <f ca="1">IFERROR(MIN('Synthèse résultat'!$B$86,'Synthèse résultat'!$T11,'Synthèse résultat'!$P$11,'Synthèse résultat'!$AQ$11,'Synthèse résultat'!$AR$11),"N/D")</f>
        <v>N/D</v>
      </c>
      <c r="J60" s="536" t="str">
        <f ca="1">IF(OR($I$58="N/D",$I$59="N/D",$I$60="N/D"),"N/D",MIN('Synthèse résultat'!$C$86,'Synthèse résultat'!$T12,'Synthèse résultat'!$P$12,'Synthèse résultat'!$AQ$12,'Synthèse résultat'!$AR$12))</f>
        <v>N/D</v>
      </c>
      <c r="K60" s="552" t="str">
        <f ca="1">IFERROR(IF(OR('Saisie de données'!$D$13='Menu déroulant'!$AA$4,'Saisie de données'!$D$13='Menu déroulant'!$AA$3),"N/D",MIN('Synthèse résultat'!$B$86,'Synthèse résultat'!$Y11,'Synthèse résultat'!$P$11,'Synthèse résultat'!$AQ$11,'Synthèse résultat'!$AR$11)),"N/D")</f>
        <v>N/D</v>
      </c>
      <c r="L60" s="539" t="str">
        <f ca="1">IFERROR(IF(OR('Saisie de données'!$D$13='Menu déroulant'!$AA$4,'Saisie de données'!$D$13='Menu déroulant'!$AA$3),"N/D",MIN('Synthèse résultat'!$C$86,'Synthèse résultat'!$Y12,'Synthèse résultat'!$P$12,'Synthèse résultat'!$AQ$12,'Synthèse résultat'!$AR$12)),"N/D")</f>
        <v>N/D</v>
      </c>
      <c r="M60" s="534" t="str">
        <f ca="1">IFERROR(MIN('Synthèse résultat'!$D$86,'Synthèse résultat'!$T15,'Synthèse résultat'!$P$15,'Synthèse résultat'!$AQ$15,'Synthèse résultat'!$AR$15),"N/D")</f>
        <v>N/D</v>
      </c>
      <c r="N60" s="536" t="str">
        <f ca="1">IF(OR($M$58="N/D",$M$59="N/D",$M$60="N/D"),"N/D",MIN('Synthèse résultat'!$E$86,'Synthèse résultat'!$T16,'Synthèse résultat'!$P$16,'Synthèse résultat'!$AQ$16,'Synthèse résultat'!$AR$16))</f>
        <v>N/D</v>
      </c>
      <c r="O60" s="1464" t="str">
        <f ca="1">IFERROR(IF(OR('Saisie de données'!$D$13='Menu déroulant'!$AA$4,'Saisie de données'!$D$13='Menu déroulant'!$AA$3),"N/D",MIN('Synthèse résultat'!$D$86,'Synthèse résultat'!$Y15,'Synthèse résultat'!$P$15,'Synthèse résultat'!$AQ$15,'Synthèse résultat'!$AR$15)),"N/D")</f>
        <v>N/D</v>
      </c>
      <c r="P60" s="1465"/>
      <c r="Q60" s="543" t="str">
        <f ca="1">IFERROR(IF(OR('Saisie de données'!$D$13='Menu déroulant'!$AA$4,'Saisie de données'!$D$13='Menu déroulant'!$AA$3),"N/D",MIN('Synthèse résultat'!$E$86,'Synthèse résultat'!$Y16,'Synthèse résultat'!$P$16,'Synthèse résultat'!$AQ$16,'Synthèse résultat'!$AR$16)),"N/D")</f>
        <v>N/D</v>
      </c>
      <c r="R60" s="534" t="str">
        <f ca="1">IFERROR(MIN('Synthèse résultat'!$F$86,'Synthèse résultat'!$T19,'Synthèse résultat'!$P$19,'Synthèse résultat'!$AQ$19,'Synthèse résultat'!$AR$19),"N/D")</f>
        <v>N/D</v>
      </c>
      <c r="S60" s="536" t="str">
        <f ca="1">IF(OR($R$58="N/D",$R$59="N/D",$R$60="N/D"),"N/D",MIN('Synthèse résultat'!$G$86,'Synthèse résultat'!$T20,'Synthèse résultat'!$P$20,'Synthèse résultat'!$AQ$20,'Synthèse résultat'!$AR$20))</f>
        <v>N/D</v>
      </c>
      <c r="T60" s="552" t="str">
        <f ca="1">IFERROR(IF(OR('Saisie de données'!$D$13='Menu déroulant'!$AA$4,'Saisie de données'!$D$13='Menu déroulant'!$AA$3),"N/D",MIN('Synthèse résultat'!$F$86,'Synthèse résultat'!$Y19,'Synthèse résultat'!$P$19,'Synthèse résultat'!$AQ$19,'Synthèse résultat'!$AR$19)),"N/D")</f>
        <v>N/D</v>
      </c>
      <c r="U60" s="539" t="str">
        <f ca="1">IFERROR(IF(OR('Saisie de données'!$D$13='Menu déroulant'!$AA$4,'Saisie de données'!$D$13='Menu déroulant'!$AA$3),"N/D",MIN('Synthèse résultat'!$G$86,'Synthèse résultat'!$Y20,'Synthèse résultat'!$P$20,'Synthèse résultat'!$AQ$20,'Synthèse résultat'!$AR$20)),"N/D")</f>
        <v>N/D</v>
      </c>
      <c r="V60" s="33"/>
      <c r="W60" s="42"/>
      <c r="X60" s="42"/>
      <c r="Y60" s="42"/>
      <c r="Z60" s="42"/>
      <c r="AA60" s="129"/>
      <c r="AB60" s="24"/>
      <c r="AX60" s="387"/>
      <c r="AY60" s="387"/>
      <c r="CR60" s="1404"/>
    </row>
    <row r="61" spans="1:96" ht="19.899999999999999" customHeight="1" thickBot="1">
      <c r="A61" s="137"/>
      <c r="B61" s="137"/>
      <c r="C61" s="137"/>
      <c r="D61" s="137"/>
      <c r="E61" s="1320"/>
      <c r="F61" s="1479"/>
      <c r="G61" s="1482"/>
      <c r="H61" s="85" t="s">
        <v>110</v>
      </c>
      <c r="I61" s="535" t="str">
        <f ca="1">IFERROR(IF(OR('Saisie de données'!$D$13='Menu déroulant'!$AA$4,'Saisie de données'!$D$13='Menu déroulant'!$AA$3),"N/D",MIN('Synthèse résultat'!$B$86,'Synthèse résultat'!U11,'Synthèse résultat'!P11,'Synthèse résultat'!$AQ$11,'Synthèse résultat'!$AR$11)),"N/D")</f>
        <v>N/D</v>
      </c>
      <c r="J61" s="537" t="str">
        <f ca="1">IFERROR(IF(OR('Saisie de données'!$D$13='Menu déroulant'!$AA$4,'Saisie de données'!$D$13='Menu déroulant'!$AA$3),"N/D",MIN('Synthèse résultat'!$C$86,'Synthèse résultat'!U12,'Synthèse résultat'!P12,'Synthèse résultat'!$AQ$12,'Synthèse résultat'!$AR$12)),"N/D")</f>
        <v>N/D</v>
      </c>
      <c r="K61" s="540" t="str">
        <f ca="1">IFERROR(IF(OR('Saisie de données'!$D$13='Menu déroulant'!$AA$4,'Saisie de données'!$D$13='Menu déroulant'!$AA$3),"N/D",MIN('Synthèse résultat'!$B$86,'Synthèse résultat'!$Z11,'Synthèse résultat'!$P$11,'Synthèse résultat'!$AQ$11,'Synthèse résultat'!$AR$11)),"N/D")</f>
        <v>N/D</v>
      </c>
      <c r="L61" s="541" t="str">
        <f ca="1">IFERROR(IF(OR('Saisie de données'!$D$13='Menu déroulant'!$AA$4,'Saisie de données'!$D$13='Menu déroulant'!$AA$3),"N/D",MIN('Synthèse résultat'!$C$86,'Synthèse résultat'!$Z12,'Synthèse résultat'!$P$12,'Synthèse résultat'!$AQ$12,'Synthèse résultat'!$AR$12)),"N/D")</f>
        <v>N/D</v>
      </c>
      <c r="M61" s="535" t="str">
        <f ca="1">IFERROR(IF(OR('Saisie de données'!$D$13='Menu déroulant'!$AA$4,'Saisie de données'!$D$13='Menu déroulant'!$AA$3),"N/D",MIN('Synthèse résultat'!$D$86,'Synthèse résultat'!$U15,'Synthèse résultat'!$P$15,'Synthèse résultat'!$AQ$15,'Synthèse résultat'!$AR$15)),"N/D")</f>
        <v>N/D</v>
      </c>
      <c r="N61" s="537" t="str">
        <f ca="1">IFERROR(IF(OR('Saisie de données'!$D$13='Menu déroulant'!$AA$4,'Saisie de données'!$D$13='Menu déroulant'!$AA$3),"N/D",MIN('Synthèse résultat'!$E$86,'Synthèse résultat'!$U16,'Synthèse résultat'!$P$16,'Synthèse résultat'!$AQ$16,'Synthèse résultat'!$AR$16)),"N/D")</f>
        <v>N/D</v>
      </c>
      <c r="O61" s="1468" t="str">
        <f ca="1">IFERROR(IF(OR('Saisie de données'!$D$13='Menu déroulant'!$AA$4,'Saisie de données'!$D$13='Menu déroulant'!$AA$3),"N/D",MIN('Synthèse résultat'!$D$86,'Synthèse résultat'!$Z15,'Synthèse résultat'!$P$15,'Synthèse résultat'!$AQ$15,'Synthèse résultat'!$AR$15)),"N/D")</f>
        <v>N/D</v>
      </c>
      <c r="P61" s="1469"/>
      <c r="Q61" s="544" t="str">
        <f ca="1">IFERROR(IF(OR('Saisie de données'!$D$13='Menu déroulant'!$AA$4,'Saisie de données'!$D$13='Menu déroulant'!$AA$3),"N/D",MIN('Synthèse résultat'!$E$86,'Synthèse résultat'!$Z16,'Synthèse résultat'!$P$16,'Synthèse résultat'!$AQ$16,'Synthèse résultat'!$AR$16)),"N/D")</f>
        <v>N/D</v>
      </c>
      <c r="R61" s="535" t="str">
        <f ca="1">IFERROR(IF(OR('Saisie de données'!$D$13='Menu déroulant'!$AA$4,'Saisie de données'!$D$13='Menu déroulant'!$AA$3),"N/D",MIN('Synthèse résultat'!$F$86,'Synthèse résultat'!$U19,'Synthèse résultat'!$P$19,'Synthèse résultat'!$AQ$19,'Synthèse résultat'!$AR$19)),"N/D")</f>
        <v>N/D</v>
      </c>
      <c r="S61" s="537" t="str">
        <f ca="1">IFERROR(IF(OR('Saisie de données'!$D$13='Menu déroulant'!$AA$4,'Saisie de données'!$D$13='Menu déroulant'!$AA$3),"N/D",MIN('Synthèse résultat'!$G$86,'Synthèse résultat'!$U20,'Synthèse résultat'!$P$20,'Synthèse résultat'!$AQ$20,'Synthèse résultat'!$AR$20)),"N/D")</f>
        <v>N/D</v>
      </c>
      <c r="T61" s="540" t="str">
        <f ca="1">IFERROR(IF(OR('Saisie de données'!$D$13='Menu déroulant'!$AA$4,'Saisie de données'!$D$13='Menu déroulant'!$AA$3),"N/D",MIN('Synthèse résultat'!$F$86,'Synthèse résultat'!$Z19,'Synthèse résultat'!$P$19,'Synthèse résultat'!$AQ$19,'Synthèse résultat'!$AR$19)),"N/D")</f>
        <v>N/D</v>
      </c>
      <c r="U61" s="541" t="str">
        <f ca="1">IFERROR(IF(OR('Saisie de données'!$D$13='Menu déroulant'!$AA$4,'Saisie de données'!$D$13='Menu déroulant'!$AA$3),"N/D",MIN('Synthèse résultat'!$G$86,'Synthèse résultat'!$Z20,'Synthèse résultat'!$P$20,'Synthèse résultat'!$AQ$20,'Synthèse résultat'!$AR$20)),"N/D")</f>
        <v>N/D</v>
      </c>
      <c r="V61" s="33"/>
      <c r="W61" s="42"/>
      <c r="X61" s="42"/>
      <c r="Y61" s="42"/>
      <c r="Z61" s="42"/>
      <c r="AA61" s="129"/>
      <c r="AB61" s="24"/>
      <c r="AX61" s="387"/>
      <c r="AY61" s="387"/>
      <c r="CR61" s="1404"/>
    </row>
    <row r="62" spans="1:96" ht="19.899999999999999" customHeight="1" thickTop="1">
      <c r="A62" s="137"/>
      <c r="B62" s="137"/>
      <c r="C62" s="137"/>
      <c r="D62" s="137"/>
      <c r="E62" s="1320"/>
      <c r="F62" s="1483" t="s">
        <v>111</v>
      </c>
      <c r="G62" s="1480" t="s">
        <v>264</v>
      </c>
      <c r="H62" s="84" t="s">
        <v>107</v>
      </c>
      <c r="I62" s="533" t="str">
        <f ca="1">IFERROR(MIN('Synthèse résultat'!$B$87,'Synthèse résultat'!$R13,'Synthèse résultat'!$P$13,'Synthèse résultat'!$AQ$13,'Synthèse résultat'!$AR$13),"N/D")</f>
        <v>N/D</v>
      </c>
      <c r="J62" s="542" t="str">
        <f ca="1">IF(OR($I$62="N/D",$I$63="N/D",$I$64="N/D"),"N/D",MIN('Synthèse résultat'!$C$87,'Synthèse résultat'!$R14,'Synthèse résultat'!$P$14,'Synthèse résultat'!$AQ$14,'Synthèse résultat'!$AR$14))</f>
        <v>N/D</v>
      </c>
      <c r="K62" s="565" t="str">
        <f ca="1">IFERROR(IF(OR('Saisie de données'!$D$13='Menu déroulant'!$AA$4,'Saisie de données'!$D$13='Menu déroulant'!$AA$3),"N/D",MIN('Synthèse résultat'!$B$87,'Synthèse résultat'!$W13,'Synthèse résultat'!$P$13,'Synthèse résultat'!$AQ$13,'Synthèse résultat'!$AR$13)),"N/D")</f>
        <v>N/D</v>
      </c>
      <c r="L62" s="566" t="str">
        <f ca="1">IFERROR(IF(OR('Saisie de données'!$D$13='Menu déroulant'!$AA$4,'Saisie de données'!$D$13='Menu déroulant'!$AA$3),"N/D",MIN('Synthèse résultat'!$C$87,'Synthèse résultat'!$W14,'Synthèse résultat'!$P$14,'Synthèse résultat'!$AQ$14,'Synthèse résultat'!$AR$14)),"N/D")</f>
        <v>N/D</v>
      </c>
      <c r="M62" s="533" t="str">
        <f ca="1">IFERROR(MIN('Synthèse résultat'!$D$87,'Synthèse résultat'!$R17,'Synthèse résultat'!$P$17,'Synthèse résultat'!$AQ$17,'Synthèse résultat'!$AR$17),"N/D")</f>
        <v>N/D</v>
      </c>
      <c r="N62" s="542" t="str">
        <f ca="1">IF(OR($M$62="N/D",$M$63="N/D",$M$64="N/D"),"N/D",MIN('Synthèse résultat'!$E$87,'Synthèse résultat'!$R18,'Synthèse résultat'!$P$18,'Synthèse résultat'!$AQ$18,'Synthèse résultat'!$AR$18))</f>
        <v>N/D</v>
      </c>
      <c r="O62" s="1466" t="str">
        <f ca="1">IFERROR(IF(OR('Saisie de données'!$D$13='Menu déroulant'!$AA$4,'Saisie de données'!$D$13='Menu déroulant'!$AA$3),"N/D",MIN('Synthèse résultat'!$D$87,'Synthèse résultat'!$W17,'Synthèse résultat'!$P$17,'Synthèse résultat'!$AQ$17,'Synthèse résultat'!$AR$17)),"N/D")</f>
        <v>N/D</v>
      </c>
      <c r="P62" s="1467"/>
      <c r="Q62" s="567" t="str">
        <f ca="1">IFERROR(IF(OR('Saisie de données'!$D$13='Menu déroulant'!$AA$4,'Saisie de données'!$D$13='Menu déroulant'!$AA$3),"N/D",MIN('Synthèse résultat'!$E$87,'Synthèse résultat'!$W18,'Synthèse résultat'!$P$18,'Synthèse résultat'!$P$18,'Synthèse résultat'!$AQ$18,'Synthèse résultat'!$AR$18)),"N/D")</f>
        <v>N/D</v>
      </c>
      <c r="R62" s="533" t="str">
        <f ca="1">IFERROR(MIN('Synthèse résultat'!$F$87,'Synthèse résultat'!$R21,'Synthèse résultat'!$P$21,'Synthèse résultat'!$AQ$21,'Synthèse résultat'!$AR$21),"N/D")</f>
        <v>N/D</v>
      </c>
      <c r="S62" s="542" t="str">
        <f ca="1">IF(OR($R$62="N/D",$R$63="N/D",$R$64="N/D"),"N/D",MIN('Synthèse résultat'!$G$87,'Synthèse résultat'!$R22,'Synthèse résultat'!$P$22,'Synthèse résultat'!$AQ$22,'Synthèse résultat'!$AR$22))</f>
        <v>N/D</v>
      </c>
      <c r="T62" s="565" t="str">
        <f ca="1">IFERROR(IF(OR('Saisie de données'!$D$13='Menu déroulant'!$AA$4,'Saisie de données'!$D$13='Menu déroulant'!$AA$3),"N/D",MIN('Synthèse résultat'!$F$87,'Synthèse résultat'!$W21,'Synthèse résultat'!$P$21,'Synthèse résultat'!$AQ$21,'Synthèse résultat'!$AR$21)),"N/D")</f>
        <v>N/D</v>
      </c>
      <c r="U62" s="566" t="str">
        <f ca="1">IFERROR(IF(OR('Saisie de données'!$D$13='Menu déroulant'!$AA$4,'Saisie de données'!$D$13='Menu déroulant'!$AA$3),"N/D",MIN('Synthèse résultat'!$G$87,'Synthèse résultat'!$W22,'Synthèse résultat'!$P$22,'Synthèse résultat'!$AQ$22,'Synthèse résultat'!$AR$22)),"N/D")</f>
        <v>N/D</v>
      </c>
      <c r="V62" s="33"/>
      <c r="W62" s="21"/>
      <c r="Z62" s="24"/>
      <c r="AA62" s="129"/>
      <c r="AB62" s="24"/>
      <c r="AX62" s="129"/>
      <c r="AY62" s="129"/>
      <c r="CR62" s="1404"/>
    </row>
    <row r="63" spans="1:96" ht="19.899999999999999" customHeight="1">
      <c r="A63" s="137"/>
      <c r="B63" s="137"/>
      <c r="C63" s="137"/>
      <c r="D63" s="137"/>
      <c r="E63" s="1320"/>
      <c r="F63" s="1484"/>
      <c r="G63" s="1481"/>
      <c r="H63" s="80" t="s">
        <v>108</v>
      </c>
      <c r="I63" s="534" t="str">
        <f ca="1">IFERROR(MIN('Synthèse résultat'!$B$87,'Synthèse résultat'!$S13,'Synthèse résultat'!$P$13,'Synthèse résultat'!$AQ$13,'Synthèse résultat'!$AR$13),"N/D")</f>
        <v>N/D</v>
      </c>
      <c r="J63" s="536" t="str">
        <f ca="1">IF(OR($I$62="N/D",$I$63="N/D",$I$64="N/D"),"N/D",MIN('Synthèse résultat'!$C$87,'Synthèse résultat'!$S14,'Synthèse résultat'!$P$14,'Synthèse résultat'!$AQ$14,'Synthèse résultat'!$AR$14))</f>
        <v>N/D</v>
      </c>
      <c r="K63" s="552" t="str">
        <f ca="1">IFERROR(IF(OR('Saisie de données'!$D$13='Menu déroulant'!$AA$4,'Saisie de données'!$D$13='Menu déroulant'!$AA$3),"N/D",MIN('Synthèse résultat'!$B$87,'Synthèse résultat'!$X13,'Synthèse résultat'!$P$13,'Synthèse résultat'!$AQ$13,'Synthèse résultat'!$AR$13)),"N/D")</f>
        <v>N/D</v>
      </c>
      <c r="L63" s="539" t="str">
        <f ca="1">IFERROR(IF(OR('Saisie de données'!$D$13='Menu déroulant'!$AA$4,'Saisie de données'!$D$13='Menu déroulant'!$AA$3),"N/D",MIN('Synthèse résultat'!$C$87,'Synthèse résultat'!$X14,'Synthèse résultat'!$P$14,'Synthèse résultat'!$AQ$14,'Synthèse résultat'!$AR$14)),"N/D")</f>
        <v>N/D</v>
      </c>
      <c r="M63" s="534" t="str">
        <f ca="1">IFERROR(MIN('Synthèse résultat'!$D$87,'Synthèse résultat'!$S17,'Synthèse résultat'!$P$17,'Synthèse résultat'!$AQ$17,'Synthèse résultat'!$AR$17),"N/D")</f>
        <v>N/D</v>
      </c>
      <c r="N63" s="536" t="str">
        <f ca="1">IF(OR($M$62="N/D",$M$63="N/D",$M$64="N/D"),"N/D",MIN('Synthèse résultat'!$E$87,'Synthèse résultat'!$S18,'Synthèse résultat'!$P$18,'Synthèse résultat'!$P$18,'Synthèse résultat'!$AQ$18,'Synthèse résultat'!$AR$18))</f>
        <v>N/D</v>
      </c>
      <c r="O63" s="1464" t="str">
        <f ca="1">IFERROR(IF(OR('Saisie de données'!$D$13='Menu déroulant'!$AA$4,'Saisie de données'!$D$13='Menu déroulant'!$AA$3),"N/D",MIN('Synthèse résultat'!$D$87,'Synthèse résultat'!$X17,'Synthèse résultat'!$P$17,'Synthèse résultat'!$AQ$17,'Synthèse résultat'!$AR$17)),"N/D")</f>
        <v>N/D</v>
      </c>
      <c r="P63" s="1465"/>
      <c r="Q63" s="543" t="str">
        <f ca="1">IFERROR(IF(OR('Saisie de données'!$D$13='Menu déroulant'!$AA$4,'Saisie de données'!$D$13='Menu déroulant'!$AA$3),"N/D",MIN('Synthèse résultat'!$E$87,'Synthèse résultat'!$X18,'Synthèse résultat'!$P$18,'Synthèse résultat'!$P$18,'Synthèse résultat'!$AQ$18,'Synthèse résultat'!$AR$18)),"N/D")</f>
        <v>N/D</v>
      </c>
      <c r="R63" s="534" t="str">
        <f ca="1">IFERROR(MIN('Synthèse résultat'!$F$87,'Synthèse résultat'!$S21,'Synthèse résultat'!$P$21,'Synthèse résultat'!$AQ$21,'Synthèse résultat'!$AR$21),"N/D")</f>
        <v>N/D</v>
      </c>
      <c r="S63" s="536" t="str">
        <f ca="1">IF(OR($R$62="N/D",$R$63="N/D",$R$64="N/D"),"N/D",MIN('Synthèse résultat'!$G$87,'Synthèse résultat'!$S22,'Synthèse résultat'!$P$22,'Synthèse résultat'!$AQ$22,'Synthèse résultat'!$AR$22))</f>
        <v>N/D</v>
      </c>
      <c r="T63" s="552" t="str">
        <f ca="1">IFERROR(IF(OR('Saisie de données'!$D$13='Menu déroulant'!$AA$4,'Saisie de données'!$D$13='Menu déroulant'!$AA$3),"N/D",MIN('Synthèse résultat'!$F$87,'Synthèse résultat'!$X21,'Synthèse résultat'!$P$21,'Synthèse résultat'!$AQ$21,'Synthèse résultat'!$AR$21)),"N/D")</f>
        <v>N/D</v>
      </c>
      <c r="U63" s="539" t="str">
        <f ca="1">IFERROR(IF(OR('Saisie de données'!$D$13='Menu déroulant'!$AA$4,'Saisie de données'!$D$13='Menu déroulant'!$AA$3),"N/D",MIN('Synthèse résultat'!$G$87,'Synthèse résultat'!$X22,'Synthèse résultat'!$P$22,'Synthèse résultat'!$AQ$22,'Synthèse résultat'!$AR$22)),"N/D")</f>
        <v>N/D</v>
      </c>
      <c r="V63" s="33"/>
      <c r="W63" s="21"/>
      <c r="Z63" s="24"/>
      <c r="AA63" s="129"/>
      <c r="AB63" s="24"/>
      <c r="AX63" s="129"/>
      <c r="AY63" s="380"/>
      <c r="CR63" s="1404"/>
    </row>
    <row r="64" spans="1:96" ht="19.899999999999999" customHeight="1">
      <c r="A64" s="137"/>
      <c r="B64" s="137"/>
      <c r="C64" s="137"/>
      <c r="D64" s="137"/>
      <c r="E64" s="1320"/>
      <c r="F64" s="1484"/>
      <c r="G64" s="1481"/>
      <c r="H64" s="80" t="s">
        <v>109</v>
      </c>
      <c r="I64" s="534" t="str">
        <f ca="1">IFERROR(MIN('Synthèse résultat'!$B$87,'Synthèse résultat'!$T13,'Synthèse résultat'!$P$13,'Synthèse résultat'!$AQ$13,'Synthèse résultat'!$AR$13),"N/D")</f>
        <v>N/D</v>
      </c>
      <c r="J64" s="536" t="str">
        <f ca="1">IF(OR($I$62="N/D",$I$63="N/D",$I$64="N/D"),"N/D",MIN('Synthèse résultat'!$C$87,'Synthèse résultat'!$T14,'Synthèse résultat'!$P$14,'Synthèse résultat'!$AQ$14,'Synthèse résultat'!$AR$14))</f>
        <v>N/D</v>
      </c>
      <c r="K64" s="552" t="str">
        <f ca="1">IFERROR(IF(OR('Saisie de données'!$D$13='Menu déroulant'!$AA$4,'Saisie de données'!$D$13='Menu déroulant'!$AA$3),"N/D",MIN('Synthèse résultat'!$B$87,'Synthèse résultat'!$Y13,'Synthèse résultat'!$P$13,'Synthèse résultat'!$AQ$13,'Synthèse résultat'!$AR$13)),"N/D")</f>
        <v>N/D</v>
      </c>
      <c r="L64" s="539" t="str">
        <f ca="1">IFERROR(IF(OR('Saisie de données'!$D$13='Menu déroulant'!$AA$4,'Saisie de données'!$D$13='Menu déroulant'!$AA$3),"N/D",MIN('Synthèse résultat'!$C$87,'Synthèse résultat'!$Y14,'Synthèse résultat'!$P$14,'Synthèse résultat'!$AQ$14,'Synthèse résultat'!$AR$14)),"N/D")</f>
        <v>N/D</v>
      </c>
      <c r="M64" s="534" t="str">
        <f ca="1">IFERROR(MIN('Synthèse résultat'!$D$87,'Synthèse résultat'!$T17,'Synthèse résultat'!$P$17,'Synthèse résultat'!$AQ$17,'Synthèse résultat'!$AR$17),"N/D")</f>
        <v>N/D</v>
      </c>
      <c r="N64" s="536" t="str">
        <f ca="1">IF(OR($M$62="N/D",$M$63="N/D",$M$64="N/D"),"N/D",MIN('Synthèse résultat'!$E$87,'Synthèse résultat'!$T18,'Synthèse résultat'!$P$18,'Synthèse résultat'!$P$18,'Synthèse résultat'!$AQ$18,'Synthèse résultat'!$AR$18))</f>
        <v>N/D</v>
      </c>
      <c r="O64" s="1464" t="str">
        <f ca="1">IFERROR(IF(OR('Saisie de données'!$D$13='Menu déroulant'!$AA$4,'Saisie de données'!$D$13='Menu déroulant'!$AA$3),"N/D",MIN('Synthèse résultat'!$D$87,'Synthèse résultat'!$Y17,'Synthèse résultat'!$P$17,'Synthèse résultat'!$AQ$17,'Synthèse résultat'!$AR$17)),"N/D")</f>
        <v>N/D</v>
      </c>
      <c r="P64" s="1465"/>
      <c r="Q64" s="543" t="str">
        <f ca="1">IFERROR(IF(OR('Saisie de données'!$D$13='Menu déroulant'!$AA$4,'Saisie de données'!$D$13='Menu déroulant'!$AA$3),"N/D",MIN('Synthèse résultat'!$E$87,'Synthèse résultat'!$Y18,'Synthèse résultat'!$P$18,'Synthèse résultat'!$P$18,'Synthèse résultat'!$AQ$18,'Synthèse résultat'!$AR$18)),"N/D")</f>
        <v>N/D</v>
      </c>
      <c r="R64" s="534" t="str">
        <f ca="1">IFERROR(MIN('Synthèse résultat'!$F$87,'Synthèse résultat'!$T21,'Synthèse résultat'!$P$21,'Synthèse résultat'!$AQ$21,'Synthèse résultat'!$AR$21),"N/D")</f>
        <v>N/D</v>
      </c>
      <c r="S64" s="536" t="str">
        <f ca="1">IF(OR($R$62="N/D",$R$63="N/D",$R$64="N/D"),"N/D",MIN('Synthèse résultat'!$G$87,'Synthèse résultat'!$T22,'Synthèse résultat'!$P$22,'Synthèse résultat'!$AQ$22,'Synthèse résultat'!$AR$22))</f>
        <v>N/D</v>
      </c>
      <c r="T64" s="552" t="str">
        <f ca="1">IFERROR(IF(OR('Saisie de données'!$D$13='Menu déroulant'!$AA$4,'Saisie de données'!$D$13='Menu déroulant'!$AA$3),"N/D",MIN('Synthèse résultat'!$F$87,'Synthèse résultat'!$Y21,'Synthèse résultat'!$P$21,'Synthèse résultat'!$AQ$21,'Synthèse résultat'!$AR$21)),"N/D")</f>
        <v>N/D</v>
      </c>
      <c r="U64" s="539" t="str">
        <f ca="1">IFERROR(IF(OR('Saisie de données'!$D$13='Menu déroulant'!$AA$4,'Saisie de données'!$D$13='Menu déroulant'!$AA$3),"N/D",MIN('Synthèse résultat'!$G$87,'Synthèse résultat'!$Y22,'Synthèse résultat'!$P$22,'Synthèse résultat'!$AQ$22,'Synthèse résultat'!$AR$22)),"N/D")</f>
        <v>N/D</v>
      </c>
      <c r="V64" s="33"/>
      <c r="W64" s="21"/>
      <c r="Y64" s="17"/>
      <c r="Z64" s="24"/>
      <c r="AA64" s="129"/>
      <c r="AB64" s="24"/>
      <c r="AX64" s="129"/>
      <c r="CR64" s="1404"/>
    </row>
    <row r="65" spans="1:96" ht="19.899999999999999" customHeight="1" thickBot="1">
      <c r="A65" s="137"/>
      <c r="B65" s="137"/>
      <c r="C65" s="137"/>
      <c r="D65" s="137"/>
      <c r="E65" s="1320"/>
      <c r="F65" s="1485"/>
      <c r="G65" s="1482"/>
      <c r="H65" s="86" t="s">
        <v>110</v>
      </c>
      <c r="I65" s="568" t="str">
        <f ca="1">IFERROR(IF(OR('Saisie de données'!$D$13='Menu déroulant'!$AA$4,'Saisie de données'!$D$13='Menu déroulant'!$AA$3),"N/D",MIN('Synthèse résultat'!$B$87,'Synthèse résultat'!$U13,'Synthèse résultat'!$P$13,'Synthèse résultat'!$AQ$13,'Synthèse résultat'!$AR$13)),"N/D")</f>
        <v>N/D</v>
      </c>
      <c r="J65" s="569" t="str">
        <f ca="1">IFERROR(IF(OR('Saisie de données'!$D$13='Menu déroulant'!$AA$4,'Saisie de données'!$D$13='Menu déroulant'!$AA$3),"N/D",MIN('Synthèse résultat'!$C$87,'Synthèse résultat'!$U14,'Synthèse résultat'!$P$14,'Synthèse résultat'!$AQ$14,'Synthèse résultat'!$AR$14)),"N/D")</f>
        <v>N/D</v>
      </c>
      <c r="K65" s="551" t="str">
        <f ca="1">IFERROR(IF(OR('Saisie de données'!$D$13='Menu déroulant'!$AA$4,'Saisie de données'!$D$13='Menu déroulant'!$AA$3),"N/D",MIN('Synthèse résultat'!$B$87,'Synthèse résultat'!$Z13,'Synthèse résultat'!$P$13,'Synthèse résultat'!$AQ$13,'Synthèse résultat'!$AR$13)),"N/D")</f>
        <v>N/D</v>
      </c>
      <c r="L65" s="570" t="str">
        <f ca="1">IFERROR(IF(OR('Saisie de données'!$D$13='Menu déroulant'!$AA$4,'Saisie de données'!$D$13='Menu déroulant'!$AA$3),"N/D",MIN('Synthèse résultat'!$C$87,'Synthèse résultat'!$Z14,'Synthèse résultat'!$P$14,'Synthèse résultat'!$AQ$14,'Synthèse résultat'!$AR$14)),"N/D")</f>
        <v>N/D</v>
      </c>
      <c r="M65" s="568" t="str">
        <f ca="1">IFERROR(IF(OR('Saisie de données'!$D$13='Menu déroulant'!$AA$4,'Saisie de données'!$D$13='Menu déroulant'!$AA$3),"N/D",MIN('Synthèse résultat'!$D$87,'Synthèse résultat'!$U17,'Synthèse résultat'!$P$17,'Synthèse résultat'!$AQ$17,'Synthèse résultat'!$AR$17)),"N/D")</f>
        <v>N/D</v>
      </c>
      <c r="N65" s="569" t="str">
        <f ca="1">IFERROR(IF(OR('Saisie de données'!$D$13='Menu déroulant'!$AA$4,'Saisie de données'!$D$13='Menu déroulant'!$AA$3),"N/D",MIN('Synthèse résultat'!$E$87,'Synthèse résultat'!$U18,'Synthèse résultat'!$P$18,'Synthèse résultat'!$P$18,'Synthèse résultat'!$AQ$18,'Synthèse résultat'!$AR$18)),"N/D")</f>
        <v>N/D</v>
      </c>
      <c r="O65" s="1468" t="str">
        <f ca="1">IFERROR(IF(OR('Saisie de données'!$D$13='Menu déroulant'!$AA$4,'Saisie de données'!$D$13='Menu déroulant'!$AA$3),"N/D",MIN('Synthèse résultat'!$D$87,'Synthèse résultat'!$Z17,'Synthèse résultat'!$P$17,'Synthèse résultat'!$AQ$17,'Synthèse résultat'!$AR$17)),"N/D")</f>
        <v>N/D</v>
      </c>
      <c r="P65" s="1469"/>
      <c r="Q65" s="571" t="str">
        <f ca="1">IFERROR(IF(OR('Saisie de données'!$D$13='Menu déroulant'!$AA$4,'Saisie de données'!$D$13='Menu déroulant'!$AA$3),"N/D",MIN('Synthèse résultat'!$E$87,'Synthèse résultat'!$Z18,'Synthèse résultat'!$P$18,'Synthèse résultat'!$P$18,'Synthèse résultat'!$AQ$18,'Synthèse résultat'!$AR$18)),"N/D")</f>
        <v>N/D</v>
      </c>
      <c r="R65" s="568" t="str">
        <f ca="1">IFERROR(IF(OR('Saisie de données'!$D$13='Menu déroulant'!$AA$4,'Saisie de données'!$D$13='Menu déroulant'!$AA$3),"N/D",MIN('Synthèse résultat'!$F$87,'Synthèse résultat'!$U21,'Synthèse résultat'!$P$21,'Synthèse résultat'!$AQ$21,'Synthèse résultat'!$AR$21)),"N/D")</f>
        <v>N/D</v>
      </c>
      <c r="S65" s="569" t="str">
        <f ca="1">IFERROR(IF(OR('Saisie de données'!$D$13='Menu déroulant'!$AA$4,'Saisie de données'!$D$13='Menu déroulant'!$AA$3),"N/D",MIN('Synthèse résultat'!$G$87,'Synthèse résultat'!$U22,'Synthèse résultat'!$P$22,'Synthèse résultat'!$AQ$22,'Synthèse résultat'!$AR$22)),"N/D")</f>
        <v>N/D</v>
      </c>
      <c r="T65" s="551" t="str">
        <f ca="1">IFERROR(IF(OR('Saisie de données'!$D$13='Menu déroulant'!$AA$4,'Saisie de données'!$D$13='Menu déroulant'!$AA$3),"N/D",MIN('Synthèse résultat'!$F$87,'Synthèse résultat'!$Z21,'Synthèse résultat'!$P$21,'Synthèse résultat'!$AQ$21,'Synthèse résultat'!$AR$21)),"N/D")</f>
        <v>N/D</v>
      </c>
      <c r="U65" s="570" t="str">
        <f ca="1">IFERROR(IF(OR('Saisie de données'!$D$13='Menu déroulant'!$AA$4,'Saisie de données'!$D$13='Menu déroulant'!$AA$3),"N/D",MIN('Synthèse résultat'!$G$87,'Synthèse résultat'!$Z22,'Synthèse résultat'!$P$22,'Synthèse résultat'!$AQ$22,'Synthèse résultat'!$AR$22)),"N/D")</f>
        <v>N/D</v>
      </c>
      <c r="Z65" s="24"/>
      <c r="AA65" s="129"/>
      <c r="AB65" s="24"/>
      <c r="AX65" s="129"/>
      <c r="CR65" s="1404"/>
    </row>
    <row r="66" spans="1:96" ht="14.45" customHeight="1" thickTop="1">
      <c r="A66" s="137"/>
      <c r="B66" s="137"/>
      <c r="C66" s="137"/>
      <c r="D66" s="137"/>
      <c r="E66" s="622"/>
      <c r="F66" s="623"/>
      <c r="G66" s="622"/>
      <c r="H66" s="582"/>
      <c r="I66" s="624"/>
      <c r="J66" s="624"/>
      <c r="K66" s="624"/>
      <c r="L66" s="624"/>
      <c r="M66" s="624"/>
      <c r="N66" s="624"/>
      <c r="O66" s="624"/>
      <c r="P66" s="624"/>
      <c r="Q66" s="624"/>
      <c r="R66" s="625"/>
      <c r="S66" s="624"/>
      <c r="T66" s="624"/>
      <c r="U66" s="624"/>
      <c r="Z66" s="24"/>
      <c r="AA66" s="129"/>
      <c r="AB66" s="24"/>
      <c r="AM66" s="19"/>
      <c r="AN66" s="22"/>
      <c r="AX66" s="129"/>
      <c r="CR66" s="1404"/>
    </row>
    <row r="67" spans="1:96" ht="14.65" customHeight="1">
      <c r="A67" s="137"/>
      <c r="B67" s="137"/>
      <c r="C67" s="137"/>
      <c r="D67" s="137"/>
      <c r="E67" s="622"/>
      <c r="F67" s="623"/>
      <c r="G67" s="622"/>
      <c r="H67" s="582"/>
      <c r="I67" s="624"/>
      <c r="J67" s="624"/>
      <c r="K67" s="624"/>
      <c r="L67" s="624"/>
      <c r="M67" s="624"/>
      <c r="N67" s="624"/>
      <c r="O67" s="624"/>
      <c r="P67" s="624"/>
      <c r="Q67" s="624"/>
      <c r="R67" s="624"/>
      <c r="S67" s="624"/>
      <c r="T67" s="624"/>
      <c r="U67" s="624"/>
      <c r="Y67" s="132"/>
      <c r="Z67" s="132"/>
      <c r="AA67" s="132"/>
      <c r="AM67" s="19"/>
      <c r="AN67" s="22"/>
      <c r="AX67" s="129"/>
      <c r="AY67" s="380"/>
      <c r="CR67" s="1404"/>
    </row>
    <row r="68" spans="1:96" ht="14.45" customHeight="1">
      <c r="A68" s="137"/>
      <c r="B68" s="137"/>
      <c r="C68" s="137"/>
      <c r="D68" s="137"/>
      <c r="E68" s="618"/>
      <c r="F68" s="620"/>
      <c r="G68" s="620"/>
      <c r="H68" s="620"/>
      <c r="I68" s="1316" t="s">
        <v>265</v>
      </c>
      <c r="J68" s="1316"/>
      <c r="K68" s="1316"/>
      <c r="L68" s="1316"/>
      <c r="M68" s="1316"/>
      <c r="N68" s="1316"/>
      <c r="O68" s="1316"/>
      <c r="P68" s="1316"/>
      <c r="Q68" s="1316"/>
      <c r="R68" s="1316"/>
      <c r="S68" s="1316"/>
      <c r="T68" s="1316"/>
      <c r="U68" s="1316"/>
      <c r="AA68" s="132"/>
      <c r="AM68" s="19"/>
      <c r="AN68" s="22"/>
      <c r="AX68" s="129"/>
      <c r="CR68" s="1404"/>
    </row>
    <row r="69" spans="1:96" ht="14.65" customHeight="1" thickBot="1">
      <c r="A69" s="137"/>
      <c r="B69" s="137"/>
      <c r="C69" s="137"/>
      <c r="D69" s="137"/>
      <c r="E69" s="618"/>
      <c r="F69" s="621"/>
      <c r="G69" s="621"/>
      <c r="H69" s="621"/>
      <c r="I69" s="1317"/>
      <c r="J69" s="1317"/>
      <c r="K69" s="1317"/>
      <c r="L69" s="1317"/>
      <c r="M69" s="1317"/>
      <c r="N69" s="1317"/>
      <c r="O69" s="1317"/>
      <c r="P69" s="1317"/>
      <c r="Q69" s="1317"/>
      <c r="R69" s="1317"/>
      <c r="S69" s="1317"/>
      <c r="T69" s="1317"/>
      <c r="U69" s="1317"/>
      <c r="V69" s="130"/>
      <c r="W69" s="130"/>
      <c r="X69" s="26"/>
      <c r="AA69" s="132"/>
      <c r="AM69" s="19"/>
      <c r="AN69" s="22"/>
      <c r="AX69" s="129"/>
      <c r="CR69" s="1404"/>
    </row>
    <row r="70" spans="1:96" ht="15" customHeight="1" thickTop="1" thickBot="1">
      <c r="A70" s="137"/>
      <c r="B70" s="137"/>
      <c r="C70" s="137"/>
      <c r="D70" s="137"/>
      <c r="E70" s="1486"/>
      <c r="F70" s="476"/>
      <c r="G70" s="477"/>
      <c r="H70" s="478"/>
      <c r="I70" s="1410" t="s">
        <v>248</v>
      </c>
      <c r="J70" s="1411"/>
      <c r="K70" s="1411"/>
      <c r="L70" s="1411"/>
      <c r="M70" s="1411"/>
      <c r="N70" s="1411"/>
      <c r="O70" s="1411"/>
      <c r="P70" s="1411"/>
      <c r="Q70" s="1411"/>
      <c r="R70" s="1411"/>
      <c r="S70" s="1411"/>
      <c r="T70" s="1411"/>
      <c r="U70" s="1412"/>
      <c r="AX70" s="129"/>
      <c r="CR70" s="1404"/>
    </row>
    <row r="71" spans="1:96" ht="19.149999999999999" thickTop="1" thickBot="1">
      <c r="A71" s="137"/>
      <c r="B71" s="137"/>
      <c r="C71" s="137"/>
      <c r="D71" s="137"/>
      <c r="E71" s="1486"/>
      <c r="F71" s="473"/>
      <c r="G71" s="474"/>
      <c r="H71" s="475"/>
      <c r="I71" s="1405" t="str">
        <f>'Saisie de données'!C60&amp;"-"&amp;'Saisie de données'!D60&amp;" "&amp;'Saisie de données'!E60&amp;""" ("&amp;'Saisie de données'!F60&amp;""")"</f>
        <v>Norex-L 6" (36")</v>
      </c>
      <c r="J71" s="1406"/>
      <c r="K71" s="1406"/>
      <c r="L71" s="1407"/>
      <c r="M71" s="1405" t="str">
        <f>'Saisie de données'!C61&amp;"-"&amp;'Saisie de données'!D61&amp;" "&amp;'Saisie de données'!E61&amp;""" ("&amp;'Saisie de données'!F61&amp;""")"</f>
        <v>Norex-L 4" (36")</v>
      </c>
      <c r="N71" s="1406"/>
      <c r="O71" s="1406"/>
      <c r="P71" s="1406"/>
      <c r="Q71" s="1407"/>
      <c r="R71" s="1405" t="str">
        <f>'Saisie de données'!C62&amp;"-"&amp;'Saisie de données'!D62&amp;" "&amp;'Saisie de données'!E62&amp;""" ("&amp;'Saisie de données'!F62&amp;""")"</f>
        <v>Noroc- 8" (42,5")</v>
      </c>
      <c r="S71" s="1406"/>
      <c r="T71" s="1406"/>
      <c r="U71" s="1407"/>
      <c r="W71" s="21"/>
      <c r="X71"/>
      <c r="AX71" s="129"/>
      <c r="CR71" s="1404"/>
    </row>
    <row r="72" spans="1:96" ht="28.15" customHeight="1" thickBot="1">
      <c r="A72" s="137"/>
      <c r="B72" s="137"/>
      <c r="C72" s="137"/>
      <c r="D72" s="137"/>
      <c r="E72" s="1486"/>
      <c r="F72" s="473"/>
      <c r="G72" s="474"/>
      <c r="H72" s="475"/>
      <c r="I72" s="1408" t="s">
        <v>113</v>
      </c>
      <c r="J72" s="1409"/>
      <c r="K72" s="1425" t="s">
        <v>114</v>
      </c>
      <c r="L72" s="1426"/>
      <c r="M72" s="1408" t="s">
        <v>113</v>
      </c>
      <c r="N72" s="1409"/>
      <c r="O72" s="1425" t="s">
        <v>114</v>
      </c>
      <c r="P72" s="1488"/>
      <c r="Q72" s="1426"/>
      <c r="R72" s="1408" t="s">
        <v>113</v>
      </c>
      <c r="S72" s="1409"/>
      <c r="T72" s="1425" t="s">
        <v>114</v>
      </c>
      <c r="U72" s="1426"/>
      <c r="X72"/>
      <c r="AX72" s="129"/>
      <c r="BQ72" s="1397"/>
      <c r="CR72" s="1404"/>
    </row>
    <row r="73" spans="1:96" ht="19.149999999999999" customHeight="1" thickTop="1" thickBot="1">
      <c r="A73" s="137"/>
      <c r="B73" s="137"/>
      <c r="C73" s="137"/>
      <c r="D73" s="137"/>
      <c r="E73" s="1486"/>
      <c r="F73" s="473"/>
      <c r="G73" s="474"/>
      <c r="H73" s="475"/>
      <c r="I73" s="1333" t="s">
        <v>105</v>
      </c>
      <c r="J73" s="1347"/>
      <c r="K73" s="1303" t="s">
        <v>105</v>
      </c>
      <c r="L73" s="1304"/>
      <c r="M73" s="1333" t="s">
        <v>105</v>
      </c>
      <c r="N73" s="1347"/>
      <c r="O73" s="1303" t="s">
        <v>105</v>
      </c>
      <c r="P73" s="1334"/>
      <c r="Q73" s="1304"/>
      <c r="R73" s="1333" t="s">
        <v>105</v>
      </c>
      <c r="S73" s="1347"/>
      <c r="T73" s="1303" t="s">
        <v>105</v>
      </c>
      <c r="U73" s="1304"/>
      <c r="V73" s="20"/>
      <c r="W73" s="20"/>
      <c r="X73" s="20"/>
      <c r="AX73" s="129"/>
      <c r="BQ73" s="1397"/>
      <c r="CR73" s="1404"/>
    </row>
    <row r="74" spans="1:96" ht="23.1" customHeight="1" thickBot="1">
      <c r="A74" s="137"/>
      <c r="B74" s="137"/>
      <c r="C74" s="137"/>
      <c r="D74" s="137"/>
      <c r="E74" s="1486"/>
      <c r="F74" s="1348"/>
      <c r="G74" s="1349"/>
      <c r="H74" s="1350"/>
      <c r="I74" s="707" t="str">
        <f>IF('Saisie de données'!$D$16='Menu déroulant'!$B$20,"5-","e-")</f>
        <v>e-</v>
      </c>
      <c r="J74" s="708" t="str">
        <f>IF('Saisie de données'!$D$16='Menu déroulant'!$B$20,"4-","w-")</f>
        <v>w-</v>
      </c>
      <c r="K74" s="708" t="str">
        <f>IF('Saisie de données'!$D$16='Menu déroulant'!$B$20,"5-","e-")</f>
        <v>e-</v>
      </c>
      <c r="L74" s="708" t="str">
        <f>IF('Saisie de données'!$D$16='Menu déroulant'!$B$20,"4-","w-")</f>
        <v>w-</v>
      </c>
      <c r="M74" s="707" t="str">
        <f>IF('Saisie de données'!$D$16='Menu déroulant'!$B$20,"5-","e-")</f>
        <v>e-</v>
      </c>
      <c r="N74" s="708" t="str">
        <f>IF('Saisie de données'!$D$16='Menu déroulant'!$B$20,"4-","w-")</f>
        <v>w-</v>
      </c>
      <c r="O74" s="1346" t="str">
        <f>IF('Saisie de données'!$D$16='Menu déroulant'!$B$20,"5-","e-")</f>
        <v>e-</v>
      </c>
      <c r="P74" s="1346"/>
      <c r="Q74" s="708" t="str">
        <f>IF('Saisie de données'!$D$16='Menu déroulant'!$B$20,"4-","w-")</f>
        <v>w-</v>
      </c>
      <c r="R74" s="707" t="str">
        <f>IF('Saisie de données'!$D$16='Menu déroulant'!$B$20,"5-","e-")</f>
        <v>e-</v>
      </c>
      <c r="S74" s="708" t="str">
        <f>IF('Saisie de données'!$D$16='Menu déroulant'!$B$20,"4-","w-")</f>
        <v>w-</v>
      </c>
      <c r="T74" s="708" t="str">
        <f>IF('Saisie de données'!$D$16='Menu déroulant'!$B$20,"5-","e-")</f>
        <v>e-</v>
      </c>
      <c r="U74" s="709" t="str">
        <f>IF('Saisie de données'!$D$16='Menu déroulant'!$B$20,"4-","w-")</f>
        <v>w-</v>
      </c>
      <c r="V74" s="132"/>
      <c r="W74" s="42"/>
      <c r="X74"/>
      <c r="AA74" s="23"/>
      <c r="AB74" s="23"/>
      <c r="AC74" s="23"/>
      <c r="BQ74" s="1397"/>
      <c r="CR74" s="1404"/>
    </row>
    <row r="75" spans="1:96" ht="23.1" customHeight="1" thickTop="1" thickBot="1">
      <c r="A75" s="137"/>
      <c r="B75" s="137"/>
      <c r="C75" s="137"/>
      <c r="D75" s="137"/>
      <c r="E75" s="1486"/>
      <c r="F75" s="1291" t="str">
        <f>IF(AND(ISBLANK('Saisie de données'!E30),ISBLANK('Saisie de données'!E31)),"0 to "&amp;'Saisie de données'!D38&amp;VLOOKUP('Saisie de données'!F38,'Menu déroulant'!AA23:AC24,2,0),"Wall")</f>
        <v>0 to 29'</v>
      </c>
      <c r="G75" s="1292"/>
      <c r="H75" s="1293"/>
      <c r="I75" s="533" t="str">
        <f ca="1">IFERROR(IF(OR('Saisie de données'!$D$13='Menu déroulant'!$AA$4,'Saisie de données'!$D$13='Menu déroulant'!$AA$3),"N/D",MIN('Synthèse résultat'!$K$86,'Synthèse résultat'!$B$86,'Synthèse résultat'!$P$11,'Synthèse résultat'!$AR$11)),"N/D")</f>
        <v>N/D</v>
      </c>
      <c r="J75" s="542" t="str">
        <f ca="1">IFERROR(IF(OR('Saisie de données'!$D$13='Menu déroulant'!$AA$4,'Saisie de données'!$D$13='Menu déroulant'!$AA$3),"N/D",MIN('Synthèse résultat'!$L$86,'Synthèse résultat'!$C$86,'Synthèse résultat'!$P$12,'Synthèse résultat'!$AR$12)),"N/D")</f>
        <v>N/D</v>
      </c>
      <c r="K75" s="565" t="str">
        <f ca="1">IFERROR(IF(OR('Saisie de données'!$D$13='Menu déroulant'!$AA$4,'Saisie de données'!$D$13='Menu déroulant'!$AA$3),"N/D",MIN('Synthèse résultat'!$T$86,'Synthèse résultat'!$B$86,'Synthèse résultat'!$P$11,'Synthèse résultat'!$AR$11)),"N/D")</f>
        <v>N/D</v>
      </c>
      <c r="L75" s="566" t="str">
        <f ca="1">IFERROR(IF(OR('Saisie de données'!$D$13='Menu déroulant'!$AA$4,'Saisie de données'!$D$13='Menu déroulant'!$AA$3),"N/D",MIN('Synthèse résultat'!$U$86,'Synthèse résultat'!$C$86,'Synthèse résultat'!$P$12,'Synthèse résultat'!$AR$12)),"N/D")</f>
        <v>N/D</v>
      </c>
      <c r="M75" s="533" t="str">
        <f ca="1">IFERROR(IF(OR('Saisie de données'!$D$13='Menu déroulant'!$AA$4,'Saisie de données'!$D$13='Menu déroulant'!$AA$3),"N/D",MIN('Synthèse résultat'!$M$86,'Synthèse résultat'!$D$86,'Synthèse résultat'!$P$15,'Synthèse résultat'!$AR$15)),"N/D")</f>
        <v>N/D</v>
      </c>
      <c r="N75" s="542" t="str">
        <f ca="1">IFERROR(IF(OR('Saisie de données'!$D$13='Menu déroulant'!$AA$4,'Saisie de données'!$D$13='Menu déroulant'!$AA$3),"N/D",MIN('Synthèse résultat'!$N$86,'Synthèse résultat'!$E$86,'Synthèse résultat'!$P$16,'Synthèse résultat'!$AR$15)),"N/D")</f>
        <v>N/D</v>
      </c>
      <c r="O75" s="1466" t="str">
        <f ca="1">IFERROR(IF(OR('Saisie de données'!$D$13='Menu déroulant'!$AA$4,'Saisie de données'!$D$13='Menu déroulant'!$AA$3),"N/D",MIN('Synthèse résultat'!$V$86,'Synthèse résultat'!$D$86,'Synthèse résultat'!$P$15,'Synthèse résultat'!$AR$15)),"N/D")</f>
        <v>N/D</v>
      </c>
      <c r="P75" s="1467"/>
      <c r="Q75" s="567" t="str">
        <f ca="1">IFERROR(IF(OR('Saisie de données'!$D$13='Menu déroulant'!$AA$4,'Saisie de données'!$D$13='Menu déroulant'!$AA$3),"N/D",MIN('Synthèse résultat'!$W$86,'Synthèse résultat'!$E$86,'Synthèse résultat'!$P$16,'Synthèse résultat'!$AR$15)),"N/D")</f>
        <v>N/D</v>
      </c>
      <c r="R75" s="533" t="str">
        <f ca="1">IFERROR(IF(OR('Saisie de données'!$D$13='Menu déroulant'!$AA$4,'Saisie de données'!$D$13='Menu déroulant'!$AA$3),"N/D",MIN('Synthèse résultat'!$O$86,'Synthèse résultat'!$F$86,'Synthèse résultat'!$P$19,'Synthèse résultat'!$AR$20)),"N/D")</f>
        <v>N/D</v>
      </c>
      <c r="S75" s="542" t="str">
        <f ca="1">IFERROR(IF(OR('Saisie de données'!$D$13='Menu déroulant'!$AA$4,'Saisie de données'!$D$13='Menu déroulant'!$AA$3),"N/D",MIN('Synthèse résultat'!$P$86,'Synthèse résultat'!$G$86,'Synthèse résultat'!$P$20,'Synthèse résultat'!$AR$20)),"N/D")</f>
        <v>N/D</v>
      </c>
      <c r="T75" s="565" t="str">
        <f ca="1">IFERROR(IF(OR('Saisie de données'!$D$13='Menu déroulant'!$AA$4,'Saisie de données'!$D$13='Menu déroulant'!$AA$3),"N/D",MIN('Synthèse résultat'!$X$86,'Synthèse résultat'!$F$86,'Synthèse résultat'!$P$19,'Synthèse résultat'!$AR$20)),"N/D")</f>
        <v>N/D</v>
      </c>
      <c r="U75" s="566" t="str">
        <f ca="1">IFERROR(IF(OR('Saisie de données'!$D$13='Menu déroulant'!$AA$4,'Saisie de données'!$D$13='Menu déroulant'!$AA$3),"N/D",MIN('Synthèse résultat'!$Y$86,'Synthèse résultat'!$G$86,'Synthèse résultat'!$P$20,'Synthèse résultat'!$AR$20)),"N/D")</f>
        <v>N/D</v>
      </c>
      <c r="V75" s="132"/>
      <c r="W75" s="42"/>
      <c r="X75"/>
      <c r="AA75" s="23"/>
      <c r="AB75" s="23"/>
      <c r="AC75" s="23"/>
      <c r="BQ75" s="1397"/>
      <c r="CR75" s="1404"/>
    </row>
    <row r="76" spans="1:96" ht="23.1" customHeight="1" thickBot="1">
      <c r="A76" s="137"/>
      <c r="B76" s="137"/>
      <c r="C76" s="137"/>
      <c r="D76" s="137"/>
      <c r="E76" s="1486"/>
      <c r="F76" s="1294" t="s">
        <v>111</v>
      </c>
      <c r="G76" s="1295"/>
      <c r="H76" s="1296"/>
      <c r="I76" s="568" t="str">
        <f ca="1">IFERROR(IF(OR('Saisie de données'!$D$13='Menu déroulant'!$AA$4,'Saisie de données'!$D$13='Menu déroulant'!$AA$3),"N/D",MIN('Synthèse résultat'!$K$87,'Synthèse résultat'!$B$87,'Synthèse résultat'!$P$13,'Synthèse résultat'!$AR$13)),"N/D")</f>
        <v>N/D</v>
      </c>
      <c r="J76" s="569" t="str">
        <f ca="1">IFERROR(IF(OR('Saisie de données'!$D$13='Menu déroulant'!$AA$4,'Saisie de données'!$D$13='Menu déroulant'!$AA$3),"N/D",MIN('Synthèse résultat'!$L$87,'Synthèse résultat'!$C$87,'Synthèse résultat'!$P$14,'Synthèse résultat'!$AR$14)),"N/D")</f>
        <v>N/D</v>
      </c>
      <c r="K76" s="551" t="str">
        <f ca="1">IFERROR(IF(OR('Saisie de données'!$D$13='Menu déroulant'!$AA$4,'Saisie de données'!$D$13='Menu déroulant'!$AA$3),"N/D",MIN('Synthèse résultat'!$T$87,'Synthèse résultat'!$B$87,'Synthèse résultat'!$P$13,'Synthèse résultat'!$AR$13)),"N/D")</f>
        <v>N/D</v>
      </c>
      <c r="L76" s="570" t="str">
        <f ca="1">IFERROR(IF(OR('Saisie de données'!$D$13='Menu déroulant'!$AA$4,'Saisie de données'!$D$13='Menu déroulant'!$AA$3),"N/D",MIN('Synthèse résultat'!$U$87,'Synthèse résultat'!$C$87,'Synthèse résultat'!$P$14,'Synthèse résultat'!$AR$14)),"N/D")</f>
        <v>N/D</v>
      </c>
      <c r="M76" s="568" t="str">
        <f ca="1">IFERROR(IF(OR('Saisie de données'!$D$13='Menu déroulant'!$AA$4,'Saisie de données'!$D$13='Menu déroulant'!$AA$3),"N/D",MIN('Synthèse résultat'!$M$87,'Synthèse résultat'!$D$87,'Synthèse résultat'!$P$17,'Synthèse résultat'!$AR$15)),"N/D")</f>
        <v>N/D</v>
      </c>
      <c r="N76" s="569" t="str">
        <f ca="1">IFERROR(IF(OR('Saisie de données'!$D$13='Menu déroulant'!$AA$4,'Saisie de données'!$D$13='Menu déroulant'!$AA$3),"N/D",MIN('Synthèse résultat'!$N$87,'Synthèse résultat'!$E$87,'Synthèse résultat'!$P$18,'Synthèse résultat'!$AR$15)),"N/D")</f>
        <v>N/D</v>
      </c>
      <c r="O76" s="1468" t="str">
        <f ca="1">IFERROR(IF(OR('Saisie de données'!$D$13='Menu déroulant'!$AA$4,'Saisie de données'!$D$13='Menu déroulant'!$AA$3),"N/D",MIN('Synthèse résultat'!$V$87,'Synthèse résultat'!$D$87,'Synthèse résultat'!$P$17,'Synthèse résultat'!$AR$15)),"N/D")</f>
        <v>N/D</v>
      </c>
      <c r="P76" s="1469"/>
      <c r="Q76" s="571" t="str">
        <f ca="1">IFERROR(IF(OR('Saisie de données'!$D$13='Menu déroulant'!$AA$4,'Saisie de données'!$D$13='Menu déroulant'!$AA$3),"N/D",MIN('Synthèse résultat'!$W$87,'Synthèse résultat'!$E$87,'Synthèse résultat'!$P$18,'Synthèse résultat'!$AR$15)),"N/D")</f>
        <v>N/D</v>
      </c>
      <c r="R76" s="568" t="str">
        <f ca="1">IFERROR(IF(OR('Saisie de données'!$D$13='Menu déroulant'!$AA$4,'Saisie de données'!$D$13='Menu déroulant'!$AA$3),"N/D",MIN('Synthèse résultat'!$O$87,'Synthèse résultat'!$F$87,'Synthèse résultat'!$P$21,'Synthèse résultat'!$AR$20)),"N/D")</f>
        <v>N/D</v>
      </c>
      <c r="S76" s="569" t="str">
        <f ca="1">IFERROR(IF(OR('Saisie de données'!$D$13='Menu déroulant'!$AA$4,'Saisie de données'!$D$13='Menu déroulant'!$AA$3),"N/D",MIN('Synthèse résultat'!$P$87,'Synthèse résultat'!$G$87,'Synthèse résultat'!$P$22,'Synthèse résultat'!$AR$20)),"N/D")</f>
        <v>N/D</v>
      </c>
      <c r="T76" s="551" t="str">
        <f ca="1">IFERROR(IF(OR('Saisie de données'!$D$13='Menu déroulant'!$AA$4,'Saisie de données'!$D$13='Menu déroulant'!$AA$3),"N/D",MIN('Synthèse résultat'!$X$87,'Synthèse résultat'!$F$87,'Synthèse résultat'!$P$21,'Synthèse résultat'!$AR$20)),"N/D")</f>
        <v>N/D</v>
      </c>
      <c r="U76" s="570" t="str">
        <f ca="1">IFERROR(IF(OR('Saisie de données'!$D$13='Menu déroulant'!$AA$4,'Saisie de données'!$D$13='Menu déroulant'!$AA$3),"N/D",MIN('Synthèse résultat'!$Y$87,'Synthèse résultat'!$G$87,'Synthèse résultat'!$P$22,'Synthèse résultat'!$AR$20)),"N/D")</f>
        <v>N/D</v>
      </c>
      <c r="X76"/>
      <c r="AA76" s="23"/>
      <c r="AB76" s="23"/>
      <c r="AC76" s="23"/>
      <c r="BQ76" s="1397"/>
      <c r="CR76" s="1404"/>
    </row>
    <row r="77" spans="1:96" ht="23.1" customHeight="1" thickTop="1">
      <c r="A77" s="137"/>
      <c r="B77" s="137"/>
      <c r="C77" s="137"/>
      <c r="D77" s="137"/>
      <c r="E77" s="137"/>
      <c r="F77" s="137"/>
      <c r="G77" s="137"/>
      <c r="H77" s="137"/>
      <c r="I77" s="137"/>
      <c r="J77" s="137"/>
      <c r="K77" s="137"/>
      <c r="L77" s="137"/>
      <c r="M77" s="137"/>
      <c r="N77" s="137"/>
      <c r="O77" s="137"/>
      <c r="P77" s="137"/>
      <c r="Q77" s="137"/>
      <c r="R77" s="137"/>
      <c r="S77" s="137"/>
      <c r="T77" s="137"/>
      <c r="U77" s="137"/>
      <c r="X77"/>
      <c r="AA77" s="23"/>
      <c r="AB77" s="23"/>
      <c r="AC77" s="23"/>
      <c r="BQ77" s="1397"/>
      <c r="CR77" s="1404"/>
    </row>
    <row r="78" spans="1:96" ht="17.649999999999999" customHeight="1">
      <c r="A78" s="137"/>
      <c r="B78" s="137"/>
      <c r="C78" s="137"/>
      <c r="D78" s="137"/>
      <c r="E78" s="1554" t="s">
        <v>266</v>
      </c>
      <c r="F78" s="1554"/>
      <c r="G78" s="1554"/>
      <c r="H78" s="1554"/>
      <c r="I78" s="1554"/>
      <c r="J78" s="137"/>
      <c r="K78" s="1345" t="s">
        <v>267</v>
      </c>
      <c r="L78" s="1345"/>
      <c r="M78" s="1351" t="str">
        <f>IF(OR('Saisie de données'!$AL$70='Menu déroulant'!$AG$50,'Saisie de données'!$AL$71='Menu déroulant'!$AG$50,'Saisie de données'!$AL$72='Menu déroulant'!$AG$50),"Masonry Wall","")</f>
        <v/>
      </c>
      <c r="N78" s="1351"/>
      <c r="O78" s="137"/>
      <c r="P78" s="137"/>
      <c r="Q78" s="137"/>
      <c r="R78" s="137"/>
      <c r="S78" s="137"/>
      <c r="T78" s="137"/>
      <c r="U78" s="137"/>
      <c r="X78"/>
      <c r="Y78" s="133"/>
      <c r="Z78" s="133"/>
      <c r="AA78" s="23"/>
      <c r="AB78" s="23"/>
      <c r="AC78" s="23"/>
      <c r="BQ78" s="1397"/>
      <c r="CR78" s="1404"/>
    </row>
    <row r="79" spans="1:96" ht="17.649999999999999" customHeight="1">
      <c r="A79" s="137"/>
      <c r="B79" s="137"/>
      <c r="C79" s="137"/>
      <c r="D79" s="137"/>
      <c r="E79" s="626"/>
      <c r="F79" s="626"/>
      <c r="G79" s="626"/>
      <c r="H79" s="627"/>
      <c r="I79" s="137"/>
      <c r="J79" s="137"/>
      <c r="K79" s="1470" t="s">
        <v>268</v>
      </c>
      <c r="L79" s="1470"/>
      <c r="M79" s="554"/>
      <c r="N79" s="628"/>
      <c r="O79" s="137"/>
      <c r="P79" s="137"/>
      <c r="Q79" s="137"/>
      <c r="R79" s="137"/>
      <c r="S79" s="137"/>
      <c r="T79" s="137"/>
      <c r="U79" s="137"/>
      <c r="X79"/>
      <c r="BQ79" s="1397"/>
      <c r="CR79" s="1404"/>
    </row>
    <row r="80" spans="1:96" ht="17.649999999999999" customHeight="1">
      <c r="A80" s="137"/>
      <c r="B80" s="137"/>
      <c r="C80" s="137"/>
      <c r="D80" s="137"/>
      <c r="E80" s="137"/>
      <c r="F80" s="629"/>
      <c r="G80" s="629"/>
      <c r="H80" s="630"/>
      <c r="I80" s="137"/>
      <c r="J80" s="137"/>
      <c r="K80" s="1427" t="s">
        <v>269</v>
      </c>
      <c r="L80" s="1427"/>
      <c r="M80" s="628"/>
      <c r="N80" s="628"/>
      <c r="O80" s="137"/>
      <c r="P80" s="137"/>
      <c r="Q80" s="137"/>
      <c r="R80" s="137"/>
      <c r="S80" s="137"/>
      <c r="T80" s="137"/>
      <c r="U80" s="137"/>
      <c r="BQ80" s="1397"/>
      <c r="CR80" s="1404"/>
    </row>
    <row r="81" spans="1:96" ht="17.649999999999999" customHeight="1">
      <c r="A81" s="137"/>
      <c r="B81" s="137"/>
      <c r="C81" s="137"/>
      <c r="D81" s="137"/>
      <c r="E81" s="137"/>
      <c r="F81" s="629"/>
      <c r="G81" s="629"/>
      <c r="H81" s="630"/>
      <c r="I81" s="137"/>
      <c r="J81" s="706"/>
      <c r="K81" s="1231" t="str" cm="1">
        <f t="array" ref="K81">_xlfn.IFS('Saisie de données'!$D$13='Menu déroulant'!$AA$3,"FM 4881",'Saisie de données'!$D$13='Menu déroulant'!$AA$4,"FM 4881",'Saisie de données'!$D$13='Menu déroulant'!$AA$5,"")</f>
        <v/>
      </c>
      <c r="L81" s="1231"/>
      <c r="M81" s="706"/>
      <c r="N81" s="706"/>
      <c r="O81" s="706"/>
      <c r="P81" s="706"/>
      <c r="Q81" s="706"/>
      <c r="R81" s="706"/>
      <c r="S81" s="706"/>
      <c r="T81" s="706"/>
      <c r="U81" s="706"/>
      <c r="W81" s="603"/>
      <c r="X81" s="603"/>
      <c r="BQ81" s="1397"/>
      <c r="CR81" s="1404"/>
    </row>
    <row r="82" spans="1:96" ht="22.5" customHeight="1" thickBot="1">
      <c r="A82" s="137"/>
      <c r="B82" s="137"/>
      <c r="C82" s="852" t="s">
        <v>270</v>
      </c>
      <c r="D82" s="762"/>
      <c r="E82" s="762"/>
      <c r="F82" s="762"/>
      <c r="I82" s="1317" t="s">
        <v>262</v>
      </c>
      <c r="J82" s="1317"/>
      <c r="K82" s="1317"/>
      <c r="L82" s="1317"/>
      <c r="M82" s="1317"/>
      <c r="N82" s="1317"/>
      <c r="O82" s="1317"/>
      <c r="P82" s="1317"/>
      <c r="Q82" s="1317"/>
      <c r="R82" s="1317"/>
      <c r="S82" s="1317"/>
      <c r="T82" s="1317"/>
      <c r="U82" s="1317"/>
      <c r="W82" s="603"/>
      <c r="X82" s="603"/>
      <c r="BQ82" s="1397"/>
      <c r="CR82" s="1404"/>
    </row>
    <row r="83" spans="1:96" ht="22.5" customHeight="1" thickTop="1" thickBot="1">
      <c r="A83" s="137"/>
      <c r="B83" s="137"/>
      <c r="C83" s="137"/>
      <c r="D83" s="137"/>
      <c r="E83" s="137"/>
      <c r="F83" s="137"/>
      <c r="G83" s="137"/>
      <c r="H83" s="137"/>
      <c r="I83" s="1415" t="s">
        <v>248</v>
      </c>
      <c r="J83" s="1416"/>
      <c r="K83" s="1416"/>
      <c r="L83" s="1416"/>
      <c r="M83" s="1416"/>
      <c r="N83" s="1416"/>
      <c r="O83" s="1416"/>
      <c r="P83" s="1416"/>
      <c r="Q83" s="1416"/>
      <c r="R83" s="1416"/>
      <c r="S83" s="1416"/>
      <c r="T83" s="1416"/>
      <c r="U83" s="1417"/>
      <c r="BQ83" s="1397"/>
      <c r="CR83" s="1404"/>
    </row>
    <row r="84" spans="1:96" ht="30.95" customHeight="1" thickTop="1" thickBot="1">
      <c r="A84" s="137"/>
      <c r="B84" s="137"/>
      <c r="C84" s="1415" t="s">
        <v>271</v>
      </c>
      <c r="D84" s="1416"/>
      <c r="E84" s="1416"/>
      <c r="F84" s="1417"/>
      <c r="G84" s="604" t="s">
        <v>272</v>
      </c>
      <c r="H84" s="745" t="s">
        <v>273</v>
      </c>
      <c r="I84" s="1360" t="str">
        <f>I71</f>
        <v>Norex-L 6" (36")</v>
      </c>
      <c r="J84" s="1361"/>
      <c r="K84" s="1361"/>
      <c r="L84" s="1362"/>
      <c r="M84" s="1360" t="str">
        <f>M71</f>
        <v>Norex-L 4" (36")</v>
      </c>
      <c r="N84" s="1361"/>
      <c r="O84" s="1361"/>
      <c r="P84" s="1361"/>
      <c r="Q84" s="1362"/>
      <c r="R84" s="1360" t="str">
        <f>R71</f>
        <v>Noroc- 8" (42,5")</v>
      </c>
      <c r="S84" s="1361"/>
      <c r="T84" s="1361"/>
      <c r="U84" s="1362"/>
      <c r="BQ84" s="1397"/>
      <c r="CR84" s="1404"/>
    </row>
    <row r="85" spans="1:96" ht="16.899999999999999" customHeight="1" thickTop="1" thickBot="1">
      <c r="A85" s="137"/>
      <c r="B85" s="137"/>
      <c r="C85" s="1489" t="s">
        <v>274</v>
      </c>
      <c r="D85" s="1490"/>
      <c r="E85" s="1498" t="s">
        <v>125</v>
      </c>
      <c r="F85" s="1499"/>
      <c r="G85" s="871" t="s">
        <v>126</v>
      </c>
      <c r="H85" s="870" t="s">
        <v>127</v>
      </c>
      <c r="I85" s="1309" t="str">
        <f>IF('Saisie de données'!$D$60='Menu déroulant'!$AB$31,"Teks 3 - "&amp;HLOOKUP('Saisie de données'!E60,'Infos Techniques'!$AC$50:$AE$60,3,0),"Teks 3 - "&amp;HLOOKUP('Saisie de données'!E60,'Infos Techniques'!$AC$70:$AH$80,3,0))</f>
        <v>Teks 3 - N/D</v>
      </c>
      <c r="J85" s="1310"/>
      <c r="K85" s="1310"/>
      <c r="L85" s="1311"/>
      <c r="M85" s="1309" t="str">
        <f>IF('Saisie de données'!$D$61='Menu déroulant'!$AB$31,"Teks 3 - "&amp;HLOOKUP('Saisie de données'!E61,'Infos Techniques'!$AC$50:$AE$60,3,0),"Teks 3 - "&amp;HLOOKUP('Saisie de données'!E61,'Infos Techniques'!$AC$70:$AH$80,3,0))</f>
        <v>Teks 3 - 4'' (1429000)</v>
      </c>
      <c r="N85" s="1310"/>
      <c r="O85" s="1310"/>
      <c r="P85" s="1310"/>
      <c r="Q85" s="1311"/>
      <c r="R85" s="1309" t="str">
        <f>IF('Saisie de données'!$D$62='Menu déroulant'!$AB$31,"Teks 3 - "&amp;HLOOKUP('Saisie de données'!E62,'Infos Techniques'!$AC$50:$AE$55,3,0),"Teks 3 - "&amp;HLOOKUP('Saisie de données'!E62,'Infos Techniques'!$AC$70:$AH$75,3,0))</f>
        <v>Teks 3 - N/D</v>
      </c>
      <c r="S85" s="1310"/>
      <c r="T85" s="1310"/>
      <c r="U85" s="1311"/>
      <c r="BQ85" s="1397"/>
      <c r="CR85" s="1404"/>
    </row>
    <row r="86" spans="1:96" ht="16.899999999999999" customHeight="1" thickBot="1">
      <c r="A86" s="137"/>
      <c r="B86" s="137"/>
      <c r="C86" s="1491"/>
      <c r="D86" s="1492"/>
      <c r="E86" s="1500"/>
      <c r="F86" s="1501"/>
      <c r="G86" s="872" t="s">
        <v>128</v>
      </c>
      <c r="H86" s="869" t="s">
        <v>129</v>
      </c>
      <c r="I86" s="1297" t="str">
        <f>IF('Saisie de données'!$D$60='Menu déroulant'!$AB$31,"Teks 5 - "&amp;HLOOKUP('Saisie de données'!E60,'Infos Techniques'!$AC$50:$AE$55,4,0),"Teks 5 - "&amp;HLOOKUP('Saisie de données'!E60,'Infos Techniques'!$AC$70:$AH$75,4,0))</f>
        <v>Teks 5 - 8'' (1619000)</v>
      </c>
      <c r="J86" s="1298"/>
      <c r="K86" s="1298"/>
      <c r="L86" s="1299"/>
      <c r="M86" s="1297" t="str">
        <f>IF('Saisie de données'!$D$61='Menu déroulant'!$AB$31,"Teks 3 - "&amp;HLOOKUP('Saisie de données'!E61,'Infos Techniques'!$AC$50:$AE$55,4,0),"Teks 3 - "&amp;HLOOKUP('Saisie de données'!E61,'Infos Techniques'!$AC$70:$AH$75,4,0))</f>
        <v>Teks 3 - 5'' (1647000)</v>
      </c>
      <c r="N86" s="1298"/>
      <c r="O86" s="1298"/>
      <c r="P86" s="1298"/>
      <c r="Q86" s="1299"/>
      <c r="R86" s="1297" t="str">
        <f>IF('Saisie de données'!$D$62='Menu déroulant'!$AB$31,"Teks 3 - "&amp;HLOOKUP('Saisie de données'!E62,'Infos Techniques'!$AC$50:$AE$55,4,0),"Teks 3 - "&amp;HLOOKUP('Saisie de données'!E62,'Infos Techniques'!$AC$70:$AH$75,4,0))</f>
        <v>Teks 3 - N/D</v>
      </c>
      <c r="S86" s="1298"/>
      <c r="T86" s="1298"/>
      <c r="U86" s="1299"/>
      <c r="BQ86" s="1397"/>
      <c r="CR86" s="1404"/>
    </row>
    <row r="87" spans="1:96" ht="16.899999999999999" customHeight="1" thickBot="1">
      <c r="A87" s="137"/>
      <c r="B87" s="137"/>
      <c r="C87" s="1491"/>
      <c r="D87" s="1492"/>
      <c r="E87" s="1500" t="s">
        <v>130</v>
      </c>
      <c r="F87" s="1501"/>
      <c r="G87" s="871" t="s">
        <v>131</v>
      </c>
      <c r="H87" s="868" t="s">
        <v>127</v>
      </c>
      <c r="I87" s="1312" t="str">
        <f>IF('Saisie de données'!$D$60='Menu déroulant'!$AB$31,"UDRILLS - "&amp;HLOOKUP('Saisie de données'!E60,'Infos Techniques'!$AC$50:$AE$55,5,0),"UDRILLS - "&amp;HLOOKUP('Saisie de données'!E60,'Infos Techniques'!$AC$70:$AH$75,5,0))</f>
        <v>UDRILLS - 6'' (THW 146B)</v>
      </c>
      <c r="J87" s="1313"/>
      <c r="K87" s="1313"/>
      <c r="L87" s="1314"/>
      <c r="M87" s="1312" t="str">
        <f>IF('Saisie de données'!$D$61='Menu déroulant'!$AB$31,"UDRILLS - "&amp;HLOOKUP('Saisie de données'!E61,'Infos Techniques'!$AC$50:$AE$55,5,0),"UDRILLS - "&amp;HLOOKUP('Saisie de données'!E61,'Infos Techniques'!$AC$70:$AH$75,5,0))</f>
        <v>UDRILLS - 4'' (THW 144BN)</v>
      </c>
      <c r="N87" s="1313"/>
      <c r="O87" s="1313"/>
      <c r="P87" s="1313"/>
      <c r="Q87" s="1314"/>
      <c r="R87" s="1312" t="str">
        <f>IF('Saisie de données'!$D$62='Menu déroulant'!$AB$31,"UDRILLS - "&amp;HLOOKUP('Saisie de données'!E62,'Infos Techniques'!$AC$50:$AE$55,5,0),"UDRILLS - "&amp;HLOOKUP('Saisie de données'!E62,'Infos Techniques'!$AC$70:$AH$75,5,0))</f>
        <v>UDRILLS - N/D</v>
      </c>
      <c r="S87" s="1313"/>
      <c r="T87" s="1313"/>
      <c r="U87" s="1314"/>
      <c r="BQ87" s="1397"/>
      <c r="CR87" s="1404"/>
    </row>
    <row r="88" spans="1:96" ht="16.899999999999999" customHeight="1" thickBot="1">
      <c r="A88" s="137"/>
      <c r="B88" s="137"/>
      <c r="C88" s="1491"/>
      <c r="D88" s="1492"/>
      <c r="E88" s="1502"/>
      <c r="F88" s="1503"/>
      <c r="G88" s="872" t="s">
        <v>275</v>
      </c>
      <c r="H88" s="869" t="s">
        <v>129</v>
      </c>
      <c r="I88" s="1297" t="str">
        <f>IF('Saisie de données'!$D$60='Menu déroulant'!$AB$31,"UDRILLS - "&amp;HLOOKUP('Saisie de données'!E60,'Infos Techniques'!$AC$50:$AE$55,6,0),"UDRILLS - "&amp;HLOOKUP('Saisie de données'!E60,'Infos Techniques'!$AC$70:$AH$75,6,0))</f>
        <v>UDRILLS - 6'' (TRH 146B5N)</v>
      </c>
      <c r="J88" s="1298"/>
      <c r="K88" s="1298"/>
      <c r="L88" s="1299"/>
      <c r="M88" s="1297" t="str">
        <f>IF('Saisie de données'!$D$61='Menu déroulant'!$AB$31,"UDRILLS - "&amp;HLOOKUP('Saisie de données'!E61,'Infos Techniques'!$AC$50:$AE$55,6,0),"UDRILLS - "&amp;HLOOKUP('Saisie de données'!E61,'Infos Techniques'!$AC$70:$AH$75,6,0))</f>
        <v>UDRILLS - 4'' (TRH 144B5N)</v>
      </c>
      <c r="N88" s="1298"/>
      <c r="O88" s="1298"/>
      <c r="P88" s="1298"/>
      <c r="Q88" s="1299"/>
      <c r="R88" s="1297" t="str">
        <f>IF('Saisie de données'!$D$62='Menu déroulant'!$AB$31,"UDRILLS - "&amp;HLOOKUP('Saisie de données'!E62,'Infos Techniques'!$AC$50:$AE$55,6,0),"UDRILLS - "&amp;HLOOKUP('Saisie de données'!E62,'Infos Techniques'!$AC$70:$AH$75,6,0))</f>
        <v>UDRILLS - 8" (TRH 148B5)</v>
      </c>
      <c r="S88" s="1298"/>
      <c r="T88" s="1298"/>
      <c r="U88" s="1299"/>
      <c r="BQ88" s="1397"/>
      <c r="CR88" s="1404"/>
    </row>
    <row r="89" spans="1:96" ht="16.899999999999999" customHeight="1" thickBot="1">
      <c r="A89" s="137"/>
      <c r="B89" s="137"/>
      <c r="C89" s="1491"/>
      <c r="D89" s="1492"/>
      <c r="E89" s="1515" t="s">
        <v>133</v>
      </c>
      <c r="F89" s="1515"/>
      <c r="G89" s="871" t="s">
        <v>134</v>
      </c>
      <c r="H89" s="866" t="s">
        <v>127</v>
      </c>
      <c r="I89" s="1312" t="str">
        <f>IF('Saisie de données'!$D$60='Menu déroulant'!$AB$31,"Blazers - "&amp;HLOOKUP('Saisie de données'!E60,'Infos Techniques'!$AC$50:$AE$60,7,0),"Blazers - "&amp;HLOOKUP('Saisie de données'!E60,'Infos Techniques'!$AC$70:$AH$80,7,0))</f>
        <v>Blazers - 8"</v>
      </c>
      <c r="J89" s="1313"/>
      <c r="K89" s="1313"/>
      <c r="L89" s="1314"/>
      <c r="M89" s="1312" t="str">
        <f>IF('Saisie de données'!$D$61='Menu déroulant'!$AB$31,"Blazers - "&amp;HLOOKUP('Saisie de données'!E61,'Infos Techniques'!$AC$50:$AE$60,7,0),"Blazers - "&amp;HLOOKUP('Saisie de données'!E61,'Infos Techniques'!$AC$70:$AH$80,7,0))</f>
        <v>Blazers - 5"</v>
      </c>
      <c r="N89" s="1313"/>
      <c r="O89" s="1313"/>
      <c r="P89" s="1313"/>
      <c r="Q89" s="1314"/>
      <c r="R89" s="1312" t="str">
        <f>IF('Saisie de données'!$D$62='Menu déroulant'!$AB$31,"Blazers - "&amp;HLOOKUP('Saisie de données'!E62,'Infos Techniques'!$AC$50:$AE$60,7,0),"Blazers - "&amp;HLOOKUP('Saisie de données'!E62,'Infos Techniques'!$AC$70:$AH$80,7,0))</f>
        <v>Blazers - 10"</v>
      </c>
      <c r="S89" s="1313"/>
      <c r="T89" s="1313"/>
      <c r="U89" s="1314"/>
      <c r="BQ89" s="1397"/>
      <c r="CR89" s="1404"/>
    </row>
    <row r="90" spans="1:96" ht="16.899999999999999" customHeight="1" thickBot="1">
      <c r="A90" s="137"/>
      <c r="B90" s="137"/>
      <c r="C90" s="1491"/>
      <c r="D90" s="1492"/>
      <c r="E90" s="1515"/>
      <c r="F90" s="1515"/>
      <c r="G90" s="872" t="s">
        <v>135</v>
      </c>
      <c r="H90" s="867" t="s">
        <v>136</v>
      </c>
      <c r="I90" s="1297" t="str">
        <f>IF('Saisie de données'!$D$60='Menu déroulant'!$AB$31,"Blazers - "&amp;HLOOKUP('Saisie de données'!E60,'Infos Techniques'!$AC$50:$AE$60,8,0),"Blazers - "&amp;HLOOKUP('Saisie de données'!E60,'Infos Techniques'!$AC$70:$AH$80,8,0))</f>
        <v>Blazers - 7"</v>
      </c>
      <c r="J90" s="1298"/>
      <c r="K90" s="1298"/>
      <c r="L90" s="1299"/>
      <c r="M90" s="1297" t="str">
        <f>IF('Saisie de données'!$D$61='Menu déroulant'!$AB$31,"Blazers - "&amp;HLOOKUP('Saisie de données'!E61,'Infos Techniques'!$AC$50:$AE$60,8,0),"Blazers - "&amp;HLOOKUP('Saisie de données'!E61,'Infos Techniques'!$AC$70:$AH$80,8,0))</f>
        <v>Blazers - 5"</v>
      </c>
      <c r="N90" s="1298"/>
      <c r="O90" s="1298"/>
      <c r="P90" s="1298"/>
      <c r="Q90" s="1299"/>
      <c r="R90" s="1297" t="str">
        <f>IF('Saisie de données'!$D$62='Menu déroulant'!$AB$31,"Blazers - "&amp;HLOOKUP('Saisie de données'!E62,'Infos Techniques'!$AC$50:$AE$60,8,0),"Blazers - "&amp;HLOOKUP('Saisie de données'!E62,'Infos Techniques'!$AC$70:$AH$80,8,0))</f>
        <v>Blazers - N/D</v>
      </c>
      <c r="S90" s="1298"/>
      <c r="T90" s="1298"/>
      <c r="U90" s="1299"/>
      <c r="BQ90" s="1397"/>
      <c r="CR90" s="1404"/>
    </row>
    <row r="91" spans="1:96" ht="16.899999999999999" customHeight="1" thickBot="1">
      <c r="A91" s="137"/>
      <c r="B91" s="137"/>
      <c r="C91" s="1491"/>
      <c r="D91" s="1492"/>
      <c r="E91" s="1515" t="s">
        <v>137</v>
      </c>
      <c r="F91" s="1515"/>
      <c r="G91" s="871" t="s">
        <v>138</v>
      </c>
      <c r="H91" s="866" t="s">
        <v>127</v>
      </c>
      <c r="I91" s="1312" t="str">
        <f>IF('Saisie de données'!$D$60='Menu déroulant'!$AB$31,"Master Drillers - "&amp;HLOOKUP('Saisie de données'!E60,'Infos Techniques'!$AC$50:$AE$60,9,0),"Master Drillers - "&amp;HLOOKUP('Saisie de données'!E60,'Infos Techniques'!$AC$70:$AH$80,9,0))</f>
        <v>Master Drillers - 8"</v>
      </c>
      <c r="J91" s="1313"/>
      <c r="K91" s="1313"/>
      <c r="L91" s="1314"/>
      <c r="M91" s="1312" t="str">
        <f>IF('Saisie de données'!$D$61='Menu déroulant'!$AB$31,"Master Drillers - "&amp;HLOOKUP('Saisie de données'!E61,'Infos Techniques'!$AC$50:$AE$60,9,0),"Master Drillers - "&amp;HLOOKUP('Saisie de données'!E61,'Infos Techniques'!$AC$70:$AH$80,9,0))</f>
        <v>Master Drillers - 5"</v>
      </c>
      <c r="N91" s="1313"/>
      <c r="O91" s="1313"/>
      <c r="P91" s="1313"/>
      <c r="Q91" s="1314"/>
      <c r="R91" s="1312" t="str">
        <f>IF('Saisie de données'!$D$62='Menu déroulant'!$AB$31,"Master Drillers - "&amp;HLOOKUP('Saisie de données'!E62,'Infos Techniques'!$AC$50:$AE$60,9,0),"Master Drillers - "&amp;HLOOKUP('Saisie de données'!E62,'Infos Techniques'!$AC$70:$AH$80,9,0))</f>
        <v>Master Drillers - 10"</v>
      </c>
      <c r="S91" s="1313"/>
      <c r="T91" s="1313"/>
      <c r="U91" s="1314"/>
      <c r="BQ91" s="1397"/>
      <c r="CR91" s="1404"/>
    </row>
    <row r="92" spans="1:96" ht="16.899999999999999" customHeight="1" thickBot="1">
      <c r="A92" s="137"/>
      <c r="B92" s="137"/>
      <c r="C92" s="1491"/>
      <c r="D92" s="1492"/>
      <c r="E92" s="1515"/>
      <c r="F92" s="1515"/>
      <c r="G92" s="872" t="s">
        <v>139</v>
      </c>
      <c r="H92" s="867" t="s">
        <v>136</v>
      </c>
      <c r="I92" s="1297" t="str">
        <f>IF('Saisie de données'!$D$60='Menu déroulant'!$AB$31,"Master Drillers - "&amp;HLOOKUP('Saisie de données'!E60,'Infos Techniques'!$AC$50:$AE$60,10,0),"Master Drillers - "&amp;HLOOKUP('Saisie de données'!E60,'Infos Techniques'!$AC$70:$AH$80,10,0))</f>
        <v>Master Drillers - 7"</v>
      </c>
      <c r="J92" s="1298"/>
      <c r="K92" s="1298"/>
      <c r="L92" s="1299"/>
      <c r="M92" s="1297" t="str">
        <f>IF('Saisie de données'!$D$61='Menu déroulant'!$AB$31,"Master Drillers - "&amp;HLOOKUP('Saisie de données'!E61,'Infos Techniques'!$AC$50:$AE$60,10,0),"Master Drillers - "&amp;HLOOKUP('Saisie de données'!E61,'Infos Techniques'!$AC$70:$AH$80,10,0))</f>
        <v>Master Drillers - 5"</v>
      </c>
      <c r="N92" s="1298"/>
      <c r="O92" s="1298"/>
      <c r="P92" s="1298"/>
      <c r="Q92" s="1299"/>
      <c r="R92" s="1297" t="str">
        <f>IF('Saisie de données'!$D$62='Menu déroulant'!$AB$31,"Master Drillers - "&amp;HLOOKUP('Saisie de données'!E62,'Infos Techniques'!$AC$50:$AE$60,10,0),"Master Drillers - "&amp;HLOOKUP('Saisie de données'!E62,'Infos Techniques'!$AC$70:$AH$80,10,0))</f>
        <v>Master Drillers - N/D</v>
      </c>
      <c r="S92" s="1298"/>
      <c r="T92" s="1298"/>
      <c r="U92" s="1299"/>
      <c r="BQ92" s="1397"/>
      <c r="CR92" s="1404"/>
    </row>
    <row r="93" spans="1:96" ht="16.899999999999999" customHeight="1" thickBot="1">
      <c r="A93" s="137"/>
      <c r="B93" s="137"/>
      <c r="C93" s="1493"/>
      <c r="D93" s="1494"/>
      <c r="E93" s="1516" t="s">
        <v>140</v>
      </c>
      <c r="F93" s="1516"/>
      <c r="G93" s="873" t="s">
        <v>141</v>
      </c>
      <c r="H93" s="864" t="s">
        <v>127</v>
      </c>
      <c r="I93" s="1517" t="str">
        <f>IF('Saisie de données'!$D$60='Menu déroulant'!$AB$31,"JT2 D6H - "&amp;HLOOKUP('Saisie de données'!E60,'Infos Techniques'!$AC$50:$AE$60,11,0),"JT2 D6H - "&amp;HLOOKUP('Saisie de données'!E60,'Infos Techniques'!$AC$70:$AH$80,11,0))</f>
        <v>JT2 D6H - 7-1/2"</v>
      </c>
      <c r="J93" s="1518"/>
      <c r="K93" s="1518"/>
      <c r="L93" s="1519"/>
      <c r="M93" s="1517" t="str">
        <f>IF('Saisie de données'!$D$61='Menu déroulant'!$AB$31,"JT2 D6H - "&amp;HLOOKUP('Saisie de données'!E61,'Infos Techniques'!$AC$50:$AE$60,11,0),"JT2 D6H - "&amp;HLOOKUP('Saisie de données'!E61,'Infos Techniques'!$AC$70:$AH$80,11,0))</f>
        <v>JT2 D6H - 5"</v>
      </c>
      <c r="N93" s="1518"/>
      <c r="O93" s="1518"/>
      <c r="P93" s="1518"/>
      <c r="Q93" s="1519"/>
      <c r="R93" s="1517" t="str">
        <f>IF('Saisie de données'!$D$62='Menu déroulant'!$AB$31,"JT2 D6H - "&amp;HLOOKUP('Saisie de données'!E62,'Infos Techniques'!$AC$50:$AE$60,11,0),"JT2 D6H - "&amp;HLOOKUP('Saisie de données'!E62,'Infos Techniques'!$AC$70:$AH$80,11,0))</f>
        <v>JT2 D6H - 8-1/3"</v>
      </c>
      <c r="S93" s="1518"/>
      <c r="T93" s="1518"/>
      <c r="U93" s="1519"/>
      <c r="BQ93" s="1397"/>
      <c r="CR93" s="1404"/>
    </row>
    <row r="94" spans="1:96" ht="16.899999999999999" customHeight="1" thickTop="1">
      <c r="A94" s="137"/>
      <c r="B94" s="137"/>
      <c r="C94" s="137"/>
      <c r="D94" s="137"/>
      <c r="E94" s="137"/>
      <c r="F94" s="137"/>
      <c r="G94" s="137"/>
      <c r="H94" s="137"/>
      <c r="I94" s="706"/>
      <c r="J94" s="706"/>
      <c r="K94" s="706"/>
      <c r="L94" s="706"/>
      <c r="M94" s="706"/>
      <c r="N94" s="706"/>
      <c r="O94" s="706"/>
      <c r="P94" s="706"/>
      <c r="Q94" s="706"/>
      <c r="R94" s="706"/>
      <c r="S94" s="706"/>
      <c r="T94" s="706"/>
      <c r="U94" s="706"/>
      <c r="BQ94" s="1397"/>
      <c r="CR94" s="1404"/>
    </row>
    <row r="95" spans="1:96" ht="24.4" customHeight="1" thickBot="1">
      <c r="A95" s="137"/>
      <c r="B95" s="137"/>
      <c r="C95" s="137"/>
      <c r="D95" s="137"/>
      <c r="E95" s="137"/>
      <c r="F95" s="137"/>
      <c r="G95" s="137"/>
      <c r="H95" s="137"/>
      <c r="I95" s="1317" t="s">
        <v>265</v>
      </c>
      <c r="J95" s="1317"/>
      <c r="K95" s="1317"/>
      <c r="L95" s="1317"/>
      <c r="M95" s="1317"/>
      <c r="N95" s="1317"/>
      <c r="O95" s="1317"/>
      <c r="P95" s="1317"/>
      <c r="Q95" s="1317"/>
      <c r="R95" s="1317"/>
      <c r="S95" s="1317"/>
      <c r="T95" s="1317"/>
      <c r="U95" s="1317"/>
      <c r="BQ95" s="1397"/>
      <c r="CR95" s="1404"/>
    </row>
    <row r="96" spans="1:96" ht="24" customHeight="1" thickTop="1" thickBot="1">
      <c r="A96" s="137"/>
      <c r="B96" s="137"/>
      <c r="C96" s="137"/>
      <c r="D96" s="137"/>
      <c r="E96" s="137"/>
      <c r="F96" s="137"/>
      <c r="G96" s="137"/>
      <c r="H96" s="137"/>
      <c r="I96" s="1415" t="s">
        <v>248</v>
      </c>
      <c r="J96" s="1416"/>
      <c r="K96" s="1416"/>
      <c r="L96" s="1416"/>
      <c r="M96" s="1416"/>
      <c r="N96" s="1416"/>
      <c r="O96" s="1416"/>
      <c r="P96" s="1416"/>
      <c r="Q96" s="1416"/>
      <c r="R96" s="1416"/>
      <c r="S96" s="1416"/>
      <c r="T96" s="1416"/>
      <c r="U96" s="1417"/>
      <c r="BQ96" s="1397"/>
      <c r="CR96" s="1404"/>
    </row>
    <row r="97" spans="1:97" ht="24" customHeight="1" thickTop="1" thickBot="1">
      <c r="A97" s="137"/>
      <c r="B97" s="137"/>
      <c r="C97" s="1512" t="s">
        <v>271</v>
      </c>
      <c r="D97" s="1513"/>
      <c r="E97" s="1513"/>
      <c r="F97" s="1514"/>
      <c r="G97" s="1355" t="s">
        <v>276</v>
      </c>
      <c r="H97" s="1356"/>
      <c r="I97" s="1360" t="str">
        <f>I71</f>
        <v>Norex-L 6" (36")</v>
      </c>
      <c r="J97" s="1361"/>
      <c r="K97" s="1361"/>
      <c r="L97" s="1362"/>
      <c r="M97" s="1360" t="str">
        <f>M71</f>
        <v>Norex-L 4" (36")</v>
      </c>
      <c r="N97" s="1361"/>
      <c r="O97" s="1361"/>
      <c r="P97" s="1361"/>
      <c r="Q97" s="1362"/>
      <c r="R97" s="1360" t="str">
        <f>R71</f>
        <v>Noroc- 8" (42,5")</v>
      </c>
      <c r="S97" s="1361"/>
      <c r="T97" s="1361"/>
      <c r="U97" s="1362"/>
      <c r="BQ97" s="1397"/>
      <c r="CR97" s="1404"/>
    </row>
    <row r="98" spans="1:97" ht="24.4" customHeight="1" thickTop="1" thickBot="1">
      <c r="A98" s="137"/>
      <c r="B98" s="137"/>
      <c r="C98" s="1504" t="s">
        <v>277</v>
      </c>
      <c r="D98" s="1505"/>
      <c r="E98" s="1508" t="s">
        <v>145</v>
      </c>
      <c r="F98" s="1509"/>
      <c r="G98" s="1520" t="s">
        <v>146</v>
      </c>
      <c r="H98" s="1521"/>
      <c r="I98" s="1451" t="str">
        <f>IFERROR("2 x Stardrive GPR Flat head - "&amp;HLOOKUP('Saisie de données'!$E$60,'Infos Techniques'!$AB$89:$AF$92,3,0),"N/D")</f>
        <v>2 x Stardrive GPR Flat head - N/D</v>
      </c>
      <c r="J98" s="1452"/>
      <c r="K98" s="1452"/>
      <c r="L98" s="1453"/>
      <c r="M98" s="1451" t="str">
        <f>IFERROR("2 x Stardrive GPR Flat head - "&amp;HLOOKUP('Saisie de données'!$E$61,'Infos Techniques'!$AB$89:$AF$92,3,0),"N/D")</f>
        <v>2 x Stardrive GPR Flat head - 7 1/6"</v>
      </c>
      <c r="N98" s="1452"/>
      <c r="O98" s="1452"/>
      <c r="P98" s="1452"/>
      <c r="Q98" s="1453"/>
      <c r="R98" s="1451" t="str">
        <f>IFERROR("2 x Stardrive GPR Flat head - "&amp;HLOOKUP('Saisie de données'!$E$62,'Infos Techniques'!$AB$89:$AF$92,3,0),"N/D")</f>
        <v>N/D</v>
      </c>
      <c r="S98" s="1452"/>
      <c r="T98" s="1452"/>
      <c r="U98" s="1453"/>
      <c r="V98" s="451"/>
      <c r="W98" s="451"/>
      <c r="X98" s="451"/>
      <c r="Y98" s="451"/>
      <c r="Z98" s="517"/>
      <c r="AA98" s="517"/>
      <c r="AB98" s="517"/>
      <c r="AC98" s="517"/>
      <c r="AD98" s="517"/>
      <c r="AE98" s="517"/>
      <c r="AF98" s="517"/>
      <c r="AG98" s="517"/>
      <c r="AH98" s="518"/>
      <c r="AI98" s="451"/>
      <c r="AJ98" s="451"/>
      <c r="AK98" s="451"/>
      <c r="AL98" s="519"/>
      <c r="AM98" s="519"/>
      <c r="AN98" s="519"/>
      <c r="AO98" s="519"/>
      <c r="AP98" s="519"/>
      <c r="BQ98" s="1397"/>
      <c r="CR98" s="1404"/>
    </row>
    <row r="99" spans="1:97" ht="24.4" customHeight="1" thickBot="1">
      <c r="A99" s="137"/>
      <c r="B99" s="137"/>
      <c r="C99" s="1506"/>
      <c r="D99" s="1507"/>
      <c r="E99" s="1510"/>
      <c r="F99" s="1511"/>
      <c r="G99" s="1398" t="s">
        <v>147</v>
      </c>
      <c r="H99" s="1399"/>
      <c r="I99" s="1448" t="str">
        <f>IFERROR("2 x Stardrive GPR Flat head - "&amp;HLOOKUP('Saisie de données'!$E$60,'Infos Techniques'!$AB$89:$AF$92,4,0),"N/D")</f>
        <v>2 x Stardrive GPR Flat head - 10 1/4"</v>
      </c>
      <c r="J99" s="1449"/>
      <c r="K99" s="1449"/>
      <c r="L99" s="1450"/>
      <c r="M99" s="1448" t="str">
        <f>IFERROR("2 x Stardrive GPR Flat head - "&amp;HLOOKUP('Saisie de données'!$E$61,'Infos Techniques'!$AB$89:$AF$92,4,0),"N/D")</f>
        <v>2 x Stardrive GPR Flat head - 7 7/8"</v>
      </c>
      <c r="N99" s="1449"/>
      <c r="O99" s="1449"/>
      <c r="P99" s="1449"/>
      <c r="Q99" s="1450"/>
      <c r="R99" s="1448" t="str">
        <f>IFERROR("2 x Stardrive GPR Flat head - "&amp;HLOOKUP('Saisie de données'!$E$62,'Infos Techniques'!$AB$89:$AF$92,4,0),"N/D")</f>
        <v>N/D</v>
      </c>
      <c r="S99" s="1449"/>
      <c r="T99" s="1449"/>
      <c r="U99" s="1450"/>
      <c r="W99" s="451"/>
      <c r="X99" s="451"/>
      <c r="Y99" s="451"/>
      <c r="Z99" s="517"/>
      <c r="AA99" s="517"/>
      <c r="AB99" s="517"/>
      <c r="AC99" s="517"/>
      <c r="AD99" s="517"/>
      <c r="AE99" s="517"/>
      <c r="AF99" s="517"/>
      <c r="AG99" s="517"/>
      <c r="AH99" s="518"/>
      <c r="AI99" s="451"/>
      <c r="AJ99" s="451"/>
      <c r="AK99" s="451"/>
      <c r="AL99" s="519"/>
      <c r="AM99" s="519"/>
      <c r="AN99" s="519"/>
      <c r="AO99" s="519"/>
      <c r="AP99" s="519"/>
      <c r="BQ99" s="1397"/>
      <c r="CR99" s="1404"/>
    </row>
    <row r="100" spans="1:97" ht="34.15" customHeight="1" thickTop="1">
      <c r="A100" s="1340" t="s">
        <v>148</v>
      </c>
      <c r="B100" s="1340"/>
      <c r="C100" s="1340"/>
      <c r="D100" s="1340"/>
      <c r="E100" s="1340"/>
      <c r="F100" s="1340"/>
      <c r="G100" s="1340"/>
      <c r="H100" s="1340"/>
      <c r="I100" s="1340"/>
      <c r="J100" s="1340"/>
      <c r="K100" s="1340"/>
      <c r="L100" s="1340"/>
      <c r="M100" s="1340"/>
      <c r="N100" s="1340"/>
      <c r="O100" s="137"/>
      <c r="P100" s="137"/>
      <c r="Q100" s="137"/>
      <c r="R100" s="137"/>
      <c r="S100" s="137"/>
      <c r="T100" s="137"/>
      <c r="U100" s="137"/>
      <c r="BQ100" s="1397"/>
      <c r="CR100" s="1404"/>
    </row>
    <row r="101" spans="1:97" ht="24" customHeight="1">
      <c r="A101" s="137"/>
      <c r="B101" s="137"/>
      <c r="C101" s="137"/>
      <c r="D101" s="137"/>
      <c r="E101" s="137"/>
      <c r="F101" s="137"/>
      <c r="G101" s="137"/>
      <c r="H101" s="137"/>
      <c r="I101" s="137"/>
      <c r="J101" s="137"/>
      <c r="K101" s="137"/>
      <c r="L101" s="137"/>
      <c r="M101" s="137"/>
      <c r="N101" s="137"/>
      <c r="O101" s="137"/>
      <c r="P101" s="137"/>
      <c r="Q101" s="137"/>
      <c r="R101" s="137"/>
      <c r="S101" s="137"/>
      <c r="T101" s="137"/>
      <c r="U101" s="137"/>
      <c r="BQ101" s="1397"/>
      <c r="CR101" s="1404"/>
    </row>
    <row r="102" spans="1:97" ht="24" customHeight="1">
      <c r="A102" s="137"/>
      <c r="B102" s="137"/>
      <c r="C102" s="137"/>
      <c r="D102" s="137"/>
      <c r="E102" s="137"/>
      <c r="F102" s="137"/>
      <c r="G102" s="137"/>
      <c r="H102" s="137"/>
      <c r="I102" s="137"/>
      <c r="J102" s="137"/>
      <c r="K102" s="137"/>
      <c r="L102" s="137"/>
      <c r="M102" s="137"/>
      <c r="N102" s="137"/>
      <c r="O102" s="137"/>
      <c r="P102" s="137"/>
      <c r="Q102" s="137"/>
      <c r="R102" s="137"/>
      <c r="S102" s="137"/>
      <c r="T102" s="137"/>
      <c r="U102" s="137"/>
      <c r="BQ102" s="1397"/>
      <c r="CR102" s="1404"/>
    </row>
    <row r="103" spans="1:97" ht="24" customHeight="1">
      <c r="A103" s="137"/>
      <c r="B103" s="137"/>
      <c r="C103" s="137"/>
      <c r="D103" s="137"/>
      <c r="E103" s="137"/>
      <c r="F103" s="137"/>
      <c r="G103" s="137"/>
      <c r="H103" s="137"/>
      <c r="I103" s="137"/>
      <c r="J103" s="137"/>
      <c r="K103" s="137"/>
      <c r="L103" s="137"/>
      <c r="M103" s="137"/>
      <c r="N103" s="137"/>
      <c r="O103" s="137"/>
      <c r="P103" s="137"/>
      <c r="Q103" s="137"/>
      <c r="R103" s="137"/>
      <c r="S103" s="137"/>
      <c r="T103" s="137"/>
      <c r="U103" s="137"/>
      <c r="BQ103" s="1397"/>
      <c r="CR103" s="1404"/>
    </row>
    <row r="104" spans="1:97" ht="24" customHeight="1">
      <c r="A104" s="137"/>
      <c r="B104" s="137"/>
      <c r="C104" s="137"/>
      <c r="D104" s="137"/>
      <c r="E104" s="137"/>
      <c r="F104" s="137"/>
      <c r="G104" s="137"/>
      <c r="H104" s="137"/>
      <c r="I104" s="137"/>
      <c r="J104" s="137"/>
      <c r="K104" s="137"/>
      <c r="L104" s="137"/>
      <c r="M104" s="137"/>
      <c r="N104" s="137"/>
      <c r="O104" s="137"/>
      <c r="P104" s="137"/>
      <c r="Q104" s="137"/>
      <c r="R104" s="137"/>
      <c r="S104" s="137"/>
      <c r="T104" s="137"/>
      <c r="U104" s="137"/>
      <c r="BQ104" s="1397"/>
      <c r="BX104" s="1430"/>
      <c r="BY104" s="1430"/>
      <c r="BZ104" s="1430"/>
      <c r="CA104" s="1430"/>
      <c r="CR104" s="1404"/>
      <c r="CS104" s="1397"/>
    </row>
    <row r="105" spans="1:97" ht="24" customHeight="1">
      <c r="A105" s="137"/>
      <c r="B105" s="137"/>
      <c r="C105" s="137"/>
      <c r="D105" s="137"/>
      <c r="E105" s="137"/>
      <c r="F105" s="137"/>
      <c r="G105" s="137"/>
      <c r="H105" s="137"/>
      <c r="I105" s="137"/>
      <c r="J105" s="137"/>
      <c r="K105" s="137"/>
      <c r="L105" s="137"/>
      <c r="M105" s="137"/>
      <c r="N105" s="137"/>
      <c r="O105" s="137"/>
      <c r="P105" s="137"/>
      <c r="Q105" s="137"/>
      <c r="R105" s="137"/>
      <c r="S105" s="137"/>
      <c r="T105" s="137"/>
      <c r="U105" s="137"/>
      <c r="AW105" s="530"/>
      <c r="AX105" s="531"/>
      <c r="AY105" s="532"/>
      <c r="AZ105" s="451"/>
      <c r="BA105" s="451"/>
      <c r="BB105" s="451"/>
      <c r="BC105" s="451"/>
      <c r="BD105" s="451"/>
      <c r="BE105" s="451"/>
      <c r="BF105" s="451"/>
      <c r="BG105" s="451"/>
      <c r="BH105" s="451"/>
      <c r="BI105" s="451"/>
      <c r="BJ105" s="451"/>
      <c r="BK105" s="451"/>
      <c r="BL105" s="451"/>
      <c r="BM105" s="451"/>
      <c r="BN105" s="451"/>
      <c r="BO105" s="451"/>
      <c r="BQ105" s="1397"/>
      <c r="CR105" s="1404"/>
      <c r="CS105" s="1397"/>
    </row>
    <row r="106" spans="1:97" ht="24" customHeight="1">
      <c r="A106" s="137"/>
      <c r="B106" s="137"/>
      <c r="C106" s="137"/>
      <c r="D106" s="137"/>
      <c r="E106" s="137"/>
      <c r="F106" s="137"/>
      <c r="G106" s="137"/>
      <c r="H106" s="137"/>
      <c r="I106" s="137"/>
      <c r="J106" s="137"/>
      <c r="K106" s="137"/>
      <c r="L106" s="137"/>
      <c r="M106" s="137"/>
      <c r="N106" s="137"/>
      <c r="O106" s="137"/>
      <c r="P106" s="137"/>
      <c r="Q106" s="137"/>
      <c r="R106" s="137"/>
      <c r="S106" s="137"/>
      <c r="T106" s="137"/>
      <c r="U106" s="137"/>
      <c r="AX106" s="531"/>
      <c r="AY106" s="532"/>
      <c r="AZ106" s="451"/>
      <c r="BA106" s="451"/>
      <c r="BB106" s="451"/>
      <c r="BC106" s="451"/>
      <c r="BD106" s="451"/>
      <c r="BE106" s="451"/>
      <c r="BF106" s="451"/>
      <c r="BG106" s="451"/>
      <c r="BH106" s="451"/>
      <c r="BI106" s="451"/>
      <c r="BJ106" s="451"/>
      <c r="BK106" s="451"/>
      <c r="BL106" s="451"/>
      <c r="BM106" s="451"/>
      <c r="BN106" s="451"/>
      <c r="BO106" s="451"/>
      <c r="BQ106" s="1397"/>
      <c r="BX106" s="11"/>
      <c r="CR106" s="1404"/>
      <c r="CS106" s="1397"/>
    </row>
    <row r="107" spans="1:97" ht="24" customHeight="1">
      <c r="A107" s="137"/>
      <c r="B107" s="137"/>
      <c r="C107" s="137"/>
      <c r="D107" s="137"/>
      <c r="E107" s="137"/>
      <c r="F107" s="137"/>
      <c r="G107" s="137"/>
      <c r="H107" s="137"/>
      <c r="I107" s="137"/>
      <c r="J107" s="137"/>
      <c r="K107" s="137"/>
      <c r="L107" s="137"/>
      <c r="M107" s="137"/>
      <c r="N107" s="137"/>
      <c r="O107" s="137"/>
      <c r="P107" s="137"/>
      <c r="Q107" s="137"/>
      <c r="R107" s="137"/>
      <c r="S107" s="137"/>
      <c r="T107" s="137"/>
      <c r="U107" s="137"/>
      <c r="AX107" s="531"/>
      <c r="AY107" s="532"/>
      <c r="AZ107" s="451"/>
      <c r="BA107" s="451"/>
      <c r="BB107" s="451"/>
      <c r="BC107" s="451"/>
      <c r="BD107" s="451"/>
      <c r="BE107" s="451"/>
      <c r="BF107" s="451"/>
      <c r="BG107" s="451"/>
      <c r="BH107" s="451"/>
      <c r="BI107" s="451"/>
      <c r="BJ107" s="451"/>
      <c r="BK107" s="451"/>
      <c r="BL107" s="451"/>
      <c r="BM107" s="451"/>
      <c r="BN107" s="451"/>
      <c r="BO107" s="451"/>
      <c r="BQ107" s="1397"/>
      <c r="CR107" s="1404"/>
      <c r="CS107" s="1397"/>
    </row>
    <row r="108" spans="1:97" ht="24" customHeight="1">
      <c r="A108" s="137"/>
      <c r="B108" s="137"/>
      <c r="C108" s="137"/>
      <c r="D108" s="137"/>
      <c r="E108" s="137"/>
      <c r="F108" s="137"/>
      <c r="G108" s="137"/>
      <c r="H108" s="137"/>
      <c r="I108" s="137"/>
      <c r="J108" s="137"/>
      <c r="K108" s="137"/>
      <c r="L108" s="137"/>
      <c r="M108" s="137"/>
      <c r="N108" s="137"/>
      <c r="O108" s="137"/>
      <c r="P108" s="137"/>
      <c r="Q108" s="137"/>
      <c r="R108" s="137"/>
      <c r="S108" s="137"/>
      <c r="T108" s="137"/>
      <c r="U108" s="137"/>
      <c r="AX108" s="451"/>
      <c r="AY108" s="532"/>
      <c r="AZ108" s="451"/>
      <c r="BA108" s="451"/>
      <c r="BB108" s="451"/>
      <c r="BC108" s="451"/>
      <c r="BD108" s="451"/>
      <c r="BE108" s="451"/>
      <c r="BF108" s="451"/>
      <c r="BG108" s="451"/>
      <c r="BH108" s="451"/>
      <c r="BI108" s="451"/>
      <c r="BJ108" s="451"/>
      <c r="BK108" s="451"/>
      <c r="BL108" s="451"/>
      <c r="BM108" s="451"/>
      <c r="BN108" s="451"/>
      <c r="BO108" s="451"/>
      <c r="BQ108" s="1397"/>
      <c r="BW108" s="1431"/>
      <c r="BX108" s="1431"/>
      <c r="BY108" s="1431"/>
      <c r="BZ108" s="1431"/>
      <c r="CA108" s="1431"/>
      <c r="CM108" s="13"/>
      <c r="CN108" s="13"/>
      <c r="CO108" s="13"/>
      <c r="CP108" s="13"/>
      <c r="CQ108" s="13"/>
      <c r="CR108" s="1404"/>
      <c r="CS108" s="1397"/>
    </row>
    <row r="109" spans="1:97" ht="24" customHeight="1">
      <c r="A109" s="137"/>
      <c r="B109" s="137"/>
      <c r="C109" s="137"/>
      <c r="D109" s="137"/>
      <c r="E109" s="137"/>
      <c r="F109" s="137"/>
      <c r="G109" s="137"/>
      <c r="H109" s="137"/>
      <c r="I109" s="137"/>
      <c r="J109" s="137"/>
      <c r="K109" s="137"/>
      <c r="L109" s="137"/>
      <c r="M109" s="137"/>
      <c r="N109" s="137"/>
      <c r="O109" s="137"/>
      <c r="P109" s="137"/>
      <c r="Q109" s="137"/>
      <c r="R109" s="137"/>
      <c r="S109" s="137"/>
      <c r="T109" s="137"/>
      <c r="U109" s="137"/>
      <c r="AX109" s="451"/>
      <c r="AY109" s="451"/>
      <c r="AZ109" s="451"/>
      <c r="BA109" s="451"/>
      <c r="BB109" s="451"/>
      <c r="BC109" s="451"/>
      <c r="BD109" s="451"/>
      <c r="BE109" s="451"/>
      <c r="BF109" s="451"/>
      <c r="BG109" s="451"/>
      <c r="BH109" s="451"/>
      <c r="BI109" s="451"/>
      <c r="BJ109" s="451"/>
      <c r="BK109" s="451"/>
      <c r="BL109" s="451"/>
      <c r="BM109" s="451"/>
      <c r="BN109" s="451"/>
      <c r="BO109" s="451"/>
      <c r="BQ109" s="1397"/>
      <c r="BW109" s="1397"/>
      <c r="BX109" s="1397"/>
      <c r="BY109" s="10"/>
      <c r="CF109" s="383"/>
      <c r="CM109" s="13"/>
      <c r="CN109" s="13"/>
      <c r="CO109" s="13"/>
      <c r="CP109" s="13"/>
      <c r="CQ109" s="13"/>
      <c r="CR109" s="1404"/>
      <c r="CS109" s="1397"/>
    </row>
    <row r="110" spans="1:97" ht="24" customHeight="1">
      <c r="A110" s="137"/>
      <c r="B110" s="137"/>
      <c r="C110" s="137"/>
      <c r="D110" s="137"/>
      <c r="E110" s="137"/>
      <c r="F110" s="137"/>
      <c r="G110" s="137"/>
      <c r="H110" s="137"/>
      <c r="I110" s="137"/>
      <c r="J110" s="137"/>
      <c r="K110" s="137"/>
      <c r="L110" s="137"/>
      <c r="M110" s="137"/>
      <c r="N110" s="137"/>
      <c r="O110" s="137"/>
      <c r="P110" s="137"/>
      <c r="Q110" s="137"/>
      <c r="R110" s="137"/>
      <c r="S110" s="137"/>
      <c r="T110" s="137"/>
      <c r="U110" s="137"/>
      <c r="AX110" s="451"/>
      <c r="AY110" s="451"/>
      <c r="AZ110" s="451"/>
      <c r="BA110" s="451"/>
      <c r="BB110" s="451"/>
      <c r="BC110" s="451"/>
      <c r="BD110" s="451"/>
      <c r="BE110" s="451"/>
      <c r="BF110" s="451"/>
      <c r="BG110" s="451"/>
      <c r="BH110" s="451"/>
      <c r="BI110" s="451"/>
      <c r="BJ110" s="451"/>
      <c r="BK110" s="451"/>
      <c r="BL110" s="451"/>
      <c r="BM110" s="451"/>
      <c r="BN110" s="451"/>
      <c r="BO110" s="451"/>
      <c r="BQ110" s="1397"/>
      <c r="BW110" s="1397"/>
      <c r="BX110" s="1397"/>
      <c r="BY110" s="10"/>
      <c r="CM110" s="13"/>
      <c r="CN110" s="13"/>
      <c r="CO110" s="13"/>
      <c r="CP110" s="13"/>
      <c r="CQ110" s="13"/>
      <c r="CR110" s="1404"/>
      <c r="CS110" s="1397"/>
    </row>
    <row r="111" spans="1:97" ht="24" customHeight="1">
      <c r="A111" s="137"/>
      <c r="B111" s="137"/>
      <c r="C111" s="137"/>
      <c r="D111" s="137"/>
      <c r="E111" s="137"/>
      <c r="F111" s="137"/>
      <c r="G111" s="137"/>
      <c r="H111" s="137"/>
      <c r="I111" s="137"/>
      <c r="J111" s="137"/>
      <c r="K111" s="137"/>
      <c r="L111" s="137"/>
      <c r="M111" s="137"/>
      <c r="N111" s="137"/>
      <c r="O111" s="137"/>
      <c r="P111" s="137"/>
      <c r="Q111" s="137"/>
      <c r="R111" s="137"/>
      <c r="S111" s="137"/>
      <c r="T111" s="137"/>
      <c r="U111" s="137"/>
      <c r="AX111" s="451"/>
      <c r="AY111" s="451"/>
      <c r="AZ111" s="451"/>
      <c r="BA111" s="451"/>
      <c r="BB111" s="451"/>
      <c r="BC111" s="451"/>
      <c r="BD111" s="451"/>
      <c r="BE111" s="451"/>
      <c r="BF111" s="451"/>
      <c r="BG111" s="451"/>
      <c r="BH111" s="451"/>
      <c r="BI111" s="451"/>
      <c r="BJ111" s="451"/>
      <c r="BK111" s="451"/>
      <c r="BL111" s="451"/>
      <c r="BM111" s="451"/>
      <c r="BN111" s="451"/>
      <c r="BO111" s="451"/>
      <c r="BQ111" s="1397"/>
      <c r="BW111" s="1432"/>
      <c r="BX111" s="1432"/>
      <c r="BY111" s="1432"/>
      <c r="BZ111" s="1432"/>
      <c r="CA111" s="99"/>
      <c r="CM111" s="13"/>
      <c r="CN111" s="13"/>
      <c r="CO111" s="13"/>
      <c r="CP111" s="13"/>
      <c r="CQ111" s="13"/>
      <c r="CR111" s="1404"/>
      <c r="CS111" s="1397"/>
    </row>
    <row r="112" spans="1:97" ht="24" customHeight="1">
      <c r="A112" s="137"/>
      <c r="B112" s="137"/>
      <c r="C112" s="137"/>
      <c r="D112" s="137"/>
      <c r="E112" s="137"/>
      <c r="F112" s="137"/>
      <c r="G112" s="137"/>
      <c r="H112" s="137"/>
      <c r="I112" s="137"/>
      <c r="J112" s="137"/>
      <c r="K112" s="137"/>
      <c r="L112" s="137"/>
      <c r="M112" s="137"/>
      <c r="N112" s="137"/>
      <c r="O112" s="137"/>
      <c r="P112" s="137"/>
      <c r="Q112" s="137"/>
      <c r="R112" s="137"/>
      <c r="S112" s="137"/>
      <c r="T112" s="137"/>
      <c r="U112" s="137"/>
      <c r="AX112" s="451"/>
      <c r="AY112" s="451"/>
      <c r="AZ112" s="451"/>
      <c r="BA112" s="451"/>
      <c r="BB112" s="451"/>
      <c r="BC112" s="451"/>
      <c r="BD112" s="451"/>
      <c r="BE112" s="451"/>
      <c r="BF112" s="451"/>
      <c r="BG112" s="451"/>
      <c r="BH112" s="451"/>
      <c r="BI112" s="451"/>
      <c r="BJ112" s="451"/>
      <c r="BK112" s="451"/>
      <c r="BL112" s="451"/>
      <c r="BM112" s="451"/>
      <c r="BN112" s="451"/>
      <c r="BO112" s="451"/>
      <c r="BQ112" s="1397"/>
      <c r="CA112" s="15"/>
      <c r="CL112" s="13"/>
      <c r="CM112" s="13"/>
      <c r="CN112" s="13"/>
      <c r="CO112" s="13"/>
      <c r="CP112" s="13"/>
      <c r="CQ112" s="13"/>
      <c r="CR112" s="1404"/>
      <c r="CS112" s="1397"/>
    </row>
    <row r="113" spans="1:97" ht="24" customHeight="1">
      <c r="A113" s="137"/>
      <c r="B113" s="137"/>
      <c r="C113" s="137"/>
      <c r="D113" s="137"/>
      <c r="E113" s="137"/>
      <c r="F113" s="137"/>
      <c r="G113" s="137"/>
      <c r="H113" s="137"/>
      <c r="I113" s="137"/>
      <c r="J113" s="137"/>
      <c r="K113" s="137"/>
      <c r="L113" s="137"/>
      <c r="M113" s="137"/>
      <c r="N113" s="137"/>
      <c r="O113" s="137"/>
      <c r="P113" s="137"/>
      <c r="Q113" s="137"/>
      <c r="R113" s="137"/>
      <c r="S113" s="137"/>
      <c r="T113" s="137"/>
      <c r="U113" s="137"/>
      <c r="X113"/>
      <c r="Y113"/>
      <c r="Z113"/>
      <c r="AX113" s="451"/>
      <c r="AY113" s="451"/>
      <c r="AZ113" s="451"/>
      <c r="BA113" s="451"/>
      <c r="BB113" s="451"/>
      <c r="BC113" s="451"/>
      <c r="BD113" s="451"/>
      <c r="BE113" s="451"/>
      <c r="BF113" s="451"/>
      <c r="BG113" s="451"/>
      <c r="BH113" s="451"/>
      <c r="BI113" s="451"/>
      <c r="BJ113" s="451"/>
      <c r="BK113" s="451"/>
      <c r="BL113" s="451"/>
      <c r="BM113" s="451"/>
      <c r="BN113" s="451"/>
      <c r="BO113" s="451"/>
      <c r="BQ113" s="1397"/>
      <c r="BW113" s="1431"/>
      <c r="BX113" s="1431"/>
      <c r="BY113" s="1431"/>
      <c r="BZ113" s="1431"/>
      <c r="CA113" s="1431"/>
      <c r="CE113" s="14"/>
      <c r="CF113" s="13"/>
      <c r="CL113" s="13"/>
      <c r="CM113" s="13"/>
      <c r="CN113" s="13"/>
      <c r="CO113" s="13"/>
      <c r="CP113" s="13"/>
      <c r="CQ113" s="13"/>
      <c r="CR113" s="1404"/>
      <c r="CS113" s="1397"/>
    </row>
    <row r="114" spans="1:97" ht="24" customHeight="1">
      <c r="A114" s="137"/>
      <c r="B114" s="137"/>
      <c r="C114" s="137"/>
      <c r="D114" s="137"/>
      <c r="E114" s="137"/>
      <c r="F114" s="137"/>
      <c r="G114" s="137"/>
      <c r="H114" s="137"/>
      <c r="I114" s="137"/>
      <c r="J114" s="137"/>
      <c r="K114" s="137"/>
      <c r="L114" s="137"/>
      <c r="M114" s="137"/>
      <c r="N114" s="137"/>
      <c r="O114" s="137"/>
      <c r="P114" s="137"/>
      <c r="Q114" s="137"/>
      <c r="R114" s="137"/>
      <c r="S114" s="137"/>
      <c r="T114" s="137"/>
      <c r="U114" s="137"/>
      <c r="AX114" s="451"/>
      <c r="AY114" s="451"/>
      <c r="AZ114" s="451"/>
      <c r="BA114" s="451"/>
      <c r="BB114" s="451"/>
      <c r="BC114" s="451"/>
      <c r="BD114" s="451"/>
      <c r="BE114" s="451"/>
      <c r="BF114" s="451"/>
      <c r="BG114" s="451"/>
      <c r="BH114" s="451"/>
      <c r="BI114" s="451"/>
      <c r="BJ114" s="451"/>
      <c r="BK114" s="451"/>
      <c r="BL114" s="451"/>
      <c r="BM114" s="451"/>
      <c r="BN114" s="451"/>
      <c r="BO114" s="451"/>
      <c r="BQ114" s="1397"/>
      <c r="BW114" s="1433"/>
      <c r="BX114" s="1433"/>
      <c r="BY114" s="1433"/>
      <c r="BZ114" s="1433"/>
      <c r="CA114" s="131"/>
      <c r="CE114" s="14"/>
      <c r="CF114" s="13"/>
      <c r="CL114" s="13"/>
      <c r="CM114" s="13"/>
      <c r="CN114" s="13"/>
      <c r="CO114" s="13"/>
      <c r="CP114" s="13"/>
      <c r="CQ114" s="13"/>
      <c r="CR114" s="1404"/>
      <c r="CS114" s="1397"/>
    </row>
    <row r="115" spans="1:97" ht="24" customHeight="1">
      <c r="A115" s="137"/>
      <c r="B115" s="137"/>
      <c r="C115" s="137"/>
      <c r="D115" s="137"/>
      <c r="E115" s="137"/>
      <c r="F115" s="137"/>
      <c r="G115" s="137"/>
      <c r="H115" s="137"/>
      <c r="I115" s="137"/>
      <c r="J115" s="137"/>
      <c r="K115" s="137"/>
      <c r="L115" s="137"/>
      <c r="M115" s="137"/>
      <c r="N115" s="137"/>
      <c r="O115" s="137"/>
      <c r="P115" s="137"/>
      <c r="Q115" s="137"/>
      <c r="R115" s="137"/>
      <c r="S115" s="137"/>
      <c r="T115" s="137"/>
      <c r="U115" s="137"/>
      <c r="AX115" s="451"/>
      <c r="AY115" s="451"/>
      <c r="AZ115" s="451"/>
      <c r="BA115" s="451"/>
      <c r="BB115" s="451"/>
      <c r="BC115" s="451"/>
      <c r="BD115" s="451"/>
      <c r="BE115" s="451"/>
      <c r="BF115" s="451"/>
      <c r="BG115" s="451"/>
      <c r="BH115" s="451"/>
      <c r="BI115" s="451"/>
      <c r="BJ115" s="451"/>
      <c r="BK115" s="451"/>
      <c r="BL115" s="451"/>
      <c r="BM115" s="451"/>
      <c r="BN115" s="451"/>
      <c r="BO115" s="451"/>
      <c r="BQ115" s="1397"/>
      <c r="BW115" s="1433"/>
      <c r="BX115" s="1433"/>
      <c r="BY115" s="1433"/>
      <c r="BZ115" s="1433"/>
      <c r="CA115" s="131"/>
      <c r="CE115" s="12"/>
      <c r="CL115" s="13"/>
      <c r="CM115" s="13"/>
      <c r="CN115" s="13"/>
      <c r="CO115" s="13"/>
      <c r="CP115" s="13"/>
      <c r="CQ115" s="13"/>
      <c r="CR115" s="1404"/>
      <c r="CS115" s="1397"/>
    </row>
    <row r="116" spans="1:97" ht="24" customHeight="1">
      <c r="A116" s="137"/>
      <c r="B116" s="137"/>
      <c r="C116" s="137"/>
      <c r="D116" s="137"/>
      <c r="E116" s="137"/>
      <c r="F116" s="137"/>
      <c r="G116" s="137"/>
      <c r="H116" s="137"/>
      <c r="I116" s="137"/>
      <c r="J116" s="137"/>
      <c r="K116" s="137"/>
      <c r="L116" s="137"/>
      <c r="M116" s="137"/>
      <c r="N116" s="137"/>
      <c r="O116" s="137"/>
      <c r="P116" s="137"/>
      <c r="Q116" s="137"/>
      <c r="R116" s="137"/>
      <c r="S116" s="137"/>
      <c r="T116" s="137"/>
      <c r="U116" s="137"/>
      <c r="AX116" s="451"/>
      <c r="AY116" s="451"/>
      <c r="AZ116" s="451"/>
      <c r="BA116" s="451"/>
      <c r="BB116" s="451"/>
      <c r="BC116" s="451"/>
      <c r="BD116" s="451"/>
      <c r="BE116" s="451"/>
      <c r="BF116" s="451"/>
      <c r="BG116" s="451"/>
      <c r="BH116" s="451"/>
      <c r="BI116" s="451"/>
      <c r="BJ116" s="451"/>
      <c r="BK116" s="451"/>
      <c r="BL116" s="451"/>
      <c r="BM116" s="451"/>
      <c r="BN116" s="451"/>
      <c r="BO116" s="451"/>
      <c r="BQ116" s="1397"/>
      <c r="BW116" s="1432"/>
      <c r="BX116" s="1432"/>
      <c r="BY116" s="1432"/>
      <c r="BZ116" s="1432"/>
      <c r="CA116" s="131"/>
      <c r="CC116" s="1434"/>
      <c r="CD116" s="1434"/>
      <c r="CE116" s="1434"/>
      <c r="CF116" s="1434"/>
      <c r="CG116" s="1434"/>
      <c r="CH116" s="1434"/>
      <c r="CI116" s="1434"/>
      <c r="CJ116" s="1434"/>
      <c r="CK116" s="1434"/>
      <c r="CL116" s="1434"/>
      <c r="CM116" s="1434"/>
      <c r="CN116" s="1434"/>
      <c r="CO116" s="1434"/>
      <c r="CP116" s="1434"/>
      <c r="CQ116" s="1434"/>
      <c r="CR116" s="1404"/>
      <c r="CS116" s="1397"/>
    </row>
    <row r="117" spans="1:97" ht="24" customHeight="1">
      <c r="A117" s="137"/>
      <c r="B117" s="137"/>
      <c r="C117" s="137"/>
      <c r="D117" s="137"/>
      <c r="E117" s="137"/>
      <c r="F117" s="137"/>
      <c r="G117" s="137"/>
      <c r="H117" s="137"/>
      <c r="I117" s="137"/>
      <c r="J117" s="137"/>
      <c r="K117" s="137"/>
      <c r="L117" s="137"/>
      <c r="M117" s="137"/>
      <c r="N117" s="137"/>
      <c r="O117" s="137"/>
      <c r="P117" s="137"/>
      <c r="Q117" s="137"/>
      <c r="R117" s="137"/>
      <c r="S117" s="137"/>
      <c r="T117" s="137"/>
      <c r="U117" s="137"/>
      <c r="AX117" s="451"/>
      <c r="AY117" s="451"/>
      <c r="AZ117" s="451"/>
      <c r="BA117" s="451"/>
      <c r="BB117" s="451"/>
      <c r="BC117" s="451"/>
      <c r="BD117" s="451"/>
      <c r="BE117" s="451"/>
      <c r="BF117" s="451"/>
      <c r="BG117" s="451"/>
      <c r="BH117" s="451"/>
      <c r="BI117" s="451"/>
      <c r="BJ117" s="451"/>
      <c r="BK117" s="451"/>
      <c r="BL117" s="451"/>
      <c r="BM117" s="451"/>
      <c r="BN117" s="451"/>
      <c r="BO117" s="451"/>
      <c r="BQ117" s="1397"/>
      <c r="BW117" s="1432"/>
      <c r="BX117" s="1432"/>
      <c r="BY117" s="1432"/>
      <c r="BZ117" s="1432"/>
      <c r="CA117" s="131"/>
      <c r="CC117" s="1435"/>
      <c r="CD117" s="1435"/>
      <c r="CE117" s="1435"/>
      <c r="CF117" s="1435"/>
      <c r="CG117" s="1435"/>
      <c r="CH117" s="1435"/>
      <c r="CI117" s="1435"/>
      <c r="CJ117" s="1435"/>
      <c r="CK117" s="1435"/>
      <c r="CL117" s="1435"/>
      <c r="CM117" s="1435"/>
      <c r="CN117" s="1435"/>
      <c r="CO117" s="1435"/>
      <c r="CP117" s="1435"/>
      <c r="CQ117" s="1435"/>
      <c r="CR117" s="1404"/>
      <c r="CS117" s="1397"/>
    </row>
    <row r="118" spans="1:97" ht="24" customHeight="1">
      <c r="A118" s="137"/>
      <c r="B118" s="137"/>
      <c r="C118" s="137"/>
      <c r="D118" s="137"/>
      <c r="E118" s="137"/>
      <c r="F118" s="137"/>
      <c r="G118" s="137"/>
      <c r="H118" s="137"/>
      <c r="I118" s="137"/>
      <c r="J118" s="137"/>
      <c r="K118" s="137"/>
      <c r="L118" s="137"/>
      <c r="M118" s="137"/>
      <c r="N118" s="137"/>
      <c r="O118" s="137"/>
      <c r="P118" s="137"/>
      <c r="Q118" s="137"/>
      <c r="R118" s="137"/>
      <c r="S118" s="137"/>
      <c r="T118" s="137"/>
      <c r="U118" s="137"/>
      <c r="AX118" s="451"/>
      <c r="AY118" s="451"/>
      <c r="AZ118" s="451"/>
      <c r="BA118" s="451"/>
      <c r="BB118" s="451"/>
      <c r="BC118" s="451"/>
      <c r="BD118" s="451"/>
      <c r="BE118" s="451"/>
      <c r="BF118" s="451"/>
      <c r="BG118" s="451"/>
      <c r="BH118" s="451"/>
      <c r="BI118" s="451"/>
      <c r="BJ118" s="451"/>
      <c r="BK118" s="451"/>
      <c r="BL118" s="451"/>
      <c r="BM118" s="451"/>
      <c r="BN118" s="451"/>
      <c r="BO118" s="451"/>
      <c r="BQ118" s="1397"/>
      <c r="BW118" s="1432"/>
      <c r="BX118" s="1432"/>
      <c r="BY118" s="1432"/>
      <c r="BZ118" s="1432"/>
      <c r="CA118" s="131"/>
      <c r="CC118" s="1436"/>
      <c r="CD118" s="1436"/>
      <c r="CE118" s="1436"/>
      <c r="CF118" s="1436"/>
      <c r="CG118" s="1436"/>
      <c r="CH118" s="1436"/>
      <c r="CI118" s="1436"/>
      <c r="CJ118" s="1436"/>
      <c r="CK118" s="1436"/>
      <c r="CL118" s="1436"/>
      <c r="CM118" s="1436"/>
      <c r="CN118" s="1436"/>
      <c r="CO118" s="1436"/>
      <c r="CP118" s="1436"/>
      <c r="CQ118" s="1436"/>
      <c r="CR118" s="1404"/>
      <c r="CS118" s="1397"/>
    </row>
    <row r="119" spans="1:97" ht="24" customHeight="1">
      <c r="A119" s="137"/>
      <c r="B119" s="137"/>
      <c r="C119" s="137"/>
      <c r="D119" s="137"/>
      <c r="E119" s="137"/>
      <c r="F119" s="137"/>
      <c r="G119" s="137"/>
      <c r="H119" s="137"/>
      <c r="I119" s="137"/>
      <c r="J119" s="137"/>
      <c r="K119" s="137"/>
      <c r="L119" s="137"/>
      <c r="M119" s="137"/>
      <c r="N119" s="137"/>
      <c r="O119" s="137"/>
      <c r="P119" s="137"/>
      <c r="Q119" s="137"/>
      <c r="R119" s="137"/>
      <c r="S119" s="137"/>
      <c r="T119" s="137"/>
      <c r="U119" s="137"/>
      <c r="AX119" s="451"/>
      <c r="AY119" s="451"/>
      <c r="AZ119" s="451"/>
      <c r="BA119" s="451"/>
      <c r="BB119" s="451"/>
      <c r="BC119" s="451"/>
      <c r="BD119" s="451"/>
      <c r="BE119" s="451"/>
      <c r="BF119" s="451"/>
      <c r="BG119" s="451"/>
      <c r="BH119" s="451"/>
      <c r="BI119" s="451"/>
      <c r="BJ119" s="451"/>
      <c r="BK119" s="451"/>
      <c r="BL119" s="451"/>
      <c r="BM119" s="451"/>
      <c r="BN119" s="451"/>
      <c r="BO119" s="451"/>
      <c r="BQ119" s="1397"/>
      <c r="BW119" s="1332"/>
      <c r="BX119" s="1332"/>
      <c r="BY119" s="1332"/>
      <c r="BZ119" s="1332"/>
      <c r="CA119" s="131"/>
      <c r="CR119" s="1404"/>
      <c r="CS119" s="1397"/>
    </row>
    <row r="120" spans="1:97" ht="24" customHeight="1">
      <c r="A120" s="137"/>
      <c r="B120" s="137"/>
      <c r="C120" s="137"/>
      <c r="D120" s="137"/>
      <c r="E120" s="137"/>
      <c r="F120" s="137"/>
      <c r="G120" s="137"/>
      <c r="H120" s="137"/>
      <c r="I120" s="137"/>
      <c r="J120" s="137"/>
      <c r="K120" s="137"/>
      <c r="L120" s="137"/>
      <c r="M120" s="137"/>
      <c r="N120" s="137"/>
      <c r="O120" s="137"/>
      <c r="P120" s="137"/>
      <c r="Q120" s="137"/>
      <c r="R120" s="137"/>
      <c r="S120" s="137"/>
      <c r="T120" s="137"/>
      <c r="U120" s="137"/>
      <c r="AX120" s="451"/>
      <c r="AY120" s="451"/>
      <c r="AZ120" s="451"/>
      <c r="BA120" s="451"/>
      <c r="BB120" s="451"/>
      <c r="BC120" s="451"/>
      <c r="BD120" s="451"/>
      <c r="BE120" s="451"/>
      <c r="BF120" s="451"/>
      <c r="BG120" s="451"/>
      <c r="BH120" s="451"/>
      <c r="BI120" s="451"/>
      <c r="BJ120" s="451"/>
      <c r="BK120" s="451"/>
      <c r="BL120" s="451"/>
      <c r="BM120" s="451"/>
      <c r="BN120" s="451"/>
      <c r="BO120" s="451"/>
      <c r="BQ120" s="1397"/>
      <c r="BW120" s="1397"/>
      <c r="BX120" s="1397"/>
      <c r="BY120" s="1397"/>
      <c r="BZ120" s="1397"/>
      <c r="CA120" s="27"/>
      <c r="CR120" s="1404"/>
      <c r="CS120" s="1397"/>
    </row>
    <row r="121" spans="1:97" ht="24" customHeight="1">
      <c r="A121" s="137"/>
      <c r="B121" s="137"/>
      <c r="C121" s="137"/>
      <c r="D121" s="137"/>
      <c r="E121" s="137"/>
      <c r="F121" s="137"/>
      <c r="G121" s="137"/>
      <c r="H121" s="137"/>
      <c r="I121" s="137"/>
      <c r="J121" s="137"/>
      <c r="K121" s="137"/>
      <c r="L121" s="137"/>
      <c r="M121" s="137"/>
      <c r="N121" s="137"/>
      <c r="O121" s="137"/>
      <c r="P121" s="137"/>
      <c r="Q121" s="137"/>
      <c r="R121" s="137"/>
      <c r="S121" s="137"/>
      <c r="T121" s="137"/>
      <c r="U121" s="137"/>
      <c r="AX121" s="451"/>
      <c r="AY121" s="451"/>
      <c r="AZ121" s="451"/>
      <c r="BA121" s="451"/>
      <c r="BB121" s="451"/>
      <c r="BC121" s="451"/>
      <c r="BD121" s="451"/>
      <c r="BE121" s="451"/>
      <c r="BF121" s="451"/>
      <c r="BG121" s="451"/>
      <c r="BH121" s="451"/>
      <c r="BI121" s="451"/>
      <c r="BJ121" s="451"/>
      <c r="BK121" s="451"/>
      <c r="BL121" s="451"/>
      <c r="BM121" s="451"/>
      <c r="BN121" s="451"/>
      <c r="BO121" s="451"/>
      <c r="BQ121" s="1397"/>
      <c r="BY121" s="13"/>
      <c r="BZ121" s="13"/>
      <c r="CD121" s="18"/>
      <c r="CE121" s="14"/>
      <c r="CF121" s="13"/>
      <c r="CL121" s="18"/>
      <c r="CM121" s="18"/>
      <c r="CN121" s="18"/>
      <c r="CO121" s="18"/>
      <c r="CP121" s="18"/>
      <c r="CQ121" s="18"/>
      <c r="CR121" s="1404"/>
      <c r="CS121" s="1397"/>
    </row>
    <row r="122" spans="1:97" ht="24" customHeight="1">
      <c r="A122" s="137"/>
      <c r="B122" s="137"/>
      <c r="C122" s="137"/>
      <c r="D122" s="137"/>
      <c r="E122" s="137"/>
      <c r="F122" s="137"/>
      <c r="G122" s="137"/>
      <c r="H122" s="137"/>
      <c r="I122" s="137"/>
      <c r="J122" s="137"/>
      <c r="K122" s="137"/>
      <c r="L122" s="137"/>
      <c r="M122" s="137"/>
      <c r="N122" s="137"/>
      <c r="O122" s="137"/>
      <c r="P122" s="137"/>
      <c r="Q122" s="137"/>
      <c r="R122" s="137"/>
      <c r="S122" s="137"/>
      <c r="T122" s="137"/>
      <c r="U122" s="137"/>
      <c r="AX122" s="451"/>
      <c r="AY122" s="451"/>
      <c r="AZ122" s="451"/>
      <c r="BA122" s="451"/>
      <c r="BB122" s="451"/>
      <c r="BC122" s="451"/>
      <c r="BD122" s="451"/>
      <c r="BE122" s="451"/>
      <c r="BF122" s="451"/>
      <c r="BG122" s="451"/>
      <c r="BH122" s="451"/>
      <c r="BI122" s="451"/>
      <c r="BJ122" s="451"/>
      <c r="BK122" s="451"/>
      <c r="BL122" s="451"/>
      <c r="BM122" s="451"/>
      <c r="BN122" s="451"/>
      <c r="BO122" s="451"/>
      <c r="BY122" s="13"/>
      <c r="BZ122" s="13"/>
      <c r="CD122" s="18"/>
      <c r="CE122" s="18"/>
      <c r="CF122" s="18"/>
      <c r="CG122" s="18"/>
      <c r="CH122" s="18"/>
      <c r="CI122" s="18"/>
      <c r="CJ122" s="1437"/>
      <c r="CK122" s="1437"/>
      <c r="CL122" s="1437"/>
      <c r="CM122" s="1437"/>
      <c r="CN122" s="1437"/>
      <c r="CO122" s="1437"/>
      <c r="CP122" s="1437"/>
      <c r="CQ122" s="1437"/>
      <c r="CR122" s="1404"/>
      <c r="CS122" s="1397"/>
    </row>
    <row r="123" spans="1:97" ht="24" customHeight="1">
      <c r="A123" s="137"/>
      <c r="B123" s="137"/>
      <c r="C123" s="137"/>
      <c r="D123" s="137"/>
      <c r="E123" s="137"/>
      <c r="F123" s="137"/>
      <c r="G123" s="137"/>
      <c r="H123" s="137"/>
      <c r="I123" s="137"/>
      <c r="J123" s="137"/>
      <c r="K123" s="137"/>
      <c r="L123" s="137"/>
      <c r="M123" s="137"/>
      <c r="N123" s="137"/>
      <c r="O123" s="137"/>
      <c r="P123" s="137"/>
      <c r="Q123" s="137"/>
      <c r="R123" s="137"/>
      <c r="S123" s="137"/>
      <c r="T123" s="137"/>
      <c r="U123" s="137"/>
      <c r="AX123" s="451"/>
      <c r="AY123" s="451"/>
      <c r="AZ123" s="451"/>
      <c r="BA123" s="451"/>
      <c r="BB123" s="451"/>
      <c r="BC123" s="451"/>
      <c r="BD123" s="451"/>
      <c r="BE123" s="451"/>
      <c r="BF123" s="451"/>
      <c r="BG123" s="451"/>
      <c r="BH123" s="451"/>
      <c r="BI123" s="451"/>
      <c r="BJ123" s="451"/>
      <c r="BK123" s="451"/>
      <c r="BL123" s="451"/>
      <c r="BM123" s="451"/>
      <c r="BN123" s="451"/>
      <c r="BO123" s="451"/>
      <c r="BX123" s="1438"/>
      <c r="BY123" s="1438"/>
      <c r="BZ123" s="1438"/>
      <c r="CA123" s="1438"/>
      <c r="CB123" s="1438"/>
      <c r="CC123" s="1438"/>
      <c r="CD123" s="1438"/>
      <c r="CE123" s="1438"/>
      <c r="CF123" s="1438"/>
      <c r="CG123" s="1438"/>
      <c r="CH123" s="1438"/>
      <c r="CI123" s="1438"/>
      <c r="CJ123" s="1438"/>
      <c r="CK123" s="1438"/>
      <c r="CL123" s="1438"/>
      <c r="CM123" s="1438"/>
      <c r="CN123" s="1438"/>
      <c r="CO123" s="1438"/>
      <c r="CP123" s="1438"/>
      <c r="CQ123" s="1438"/>
      <c r="CR123" s="1404"/>
      <c r="CS123" s="1397"/>
    </row>
    <row r="124" spans="1:97" ht="24" customHeight="1" thickBot="1">
      <c r="A124" s="137"/>
      <c r="B124" s="137"/>
      <c r="C124" s="137"/>
      <c r="D124" s="137"/>
      <c r="E124" s="137"/>
      <c r="F124" s="137"/>
      <c r="G124" s="137"/>
      <c r="H124" s="137"/>
      <c r="I124" s="137"/>
      <c r="J124" s="137"/>
      <c r="K124" s="137"/>
      <c r="L124" s="137"/>
      <c r="M124" s="137"/>
      <c r="N124" s="137"/>
      <c r="O124" s="137"/>
      <c r="P124" s="137"/>
      <c r="Q124" s="137"/>
      <c r="R124" s="137"/>
      <c r="S124" s="137"/>
      <c r="T124" s="137"/>
      <c r="U124" s="137"/>
      <c r="AX124" s="451"/>
      <c r="AY124" s="451"/>
      <c r="AZ124" s="451"/>
      <c r="BA124" s="451"/>
      <c r="BB124" s="451"/>
      <c r="BC124" s="451"/>
      <c r="BD124" s="451"/>
      <c r="BE124" s="451"/>
      <c r="BF124" s="451"/>
      <c r="BG124" s="451"/>
      <c r="BH124" s="451"/>
      <c r="BI124" s="451"/>
      <c r="BJ124" s="451"/>
      <c r="BK124" s="451"/>
      <c r="BL124" s="451"/>
      <c r="BM124" s="451"/>
      <c r="BN124" s="451"/>
      <c r="BO124" s="451"/>
      <c r="BX124" s="1439"/>
      <c r="BY124" s="1439"/>
      <c r="BZ124" s="1439"/>
      <c r="CA124" s="1439"/>
      <c r="CB124" s="1439"/>
      <c r="CC124" s="1439"/>
      <c r="CD124" s="1439"/>
      <c r="CE124" s="1439"/>
      <c r="CF124" s="1439"/>
      <c r="CG124" s="1439"/>
      <c r="CH124" s="1439"/>
      <c r="CI124" s="1439"/>
      <c r="CJ124" s="1439"/>
      <c r="CK124" s="1439"/>
      <c r="CL124" s="1439"/>
      <c r="CM124" s="1439"/>
      <c r="CN124" s="1439"/>
      <c r="CO124" s="1439"/>
      <c r="CP124" s="1439"/>
      <c r="CQ124" s="1439"/>
      <c r="CR124" s="1404"/>
      <c r="CS124" s="1397"/>
    </row>
    <row r="125" spans="1:97" ht="24" customHeight="1" thickTop="1" thickBot="1">
      <c r="A125" s="137"/>
      <c r="B125" s="137"/>
      <c r="C125" s="137"/>
      <c r="D125" s="137"/>
      <c r="E125" s="137"/>
      <c r="F125" s="137"/>
      <c r="G125" s="137"/>
      <c r="H125" s="137"/>
      <c r="I125" s="137"/>
      <c r="J125" s="137"/>
      <c r="K125" s="137"/>
      <c r="L125" s="137"/>
      <c r="M125" s="137"/>
      <c r="N125" s="137"/>
      <c r="O125" s="137"/>
      <c r="P125" s="137"/>
      <c r="Q125" s="137"/>
      <c r="R125" s="137"/>
      <c r="S125" s="137"/>
      <c r="T125" s="137"/>
      <c r="U125" s="137"/>
      <c r="BX125" s="88"/>
      <c r="BY125" s="89"/>
      <c r="BZ125" s="89"/>
      <c r="CA125" s="90"/>
      <c r="CB125" s="1410"/>
      <c r="CC125" s="1411"/>
      <c r="CD125" s="1411"/>
      <c r="CE125" s="1411"/>
      <c r="CF125" s="1411"/>
      <c r="CG125" s="1411"/>
      <c r="CH125" s="1411"/>
      <c r="CI125" s="1411"/>
      <c r="CJ125" s="1411"/>
      <c r="CK125" s="1411"/>
      <c r="CL125" s="1411"/>
      <c r="CM125" s="1411"/>
      <c r="CN125" s="1411"/>
      <c r="CO125" s="1411"/>
      <c r="CP125" s="1411"/>
      <c r="CQ125" s="1412"/>
      <c r="CR125" s="1404"/>
      <c r="CS125" s="1397"/>
    </row>
    <row r="126" spans="1:97" ht="24" customHeight="1" thickTop="1" thickBot="1">
      <c r="A126" s="137"/>
      <c r="B126" s="137"/>
      <c r="C126" s="137"/>
      <c r="D126" s="137"/>
      <c r="E126" s="137"/>
      <c r="F126" s="137"/>
      <c r="G126" s="137"/>
      <c r="H126" s="137"/>
      <c r="I126" s="137"/>
      <c r="J126" s="137"/>
      <c r="K126" s="137"/>
      <c r="L126" s="137"/>
      <c r="M126" s="137"/>
      <c r="N126" s="137"/>
      <c r="O126" s="137"/>
      <c r="P126" s="137"/>
      <c r="Q126" s="137"/>
      <c r="R126" s="137"/>
      <c r="S126" s="137"/>
      <c r="T126" s="137"/>
      <c r="U126" s="137"/>
      <c r="BX126" s="91"/>
      <c r="BY126" s="92"/>
      <c r="BZ126" s="92"/>
      <c r="CA126" s="93"/>
      <c r="CB126" s="1335"/>
      <c r="CC126" s="1336"/>
      <c r="CD126" s="1336"/>
      <c r="CE126" s="1337"/>
      <c r="CF126" s="1335"/>
      <c r="CG126" s="1336"/>
      <c r="CH126" s="1336"/>
      <c r="CI126" s="1337"/>
      <c r="CJ126" s="1335"/>
      <c r="CK126" s="1336"/>
      <c r="CL126" s="1336"/>
      <c r="CM126" s="1337"/>
      <c r="CN126" s="1335"/>
      <c r="CO126" s="1336"/>
      <c r="CP126" s="1336"/>
      <c r="CQ126" s="1337"/>
      <c r="CR126" s="1404"/>
      <c r="CS126" s="1397"/>
    </row>
    <row r="127" spans="1:97" ht="24" customHeight="1" thickBot="1">
      <c r="A127" s="137"/>
      <c r="B127" s="137"/>
      <c r="C127" s="137"/>
      <c r="D127" s="137"/>
      <c r="E127" s="137"/>
      <c r="F127" s="137"/>
      <c r="G127" s="137"/>
      <c r="H127" s="137"/>
      <c r="I127" s="137"/>
      <c r="J127" s="137"/>
      <c r="K127" s="137"/>
      <c r="L127" s="137"/>
      <c r="M127" s="137"/>
      <c r="N127" s="137"/>
      <c r="O127" s="137"/>
      <c r="P127" s="137"/>
      <c r="Q127" s="137"/>
      <c r="R127" s="137"/>
      <c r="S127" s="137"/>
      <c r="T127" s="137"/>
      <c r="U127" s="137"/>
      <c r="BX127" s="91"/>
      <c r="BY127" s="92"/>
      <c r="BZ127" s="92"/>
      <c r="CA127" s="93"/>
      <c r="CB127" s="1333"/>
      <c r="CC127" s="1334"/>
      <c r="CD127" s="1334"/>
      <c r="CE127" s="1304"/>
      <c r="CF127" s="1333"/>
      <c r="CG127" s="1334"/>
      <c r="CH127" s="1334"/>
      <c r="CI127" s="1304"/>
      <c r="CJ127" s="1333"/>
      <c r="CK127" s="1334"/>
      <c r="CL127" s="1334"/>
      <c r="CM127" s="1304"/>
      <c r="CN127" s="1333"/>
      <c r="CO127" s="1334"/>
      <c r="CP127" s="1334"/>
      <c r="CQ127" s="1304"/>
      <c r="CR127" s="1404"/>
      <c r="CS127" s="1397"/>
    </row>
    <row r="128" spans="1:97" ht="24" customHeight="1" thickBot="1">
      <c r="A128" s="137"/>
      <c r="B128" s="137"/>
      <c r="C128" s="137"/>
      <c r="D128" s="137"/>
      <c r="E128" s="137"/>
      <c r="F128" s="137"/>
      <c r="G128" s="137"/>
      <c r="H128" s="137"/>
      <c r="I128" s="137"/>
      <c r="J128" s="137"/>
      <c r="K128" s="137"/>
      <c r="L128" s="137"/>
      <c r="M128" s="137"/>
      <c r="N128" s="137"/>
      <c r="O128" s="137"/>
      <c r="P128" s="137"/>
      <c r="Q128" s="137"/>
      <c r="R128" s="137"/>
      <c r="S128" s="137"/>
      <c r="T128" s="137"/>
      <c r="U128" s="137"/>
      <c r="BX128" s="91"/>
      <c r="BY128" s="92"/>
      <c r="BZ128" s="92"/>
      <c r="CA128" s="93"/>
      <c r="CB128" s="1323"/>
      <c r="CC128" s="1324"/>
      <c r="CD128" s="1318"/>
      <c r="CE128" s="1319"/>
      <c r="CF128" s="1323"/>
      <c r="CG128" s="1324"/>
      <c r="CH128" s="1318"/>
      <c r="CI128" s="1319"/>
      <c r="CJ128" s="1323"/>
      <c r="CK128" s="1324"/>
      <c r="CL128" s="1318"/>
      <c r="CM128" s="1319"/>
      <c r="CN128" s="1323"/>
      <c r="CO128" s="1324"/>
      <c r="CP128" s="1318"/>
      <c r="CQ128" s="1319"/>
      <c r="CR128" s="1404"/>
      <c r="CS128" s="1397"/>
    </row>
    <row r="129" spans="1:97" ht="24" customHeight="1" thickBot="1">
      <c r="A129" s="137"/>
      <c r="B129" s="137"/>
      <c r="C129" s="137"/>
      <c r="D129" s="137"/>
      <c r="E129" s="137"/>
      <c r="F129" s="137"/>
      <c r="G129" s="137"/>
      <c r="H129" s="137"/>
      <c r="I129" s="137"/>
      <c r="J129" s="137"/>
      <c r="K129" s="137"/>
      <c r="L129" s="137"/>
      <c r="M129" s="137"/>
      <c r="N129" s="137"/>
      <c r="O129" s="137"/>
      <c r="P129" s="137"/>
      <c r="Q129" s="137"/>
      <c r="R129" s="137"/>
      <c r="S129" s="137"/>
      <c r="T129" s="137"/>
      <c r="U129" s="137"/>
      <c r="BX129" s="91"/>
      <c r="BY129" s="92"/>
      <c r="BZ129" s="92"/>
      <c r="CA129" s="93"/>
      <c r="CB129" s="1333"/>
      <c r="CC129" s="1347"/>
      <c r="CD129" s="1303"/>
      <c r="CE129" s="1304"/>
      <c r="CF129" s="1333"/>
      <c r="CG129" s="1347"/>
      <c r="CH129" s="1303"/>
      <c r="CI129" s="1304"/>
      <c r="CJ129" s="1333"/>
      <c r="CK129" s="1347"/>
      <c r="CL129" s="1303"/>
      <c r="CM129" s="1304"/>
      <c r="CN129" s="1333"/>
      <c r="CO129" s="1347"/>
      <c r="CP129" s="1303"/>
      <c r="CQ129" s="1304"/>
      <c r="CR129" s="1404"/>
      <c r="CS129" s="1397"/>
    </row>
    <row r="130" spans="1:97" ht="24" customHeight="1" thickBot="1">
      <c r="A130" s="137"/>
      <c r="B130" s="137"/>
      <c r="C130" s="137"/>
      <c r="D130" s="137"/>
      <c r="E130" s="137"/>
      <c r="F130" s="137"/>
      <c r="G130" s="137"/>
      <c r="H130" s="137"/>
      <c r="I130" s="137"/>
      <c r="J130" s="137"/>
      <c r="K130" s="137"/>
      <c r="L130" s="137"/>
      <c r="M130" s="137"/>
      <c r="N130" s="137"/>
      <c r="O130" s="137"/>
      <c r="P130" s="137"/>
      <c r="Q130" s="137"/>
      <c r="R130" s="137"/>
      <c r="S130" s="137"/>
      <c r="T130" s="137"/>
      <c r="U130" s="137"/>
      <c r="BX130" s="94"/>
      <c r="BY130" s="95"/>
      <c r="BZ130" s="95"/>
      <c r="CA130" s="96"/>
      <c r="CB130" s="81"/>
      <c r="CC130" s="82"/>
      <c r="CD130" s="82"/>
      <c r="CE130" s="83"/>
      <c r="CF130" s="81"/>
      <c r="CG130" s="82"/>
      <c r="CH130" s="82"/>
      <c r="CI130" s="83"/>
      <c r="CJ130" s="81"/>
      <c r="CK130" s="82"/>
      <c r="CL130" s="82"/>
      <c r="CM130" s="83"/>
      <c r="CN130" s="81"/>
      <c r="CO130" s="82"/>
      <c r="CP130" s="82"/>
      <c r="CQ130" s="83"/>
      <c r="CR130" s="1404"/>
      <c r="CS130" s="1397"/>
    </row>
    <row r="131" spans="1:97" ht="24" customHeight="1" thickTop="1">
      <c r="A131" s="137"/>
      <c r="B131" s="137"/>
      <c r="C131" s="137"/>
      <c r="D131" s="137"/>
      <c r="E131" s="137"/>
      <c r="F131" s="137"/>
      <c r="G131" s="137"/>
      <c r="H131" s="137"/>
      <c r="I131" s="137"/>
      <c r="J131" s="137"/>
      <c r="K131" s="137"/>
      <c r="L131" s="137"/>
      <c r="M131" s="137"/>
      <c r="N131" s="137"/>
      <c r="O131" s="137"/>
      <c r="P131" s="137"/>
      <c r="Q131" s="137"/>
      <c r="R131" s="137"/>
      <c r="S131" s="137"/>
      <c r="T131" s="137"/>
      <c r="U131" s="137"/>
      <c r="CR131" s="1404"/>
      <c r="CS131" s="1397"/>
    </row>
    <row r="132" spans="1:97" ht="24" customHeight="1" thickBot="1">
      <c r="A132" s="137"/>
      <c r="B132" s="137"/>
      <c r="C132" s="137"/>
      <c r="D132" s="137"/>
      <c r="E132" s="137"/>
      <c r="F132" s="137"/>
      <c r="G132" s="137"/>
      <c r="H132" s="137"/>
      <c r="I132" s="137"/>
      <c r="J132" s="137"/>
      <c r="K132" s="137"/>
      <c r="L132" s="137"/>
      <c r="M132" s="137"/>
      <c r="N132" s="137"/>
      <c r="O132" s="137"/>
      <c r="P132" s="137"/>
      <c r="Q132" s="137"/>
      <c r="R132" s="137"/>
      <c r="S132" s="137"/>
      <c r="T132" s="137"/>
      <c r="U132" s="137"/>
      <c r="BW132" s="34"/>
      <c r="CR132" s="1404"/>
      <c r="CS132" s="1397"/>
    </row>
    <row r="133" spans="1:97" ht="24" customHeight="1" thickTop="1">
      <c r="A133" s="137"/>
      <c r="B133" s="137"/>
      <c r="C133" s="137"/>
      <c r="D133" s="137"/>
      <c r="E133" s="137"/>
      <c r="F133" s="137"/>
      <c r="G133" s="137"/>
      <c r="H133" s="137"/>
      <c r="I133" s="137"/>
      <c r="J133" s="137"/>
      <c r="K133" s="137"/>
      <c r="L133" s="137"/>
      <c r="M133" s="137"/>
      <c r="N133" s="137"/>
      <c r="O133" s="137"/>
      <c r="P133" s="137"/>
      <c r="Q133" s="137"/>
      <c r="R133" s="137"/>
      <c r="S133" s="137"/>
      <c r="T133" s="137"/>
      <c r="U133" s="137"/>
      <c r="X133"/>
      <c r="Y133"/>
      <c r="Z133" s="1397"/>
      <c r="AA133" s="1397"/>
      <c r="AB133" s="1397"/>
      <c r="AC133" s="1384"/>
      <c r="AD133" s="1384"/>
      <c r="AE133" s="1384"/>
      <c r="AF133" s="1384"/>
      <c r="AG133" s="1384"/>
      <c r="AH133" s="1384"/>
      <c r="AI133" s="1384"/>
      <c r="AJ133" s="1384"/>
      <c r="AK133" s="1384"/>
      <c r="AL133" s="1384"/>
      <c r="AM133" s="1384"/>
      <c r="AN133" s="1384"/>
      <c r="AO133" s="1384"/>
      <c r="AP133" s="1384"/>
      <c r="BW133" s="34"/>
      <c r="BX133" s="424"/>
      <c r="BY133" s="425"/>
      <c r="BZ133" s="424"/>
      <c r="CA133" s="426"/>
      <c r="CB133" s="422"/>
      <c r="CC133" s="422"/>
      <c r="CD133" s="422"/>
      <c r="CE133" s="422"/>
      <c r="CF133" s="422"/>
      <c r="CG133" s="422"/>
      <c r="CH133" s="422"/>
      <c r="CI133" s="422"/>
      <c r="CJ133" s="422"/>
      <c r="CK133" s="422"/>
      <c r="CL133" s="422"/>
      <c r="CM133" s="422"/>
      <c r="CN133" s="422"/>
      <c r="CO133" s="422"/>
      <c r="CP133" s="422"/>
      <c r="CQ133" s="422"/>
      <c r="CR133" s="1404"/>
      <c r="CS133" s="1397"/>
    </row>
    <row r="134" spans="1:97" ht="24" customHeight="1">
      <c r="A134" s="137"/>
      <c r="B134" s="137"/>
      <c r="C134" s="137"/>
      <c r="D134" s="137"/>
      <c r="E134" s="137"/>
      <c r="F134" s="137"/>
      <c r="G134" s="137"/>
      <c r="H134" s="137"/>
      <c r="I134" s="137"/>
      <c r="J134" s="137"/>
      <c r="K134" s="137"/>
      <c r="L134" s="137"/>
      <c r="M134" s="137"/>
      <c r="N134" s="137"/>
      <c r="O134" s="137"/>
      <c r="P134" s="137"/>
      <c r="Q134" s="137"/>
      <c r="R134" s="137"/>
      <c r="S134" s="137"/>
      <c r="T134" s="137"/>
      <c r="U134" s="137"/>
      <c r="X134"/>
      <c r="Y134"/>
      <c r="Z134" s="1397"/>
      <c r="AA134" s="1397"/>
      <c r="AB134" s="1397"/>
      <c r="AC134" s="1384"/>
      <c r="AD134" s="1384"/>
      <c r="AE134" s="1384"/>
      <c r="AF134" s="1384"/>
      <c r="AG134" s="1384"/>
      <c r="AH134" s="1384"/>
      <c r="AI134" s="1384"/>
      <c r="AJ134" s="1384"/>
      <c r="AK134" s="1384"/>
      <c r="AL134" s="1384"/>
      <c r="AM134" s="1384"/>
      <c r="AN134" s="1384"/>
      <c r="AO134" s="1384"/>
      <c r="AP134" s="1384"/>
      <c r="BW134" s="34"/>
      <c r="BX134" s="427"/>
      <c r="BY134" s="34"/>
      <c r="BZ134" s="427"/>
      <c r="CA134" s="132"/>
      <c r="CB134" s="423"/>
      <c r="CC134" s="423"/>
      <c r="CD134" s="423"/>
      <c r="CE134" s="423"/>
      <c r="CF134" s="423"/>
      <c r="CG134" s="423"/>
      <c r="CH134" s="423"/>
      <c r="CI134" s="423"/>
      <c r="CJ134" s="423"/>
      <c r="CK134" s="423"/>
      <c r="CL134" s="423"/>
      <c r="CM134" s="423"/>
      <c r="CN134" s="423"/>
      <c r="CO134" s="423"/>
      <c r="CP134" s="423"/>
      <c r="CQ134" s="423"/>
      <c r="CR134" s="1404"/>
    </row>
    <row r="135" spans="1:97" ht="24" customHeight="1">
      <c r="A135" s="137"/>
      <c r="B135" s="137"/>
      <c r="C135" s="137"/>
      <c r="D135" s="137"/>
      <c r="E135" s="137"/>
      <c r="F135" s="137"/>
      <c r="G135" s="137"/>
      <c r="H135" s="137"/>
      <c r="I135" s="137"/>
      <c r="J135" s="137"/>
      <c r="K135" s="137"/>
      <c r="L135" s="137"/>
      <c r="M135" s="137"/>
      <c r="N135" s="137"/>
      <c r="O135" s="137"/>
      <c r="P135" s="137"/>
      <c r="Q135" s="137"/>
      <c r="R135" s="137"/>
      <c r="S135" s="137"/>
      <c r="T135" s="137"/>
      <c r="U135" s="137"/>
      <c r="X135"/>
      <c r="Y135"/>
      <c r="Z135" s="1397"/>
      <c r="AA135" s="1397"/>
      <c r="AB135" s="1397"/>
      <c r="AC135" s="1384"/>
      <c r="AD135" s="1384"/>
      <c r="AE135" s="1384"/>
      <c r="AF135" s="1384"/>
      <c r="AG135" s="1384"/>
      <c r="AH135" s="1384"/>
      <c r="AI135" s="1384"/>
      <c r="AJ135" s="1384"/>
      <c r="AK135" s="1384"/>
      <c r="AL135" s="1384"/>
      <c r="AM135" s="1384"/>
      <c r="AN135" s="1384"/>
      <c r="AO135" s="1384"/>
      <c r="AP135" s="1384"/>
      <c r="BX135" s="427"/>
      <c r="BY135" s="1413"/>
      <c r="BZ135" s="1414"/>
      <c r="CA135" s="132"/>
      <c r="CB135" s="423"/>
      <c r="CC135" s="423"/>
      <c r="CD135" s="423"/>
      <c r="CE135" s="423"/>
      <c r="CF135" s="423"/>
      <c r="CG135" s="423"/>
      <c r="CH135" s="423"/>
      <c r="CI135" s="423"/>
      <c r="CJ135" s="423"/>
      <c r="CK135" s="428"/>
      <c r="CL135" s="429"/>
      <c r="CM135" s="430"/>
      <c r="CN135" s="430"/>
      <c r="CO135" s="431"/>
      <c r="CP135" s="431"/>
      <c r="CQ135" s="432"/>
      <c r="CR135" s="1404"/>
    </row>
    <row r="136" spans="1:97" ht="24" customHeight="1">
      <c r="A136" s="137"/>
      <c r="B136" s="137"/>
      <c r="C136" s="137"/>
      <c r="D136" s="137"/>
      <c r="E136" s="137"/>
      <c r="F136" s="137"/>
      <c r="G136" s="137"/>
      <c r="H136" s="137"/>
      <c r="I136" s="137"/>
      <c r="J136" s="137"/>
      <c r="K136" s="137"/>
      <c r="L136" s="137"/>
      <c r="M136" s="137"/>
      <c r="N136" s="137"/>
      <c r="O136" s="137"/>
      <c r="P136" s="137"/>
      <c r="Q136" s="137"/>
      <c r="R136" s="137"/>
      <c r="S136" s="137"/>
      <c r="T136" s="137"/>
      <c r="U136" s="137"/>
      <c r="X136"/>
      <c r="Y136"/>
      <c r="Z136" s="1397"/>
      <c r="AA136" s="1397"/>
      <c r="AB136" s="1397"/>
      <c r="AC136" s="1384"/>
      <c r="AD136" s="1384"/>
      <c r="AE136" s="1384"/>
      <c r="AF136" s="1384"/>
      <c r="AG136" s="1384"/>
      <c r="AH136" s="1384"/>
      <c r="AI136" s="1384"/>
      <c r="AJ136" s="1384"/>
      <c r="AK136" s="1384"/>
      <c r="AL136" s="1384"/>
      <c r="AM136" s="1384"/>
      <c r="AN136" s="1384"/>
      <c r="AO136" s="1384"/>
      <c r="AP136" s="1384"/>
      <c r="BX136" s="427"/>
      <c r="BY136" s="1413"/>
      <c r="BZ136" s="1414"/>
      <c r="CA136" s="132"/>
      <c r="CB136" s="423"/>
      <c r="CC136" s="423"/>
      <c r="CD136" s="423"/>
      <c r="CE136" s="423"/>
      <c r="CF136" s="423"/>
      <c r="CG136" s="423"/>
      <c r="CH136" s="423"/>
      <c r="CI136" s="423"/>
      <c r="CJ136" s="423"/>
      <c r="CK136" s="428"/>
      <c r="CL136" s="428"/>
      <c r="CM136" s="428"/>
      <c r="CN136" s="430"/>
      <c r="CO136" s="431"/>
      <c r="CP136" s="431"/>
      <c r="CQ136" s="432"/>
      <c r="CR136" s="1404"/>
    </row>
    <row r="137" spans="1:97" ht="24" customHeight="1">
      <c r="A137" s="137"/>
      <c r="B137" s="137"/>
      <c r="C137" s="137"/>
      <c r="D137" s="137"/>
      <c r="E137" s="137"/>
      <c r="F137" s="137"/>
      <c r="G137" s="137"/>
      <c r="H137" s="137"/>
      <c r="I137" s="137"/>
      <c r="J137" s="137"/>
      <c r="K137" s="137"/>
      <c r="L137" s="137"/>
      <c r="M137" s="137"/>
      <c r="N137" s="137"/>
      <c r="O137" s="137"/>
      <c r="P137" s="137"/>
      <c r="Q137" s="137"/>
      <c r="R137" s="137"/>
      <c r="S137" s="137"/>
      <c r="T137" s="137"/>
      <c r="U137" s="137"/>
      <c r="X137"/>
      <c r="Y137"/>
      <c r="Z137" s="1397"/>
      <c r="AA137" s="1397"/>
      <c r="AB137" s="1397"/>
      <c r="AC137" s="1384"/>
      <c r="AD137" s="1384"/>
      <c r="AE137" s="1384"/>
      <c r="AF137" s="1384"/>
      <c r="AG137" s="1384"/>
      <c r="AH137" s="1384"/>
      <c r="AI137" s="1384"/>
      <c r="AJ137" s="1384"/>
      <c r="AK137" s="1384"/>
      <c r="AL137" s="1384"/>
      <c r="AM137" s="1384"/>
      <c r="AN137" s="1384"/>
      <c r="AO137" s="1384"/>
      <c r="AP137" s="1384"/>
      <c r="BX137" s="427"/>
      <c r="BY137" s="1413"/>
      <c r="BZ137" s="1414"/>
      <c r="CA137" s="132"/>
      <c r="CB137" s="423"/>
      <c r="CC137" s="423"/>
      <c r="CD137" s="423"/>
      <c r="CE137" s="423"/>
      <c r="CF137" s="423"/>
      <c r="CG137" s="423"/>
      <c r="CH137" s="423"/>
      <c r="CI137" s="423"/>
      <c r="CJ137" s="423"/>
      <c r="CK137" s="423"/>
      <c r="CL137" s="423"/>
      <c r="CM137" s="423"/>
      <c r="CN137" s="423"/>
      <c r="CO137" s="423"/>
      <c r="CP137" s="423"/>
      <c r="CQ137" s="423"/>
      <c r="CR137" s="1404"/>
    </row>
    <row r="138" spans="1:97" ht="21.6" customHeight="1">
      <c r="A138" s="137"/>
      <c r="B138" s="137"/>
      <c r="C138" s="137"/>
      <c r="D138" s="137"/>
      <c r="E138" s="137"/>
      <c r="F138" s="137"/>
      <c r="G138" s="137"/>
      <c r="H138" s="137"/>
      <c r="I138" s="137"/>
      <c r="J138" s="137"/>
      <c r="K138" s="137"/>
      <c r="L138" s="137"/>
      <c r="M138" s="137"/>
      <c r="N138" s="137"/>
      <c r="O138" s="137"/>
      <c r="P138" s="137"/>
      <c r="Q138" s="137"/>
      <c r="R138" s="137"/>
      <c r="S138" s="137"/>
      <c r="T138" s="137"/>
      <c r="U138" s="137"/>
      <c r="X138"/>
      <c r="Y138"/>
      <c r="Z138" s="1397"/>
      <c r="AA138" s="1397"/>
      <c r="AB138" s="1397"/>
      <c r="AC138" s="1384"/>
      <c r="AD138" s="1384"/>
      <c r="AE138" s="1384"/>
      <c r="AF138" s="1384"/>
      <c r="AG138" s="1384"/>
      <c r="AH138" s="1384"/>
      <c r="AI138" s="1384"/>
      <c r="AJ138" s="1384"/>
      <c r="AK138" s="1384"/>
      <c r="AL138" s="1384"/>
      <c r="AM138" s="1384"/>
      <c r="AN138" s="1384"/>
      <c r="AO138" s="1384"/>
      <c r="AP138" s="1384"/>
      <c r="BX138" s="427"/>
      <c r="BY138" s="1413"/>
      <c r="BZ138" s="1414"/>
      <c r="CA138" s="132"/>
      <c r="CB138" s="423"/>
      <c r="CC138" s="423"/>
      <c r="CD138" s="423"/>
      <c r="CE138" s="423"/>
      <c r="CF138" s="423"/>
      <c r="CG138" s="423"/>
      <c r="CH138" s="423"/>
      <c r="CI138" s="423"/>
      <c r="CJ138" s="423"/>
      <c r="CK138" s="423"/>
      <c r="CL138" s="423"/>
      <c r="CM138" s="423"/>
      <c r="CN138" s="423"/>
      <c r="CO138" s="423"/>
      <c r="CP138" s="423"/>
      <c r="CQ138" s="423"/>
      <c r="CR138" s="1404"/>
    </row>
    <row r="139" spans="1:97" ht="21.6" customHeight="1">
      <c r="A139" s="137"/>
      <c r="B139" s="137"/>
      <c r="C139" s="137"/>
      <c r="D139" s="137"/>
      <c r="E139" s="137"/>
      <c r="F139" s="137"/>
      <c r="G139" s="137"/>
      <c r="H139" s="137"/>
      <c r="I139" s="137"/>
      <c r="J139" s="137"/>
      <c r="K139" s="137"/>
      <c r="L139" s="137"/>
      <c r="M139" s="137"/>
      <c r="N139" s="137"/>
      <c r="O139" s="137"/>
      <c r="P139" s="137"/>
      <c r="Q139" s="137"/>
      <c r="R139" s="137"/>
      <c r="S139" s="137"/>
      <c r="T139" s="137"/>
      <c r="U139" s="137"/>
      <c r="X139"/>
      <c r="Y139"/>
      <c r="AA139" s="129"/>
      <c r="AB139" s="129"/>
      <c r="AC139" s="23"/>
      <c r="AD139" s="23"/>
      <c r="AE139" s="23"/>
      <c r="AF139" s="23"/>
      <c r="AG139" s="23"/>
      <c r="AH139" s="23"/>
      <c r="AI139" s="23"/>
      <c r="AJ139" s="23"/>
      <c r="AK139" s="23"/>
      <c r="AL139" s="23"/>
      <c r="AM139" s="23"/>
      <c r="AN139" s="23"/>
      <c r="AO139" s="23"/>
      <c r="AP139" s="23"/>
      <c r="BX139" s="427"/>
      <c r="BY139" s="578"/>
      <c r="BZ139" s="579"/>
      <c r="CA139" s="132"/>
      <c r="CB139" s="423"/>
      <c r="CC139" s="423"/>
      <c r="CD139" s="423"/>
      <c r="CE139" s="423"/>
      <c r="CF139" s="423"/>
      <c r="CG139" s="423"/>
      <c r="CH139" s="423"/>
      <c r="CI139" s="423"/>
      <c r="CJ139" s="423"/>
      <c r="CK139" s="423"/>
      <c r="CL139" s="423"/>
      <c r="CM139" s="423"/>
      <c r="CN139" s="423"/>
      <c r="CO139" s="423"/>
      <c r="CP139" s="423"/>
      <c r="CQ139" s="423"/>
      <c r="CR139" s="429"/>
    </row>
    <row r="140" spans="1:97" ht="21.6" customHeight="1">
      <c r="A140" s="137"/>
      <c r="B140" s="137"/>
      <c r="C140" s="137"/>
      <c r="D140" s="137"/>
      <c r="E140" s="137"/>
      <c r="F140" s="137"/>
      <c r="G140" s="137"/>
      <c r="H140" s="137"/>
      <c r="I140" s="137"/>
      <c r="J140" s="137"/>
      <c r="K140" s="137"/>
      <c r="L140" s="137"/>
      <c r="M140" s="137"/>
      <c r="N140" s="137"/>
      <c r="O140" s="137"/>
      <c r="P140" s="137"/>
      <c r="Q140" s="137"/>
      <c r="R140" s="137"/>
      <c r="S140" s="137"/>
      <c r="T140" s="137"/>
      <c r="U140" s="137"/>
      <c r="X140"/>
      <c r="Y140"/>
      <c r="AA140" s="129"/>
      <c r="AB140" s="129"/>
      <c r="AC140" s="23"/>
      <c r="AD140" s="23"/>
      <c r="AE140" s="23"/>
      <c r="AF140" s="23"/>
      <c r="AG140" s="23"/>
      <c r="AH140" s="23"/>
      <c r="AI140" s="23"/>
      <c r="AJ140" s="23"/>
      <c r="AK140" s="23"/>
      <c r="AL140" s="23"/>
      <c r="AM140" s="23"/>
      <c r="AN140" s="23"/>
      <c r="AO140" s="23"/>
      <c r="AP140" s="23"/>
      <c r="BX140" s="427"/>
      <c r="BY140" s="578"/>
      <c r="BZ140" s="579"/>
      <c r="CA140" s="132"/>
      <c r="CB140" s="423"/>
      <c r="CC140" s="423"/>
      <c r="CD140" s="423"/>
      <c r="CE140" s="423"/>
      <c r="CF140" s="423"/>
      <c r="CG140" s="423"/>
      <c r="CH140" s="423"/>
      <c r="CI140" s="423"/>
      <c r="CJ140" s="423"/>
      <c r="CK140" s="423"/>
      <c r="CL140" s="423"/>
      <c r="CM140" s="423"/>
      <c r="CN140" s="423"/>
      <c r="CO140" s="423"/>
      <c r="CP140" s="423"/>
      <c r="CQ140" s="423"/>
      <c r="CR140" s="429"/>
    </row>
    <row r="141" spans="1:97">
      <c r="A141" s="137"/>
      <c r="B141" s="137"/>
      <c r="C141" s="137"/>
      <c r="D141" s="137"/>
      <c r="E141" s="137"/>
      <c r="F141" s="137"/>
      <c r="G141" s="137"/>
      <c r="H141" s="137"/>
      <c r="I141" s="137"/>
      <c r="J141" s="137"/>
      <c r="K141" s="137"/>
      <c r="L141" s="137"/>
      <c r="M141" s="137"/>
      <c r="N141" s="137"/>
      <c r="O141" s="137"/>
      <c r="P141" s="137"/>
      <c r="Q141" s="137"/>
      <c r="R141" s="137"/>
      <c r="S141" s="137"/>
      <c r="T141" s="137"/>
      <c r="U141" s="137"/>
    </row>
    <row r="142" spans="1:97" ht="29.45" thickBot="1">
      <c r="A142" s="1340" t="s">
        <v>149</v>
      </c>
      <c r="B142" s="1340"/>
      <c r="C142" s="1340"/>
      <c r="D142" s="1340"/>
      <c r="E142" s="1340"/>
      <c r="F142" s="1340"/>
      <c r="G142" s="1340"/>
      <c r="H142" s="1340"/>
      <c r="I142" s="1340"/>
      <c r="J142" s="1340"/>
      <c r="K142" s="1340"/>
      <c r="L142" s="1340"/>
      <c r="M142" s="1340"/>
      <c r="N142" s="1340"/>
      <c r="O142" s="628"/>
      <c r="P142" s="628"/>
      <c r="Q142" s="628"/>
      <c r="R142" s="628"/>
      <c r="S142" s="631"/>
      <c r="T142" s="631"/>
      <c r="U142" s="137"/>
    </row>
    <row r="143" spans="1:97" ht="21" thickTop="1">
      <c r="A143" s="137"/>
      <c r="B143" s="137"/>
      <c r="C143" s="137"/>
      <c r="D143" s="137"/>
      <c r="E143" s="137"/>
      <c r="F143" s="137"/>
      <c r="G143" s="137"/>
      <c r="H143" s="137"/>
      <c r="I143" s="137"/>
      <c r="J143" s="137"/>
      <c r="K143" s="137"/>
      <c r="L143" s="137"/>
      <c r="M143" s="137"/>
      <c r="N143" s="137"/>
      <c r="O143" s="137"/>
      <c r="Q143" s="137"/>
      <c r="R143" s="137"/>
      <c r="S143" s="1394" t="s">
        <v>150</v>
      </c>
      <c r="T143" s="1395"/>
      <c r="U143" s="1396"/>
    </row>
    <row r="144" spans="1:97">
      <c r="A144" s="137"/>
      <c r="B144" s="137"/>
      <c r="C144" s="137"/>
      <c r="D144" s="137"/>
      <c r="E144" s="137"/>
      <c r="F144" s="137"/>
      <c r="G144" s="137"/>
      <c r="H144" s="137"/>
      <c r="I144" s="137"/>
      <c r="J144" s="137"/>
      <c r="K144" s="137"/>
      <c r="L144" s="137"/>
      <c r="M144" s="137"/>
      <c r="N144" s="137"/>
      <c r="O144" s="137"/>
      <c r="Q144" s="137"/>
      <c r="R144" s="137"/>
      <c r="S144" s="520" t="s">
        <v>151</v>
      </c>
      <c r="T144" s="521"/>
      <c r="U144" s="522"/>
    </row>
    <row r="145" spans="1:31">
      <c r="A145" s="137"/>
      <c r="B145" s="137"/>
      <c r="C145" s="137"/>
      <c r="D145" s="137"/>
      <c r="E145" s="137"/>
      <c r="F145" s="137"/>
      <c r="G145" s="137"/>
      <c r="H145" s="137"/>
      <c r="I145" s="137"/>
      <c r="J145" s="137"/>
      <c r="K145" s="137"/>
      <c r="L145" s="137"/>
      <c r="M145" s="137"/>
      <c r="N145" s="137"/>
      <c r="O145" s="137"/>
      <c r="Q145" s="137"/>
      <c r="R145" s="137"/>
      <c r="S145" s="481" t="s">
        <v>152</v>
      </c>
      <c r="T145" s="523">
        <v>4880</v>
      </c>
      <c r="U145" s="524">
        <v>4881</v>
      </c>
    </row>
    <row r="146" spans="1:31">
      <c r="A146" s="137"/>
      <c r="B146" s="137"/>
      <c r="C146" s="137"/>
      <c r="D146" s="137"/>
      <c r="E146" s="137"/>
      <c r="F146" s="137"/>
      <c r="G146" s="137"/>
      <c r="H146" s="137"/>
      <c r="I146" s="137"/>
      <c r="J146" s="137"/>
      <c r="K146" s="137"/>
      <c r="L146" s="137"/>
      <c r="M146" s="137"/>
      <c r="N146" s="137"/>
      <c r="O146" s="137"/>
      <c r="Q146" s="137"/>
      <c r="R146" s="137"/>
      <c r="S146" s="584" t="s">
        <v>153</v>
      </c>
      <c r="T146" s="525"/>
      <c r="U146" s="526"/>
    </row>
    <row r="147" spans="1:31">
      <c r="A147" s="137"/>
      <c r="B147" s="137"/>
      <c r="C147" s="137"/>
      <c r="D147" s="137"/>
      <c r="E147" s="137"/>
      <c r="F147" s="137"/>
      <c r="G147" s="137"/>
      <c r="H147" s="137"/>
      <c r="I147" s="137"/>
      <c r="J147" s="137"/>
      <c r="K147" s="137"/>
      <c r="L147" s="137"/>
      <c r="M147" s="137"/>
      <c r="N147" s="137"/>
      <c r="O147" s="137"/>
      <c r="Q147" s="137"/>
      <c r="R147" s="137"/>
      <c r="S147" s="520" t="s">
        <v>154</v>
      </c>
      <c r="T147" s="521"/>
      <c r="U147" s="522"/>
    </row>
    <row r="148" spans="1:31" ht="15" thickBot="1">
      <c r="A148" s="137"/>
      <c r="B148" s="137"/>
      <c r="C148" s="137"/>
      <c r="D148" s="137"/>
      <c r="E148" s="137"/>
      <c r="F148" s="137"/>
      <c r="G148" s="137"/>
      <c r="H148" s="137"/>
      <c r="I148" s="137"/>
      <c r="J148" s="137"/>
      <c r="K148" s="137"/>
      <c r="L148" s="137"/>
      <c r="M148" s="137"/>
      <c r="N148" s="137"/>
      <c r="O148" s="137"/>
      <c r="Q148" s="137"/>
      <c r="R148" s="137"/>
      <c r="S148" s="527" t="s">
        <v>155</v>
      </c>
      <c r="T148" s="528"/>
      <c r="U148" s="529"/>
    </row>
    <row r="149" spans="1:31" ht="15" thickTop="1">
      <c r="A149" s="137"/>
      <c r="B149" s="137"/>
      <c r="C149" s="137"/>
      <c r="D149" s="137"/>
      <c r="E149" s="137"/>
      <c r="F149" s="137"/>
      <c r="G149" s="137"/>
      <c r="H149" s="137"/>
      <c r="I149" s="137"/>
      <c r="J149" s="137"/>
      <c r="K149" s="137"/>
      <c r="L149" s="137"/>
      <c r="M149" s="137"/>
      <c r="N149" s="137"/>
      <c r="O149" s="137"/>
      <c r="Q149" s="137"/>
      <c r="R149" s="137"/>
      <c r="S149" s="137"/>
      <c r="T149" s="137"/>
      <c r="U149" s="137"/>
    </row>
    <row r="150" spans="1:31">
      <c r="A150" s="137"/>
      <c r="B150" s="137"/>
      <c r="C150" s="137"/>
      <c r="D150" s="137"/>
      <c r="E150" s="137"/>
      <c r="F150" s="137"/>
      <c r="G150" s="137"/>
      <c r="H150" s="137"/>
      <c r="I150" s="137"/>
      <c r="J150" s="137"/>
      <c r="K150" s="137"/>
      <c r="L150" s="137"/>
      <c r="M150" s="137"/>
      <c r="N150" s="137"/>
      <c r="O150" s="137"/>
      <c r="Q150" s="137"/>
      <c r="R150" s="137"/>
      <c r="S150" s="137"/>
      <c r="T150" s="137"/>
      <c r="U150" s="137"/>
    </row>
    <row r="151" spans="1:31">
      <c r="A151" s="137"/>
      <c r="B151" s="137"/>
      <c r="C151" s="137"/>
      <c r="D151" s="137"/>
      <c r="E151" s="137"/>
      <c r="F151" s="137"/>
      <c r="G151" s="137"/>
      <c r="H151" s="137"/>
      <c r="I151" s="137"/>
      <c r="J151" s="137"/>
      <c r="K151" s="137"/>
      <c r="L151" s="137"/>
      <c r="M151" s="137"/>
      <c r="N151" s="137"/>
      <c r="O151" s="137"/>
      <c r="Q151" s="137"/>
      <c r="R151" s="137"/>
      <c r="S151" s="137"/>
      <c r="T151" s="137"/>
      <c r="U151" s="137"/>
    </row>
    <row r="152" spans="1:31" ht="20.45" customHeight="1">
      <c r="A152" s="137"/>
      <c r="B152" s="137"/>
      <c r="C152" s="137"/>
      <c r="D152" s="137"/>
      <c r="E152" s="137"/>
      <c r="F152" s="137"/>
      <c r="G152" s="137"/>
      <c r="H152" s="137"/>
      <c r="I152" s="137"/>
      <c r="J152" s="137"/>
      <c r="K152" s="137"/>
      <c r="L152" s="137"/>
      <c r="M152" s="137"/>
      <c r="N152" s="137"/>
      <c r="O152" s="137"/>
      <c r="Q152" s="1194" t="s">
        <v>156</v>
      </c>
      <c r="R152" s="1194"/>
      <c r="S152" s="1194"/>
      <c r="T152" s="1194"/>
      <c r="U152" s="1194"/>
    </row>
    <row r="153" spans="1:31" ht="14.45" customHeight="1">
      <c r="A153" s="137"/>
      <c r="B153" s="137"/>
      <c r="C153" s="137"/>
      <c r="D153" s="137"/>
      <c r="E153" s="137"/>
      <c r="F153" s="137"/>
      <c r="G153" s="137"/>
      <c r="H153" s="137"/>
      <c r="I153" s="137"/>
      <c r="J153" s="137"/>
      <c r="K153" s="137"/>
      <c r="L153" s="137"/>
      <c r="M153" s="137"/>
      <c r="N153" s="137"/>
      <c r="O153" s="137"/>
      <c r="Q153" s="137"/>
      <c r="R153" s="137"/>
      <c r="S153" s="408"/>
      <c r="T153" s="408"/>
      <c r="U153" s="408"/>
    </row>
    <row r="154" spans="1:31" ht="14.45" customHeight="1">
      <c r="A154" s="137"/>
      <c r="B154" s="137"/>
      <c r="C154" s="137"/>
      <c r="D154" s="137"/>
      <c r="E154" s="137"/>
      <c r="F154" s="137"/>
      <c r="G154" s="137"/>
      <c r="H154" s="137"/>
      <c r="I154" s="137"/>
      <c r="J154" s="137"/>
      <c r="K154" s="137"/>
      <c r="L154" s="137"/>
      <c r="M154" s="137"/>
      <c r="N154" s="137"/>
      <c r="O154" s="137"/>
      <c r="Q154" s="137"/>
      <c r="R154" s="137"/>
      <c r="S154" s="408"/>
      <c r="T154" s="408"/>
      <c r="U154" s="408"/>
    </row>
    <row r="155" spans="1:31" ht="14.45" customHeight="1">
      <c r="A155" s="137"/>
      <c r="B155" s="137"/>
      <c r="C155" s="137"/>
      <c r="D155" s="137"/>
      <c r="E155" s="137"/>
      <c r="F155" s="137"/>
      <c r="G155" s="137"/>
      <c r="H155" s="137"/>
      <c r="I155" s="137"/>
      <c r="J155" s="137"/>
      <c r="K155" s="137"/>
      <c r="L155" s="137"/>
      <c r="M155" s="137"/>
      <c r="N155" s="137"/>
      <c r="O155" s="137"/>
      <c r="Q155" s="137"/>
      <c r="R155" s="137"/>
      <c r="S155" s="408"/>
      <c r="T155" s="408"/>
      <c r="U155" s="408"/>
    </row>
    <row r="156" spans="1:31" ht="14.45" customHeight="1">
      <c r="A156" s="137"/>
      <c r="B156" s="137"/>
      <c r="C156" s="137"/>
      <c r="D156" s="137"/>
      <c r="E156" s="137"/>
      <c r="F156" s="137"/>
      <c r="G156" s="137"/>
      <c r="H156" s="137"/>
      <c r="I156" s="137"/>
      <c r="J156" s="137"/>
      <c r="K156" s="137"/>
      <c r="L156" s="137"/>
      <c r="M156" s="137"/>
      <c r="N156" s="137"/>
      <c r="O156" s="137"/>
      <c r="Q156" s="137"/>
      <c r="R156" s="137"/>
      <c r="S156" s="408"/>
      <c r="T156" s="408"/>
      <c r="U156" s="408"/>
    </row>
    <row r="157" spans="1:31" ht="14.65" customHeight="1">
      <c r="A157" s="137"/>
      <c r="B157" s="137"/>
      <c r="C157" s="137"/>
      <c r="D157" s="137"/>
      <c r="E157" s="137"/>
      <c r="F157" s="137"/>
      <c r="G157" s="137"/>
      <c r="H157" s="137"/>
      <c r="I157" s="137"/>
      <c r="J157" s="137"/>
      <c r="K157" s="137"/>
      <c r="L157" s="137"/>
      <c r="M157" s="137"/>
      <c r="N157" s="137"/>
      <c r="O157" s="137"/>
      <c r="Q157" s="137"/>
      <c r="R157" s="137"/>
      <c r="S157" s="408"/>
      <c r="T157" s="408"/>
      <c r="U157" s="408"/>
      <c r="Y157" s="186"/>
      <c r="Z157" s="186"/>
      <c r="AA157" s="137"/>
      <c r="AB157" s="137"/>
      <c r="AC157" s="137"/>
      <c r="AD157" s="137"/>
      <c r="AE157" s="137"/>
    </row>
    <row r="158" spans="1:31">
      <c r="A158" s="137"/>
      <c r="B158" s="137"/>
      <c r="C158" s="137"/>
      <c r="D158" s="137"/>
      <c r="E158" s="137"/>
      <c r="F158" s="137"/>
      <c r="G158" s="137"/>
      <c r="H158" s="137"/>
      <c r="I158" s="137"/>
      <c r="J158" s="137"/>
      <c r="K158" s="137"/>
      <c r="L158" s="137"/>
      <c r="M158" s="137"/>
      <c r="N158" s="137"/>
      <c r="O158" s="137"/>
      <c r="Q158" s="137"/>
      <c r="R158" s="137"/>
      <c r="S158" s="137"/>
      <c r="T158" s="137"/>
      <c r="U158" s="137"/>
      <c r="Y158" s="186"/>
      <c r="Z158" s="186"/>
      <c r="AA158" s="137"/>
      <c r="AB158" s="137"/>
      <c r="AC158" s="137"/>
      <c r="AD158" s="137"/>
      <c r="AE158" s="137"/>
    </row>
    <row r="159" spans="1:31">
      <c r="A159" s="137"/>
      <c r="B159" s="137"/>
      <c r="C159" s="137"/>
      <c r="D159" s="137"/>
      <c r="E159" s="137"/>
      <c r="F159" s="137"/>
      <c r="G159" s="137"/>
      <c r="H159" s="137"/>
      <c r="I159" s="137"/>
      <c r="J159" s="137"/>
      <c r="K159" s="137"/>
      <c r="L159" s="137"/>
      <c r="M159" s="137"/>
      <c r="N159" s="137"/>
      <c r="O159" s="137"/>
      <c r="Q159" s="137"/>
      <c r="R159" s="137"/>
      <c r="S159" s="137"/>
      <c r="T159" s="137"/>
      <c r="U159" s="137"/>
      <c r="Y159" s="186"/>
      <c r="Z159" s="186"/>
      <c r="AA159" s="137"/>
      <c r="AB159" s="137"/>
      <c r="AC159" s="137"/>
      <c r="AD159" s="137"/>
      <c r="AE159" s="137"/>
    </row>
    <row r="160" spans="1:31" ht="21">
      <c r="A160" s="137"/>
      <c r="B160" s="137"/>
      <c r="C160" s="137"/>
      <c r="D160" s="137"/>
      <c r="E160" s="137"/>
      <c r="F160" s="137"/>
      <c r="G160" s="137"/>
      <c r="H160" s="137"/>
      <c r="I160" s="137"/>
      <c r="J160" s="137"/>
      <c r="K160" s="137"/>
      <c r="L160" s="137"/>
      <c r="M160" s="137"/>
      <c r="N160" s="137"/>
      <c r="O160" s="137"/>
      <c r="Q160" s="137"/>
      <c r="R160" s="632"/>
      <c r="S160" s="137"/>
      <c r="T160" s="137"/>
      <c r="U160" s="137"/>
      <c r="Y160" s="186"/>
      <c r="Z160" s="186"/>
      <c r="AA160" s="137"/>
      <c r="AB160" s="137"/>
      <c r="AC160" s="137"/>
      <c r="AD160" s="137"/>
      <c r="AE160" s="137"/>
    </row>
    <row r="161" spans="1:31" ht="16.149999999999999" thickBot="1">
      <c r="A161" s="137"/>
      <c r="B161" s="137"/>
      <c r="C161" s="137"/>
      <c r="D161" s="137"/>
      <c r="E161" s="137"/>
      <c r="F161" s="137"/>
      <c r="G161" s="137"/>
      <c r="H161" s="137"/>
      <c r="I161" s="137"/>
      <c r="J161" s="137"/>
      <c r="K161" s="137"/>
      <c r="L161" s="137"/>
      <c r="M161" s="137"/>
      <c r="N161" s="137"/>
      <c r="O161" s="137"/>
      <c r="Q161" s="137"/>
      <c r="R161" s="585"/>
      <c r="S161" s="137"/>
      <c r="T161" s="137"/>
      <c r="U161" s="137"/>
      <c r="Y161" s="186"/>
      <c r="Z161" s="186"/>
      <c r="AA161" s="585" t="s">
        <v>157</v>
      </c>
      <c r="AB161" s="137"/>
      <c r="AC161" s="137"/>
      <c r="AD161" s="137"/>
      <c r="AE161" s="137"/>
    </row>
    <row r="162" spans="1:31" ht="15" customHeight="1" thickTop="1" thickBot="1">
      <c r="A162" s="137"/>
      <c r="B162" s="137"/>
      <c r="C162" s="137"/>
      <c r="D162" s="137"/>
      <c r="E162" s="137"/>
      <c r="F162" s="137"/>
      <c r="G162" s="137"/>
      <c r="H162" s="137"/>
      <c r="I162" s="137"/>
      <c r="J162" s="137"/>
      <c r="K162" s="137"/>
      <c r="L162" s="137"/>
      <c r="M162" s="137"/>
      <c r="N162" s="137"/>
      <c r="O162" s="137"/>
      <c r="Q162" s="137"/>
      <c r="R162" s="408"/>
      <c r="S162" s="137"/>
      <c r="T162" s="137"/>
      <c r="U162" s="137"/>
      <c r="Y162" s="186"/>
      <c r="Z162" s="186"/>
      <c r="AA162" s="1386" t="s">
        <v>158</v>
      </c>
      <c r="AB162" s="1389" t="s">
        <v>159</v>
      </c>
      <c r="AC162" s="1390"/>
      <c r="AD162" s="1391"/>
      <c r="AE162" s="137"/>
    </row>
    <row r="163" spans="1:31" ht="14.1" customHeight="1" thickBot="1">
      <c r="A163" s="137"/>
      <c r="B163" s="137"/>
      <c r="C163" s="137"/>
      <c r="D163" s="137"/>
      <c r="E163" s="137"/>
      <c r="F163" s="137"/>
      <c r="G163" s="137"/>
      <c r="H163" s="137"/>
      <c r="I163" s="137"/>
      <c r="J163" s="137"/>
      <c r="K163" s="137"/>
      <c r="L163" s="137"/>
      <c r="M163" s="137"/>
      <c r="N163" s="137"/>
      <c r="O163" s="137"/>
      <c r="Q163" s="137"/>
      <c r="R163" s="408"/>
      <c r="S163" s="611"/>
      <c r="T163" s="611"/>
      <c r="U163" s="611"/>
      <c r="Y163" s="186"/>
      <c r="Z163" s="186"/>
      <c r="AA163" s="1387"/>
      <c r="AB163" s="1294" t="s">
        <v>160</v>
      </c>
      <c r="AC163" s="1295"/>
      <c r="AD163" s="1296"/>
      <c r="AE163" s="137"/>
    </row>
    <row r="164" spans="1:31" ht="14.45" customHeight="1" thickTop="1" thickBot="1">
      <c r="A164" s="137"/>
      <c r="B164" s="137"/>
      <c r="C164" s="137"/>
      <c r="D164" s="137"/>
      <c r="E164" s="137"/>
      <c r="F164" s="137"/>
      <c r="G164" s="137"/>
      <c r="H164" s="137"/>
      <c r="I164" s="137"/>
      <c r="J164" s="137"/>
      <c r="K164" s="137"/>
      <c r="L164" s="137"/>
      <c r="M164" s="137"/>
      <c r="N164" s="137"/>
      <c r="O164" s="137"/>
      <c r="Q164" s="137"/>
      <c r="R164" s="408"/>
      <c r="S164" s="582"/>
      <c r="T164" s="582"/>
      <c r="U164" s="582"/>
      <c r="Y164" s="186"/>
      <c r="Z164" s="186"/>
      <c r="AA164" s="1388"/>
      <c r="AB164" s="561" t="s">
        <v>161</v>
      </c>
      <c r="AC164" s="562" t="s">
        <v>162</v>
      </c>
      <c r="AD164" s="563" t="s">
        <v>163</v>
      </c>
      <c r="AE164" s="137"/>
    </row>
    <row r="165" spans="1:31" ht="16.149999999999999" thickBot="1">
      <c r="A165" s="137"/>
      <c r="B165" s="137"/>
      <c r="C165" s="137"/>
      <c r="D165" s="137"/>
      <c r="E165" s="137"/>
      <c r="F165" s="137"/>
      <c r="G165" s="137"/>
      <c r="H165" s="137"/>
      <c r="I165" s="137"/>
      <c r="J165" s="137"/>
      <c r="K165" s="137"/>
      <c r="L165" s="137"/>
      <c r="M165" s="137"/>
      <c r="N165" s="137"/>
      <c r="O165" s="137"/>
      <c r="Q165" s="137"/>
      <c r="R165" s="186"/>
      <c r="S165" s="186"/>
      <c r="T165" s="187"/>
      <c r="U165" s="187"/>
      <c r="Y165" s="186"/>
      <c r="Z165" s="186"/>
      <c r="AA165" s="587" t="s">
        <v>164</v>
      </c>
      <c r="AB165" s="221">
        <v>9.36</v>
      </c>
      <c r="AC165" s="220">
        <v>9.5</v>
      </c>
      <c r="AD165" s="222">
        <v>12</v>
      </c>
      <c r="AE165" s="137"/>
    </row>
    <row r="166" spans="1:31">
      <c r="A166" s="137"/>
      <c r="B166" s="137"/>
      <c r="C166" s="137"/>
      <c r="D166" s="137"/>
      <c r="E166" s="137"/>
      <c r="F166" s="137"/>
      <c r="G166" s="137"/>
      <c r="H166" s="137"/>
      <c r="I166" s="137"/>
      <c r="J166" s="137"/>
      <c r="K166" s="137"/>
      <c r="L166" s="137"/>
      <c r="M166" s="137"/>
      <c r="N166" s="137"/>
      <c r="O166" s="137"/>
      <c r="Q166" s="137"/>
      <c r="R166" s="137"/>
      <c r="S166" s="137"/>
      <c r="T166" s="137"/>
      <c r="U166" s="137"/>
      <c r="Y166" s="186"/>
      <c r="Z166" s="186"/>
      <c r="AA166" s="137"/>
      <c r="AB166" s="137"/>
      <c r="AC166" s="137"/>
      <c r="AD166" s="137"/>
      <c r="AE166" s="137"/>
    </row>
    <row r="167" spans="1:31">
      <c r="A167" s="137"/>
      <c r="B167" s="137"/>
      <c r="C167" s="137"/>
      <c r="D167" s="137"/>
      <c r="E167" s="137"/>
      <c r="F167" s="137"/>
      <c r="G167" s="137"/>
      <c r="H167" s="137"/>
      <c r="I167" s="137"/>
      <c r="J167" s="137"/>
      <c r="K167" s="137"/>
      <c r="L167" s="137"/>
      <c r="M167" s="137"/>
      <c r="N167" s="137"/>
      <c r="O167" s="137"/>
      <c r="Q167" s="137"/>
      <c r="R167" s="137"/>
      <c r="S167" s="137"/>
      <c r="T167" s="137"/>
      <c r="U167" s="137"/>
      <c r="Y167" s="186"/>
      <c r="Z167" s="186"/>
      <c r="AA167" s="137"/>
      <c r="AB167" s="137"/>
      <c r="AC167" s="137"/>
      <c r="AD167" s="137"/>
      <c r="AE167" s="137"/>
    </row>
    <row r="168" spans="1:31" ht="15.6">
      <c r="A168" s="137"/>
      <c r="B168" s="137"/>
      <c r="C168" s="137"/>
      <c r="D168" s="137"/>
      <c r="E168" s="137"/>
      <c r="F168" s="137"/>
      <c r="G168" s="137"/>
      <c r="H168" s="137"/>
      <c r="I168" s="137"/>
      <c r="J168" s="137"/>
      <c r="K168" s="137"/>
      <c r="L168" s="137"/>
      <c r="M168" s="137"/>
      <c r="N168" s="137"/>
      <c r="O168" s="137"/>
      <c r="Q168" s="137"/>
      <c r="R168" s="585"/>
      <c r="S168" s="137"/>
      <c r="T168" s="137"/>
      <c r="U168" s="137"/>
      <c r="Y168" s="186"/>
      <c r="Z168" s="186"/>
      <c r="AA168" s="137"/>
      <c r="AB168" s="137"/>
      <c r="AC168" s="137"/>
      <c r="AD168" s="137"/>
      <c r="AE168" s="137"/>
    </row>
    <row r="169" spans="1:31" ht="16.149999999999999" customHeight="1" thickBot="1">
      <c r="A169" s="137"/>
      <c r="B169" s="137"/>
      <c r="C169" s="137"/>
      <c r="D169" s="137"/>
      <c r="E169" s="137"/>
      <c r="F169" s="137"/>
      <c r="G169" s="137"/>
      <c r="H169" s="137"/>
      <c r="I169" s="137"/>
      <c r="J169" s="137"/>
      <c r="K169" s="137"/>
      <c r="L169" s="137"/>
      <c r="M169" s="137"/>
      <c r="N169" s="137"/>
      <c r="O169" s="137"/>
      <c r="Q169" s="137"/>
      <c r="R169" s="408"/>
      <c r="S169" s="137"/>
      <c r="T169" s="137"/>
      <c r="U169" s="137"/>
      <c r="Y169" s="186"/>
      <c r="Z169" s="186"/>
      <c r="AA169" s="137"/>
      <c r="AB169" s="137"/>
      <c r="AC169" s="137"/>
      <c r="AD169" s="137"/>
      <c r="AE169" s="137"/>
    </row>
    <row r="170" spans="1:31" ht="15.6" thickTop="1" thickBot="1">
      <c r="A170" s="137"/>
      <c r="B170" s="137"/>
      <c r="C170" s="137"/>
      <c r="D170" s="137"/>
      <c r="E170" s="137"/>
      <c r="F170" s="137"/>
      <c r="G170" s="137"/>
      <c r="H170" s="137"/>
      <c r="I170" s="137"/>
      <c r="J170" s="137"/>
      <c r="K170" s="137"/>
      <c r="L170" s="137"/>
      <c r="M170" s="137"/>
      <c r="N170" s="137"/>
      <c r="O170" s="137"/>
      <c r="Q170" s="137"/>
      <c r="R170" s="408"/>
      <c r="S170" s="611"/>
      <c r="T170" s="611"/>
      <c r="U170" s="611"/>
      <c r="Y170" s="186"/>
      <c r="Z170" s="186"/>
      <c r="AA170" s="1392" t="s">
        <v>165</v>
      </c>
      <c r="AB170" s="1393"/>
      <c r="AC170" s="586">
        <v>9.36</v>
      </c>
      <c r="AD170" s="577"/>
      <c r="AE170" s="137"/>
    </row>
    <row r="171" spans="1:31" ht="15" thickTop="1">
      <c r="A171" s="137"/>
      <c r="B171" s="137"/>
      <c r="C171" s="137"/>
      <c r="D171" s="137"/>
      <c r="E171" s="137"/>
      <c r="F171" s="137"/>
      <c r="G171" s="137"/>
      <c r="H171" s="137"/>
      <c r="I171" s="137"/>
      <c r="J171" s="137"/>
      <c r="K171" s="137"/>
      <c r="L171" s="137"/>
      <c r="M171" s="137"/>
      <c r="N171" s="137"/>
      <c r="O171" s="137"/>
      <c r="Q171" s="137"/>
      <c r="R171" s="408"/>
      <c r="S171" s="582"/>
      <c r="T171" s="582"/>
      <c r="U171" s="582"/>
      <c r="Y171" s="186"/>
      <c r="Z171" s="186"/>
      <c r="AA171" s="137"/>
      <c r="AB171" s="137"/>
      <c r="AC171" s="137"/>
      <c r="AD171" s="137"/>
      <c r="AE171" s="137"/>
    </row>
    <row r="172" spans="1:31">
      <c r="A172" s="137"/>
      <c r="B172" s="137"/>
      <c r="C172" s="137"/>
      <c r="D172" s="137"/>
      <c r="E172" s="137"/>
      <c r="F172" s="137"/>
      <c r="G172" s="137"/>
      <c r="H172" s="137"/>
      <c r="I172" s="137"/>
      <c r="J172" s="137"/>
      <c r="K172" s="137"/>
      <c r="L172" s="137"/>
      <c r="M172" s="137"/>
      <c r="N172" s="137"/>
      <c r="O172" s="137"/>
      <c r="Q172" s="137"/>
      <c r="R172" s="186"/>
      <c r="S172" s="186"/>
      <c r="T172" s="187"/>
      <c r="U172" s="187"/>
      <c r="Y172" s="186"/>
      <c r="Z172" s="186"/>
      <c r="AA172" s="137"/>
      <c r="AB172" s="137"/>
      <c r="AC172" s="137"/>
      <c r="AD172" s="137"/>
      <c r="AE172" s="137"/>
    </row>
    <row r="173" spans="1:31">
      <c r="A173" s="137"/>
      <c r="B173" s="137"/>
      <c r="C173" s="137"/>
      <c r="D173" s="137"/>
      <c r="E173" s="137"/>
      <c r="F173" s="137"/>
      <c r="G173" s="137"/>
      <c r="H173" s="137"/>
      <c r="I173" s="137"/>
      <c r="J173" s="137"/>
      <c r="K173" s="137"/>
      <c r="L173" s="137"/>
      <c r="M173" s="137"/>
      <c r="N173" s="137"/>
      <c r="O173" s="137"/>
      <c r="Q173" s="137"/>
      <c r="R173" s="137"/>
      <c r="S173" s="137"/>
      <c r="T173" s="137"/>
      <c r="U173" s="137"/>
      <c r="Y173" s="186"/>
      <c r="Z173" s="186"/>
      <c r="AA173" s="137"/>
      <c r="AB173" s="137"/>
      <c r="AC173" s="137"/>
      <c r="AD173" s="137"/>
      <c r="AE173" s="137"/>
    </row>
    <row r="174" spans="1:31">
      <c r="A174" s="137"/>
      <c r="B174" s="137"/>
      <c r="C174" s="137"/>
      <c r="D174" s="137"/>
      <c r="E174" s="137"/>
      <c r="F174" s="137"/>
      <c r="G174" s="137"/>
      <c r="H174" s="137"/>
      <c r="I174" s="137"/>
      <c r="J174" s="137"/>
      <c r="K174" s="137"/>
      <c r="L174" s="137"/>
      <c r="M174" s="137"/>
      <c r="N174" s="137"/>
      <c r="O174" s="137"/>
      <c r="Q174" s="137"/>
      <c r="R174" s="137"/>
      <c r="S174" s="137"/>
      <c r="T174" s="137"/>
      <c r="U174" s="137"/>
      <c r="Y174" s="186"/>
      <c r="Z174" s="186"/>
      <c r="AA174" s="137"/>
      <c r="AB174" s="137"/>
      <c r="AC174" s="137"/>
      <c r="AD174" s="137"/>
      <c r="AE174" s="137"/>
    </row>
    <row r="175" spans="1:31" ht="15.6">
      <c r="A175" s="137"/>
      <c r="B175" s="137"/>
      <c r="C175" s="137"/>
      <c r="D175" s="137"/>
      <c r="E175" s="137"/>
      <c r="F175" s="137"/>
      <c r="G175" s="137"/>
      <c r="H175" s="137"/>
      <c r="I175" s="137"/>
      <c r="J175" s="137"/>
      <c r="K175" s="137"/>
      <c r="L175" s="137"/>
      <c r="M175" s="137"/>
      <c r="N175" s="137"/>
      <c r="O175" s="137"/>
      <c r="Q175" s="137"/>
      <c r="R175" s="585"/>
      <c r="S175" s="137"/>
      <c r="T175" s="137"/>
      <c r="U175" s="137"/>
      <c r="Y175" s="186"/>
      <c r="Z175" s="186"/>
      <c r="AA175" s="137"/>
      <c r="AB175" s="137"/>
      <c r="AC175" s="137"/>
      <c r="AD175" s="137"/>
      <c r="AE175" s="137"/>
    </row>
    <row r="176" spans="1:31">
      <c r="A176" s="137"/>
      <c r="B176" s="137"/>
      <c r="C176" s="137"/>
      <c r="D176" s="137"/>
      <c r="E176" s="137"/>
      <c r="F176" s="137"/>
      <c r="G176" s="137"/>
      <c r="H176" s="137"/>
      <c r="I176" s="137"/>
      <c r="J176" s="137"/>
      <c r="K176" s="137"/>
      <c r="L176" s="137"/>
      <c r="M176" s="137"/>
      <c r="N176" s="137"/>
      <c r="O176" s="137"/>
      <c r="Q176" s="137"/>
      <c r="R176" s="408"/>
      <c r="S176" s="137"/>
      <c r="T176" s="137"/>
      <c r="U176" s="137"/>
    </row>
    <row r="177" spans="1:21">
      <c r="A177" s="137"/>
      <c r="B177" s="137"/>
      <c r="C177" s="137"/>
      <c r="D177" s="137"/>
      <c r="E177" s="137"/>
      <c r="F177" s="137"/>
      <c r="G177" s="137"/>
      <c r="H177" s="137"/>
      <c r="I177" s="137"/>
      <c r="J177" s="137"/>
      <c r="K177" s="137"/>
      <c r="L177" s="137"/>
      <c r="M177" s="137"/>
      <c r="N177" s="137"/>
      <c r="O177" s="137"/>
      <c r="Q177" s="137"/>
      <c r="R177" s="408"/>
      <c r="S177" s="611"/>
      <c r="T177" s="611"/>
      <c r="U177" s="611"/>
    </row>
    <row r="178" spans="1:21">
      <c r="A178" s="137"/>
      <c r="B178" s="137"/>
      <c r="C178" s="137"/>
      <c r="D178" s="137"/>
      <c r="E178" s="137"/>
      <c r="F178" s="137"/>
      <c r="G178" s="137"/>
      <c r="H178" s="137"/>
      <c r="I178" s="137"/>
      <c r="J178" s="137"/>
      <c r="K178" s="137"/>
      <c r="L178" s="137"/>
      <c r="M178" s="137"/>
      <c r="N178" s="137"/>
      <c r="O178" s="137"/>
      <c r="Q178" s="137"/>
      <c r="R178" s="408"/>
      <c r="S178" s="582"/>
      <c r="T178" s="582"/>
      <c r="U178" s="582"/>
    </row>
    <row r="179" spans="1:21" ht="15.6">
      <c r="A179" s="137"/>
      <c r="B179" s="137"/>
      <c r="C179" s="137"/>
      <c r="D179" s="137"/>
      <c r="E179" s="137"/>
      <c r="F179" s="137"/>
      <c r="G179" s="137"/>
      <c r="H179" s="137"/>
      <c r="I179" s="137"/>
      <c r="J179" s="137"/>
      <c r="K179" s="137"/>
      <c r="L179" s="137"/>
      <c r="M179" s="137"/>
      <c r="N179" s="137"/>
      <c r="O179" s="137"/>
      <c r="Q179" s="137"/>
      <c r="R179" s="633"/>
      <c r="S179" s="186"/>
      <c r="T179" s="187"/>
      <c r="U179" s="187"/>
    </row>
    <row r="180" spans="1:21">
      <c r="A180" s="137"/>
      <c r="B180" s="137"/>
      <c r="C180" s="137"/>
      <c r="D180" s="137"/>
      <c r="E180" s="137"/>
      <c r="F180" s="137"/>
      <c r="G180" s="137"/>
      <c r="H180" s="137"/>
      <c r="I180" s="137"/>
      <c r="J180" s="137"/>
      <c r="K180" s="137"/>
      <c r="L180" s="137"/>
      <c r="M180" s="137"/>
      <c r="N180" s="137"/>
      <c r="O180" s="137"/>
      <c r="Q180" s="137"/>
      <c r="R180" s="137"/>
      <c r="S180" s="137"/>
      <c r="T180" s="137"/>
      <c r="U180" s="137"/>
    </row>
    <row r="181" spans="1:21">
      <c r="A181" s="137"/>
      <c r="B181" s="137"/>
      <c r="C181" s="137"/>
      <c r="D181" s="137"/>
      <c r="E181" s="137"/>
      <c r="F181" s="137"/>
      <c r="G181" s="137"/>
      <c r="H181" s="137"/>
      <c r="I181" s="137"/>
      <c r="J181" s="137"/>
      <c r="K181" s="137"/>
      <c r="L181" s="137"/>
      <c r="M181" s="137"/>
      <c r="N181" s="137"/>
      <c r="O181" s="137"/>
      <c r="Q181" s="137"/>
      <c r="R181" s="137"/>
      <c r="S181" s="137"/>
      <c r="T181" s="137"/>
      <c r="U181" s="137"/>
    </row>
    <row r="182" spans="1:21">
      <c r="A182" s="137"/>
      <c r="B182" s="137"/>
      <c r="C182" s="137"/>
      <c r="D182" s="137"/>
      <c r="E182" s="137"/>
      <c r="F182" s="137"/>
      <c r="G182" s="137"/>
      <c r="H182" s="137"/>
      <c r="I182" s="137"/>
      <c r="J182" s="137"/>
      <c r="K182" s="137"/>
      <c r="L182" s="137"/>
      <c r="M182" s="137"/>
      <c r="N182" s="137"/>
      <c r="O182" s="137"/>
      <c r="Q182" s="137"/>
      <c r="R182" s="634"/>
      <c r="S182" s="137"/>
      <c r="T182" s="137"/>
      <c r="U182" s="137"/>
    </row>
    <row r="183" spans="1:21">
      <c r="A183" s="137"/>
      <c r="B183" s="137"/>
      <c r="C183" s="137"/>
      <c r="D183" s="137"/>
      <c r="E183" s="137"/>
      <c r="F183" s="137"/>
      <c r="G183" s="137"/>
      <c r="H183" s="137"/>
      <c r="I183" s="137"/>
      <c r="J183" s="137"/>
      <c r="K183" s="137"/>
      <c r="L183" s="137"/>
      <c r="M183" s="137"/>
      <c r="N183" s="137"/>
      <c r="O183" s="137"/>
      <c r="Q183" s="137"/>
      <c r="R183" s="137"/>
      <c r="S183" s="137"/>
      <c r="T183" s="137"/>
      <c r="U183" s="137"/>
    </row>
    <row r="184" spans="1:21">
      <c r="A184" s="137"/>
      <c r="B184" s="137"/>
      <c r="C184" s="137"/>
      <c r="D184" s="137"/>
      <c r="E184" s="137"/>
      <c r="F184" s="137"/>
      <c r="G184" s="137"/>
      <c r="H184" s="137"/>
      <c r="I184" s="137"/>
      <c r="J184" s="137"/>
      <c r="K184" s="137"/>
      <c r="L184" s="137"/>
      <c r="M184" s="137"/>
      <c r="N184" s="137"/>
      <c r="O184" s="137"/>
      <c r="Q184" s="137"/>
      <c r="R184" s="137"/>
      <c r="S184" s="137"/>
      <c r="T184" s="137"/>
      <c r="U184" s="137"/>
    </row>
    <row r="185" spans="1:21">
      <c r="A185" s="137"/>
      <c r="B185" s="137"/>
      <c r="C185" s="137"/>
      <c r="D185" s="137"/>
      <c r="E185" s="137"/>
      <c r="F185" s="137"/>
      <c r="G185" s="137"/>
      <c r="H185" s="137"/>
      <c r="I185" s="137"/>
      <c r="J185" s="137"/>
      <c r="K185" s="137"/>
      <c r="L185" s="137"/>
      <c r="M185" s="137"/>
      <c r="N185" s="137"/>
      <c r="O185" s="137"/>
      <c r="Q185" s="137"/>
      <c r="R185" s="137"/>
      <c r="S185" s="137"/>
      <c r="T185" s="137"/>
      <c r="U185" s="137"/>
    </row>
    <row r="186" spans="1:21">
      <c r="A186" s="137"/>
      <c r="B186" s="137"/>
      <c r="C186" s="137"/>
      <c r="D186" s="137"/>
      <c r="E186" s="137"/>
      <c r="F186" s="137"/>
      <c r="G186" s="137"/>
      <c r="H186" s="137"/>
      <c r="I186" s="137"/>
      <c r="J186" s="137"/>
      <c r="K186" s="137"/>
      <c r="L186" s="137"/>
      <c r="M186" s="137"/>
      <c r="N186" s="137"/>
      <c r="O186" s="137"/>
      <c r="Q186" s="137"/>
      <c r="R186" s="137"/>
      <c r="S186" s="137"/>
      <c r="T186" s="137"/>
      <c r="U186" s="137"/>
    </row>
    <row r="187" spans="1:21" ht="14.45" customHeight="1">
      <c r="A187" s="137"/>
      <c r="B187" s="137"/>
      <c r="C187" s="137"/>
      <c r="D187" s="137"/>
      <c r="E187" s="137"/>
      <c r="F187" s="137"/>
      <c r="G187" s="137"/>
      <c r="H187" s="137"/>
      <c r="I187" s="137"/>
      <c r="J187" s="137"/>
      <c r="K187" s="137"/>
      <c r="L187" s="137"/>
      <c r="M187" s="137"/>
      <c r="N187" s="137"/>
      <c r="O187" s="137"/>
      <c r="P187" s="137"/>
      <c r="Q187" s="137"/>
      <c r="R187" s="137"/>
      <c r="S187" s="137"/>
      <c r="T187" s="137"/>
      <c r="U187" s="137"/>
    </row>
    <row r="188" spans="1:21" ht="14.45" customHeight="1">
      <c r="A188" s="137"/>
      <c r="B188" s="137"/>
      <c r="C188" s="137"/>
      <c r="D188" s="137"/>
      <c r="E188" s="137"/>
      <c r="F188" s="137"/>
      <c r="G188" s="137"/>
      <c r="H188" s="137"/>
      <c r="I188" s="137"/>
      <c r="J188" s="137"/>
      <c r="K188" s="137"/>
      <c r="L188" s="137"/>
      <c r="M188" s="137"/>
      <c r="N188" s="137"/>
      <c r="O188" s="137"/>
      <c r="P188" s="137"/>
      <c r="Q188" s="137"/>
      <c r="R188" s="137"/>
      <c r="S188" s="137"/>
      <c r="T188" s="137"/>
      <c r="U188" s="137"/>
    </row>
    <row r="189" spans="1:21" ht="14.45" customHeight="1">
      <c r="A189" s="137"/>
      <c r="B189" s="137"/>
      <c r="C189" s="137"/>
      <c r="D189" s="137"/>
      <c r="E189" s="137"/>
      <c r="F189" s="137"/>
      <c r="G189" s="137"/>
      <c r="H189" s="137"/>
      <c r="I189" s="137"/>
      <c r="J189" s="137"/>
      <c r="K189" s="137"/>
      <c r="L189" s="137"/>
      <c r="M189" s="137"/>
      <c r="N189" s="137"/>
      <c r="O189" s="137"/>
      <c r="P189" s="137"/>
      <c r="Q189" s="137"/>
      <c r="R189" s="137"/>
      <c r="S189" s="137"/>
      <c r="T189" s="137"/>
      <c r="U189" s="137"/>
    </row>
    <row r="190" spans="1:21" ht="14.45" customHeight="1">
      <c r="A190" s="137"/>
      <c r="B190" s="137"/>
      <c r="C190" s="137"/>
      <c r="D190" s="137"/>
      <c r="E190" s="137"/>
      <c r="F190" s="137"/>
      <c r="G190" s="137"/>
      <c r="H190" s="137"/>
      <c r="I190" s="137"/>
      <c r="J190" s="137"/>
      <c r="K190" s="137"/>
      <c r="L190" s="137"/>
      <c r="M190" s="137"/>
      <c r="N190" s="137"/>
      <c r="O190" s="137"/>
      <c r="P190" s="137"/>
      <c r="Q190" s="137"/>
      <c r="R190" s="137"/>
      <c r="S190" s="137"/>
      <c r="T190" s="137"/>
      <c r="U190" s="137"/>
    </row>
    <row r="191" spans="1:21" ht="16.899999999999999" customHeight="1">
      <c r="A191" s="137"/>
      <c r="B191" s="137"/>
      <c r="C191" s="137"/>
      <c r="D191" s="137"/>
      <c r="E191" s="137"/>
      <c r="F191" s="137"/>
      <c r="G191" s="137"/>
      <c r="H191" s="137"/>
      <c r="I191" s="137"/>
      <c r="J191" s="137"/>
      <c r="K191" s="137"/>
      <c r="L191" s="137"/>
      <c r="M191" s="137"/>
      <c r="N191" s="137"/>
      <c r="O191" s="137"/>
      <c r="P191" s="137"/>
      <c r="Q191" s="137"/>
      <c r="R191" s="137"/>
      <c r="S191" s="137"/>
      <c r="T191" s="137"/>
      <c r="U191" s="137"/>
    </row>
    <row r="192" spans="1:21" ht="16.899999999999999" customHeight="1">
      <c r="A192" s="1376" t="s">
        <v>161</v>
      </c>
      <c r="B192" s="1376"/>
      <c r="C192" s="1376"/>
      <c r="D192" s="1376"/>
      <c r="E192" s="1376"/>
      <c r="F192" s="1376"/>
      <c r="G192" s="1376"/>
      <c r="H192" s="1376"/>
      <c r="I192" s="635"/>
      <c r="J192" s="1454" t="s">
        <v>166</v>
      </c>
      <c r="K192" s="1454"/>
      <c r="L192" s="1454"/>
      <c r="M192" s="137"/>
      <c r="N192" s="1400" t="s">
        <v>167</v>
      </c>
      <c r="O192" s="1400"/>
      <c r="P192" s="1400"/>
      <c r="Q192" s="1400"/>
      <c r="R192" s="591"/>
      <c r="S192" s="591"/>
      <c r="T192" s="591"/>
      <c r="U192" s="137"/>
    </row>
    <row r="193" spans="1:21" ht="16.899999999999999" customHeight="1">
      <c r="A193" s="1376"/>
      <c r="B193" s="1376"/>
      <c r="C193" s="1376"/>
      <c r="D193" s="1376"/>
      <c r="E193" s="1376"/>
      <c r="F193" s="1376"/>
      <c r="G193" s="1376"/>
      <c r="H193" s="1376"/>
      <c r="I193" s="635"/>
      <c r="J193" s="1454"/>
      <c r="K193" s="1454"/>
      <c r="L193" s="1454"/>
      <c r="M193" s="137"/>
      <c r="N193" s="1400"/>
      <c r="O193" s="1400"/>
      <c r="P193" s="1400"/>
      <c r="Q193" s="1400"/>
      <c r="R193" s="591"/>
      <c r="S193" s="591"/>
      <c r="T193" s="591"/>
      <c r="U193" s="137"/>
    </row>
    <row r="194" spans="1:21" ht="16.899999999999999" customHeight="1">
      <c r="A194" s="1376"/>
      <c r="B194" s="1376"/>
      <c r="C194" s="1376"/>
      <c r="D194" s="1376"/>
      <c r="E194" s="1376"/>
      <c r="F194" s="1376"/>
      <c r="G194" s="1376"/>
      <c r="H194" s="1376"/>
      <c r="I194" s="635"/>
      <c r="J194" s="1454"/>
      <c r="K194" s="1454"/>
      <c r="L194" s="1454"/>
      <c r="M194" s="137"/>
      <c r="N194" s="1400"/>
      <c r="O194" s="1400"/>
      <c r="P194" s="1400"/>
      <c r="Q194" s="1400"/>
      <c r="R194" s="591"/>
      <c r="S194" s="591"/>
      <c r="T194" s="591"/>
      <c r="U194" s="137"/>
    </row>
    <row r="195" spans="1:21" ht="16.899999999999999" customHeight="1">
      <c r="A195" s="1376"/>
      <c r="B195" s="1376"/>
      <c r="C195" s="1376"/>
      <c r="D195" s="1376"/>
      <c r="E195" s="1376"/>
      <c r="F195" s="1376"/>
      <c r="G195" s="1376"/>
      <c r="H195" s="1376"/>
      <c r="I195" s="635"/>
      <c r="J195" s="1454"/>
      <c r="K195" s="1454"/>
      <c r="L195" s="1454"/>
      <c r="M195" s="137"/>
      <c r="N195" s="1400"/>
      <c r="O195" s="1400"/>
      <c r="P195" s="1400"/>
      <c r="Q195" s="1400"/>
      <c r="R195" s="591"/>
      <c r="S195" s="591"/>
      <c r="T195" s="591"/>
      <c r="U195" s="137"/>
    </row>
    <row r="196" spans="1:21" ht="18">
      <c r="A196" s="734" t="s">
        <v>168</v>
      </c>
      <c r="B196" s="734"/>
      <c r="C196" s="734"/>
      <c r="D196" s="734"/>
      <c r="E196" s="734"/>
      <c r="F196" s="734"/>
      <c r="G196" s="734"/>
      <c r="H196" s="734"/>
      <c r="I196" s="137"/>
      <c r="J196" s="589" t="s">
        <v>169</v>
      </c>
      <c r="K196" s="137"/>
      <c r="L196" s="590" t="s">
        <v>49</v>
      </c>
      <c r="M196" s="591"/>
      <c r="N196" s="728" t="s">
        <v>170</v>
      </c>
      <c r="O196" s="137"/>
      <c r="P196" s="137"/>
      <c r="Q196" s="733"/>
      <c r="R196" s="137"/>
      <c r="S196" s="137"/>
      <c r="T196" s="137"/>
      <c r="U196" s="137"/>
    </row>
    <row r="197" spans="1:21" ht="18">
      <c r="A197" s="588"/>
      <c r="B197" s="588"/>
      <c r="C197" s="588"/>
      <c r="D197" s="588"/>
      <c r="E197" s="588"/>
      <c r="F197" s="588"/>
      <c r="G197" s="588"/>
      <c r="H197" s="588"/>
      <c r="I197" s="137"/>
      <c r="J197" s="589"/>
      <c r="K197" s="137"/>
      <c r="L197" s="590" t="s">
        <v>56</v>
      </c>
      <c r="M197" s="591"/>
      <c r="N197" s="591"/>
      <c r="O197" s="591"/>
      <c r="P197" s="591"/>
      <c r="Q197" s="591"/>
      <c r="R197" s="137"/>
      <c r="S197" s="137"/>
      <c r="T197" s="137"/>
      <c r="U197" s="137"/>
    </row>
    <row r="198" spans="1:21" ht="18">
      <c r="A198" s="588"/>
      <c r="B198" s="588"/>
      <c r="C198" s="588"/>
      <c r="D198" s="588"/>
      <c r="E198" s="588"/>
      <c r="F198" s="588"/>
      <c r="G198" s="588"/>
      <c r="H198" s="588"/>
      <c r="I198" s="137"/>
      <c r="J198" s="589"/>
      <c r="K198" s="137"/>
      <c r="L198" s="590"/>
      <c r="M198" s="591"/>
      <c r="N198" s="591"/>
      <c r="O198" s="591"/>
      <c r="P198" s="591"/>
      <c r="Q198" s="591"/>
      <c r="R198" s="137"/>
      <c r="S198" s="137"/>
      <c r="T198" s="137"/>
      <c r="U198" s="137"/>
    </row>
    <row r="199" spans="1:21" ht="18">
      <c r="A199" s="588"/>
      <c r="B199" s="588"/>
      <c r="C199" s="588"/>
      <c r="D199" s="588"/>
      <c r="E199" s="588"/>
      <c r="F199" s="588"/>
      <c r="G199" s="588"/>
      <c r="H199" s="588"/>
      <c r="I199" s="137"/>
      <c r="J199" s="589"/>
      <c r="K199" s="137"/>
      <c r="L199" s="590"/>
      <c r="M199" s="591"/>
      <c r="N199" s="591"/>
      <c r="O199" s="591"/>
      <c r="P199" s="591"/>
      <c r="Q199" s="591"/>
      <c r="R199" s="137"/>
      <c r="S199" s="137"/>
      <c r="T199" s="137"/>
      <c r="U199" s="137"/>
    </row>
    <row r="200" spans="1:21" ht="28.9">
      <c r="A200" s="1366" t="s">
        <v>171</v>
      </c>
      <c r="B200" s="1366"/>
      <c r="C200" s="1366"/>
      <c r="D200" s="1366"/>
      <c r="E200" s="1366"/>
      <c r="F200" s="1366"/>
      <c r="G200" s="1366"/>
      <c r="H200" s="1366"/>
      <c r="I200" s="1366"/>
      <c r="J200" s="1366"/>
      <c r="K200" s="1366"/>
      <c r="L200" s="1366"/>
      <c r="M200" s="1366"/>
      <c r="N200" s="1366"/>
      <c r="O200" s="1366"/>
      <c r="P200" s="1366"/>
      <c r="Q200" s="1366"/>
      <c r="R200" s="1366"/>
      <c r="S200" s="1366"/>
      <c r="T200" s="1366"/>
      <c r="U200" s="1366"/>
    </row>
    <row r="201" spans="1:21" ht="21">
      <c r="A201" s="592"/>
      <c r="B201" s="592"/>
      <c r="C201" s="592"/>
      <c r="D201" s="592"/>
      <c r="E201" s="593"/>
      <c r="F201" s="593"/>
      <c r="G201" s="593"/>
      <c r="H201" s="593"/>
      <c r="I201" s="593"/>
      <c r="J201" s="593"/>
      <c r="K201" s="593"/>
      <c r="L201" s="593"/>
      <c r="M201" s="594"/>
      <c r="N201" s="592"/>
      <c r="O201" s="592"/>
      <c r="P201" s="592"/>
      <c r="Q201" s="595"/>
      <c r="R201" s="595"/>
      <c r="S201" s="595"/>
      <c r="T201" s="595"/>
      <c r="U201" s="595"/>
    </row>
    <row r="202" spans="1:21" ht="16.899999999999999" customHeight="1">
      <c r="A202" s="137"/>
      <c r="B202" s="137"/>
      <c r="C202" s="137"/>
      <c r="D202" s="137"/>
      <c r="E202" s="1300" t="s">
        <v>172</v>
      </c>
      <c r="F202" s="1300"/>
      <c r="G202" s="1300"/>
      <c r="H202" s="1300"/>
      <c r="I202" s="1300"/>
      <c r="J202" s="137"/>
      <c r="K202" s="137"/>
      <c r="L202" s="137"/>
      <c r="M202" s="137"/>
      <c r="N202" s="137"/>
      <c r="O202" s="137"/>
      <c r="P202" s="137"/>
      <c r="Q202" s="137"/>
      <c r="R202" s="137"/>
      <c r="S202" s="137"/>
      <c r="T202" s="137"/>
      <c r="U202" s="137"/>
    </row>
    <row r="203" spans="1:21" ht="16.899999999999999" customHeight="1">
      <c r="A203" s="137"/>
      <c r="B203" s="137"/>
      <c r="C203" s="137"/>
      <c r="D203" s="137"/>
      <c r="E203" s="137"/>
      <c r="F203" s="137"/>
      <c r="G203" s="137"/>
      <c r="H203" s="137"/>
      <c r="I203" s="137"/>
      <c r="J203" s="137"/>
      <c r="K203" s="137"/>
      <c r="L203" s="137"/>
      <c r="M203" s="137"/>
      <c r="N203" s="137"/>
      <c r="O203" s="137"/>
      <c r="P203" s="137"/>
      <c r="Q203" s="137"/>
      <c r="R203" s="137"/>
      <c r="S203" s="137"/>
      <c r="T203" s="137"/>
      <c r="U203" s="137"/>
    </row>
    <row r="204" spans="1:21" ht="16.899999999999999" customHeight="1">
      <c r="A204" s="137"/>
      <c r="B204" s="137"/>
      <c r="C204" s="137"/>
      <c r="D204" s="137"/>
      <c r="E204" s="137"/>
      <c r="F204" s="137"/>
      <c r="G204" s="137"/>
      <c r="H204" s="137"/>
      <c r="I204" s="137"/>
      <c r="J204" s="137"/>
      <c r="K204" s="137"/>
      <c r="L204" s="137"/>
      <c r="M204" s="137"/>
      <c r="N204" s="137"/>
      <c r="O204" s="137"/>
      <c r="P204" s="137"/>
      <c r="Q204" s="137"/>
      <c r="R204" s="137"/>
      <c r="S204" s="137"/>
      <c r="T204" s="137"/>
      <c r="U204" s="137"/>
    </row>
    <row r="205" spans="1:21" ht="16.899999999999999" customHeight="1">
      <c r="A205" s="137"/>
      <c r="B205" s="137"/>
      <c r="C205" s="137"/>
      <c r="D205" s="137"/>
      <c r="E205" s="137"/>
      <c r="F205" s="137"/>
      <c r="G205" s="137"/>
      <c r="H205" s="137"/>
      <c r="I205" s="137"/>
      <c r="J205" s="137"/>
      <c r="K205" s="137"/>
      <c r="L205" s="137"/>
      <c r="M205" s="137"/>
      <c r="N205" s="137"/>
      <c r="O205" s="137"/>
      <c r="P205" s="137"/>
      <c r="Q205" s="137"/>
      <c r="R205" s="137"/>
      <c r="S205" s="137"/>
      <c r="T205" s="137"/>
      <c r="U205" s="137"/>
    </row>
    <row r="206" spans="1:21" ht="16.899999999999999" customHeight="1">
      <c r="A206" s="137"/>
      <c r="B206" s="137"/>
      <c r="C206" s="137"/>
      <c r="D206" s="137"/>
      <c r="E206" s="137"/>
      <c r="F206" s="137"/>
      <c r="G206" s="137"/>
      <c r="H206" s="137"/>
      <c r="I206" s="137"/>
      <c r="J206" s="137"/>
      <c r="K206" s="137"/>
      <c r="L206" s="137"/>
      <c r="M206" s="137"/>
      <c r="N206" s="137"/>
      <c r="O206" s="137"/>
      <c r="P206" s="137"/>
      <c r="Q206" s="137"/>
      <c r="R206" s="137"/>
      <c r="S206" s="137"/>
      <c r="T206" s="137"/>
      <c r="U206" s="137"/>
    </row>
    <row r="207" spans="1:21" ht="16.899999999999999" customHeight="1">
      <c r="A207" s="137"/>
      <c r="B207" s="137"/>
      <c r="C207" s="137"/>
      <c r="D207" s="137"/>
      <c r="E207" s="137"/>
      <c r="F207" s="137"/>
      <c r="G207" s="137"/>
      <c r="H207" s="137"/>
      <c r="I207" s="137"/>
      <c r="J207" s="137"/>
      <c r="K207" s="137"/>
      <c r="L207" s="137"/>
      <c r="M207" s="137"/>
      <c r="N207" s="137"/>
      <c r="O207" s="137"/>
      <c r="P207" s="137"/>
      <c r="Q207" s="137"/>
      <c r="R207" s="137"/>
      <c r="S207" s="1194" t="s">
        <v>173</v>
      </c>
      <c r="T207" s="1194"/>
      <c r="U207" s="1194"/>
    </row>
    <row r="208" spans="1:21" ht="6" customHeight="1">
      <c r="A208" s="137"/>
      <c r="B208" s="137"/>
      <c r="C208" s="137"/>
      <c r="D208" s="137"/>
      <c r="E208" s="137"/>
      <c r="F208" s="137"/>
      <c r="G208" s="137"/>
      <c r="H208" s="137"/>
      <c r="I208" s="137"/>
      <c r="J208" s="137"/>
      <c r="K208" s="137"/>
      <c r="L208" s="137"/>
      <c r="M208" s="137"/>
      <c r="N208" s="137"/>
      <c r="O208" s="137"/>
      <c r="P208" s="137"/>
      <c r="Q208" s="137"/>
      <c r="R208" s="137"/>
      <c r="S208" s="137"/>
      <c r="T208" s="137"/>
      <c r="U208" s="137"/>
    </row>
    <row r="209" spans="1:21" ht="16.899999999999999" customHeight="1">
      <c r="A209" s="137"/>
      <c r="B209" s="137"/>
      <c r="C209" s="137"/>
      <c r="D209" s="137"/>
      <c r="E209" s="137"/>
      <c r="F209" s="137"/>
      <c r="G209" s="137"/>
      <c r="H209" s="137"/>
      <c r="I209" s="137"/>
      <c r="J209" s="137"/>
      <c r="K209" s="137"/>
      <c r="L209" s="137"/>
      <c r="M209" s="137"/>
      <c r="N209" s="137"/>
      <c r="O209" s="137"/>
      <c r="P209" s="137"/>
      <c r="Q209" s="137"/>
      <c r="R209" s="137"/>
      <c r="S209" s="638" t="s">
        <v>174</v>
      </c>
      <c r="T209" s="638"/>
      <c r="U209" s="137"/>
    </row>
    <row r="210" spans="1:21" ht="16.899999999999999" customHeight="1">
      <c r="A210" s="137"/>
      <c r="B210" s="137"/>
      <c r="C210" s="137"/>
      <c r="D210" s="137"/>
      <c r="E210" s="137"/>
      <c r="F210" s="137"/>
      <c r="G210" s="137"/>
      <c r="H210" s="137"/>
      <c r="I210" s="137"/>
      <c r="J210" s="137"/>
      <c r="K210" s="137"/>
      <c r="L210" s="137"/>
      <c r="M210" s="137"/>
      <c r="N210" s="137"/>
      <c r="O210" s="137"/>
      <c r="P210" s="137"/>
      <c r="Q210" s="137"/>
      <c r="R210" s="137"/>
      <c r="S210" s="638" t="s">
        <v>175</v>
      </c>
      <c r="T210" s="638"/>
      <c r="U210" s="137"/>
    </row>
    <row r="211" spans="1:21" ht="16.899999999999999" customHeight="1">
      <c r="A211" s="137"/>
      <c r="B211" s="137"/>
      <c r="C211" s="137"/>
      <c r="D211" s="137"/>
      <c r="E211" s="137"/>
      <c r="F211" s="137"/>
      <c r="G211" s="137"/>
      <c r="H211" s="137"/>
      <c r="I211" s="137"/>
      <c r="J211" s="137"/>
      <c r="K211" s="137"/>
      <c r="L211" s="137"/>
      <c r="M211" s="137"/>
      <c r="N211" s="137"/>
      <c r="O211" s="137"/>
      <c r="P211" s="137"/>
      <c r="Q211" s="137"/>
      <c r="R211" s="137"/>
      <c r="S211" s="137"/>
      <c r="T211" s="137"/>
      <c r="U211" s="137"/>
    </row>
    <row r="212" spans="1:21" ht="16.899999999999999" customHeight="1">
      <c r="A212" s="137"/>
      <c r="B212" s="137"/>
      <c r="C212" s="137"/>
      <c r="D212" s="137"/>
      <c r="E212" s="137"/>
      <c r="F212" s="137"/>
      <c r="G212" s="137"/>
      <c r="H212" s="137"/>
      <c r="I212" s="137"/>
      <c r="J212" s="137"/>
      <c r="K212" s="137"/>
      <c r="L212" s="137"/>
      <c r="M212" s="137"/>
      <c r="N212" s="137"/>
      <c r="O212" s="137"/>
      <c r="P212" s="137"/>
      <c r="Q212" s="137"/>
      <c r="R212" s="137"/>
      <c r="S212" s="137"/>
      <c r="T212" s="137"/>
      <c r="U212" s="137"/>
    </row>
    <row r="213" spans="1:21" ht="16.899999999999999" customHeight="1">
      <c r="A213" s="137"/>
      <c r="B213" s="137"/>
      <c r="C213" s="137"/>
      <c r="D213" s="137"/>
      <c r="E213" s="137"/>
      <c r="F213" s="137"/>
      <c r="G213" s="137"/>
      <c r="H213" s="137"/>
      <c r="I213" s="137"/>
      <c r="J213" s="137"/>
      <c r="K213" s="137"/>
      <c r="L213" s="137"/>
      <c r="M213" s="137"/>
      <c r="N213" s="137"/>
      <c r="O213" s="137"/>
      <c r="P213" s="137"/>
      <c r="Q213" s="137"/>
      <c r="R213" s="137"/>
      <c r="S213" s="137"/>
      <c r="T213" s="137"/>
      <c r="U213" s="137"/>
    </row>
    <row r="214" spans="1:21" ht="16.899999999999999" customHeight="1">
      <c r="A214" s="137"/>
      <c r="B214" s="137"/>
      <c r="C214" s="137"/>
      <c r="D214" s="137"/>
      <c r="E214" s="137"/>
      <c r="F214" s="137"/>
      <c r="G214" s="137"/>
      <c r="H214" s="137"/>
      <c r="I214" s="137"/>
      <c r="J214" s="137"/>
      <c r="K214" s="137"/>
      <c r="L214" s="137"/>
      <c r="M214" s="137"/>
      <c r="N214" s="137"/>
      <c r="O214" s="137"/>
      <c r="P214" s="137"/>
      <c r="Q214" s="137"/>
      <c r="R214" s="137"/>
      <c r="S214" s="137"/>
      <c r="T214" s="137"/>
      <c r="U214" s="137"/>
    </row>
    <row r="215" spans="1:21" ht="16.899999999999999" customHeight="1">
      <c r="A215" s="137"/>
      <c r="B215" s="137"/>
      <c r="C215" s="137"/>
      <c r="D215" s="137"/>
      <c r="E215" s="137"/>
      <c r="F215" s="137"/>
      <c r="G215" s="137"/>
      <c r="H215" s="137"/>
      <c r="I215" s="137"/>
      <c r="J215" s="137"/>
      <c r="K215" s="137"/>
      <c r="L215" s="137"/>
      <c r="M215" s="137"/>
      <c r="N215" s="137"/>
      <c r="O215" s="137"/>
      <c r="P215" s="137"/>
      <c r="Q215" s="137"/>
      <c r="R215" s="137"/>
      <c r="S215" s="137"/>
      <c r="T215" s="137"/>
      <c r="U215" s="137"/>
    </row>
    <row r="216" spans="1:21" ht="16.899999999999999" customHeight="1">
      <c r="A216" s="137"/>
      <c r="B216" s="137"/>
      <c r="C216" s="137"/>
      <c r="D216" s="137"/>
      <c r="E216" s="137"/>
      <c r="F216" s="137"/>
      <c r="G216" s="137"/>
      <c r="H216" s="137"/>
      <c r="I216" s="137"/>
      <c r="J216" s="137"/>
      <c r="K216" s="137"/>
      <c r="L216" s="137"/>
      <c r="M216" s="137"/>
      <c r="N216" s="137"/>
      <c r="O216" s="137"/>
      <c r="P216" s="137"/>
      <c r="Q216" s="137"/>
      <c r="R216" s="137"/>
      <c r="S216" s="137"/>
      <c r="T216" s="137"/>
      <c r="U216" s="137"/>
    </row>
    <row r="217" spans="1:21" ht="16.899999999999999" customHeight="1">
      <c r="A217" s="137"/>
      <c r="B217" s="137"/>
      <c r="C217" s="137"/>
      <c r="D217" s="137"/>
      <c r="E217" s="137"/>
      <c r="F217" s="137"/>
      <c r="G217" s="137"/>
      <c r="H217" s="137"/>
      <c r="I217" s="137"/>
      <c r="J217" s="137"/>
      <c r="K217" s="137"/>
      <c r="L217" s="137"/>
      <c r="M217" s="137"/>
      <c r="N217" s="137"/>
      <c r="O217" s="137"/>
      <c r="P217" s="137"/>
      <c r="Q217" s="137"/>
      <c r="R217" s="137"/>
      <c r="S217" s="137"/>
      <c r="T217" s="137"/>
      <c r="U217" s="137"/>
    </row>
    <row r="218" spans="1:21" ht="16.899999999999999" customHeight="1">
      <c r="A218" s="137"/>
      <c r="B218" s="137"/>
      <c r="C218" s="137"/>
      <c r="D218" s="137"/>
      <c r="E218" s="137"/>
      <c r="F218" s="137"/>
      <c r="G218" s="137"/>
      <c r="H218" s="137"/>
      <c r="I218" s="137"/>
      <c r="J218" s="137"/>
      <c r="K218" s="137"/>
      <c r="L218" s="137"/>
      <c r="M218" s="137"/>
      <c r="N218" s="137"/>
      <c r="O218" s="137"/>
      <c r="P218" s="137"/>
      <c r="Q218" s="137"/>
      <c r="R218" s="137"/>
      <c r="S218" s="137"/>
      <c r="T218" s="137"/>
      <c r="U218" s="137"/>
    </row>
    <row r="219" spans="1:21" ht="14.65" customHeight="1">
      <c r="A219" s="137"/>
      <c r="B219" s="137"/>
      <c r="C219" s="137"/>
      <c r="D219" s="137"/>
      <c r="E219" s="137"/>
      <c r="F219" s="137"/>
      <c r="G219" s="137"/>
      <c r="H219" s="137"/>
      <c r="I219" s="137"/>
      <c r="J219" s="137"/>
      <c r="K219" s="137"/>
      <c r="L219" s="137"/>
      <c r="M219" s="137"/>
      <c r="N219" s="137"/>
      <c r="O219" s="137"/>
      <c r="P219" s="137"/>
      <c r="Q219" s="137"/>
      <c r="R219" s="137"/>
      <c r="S219" s="137"/>
      <c r="T219" s="137"/>
      <c r="U219" s="137"/>
    </row>
    <row r="220" spans="1:21" ht="14.65" customHeight="1">
      <c r="A220" s="137"/>
      <c r="B220" s="137"/>
      <c r="C220" s="137"/>
      <c r="D220" s="137"/>
      <c r="E220" s="137"/>
      <c r="F220" s="137"/>
      <c r="G220" s="137"/>
      <c r="H220" s="137"/>
      <c r="I220" s="137"/>
      <c r="J220" s="672"/>
      <c r="K220" s="409"/>
      <c r="L220" s="137"/>
      <c r="M220" s="137"/>
      <c r="N220" s="137"/>
      <c r="O220" s="137"/>
      <c r="P220" s="137"/>
      <c r="Q220" s="137"/>
      <c r="R220" s="137"/>
      <c r="S220" s="137"/>
      <c r="T220" s="137"/>
      <c r="U220" s="137"/>
    </row>
    <row r="221" spans="1:21" ht="16.899999999999999" customHeight="1">
      <c r="A221" s="137"/>
      <c r="B221" s="137"/>
      <c r="C221" s="137"/>
      <c r="D221" s="137"/>
      <c r="E221" s="137"/>
      <c r="F221" s="137"/>
      <c r="G221" s="137"/>
      <c r="H221" s="137"/>
      <c r="I221" s="137"/>
      <c r="J221" s="673"/>
      <c r="K221" s="674"/>
      <c r="L221" s="137"/>
      <c r="M221" s="137"/>
      <c r="N221" s="137"/>
      <c r="O221" s="137"/>
      <c r="P221" s="137"/>
      <c r="Q221" s="137"/>
      <c r="R221" s="137"/>
      <c r="S221" s="137"/>
      <c r="T221" s="137"/>
      <c r="U221" s="137"/>
    </row>
    <row r="222" spans="1:21" ht="16.899999999999999" customHeight="1">
      <c r="A222" s="137"/>
      <c r="B222" s="137"/>
      <c r="C222" s="137"/>
      <c r="D222" s="137"/>
      <c r="E222" s="137"/>
      <c r="F222" s="137"/>
      <c r="G222" s="137"/>
      <c r="H222" s="137"/>
      <c r="I222" s="137"/>
      <c r="J222" s="673"/>
      <c r="K222" s="674"/>
      <c r="L222" s="137"/>
      <c r="M222" s="137"/>
      <c r="N222" s="137"/>
      <c r="O222" s="137"/>
      <c r="P222" s="137"/>
      <c r="Q222" s="137"/>
      <c r="R222" s="137"/>
      <c r="S222" s="137"/>
      <c r="T222" s="137"/>
      <c r="U222" s="137"/>
    </row>
    <row r="223" spans="1:21" ht="16.899999999999999" customHeight="1">
      <c r="A223" s="137"/>
      <c r="B223" s="137"/>
      <c r="C223" s="137"/>
      <c r="D223" s="137"/>
      <c r="E223" s="137"/>
      <c r="F223" s="137"/>
      <c r="G223" s="137"/>
      <c r="H223" s="137"/>
      <c r="I223" s="137"/>
      <c r="J223" s="673"/>
      <c r="K223" s="674"/>
      <c r="L223" s="137"/>
      <c r="M223" s="137"/>
      <c r="N223" s="137"/>
      <c r="O223" s="137"/>
      <c r="P223" s="137"/>
      <c r="Q223" s="137"/>
      <c r="R223" s="137"/>
      <c r="S223" s="137"/>
      <c r="T223" s="137"/>
      <c r="U223" s="137"/>
    </row>
    <row r="224" spans="1:21" ht="16.899999999999999" customHeight="1">
      <c r="A224" s="137"/>
      <c r="B224" s="137"/>
      <c r="C224" s="137"/>
      <c r="D224" s="137"/>
      <c r="E224" s="137"/>
      <c r="F224" s="137"/>
      <c r="G224" s="137"/>
      <c r="H224" s="137"/>
      <c r="I224" s="137"/>
      <c r="J224" s="673"/>
      <c r="K224" s="674"/>
      <c r="L224" s="137"/>
      <c r="M224" s="137"/>
      <c r="N224" s="137"/>
      <c r="O224" s="137"/>
      <c r="P224" s="137"/>
      <c r="Q224" s="137"/>
      <c r="R224" s="137"/>
      <c r="S224" s="137"/>
      <c r="T224" s="137"/>
      <c r="U224" s="137"/>
    </row>
    <row r="225" spans="1:28" ht="16.899999999999999" customHeight="1">
      <c r="A225" s="137"/>
      <c r="B225" s="137"/>
      <c r="C225" s="137"/>
      <c r="D225" s="137"/>
      <c r="E225" s="137"/>
      <c r="F225" s="137"/>
      <c r="G225" s="137"/>
      <c r="H225" s="137"/>
      <c r="I225" s="137"/>
      <c r="J225" s="137"/>
      <c r="K225" s="137"/>
      <c r="L225" s="137"/>
      <c r="M225" s="137"/>
      <c r="N225" s="137"/>
      <c r="O225" s="137"/>
      <c r="P225" s="137"/>
      <c r="Q225" s="137"/>
      <c r="R225" s="137"/>
      <c r="S225" s="137"/>
      <c r="T225" s="137"/>
      <c r="U225" s="137"/>
    </row>
    <row r="226" spans="1:28" ht="16.899999999999999" customHeight="1">
      <c r="A226" s="137"/>
      <c r="B226" s="137"/>
      <c r="C226" s="137"/>
      <c r="D226" s="137"/>
      <c r="E226" s="137"/>
      <c r="F226" s="137"/>
      <c r="G226" s="137"/>
      <c r="H226" s="137"/>
      <c r="I226" s="137"/>
      <c r="J226" s="137"/>
      <c r="K226" s="137"/>
      <c r="L226" s="137"/>
      <c r="M226" s="137"/>
      <c r="N226" s="137"/>
      <c r="O226" s="137"/>
      <c r="P226" s="137"/>
      <c r="Q226" s="137"/>
      <c r="R226" s="137"/>
      <c r="S226" s="137"/>
      <c r="T226" s="137"/>
      <c r="U226" s="137"/>
    </row>
    <row r="227" spans="1:28" ht="16.899999999999999" customHeight="1">
      <c r="A227" s="137"/>
      <c r="B227" s="137"/>
      <c r="C227" s="137"/>
      <c r="D227" s="137"/>
      <c r="E227" s="137"/>
      <c r="F227" s="137"/>
      <c r="G227" s="137"/>
      <c r="H227" s="137"/>
      <c r="I227" s="137"/>
      <c r="J227" s="137"/>
      <c r="K227" s="137"/>
      <c r="L227" s="137"/>
      <c r="M227" s="137"/>
      <c r="N227" s="137"/>
      <c r="O227" s="137"/>
      <c r="P227" s="137"/>
      <c r="Q227" s="137"/>
      <c r="R227" s="137"/>
      <c r="S227" s="137"/>
      <c r="T227" s="137"/>
      <c r="U227" s="137"/>
    </row>
    <row r="228" spans="1:28" ht="16.899999999999999" customHeight="1">
      <c r="A228" s="137"/>
      <c r="B228" s="137"/>
      <c r="C228" s="137"/>
      <c r="D228" s="137"/>
      <c r="E228" s="137"/>
      <c r="F228" s="137"/>
      <c r="G228" s="137"/>
      <c r="H228" s="137"/>
      <c r="I228" s="137"/>
      <c r="J228" s="137"/>
      <c r="K228" s="137"/>
      <c r="L228" s="137"/>
      <c r="M228" s="137"/>
      <c r="N228" s="137"/>
      <c r="O228" s="137"/>
      <c r="P228" s="137"/>
      <c r="Q228" s="137"/>
      <c r="R228" s="137"/>
      <c r="S228" s="137"/>
      <c r="T228" s="137"/>
      <c r="U228" s="137"/>
    </row>
    <row r="229" spans="1:28" ht="16.899999999999999" customHeight="1">
      <c r="A229" s="137"/>
      <c r="B229" s="137"/>
      <c r="C229" s="137"/>
      <c r="D229" s="137"/>
      <c r="E229" s="137"/>
      <c r="F229" s="137"/>
      <c r="G229" s="137"/>
      <c r="H229" s="137"/>
      <c r="I229" s="137"/>
      <c r="J229" s="137"/>
      <c r="K229" s="137"/>
      <c r="L229" s="137"/>
      <c r="M229" s="137"/>
      <c r="N229" s="137"/>
      <c r="O229" s="137"/>
      <c r="P229" s="137"/>
      <c r="Q229" s="137"/>
      <c r="R229" s="137"/>
      <c r="S229" s="137"/>
      <c r="T229" s="137"/>
      <c r="U229" s="137"/>
    </row>
    <row r="230" spans="1:28" ht="16.899999999999999" customHeight="1">
      <c r="A230" s="137"/>
      <c r="B230" s="137"/>
      <c r="C230" s="137"/>
      <c r="D230" s="137"/>
      <c r="E230" s="137"/>
      <c r="F230" s="137"/>
      <c r="G230" s="137"/>
      <c r="H230" s="137"/>
      <c r="I230" s="137"/>
      <c r="J230" s="137"/>
      <c r="K230" s="137"/>
      <c r="L230" s="137"/>
      <c r="M230" s="137"/>
      <c r="N230" s="137"/>
      <c r="O230" s="137"/>
      <c r="P230" s="137"/>
      <c r="Q230" s="137"/>
      <c r="R230" s="137"/>
      <c r="S230" s="137"/>
      <c r="T230" s="137"/>
      <c r="U230" s="137"/>
    </row>
    <row r="231" spans="1:28" ht="16.899999999999999" customHeight="1">
      <c r="A231" s="137"/>
      <c r="B231" s="137"/>
      <c r="C231" s="137"/>
      <c r="D231" s="137"/>
      <c r="E231" s="137"/>
      <c r="F231" s="137"/>
      <c r="G231" s="137"/>
      <c r="H231" s="137"/>
      <c r="I231" s="137"/>
      <c r="J231" s="137"/>
      <c r="K231" s="137"/>
      <c r="L231" s="137"/>
      <c r="M231" s="137"/>
      <c r="N231" s="137"/>
      <c r="O231" s="137"/>
      <c r="P231" s="137"/>
      <c r="Q231" s="137"/>
      <c r="R231" s="137"/>
      <c r="S231" s="137"/>
      <c r="T231" s="137"/>
      <c r="U231" s="137"/>
    </row>
    <row r="232" spans="1:28" ht="16.899999999999999" customHeight="1" thickBot="1">
      <c r="A232" s="137"/>
      <c r="B232" s="137"/>
      <c r="C232" s="137"/>
      <c r="D232" s="137"/>
      <c r="E232" s="137"/>
      <c r="F232" s="137"/>
      <c r="G232" s="137"/>
      <c r="H232" s="137"/>
      <c r="I232" s="137"/>
      <c r="J232" s="137"/>
      <c r="K232" s="137"/>
      <c r="L232" s="137"/>
      <c r="M232" s="137"/>
      <c r="N232" s="137"/>
      <c r="O232" s="137"/>
      <c r="P232" s="137"/>
      <c r="Q232" s="137"/>
      <c r="R232" s="137"/>
      <c r="S232" s="137"/>
      <c r="T232" s="137"/>
      <c r="U232" s="137"/>
    </row>
    <row r="233" spans="1:28" ht="16.899999999999999" customHeight="1" thickTop="1">
      <c r="A233" s="137"/>
      <c r="B233" s="137"/>
      <c r="C233" s="137"/>
      <c r="D233" s="137"/>
      <c r="E233" s="175"/>
      <c r="F233" s="175"/>
      <c r="G233" s="175"/>
      <c r="H233" s="175"/>
      <c r="I233" s="175"/>
      <c r="J233" s="175"/>
      <c r="K233" s="175"/>
      <c r="L233" s="175"/>
      <c r="M233" s="175"/>
      <c r="N233" s="175"/>
      <c r="O233" s="175"/>
      <c r="P233" s="175"/>
      <c r="Q233" s="175"/>
      <c r="R233" s="175"/>
      <c r="S233" s="175"/>
      <c r="T233" s="175"/>
      <c r="U233" s="137"/>
    </row>
    <row r="234" spans="1:28" ht="16.899999999999999" customHeight="1">
      <c r="A234" s="137"/>
      <c r="B234" s="137"/>
      <c r="C234" s="137"/>
      <c r="D234" s="137"/>
      <c r="E234" s="1300" t="s">
        <v>176</v>
      </c>
      <c r="F234" s="1300"/>
      <c r="G234" s="1300"/>
      <c r="H234" s="1300"/>
      <c r="I234" s="1300"/>
      <c r="J234" s="1300"/>
      <c r="K234" s="137"/>
      <c r="L234" s="137"/>
      <c r="M234" s="137"/>
      <c r="N234" s="137"/>
      <c r="O234" s="137"/>
      <c r="P234" s="137"/>
      <c r="Q234" s="137"/>
      <c r="R234" s="137"/>
      <c r="S234" s="137"/>
      <c r="T234" s="137"/>
      <c r="U234" s="137"/>
    </row>
    <row r="235" spans="1:28" ht="16.899999999999999" customHeight="1">
      <c r="A235" s="137"/>
      <c r="B235" s="137"/>
      <c r="C235" s="137"/>
      <c r="D235" s="137"/>
      <c r="E235" s="137"/>
      <c r="F235" s="137"/>
      <c r="G235" s="137"/>
      <c r="H235" s="137"/>
      <c r="I235" s="137"/>
      <c r="J235" s="137"/>
      <c r="K235" s="137"/>
      <c r="L235" s="137"/>
      <c r="M235" s="137"/>
      <c r="N235" s="137"/>
      <c r="O235" s="137"/>
      <c r="P235" s="137"/>
      <c r="Q235" s="137"/>
      <c r="R235" s="137"/>
      <c r="S235" s="1194" t="s">
        <v>173</v>
      </c>
      <c r="T235" s="1194"/>
      <c r="U235" s="1194"/>
    </row>
    <row r="236" spans="1:28" ht="6.4" customHeight="1">
      <c r="A236" s="137"/>
      <c r="B236" s="137"/>
      <c r="C236" s="137"/>
      <c r="D236" s="137"/>
      <c r="E236" s="137"/>
      <c r="F236" s="137"/>
      <c r="G236" s="137"/>
      <c r="H236" s="137"/>
      <c r="I236" s="137"/>
      <c r="J236" s="137"/>
      <c r="K236" s="137"/>
      <c r="L236" s="137"/>
      <c r="M236" s="137"/>
      <c r="N236" s="137"/>
      <c r="O236" s="137"/>
      <c r="P236" s="137"/>
      <c r="Q236" s="137"/>
      <c r="R236" s="137"/>
      <c r="S236" s="137"/>
      <c r="T236" s="137"/>
      <c r="U236" s="137"/>
      <c r="V236" s="137"/>
      <c r="W236" s="137"/>
    </row>
    <row r="237" spans="1:28" ht="16.899999999999999" customHeight="1">
      <c r="A237" s="137"/>
      <c r="B237" s="137"/>
      <c r="C237" s="137"/>
      <c r="D237" s="137"/>
      <c r="E237" s="137"/>
      <c r="F237" s="137"/>
      <c r="G237" s="137"/>
      <c r="H237" s="137"/>
      <c r="I237" s="137"/>
      <c r="J237" s="137"/>
      <c r="K237" s="137"/>
      <c r="L237" s="137"/>
      <c r="M237" s="137"/>
      <c r="N237" s="137"/>
      <c r="O237" s="137"/>
      <c r="P237" s="137"/>
      <c r="Q237" s="137"/>
      <c r="R237" s="137"/>
      <c r="S237" s="1447" t="s">
        <v>177</v>
      </c>
      <c r="T237" s="1447"/>
      <c r="U237" s="137"/>
      <c r="Z237" s="454"/>
      <c r="AA237" s="137"/>
      <c r="AB237" s="137"/>
    </row>
    <row r="238" spans="1:28" ht="16.899999999999999" customHeight="1">
      <c r="A238" s="137"/>
      <c r="B238" s="137"/>
      <c r="C238" s="137"/>
      <c r="D238" s="137"/>
      <c r="E238" s="137"/>
      <c r="F238" s="137"/>
      <c r="G238" s="137"/>
      <c r="H238" s="137"/>
      <c r="I238" s="137"/>
      <c r="J238" s="137"/>
      <c r="K238" s="137"/>
      <c r="L238" s="137"/>
      <c r="M238" s="137"/>
      <c r="N238" s="137"/>
      <c r="O238" s="137"/>
      <c r="P238" s="137"/>
      <c r="Q238" s="137"/>
      <c r="R238" s="137"/>
      <c r="S238" s="137"/>
      <c r="T238" s="137"/>
      <c r="U238" s="137"/>
    </row>
    <row r="239" spans="1:28" ht="16.899999999999999" customHeight="1">
      <c r="A239" s="137"/>
      <c r="B239" s="137"/>
      <c r="C239" s="137"/>
      <c r="D239" s="137"/>
      <c r="E239" s="137"/>
      <c r="F239" s="137"/>
      <c r="G239" s="137"/>
      <c r="H239" s="137"/>
      <c r="I239" s="137"/>
      <c r="J239" s="137"/>
      <c r="K239" s="137"/>
      <c r="L239" s="137"/>
      <c r="M239" s="137"/>
      <c r="N239" s="137"/>
      <c r="O239" s="137"/>
      <c r="P239" s="137"/>
      <c r="Q239" s="137"/>
      <c r="R239" s="137"/>
      <c r="S239" s="137"/>
      <c r="T239" s="137"/>
      <c r="U239" s="137"/>
    </row>
    <row r="240" spans="1:28" ht="16.899999999999999" customHeight="1">
      <c r="A240" s="137"/>
      <c r="B240" s="137"/>
      <c r="C240" s="137"/>
      <c r="D240" s="137"/>
      <c r="E240" s="137"/>
      <c r="F240" s="137"/>
      <c r="G240" s="137"/>
      <c r="H240" s="137"/>
      <c r="I240" s="137"/>
      <c r="J240" s="137"/>
      <c r="K240" s="137"/>
      <c r="L240" s="137"/>
      <c r="M240" s="137"/>
      <c r="N240" s="137"/>
      <c r="O240" s="137"/>
      <c r="P240" s="137"/>
      <c r="Q240" s="137"/>
      <c r="R240" s="137"/>
      <c r="S240" s="137"/>
      <c r="T240" s="137"/>
      <c r="U240" s="137"/>
    </row>
    <row r="241" spans="1:21" ht="16.899999999999999" customHeight="1">
      <c r="A241" s="137"/>
      <c r="B241" s="137"/>
      <c r="C241" s="137"/>
      <c r="D241" s="137"/>
      <c r="E241" s="137"/>
      <c r="F241" s="137"/>
      <c r="G241" s="137"/>
      <c r="H241" s="137"/>
      <c r="I241" s="137"/>
      <c r="J241" s="137"/>
      <c r="K241" s="137"/>
      <c r="L241" s="137"/>
      <c r="M241" s="137"/>
      <c r="N241" s="137"/>
      <c r="O241" s="137"/>
      <c r="P241" s="137"/>
      <c r="Q241" s="137"/>
      <c r="R241" s="137"/>
      <c r="S241" s="137"/>
      <c r="T241" s="137"/>
      <c r="U241" s="137"/>
    </row>
    <row r="242" spans="1:21" ht="16.899999999999999" customHeight="1">
      <c r="A242" s="137"/>
      <c r="B242" s="137"/>
      <c r="C242" s="137"/>
      <c r="D242" s="137"/>
      <c r="E242" s="137"/>
      <c r="F242" s="137"/>
      <c r="G242" s="137"/>
      <c r="H242" s="137"/>
      <c r="I242" s="137"/>
      <c r="J242" s="137"/>
      <c r="K242" s="137"/>
      <c r="L242" s="137"/>
      <c r="M242" s="137"/>
      <c r="N242" s="137"/>
      <c r="O242" s="137"/>
      <c r="P242" s="137"/>
      <c r="Q242" s="137"/>
      <c r="R242" s="137"/>
      <c r="S242" s="137"/>
      <c r="T242" s="137"/>
      <c r="U242" s="137"/>
    </row>
    <row r="243" spans="1:21" ht="16.899999999999999" customHeight="1">
      <c r="A243" s="137"/>
      <c r="B243" s="137"/>
      <c r="C243" s="137"/>
      <c r="D243" s="137"/>
      <c r="E243" s="137"/>
      <c r="F243" s="137"/>
      <c r="G243" s="137"/>
      <c r="H243" s="137"/>
      <c r="I243" s="137"/>
      <c r="J243" s="137"/>
      <c r="K243" s="137"/>
      <c r="L243" s="137"/>
      <c r="M243" s="137"/>
      <c r="N243" s="137"/>
      <c r="O243" s="137"/>
      <c r="P243" s="137"/>
      <c r="Q243" s="137"/>
      <c r="R243" s="137"/>
      <c r="S243" s="137"/>
      <c r="T243" s="137"/>
      <c r="U243" s="137"/>
    </row>
    <row r="244" spans="1:21" ht="16.899999999999999" customHeight="1">
      <c r="A244" s="137"/>
      <c r="B244" s="137"/>
      <c r="C244" s="137"/>
      <c r="D244" s="137"/>
      <c r="E244" s="137"/>
      <c r="F244" s="137"/>
      <c r="G244" s="137"/>
      <c r="H244" s="137"/>
      <c r="I244" s="137"/>
      <c r="J244" s="137"/>
      <c r="K244" s="137"/>
      <c r="L244" s="137"/>
      <c r="M244" s="137"/>
      <c r="N244" s="137"/>
      <c r="O244" s="137"/>
      <c r="P244" s="137"/>
      <c r="Q244" s="137"/>
      <c r="R244" s="137"/>
      <c r="S244" s="137"/>
      <c r="T244" s="137"/>
      <c r="U244" s="137"/>
    </row>
    <row r="245" spans="1:21" ht="16.899999999999999" customHeight="1">
      <c r="A245" s="137"/>
      <c r="B245" s="137"/>
      <c r="C245" s="137"/>
      <c r="D245" s="137"/>
      <c r="E245" s="137"/>
      <c r="F245" s="137"/>
      <c r="G245" s="137"/>
      <c r="H245" s="137"/>
      <c r="I245" s="137"/>
      <c r="J245" s="137"/>
      <c r="K245" s="137"/>
      <c r="L245" s="137"/>
      <c r="M245" s="137"/>
      <c r="N245" s="137"/>
      <c r="O245" s="137"/>
      <c r="P245" s="137"/>
      <c r="Q245" s="137"/>
      <c r="R245" s="137"/>
      <c r="S245" s="137"/>
      <c r="T245" s="137"/>
      <c r="U245" s="137"/>
    </row>
    <row r="246" spans="1:21" ht="16.899999999999999" customHeight="1">
      <c r="A246" s="137"/>
      <c r="B246" s="137"/>
      <c r="C246" s="137"/>
      <c r="D246" s="137"/>
      <c r="E246" s="137"/>
      <c r="F246" s="137"/>
      <c r="G246" s="137"/>
      <c r="H246" s="137"/>
      <c r="I246" s="137"/>
      <c r="J246" s="137"/>
      <c r="K246" s="137"/>
      <c r="L246" s="137"/>
      <c r="M246" s="137"/>
      <c r="N246" s="137"/>
      <c r="O246" s="137"/>
      <c r="P246" s="137"/>
      <c r="Q246" s="137"/>
      <c r="R246" s="137"/>
      <c r="S246" s="137"/>
      <c r="T246" s="137"/>
      <c r="U246" s="137"/>
    </row>
    <row r="247" spans="1:21" ht="16.899999999999999" customHeight="1">
      <c r="A247" s="137"/>
      <c r="B247" s="137"/>
      <c r="C247" s="137"/>
      <c r="D247" s="137"/>
      <c r="E247" s="137"/>
      <c r="F247" s="137"/>
      <c r="G247" s="137"/>
      <c r="H247" s="137"/>
      <c r="I247" s="137"/>
      <c r="J247" s="137"/>
      <c r="K247" s="137"/>
      <c r="L247" s="137"/>
      <c r="M247" s="137"/>
      <c r="N247" s="137"/>
      <c r="O247" s="137"/>
      <c r="P247" s="137"/>
      <c r="Q247" s="137"/>
      <c r="R247" s="137"/>
      <c r="S247" s="137"/>
      <c r="T247" s="137"/>
      <c r="U247" s="137"/>
    </row>
    <row r="248" spans="1:21" ht="16.899999999999999" customHeight="1">
      <c r="A248" s="137"/>
      <c r="B248" s="137"/>
      <c r="C248" s="137"/>
      <c r="D248" s="137"/>
      <c r="E248" s="137"/>
      <c r="F248" s="137"/>
      <c r="G248" s="137"/>
      <c r="H248" s="137"/>
      <c r="I248" s="137"/>
      <c r="J248" s="137"/>
      <c r="K248" s="137"/>
      <c r="L248" s="137"/>
      <c r="M248" s="137"/>
      <c r="N248" s="137"/>
      <c r="O248" s="137"/>
      <c r="P248" s="137"/>
      <c r="Q248" s="137"/>
      <c r="R248" s="137"/>
      <c r="S248" s="137"/>
      <c r="T248" s="137"/>
      <c r="U248" s="137"/>
    </row>
    <row r="249" spans="1:21" ht="16.899999999999999" customHeight="1">
      <c r="A249" s="137"/>
      <c r="B249" s="137"/>
      <c r="C249" s="137"/>
      <c r="D249" s="137"/>
      <c r="E249" s="137"/>
      <c r="F249" s="137"/>
      <c r="G249" s="137"/>
      <c r="H249" s="137"/>
      <c r="I249" s="137"/>
      <c r="J249" s="137"/>
      <c r="K249" s="137"/>
      <c r="L249" s="137"/>
      <c r="M249" s="137"/>
      <c r="N249" s="137"/>
      <c r="O249" s="137"/>
      <c r="P249" s="137"/>
      <c r="Q249" s="137"/>
      <c r="R249" s="137"/>
      <c r="S249" s="137"/>
      <c r="T249" s="137"/>
      <c r="U249" s="137"/>
    </row>
    <row r="250" spans="1:21" ht="15.95" customHeight="1">
      <c r="A250" s="137"/>
      <c r="B250" s="137"/>
      <c r="C250" s="137"/>
      <c r="D250" s="137"/>
      <c r="E250" s="137"/>
      <c r="F250" s="137"/>
      <c r="G250" s="137"/>
      <c r="H250" s="137"/>
      <c r="I250" s="137"/>
      <c r="J250" s="137"/>
      <c r="K250" s="137"/>
      <c r="L250" s="137"/>
      <c r="M250" s="137"/>
      <c r="N250" s="137"/>
      <c r="O250" s="137"/>
      <c r="P250" s="137"/>
      <c r="Q250" s="137"/>
      <c r="R250" s="137"/>
      <c r="S250" s="137"/>
      <c r="T250" s="137"/>
      <c r="U250" s="137"/>
    </row>
    <row r="251" spans="1:21" ht="15.95" customHeight="1">
      <c r="A251" s="137"/>
      <c r="B251" s="137"/>
      <c r="C251" s="137"/>
      <c r="D251" s="137"/>
      <c r="E251" s="137"/>
      <c r="F251" s="137"/>
      <c r="G251" s="137"/>
      <c r="H251" s="137"/>
      <c r="I251" s="137"/>
      <c r="J251" s="137"/>
      <c r="K251" s="137"/>
      <c r="L251" s="137"/>
      <c r="M251" s="137"/>
      <c r="N251" s="137"/>
      <c r="O251" s="137"/>
      <c r="P251" s="137"/>
      <c r="Q251" s="137"/>
      <c r="R251" s="137"/>
      <c r="S251" s="137"/>
      <c r="T251" s="137"/>
      <c r="U251" s="137"/>
    </row>
    <row r="252" spans="1:21" ht="15.95" customHeight="1">
      <c r="A252" s="137"/>
      <c r="B252" s="137"/>
      <c r="C252" s="137"/>
      <c r="D252" s="137"/>
      <c r="E252" s="137"/>
      <c r="F252" s="137"/>
      <c r="G252" s="137"/>
      <c r="H252" s="137"/>
      <c r="I252" s="137"/>
      <c r="J252" s="137"/>
      <c r="K252" s="137"/>
      <c r="L252" s="137"/>
      <c r="M252" s="137"/>
      <c r="N252" s="137"/>
      <c r="O252" s="137"/>
      <c r="P252" s="137"/>
      <c r="Q252" s="137"/>
      <c r="R252" s="137"/>
      <c r="S252" s="137"/>
      <c r="T252" s="137"/>
      <c r="U252" s="137"/>
    </row>
    <row r="253" spans="1:21" ht="15.95" customHeight="1">
      <c r="A253" s="137"/>
      <c r="B253" s="137"/>
      <c r="C253" s="137"/>
      <c r="D253" s="137"/>
      <c r="E253" s="137"/>
      <c r="F253" s="137"/>
      <c r="G253" s="137"/>
      <c r="H253" s="137"/>
      <c r="I253" s="137"/>
      <c r="J253" s="137"/>
      <c r="K253" s="137"/>
      <c r="L253" s="137"/>
      <c r="M253" s="137"/>
      <c r="N253" s="137"/>
      <c r="O253" s="137"/>
      <c r="P253" s="137"/>
      <c r="Q253" s="137"/>
      <c r="R253" s="137"/>
      <c r="S253" s="137"/>
      <c r="T253" s="137"/>
      <c r="U253" s="137"/>
    </row>
    <row r="254" spans="1:21" ht="15.95" customHeight="1">
      <c r="A254" s="137"/>
      <c r="B254" s="137"/>
      <c r="C254" s="137"/>
      <c r="D254" s="137"/>
      <c r="E254" s="137"/>
      <c r="F254" s="137"/>
      <c r="G254" s="137"/>
      <c r="H254" s="137"/>
      <c r="I254" s="137"/>
      <c r="J254" s="137"/>
      <c r="K254" s="137"/>
      <c r="L254" s="137"/>
      <c r="M254" s="137"/>
      <c r="N254" s="137"/>
      <c r="O254" s="137"/>
      <c r="P254" s="137"/>
      <c r="Q254" s="137"/>
      <c r="R254" s="137"/>
      <c r="S254" s="137"/>
      <c r="T254" s="137"/>
      <c r="U254" s="137"/>
    </row>
    <row r="255" spans="1:21" ht="15.95" customHeight="1">
      <c r="A255" s="137"/>
      <c r="B255" s="137"/>
      <c r="C255" s="137"/>
      <c r="D255" s="137"/>
      <c r="E255" s="137"/>
      <c r="F255" s="137"/>
      <c r="G255" s="137"/>
      <c r="H255" s="137"/>
      <c r="I255" s="137"/>
      <c r="J255" s="137"/>
      <c r="K255" s="137"/>
      <c r="L255" s="137"/>
      <c r="M255" s="137"/>
      <c r="N255" s="137"/>
      <c r="O255" s="137"/>
      <c r="P255" s="137"/>
      <c r="Q255" s="137"/>
      <c r="R255" s="137"/>
      <c r="S255" s="137"/>
      <c r="T255" s="137"/>
      <c r="U255" s="137"/>
    </row>
    <row r="256" spans="1:21" ht="15.95" customHeight="1">
      <c r="A256" s="137"/>
      <c r="B256" s="137"/>
      <c r="C256" s="137"/>
      <c r="D256" s="137"/>
      <c r="E256" s="137"/>
      <c r="F256" s="137"/>
      <c r="G256" s="137"/>
      <c r="H256" s="137"/>
      <c r="I256" s="137"/>
      <c r="J256" s="137"/>
      <c r="K256" s="137"/>
      <c r="L256" s="137"/>
      <c r="M256" s="137"/>
      <c r="N256" s="137"/>
      <c r="O256" s="137"/>
      <c r="P256" s="137"/>
      <c r="Q256" s="137"/>
      <c r="R256" s="137"/>
      <c r="S256" s="137"/>
      <c r="T256" s="137"/>
      <c r="U256" s="137"/>
    </row>
    <row r="257" spans="1:26" ht="15.95" customHeight="1">
      <c r="A257" s="588"/>
      <c r="B257" s="588"/>
      <c r="C257" s="588"/>
      <c r="D257" s="588"/>
      <c r="E257" s="588"/>
      <c r="F257" s="588"/>
      <c r="G257" s="588"/>
      <c r="H257" s="588"/>
      <c r="I257" s="137"/>
      <c r="J257" s="589"/>
      <c r="K257" s="137"/>
      <c r="L257" s="590"/>
      <c r="M257" s="591"/>
      <c r="N257" s="591"/>
      <c r="O257" s="591"/>
      <c r="P257" s="591"/>
      <c r="Q257" s="591"/>
      <c r="R257" s="137"/>
      <c r="S257" s="137"/>
      <c r="T257" s="137"/>
      <c r="U257" s="137"/>
    </row>
    <row r="258" spans="1:26" ht="15.95" customHeight="1">
      <c r="A258" s="588"/>
      <c r="B258" s="588"/>
      <c r="C258" s="588"/>
      <c r="D258" s="588"/>
      <c r="E258" s="588"/>
      <c r="F258" s="588"/>
      <c r="G258" s="588"/>
      <c r="H258" s="588"/>
      <c r="I258" s="137"/>
      <c r="J258" s="589"/>
      <c r="K258" s="137"/>
      <c r="L258" s="590"/>
      <c r="M258" s="591"/>
      <c r="N258" s="591"/>
      <c r="O258" s="591"/>
      <c r="P258" s="591"/>
      <c r="Q258" s="591"/>
      <c r="R258" s="137"/>
      <c r="S258" s="137"/>
      <c r="T258" s="137"/>
      <c r="U258" s="137"/>
    </row>
    <row r="259" spans="1:26" ht="18">
      <c r="A259" s="588"/>
      <c r="B259" s="588"/>
      <c r="C259" s="588"/>
      <c r="D259" s="588"/>
      <c r="E259" s="588"/>
      <c r="F259" s="588"/>
      <c r="G259" s="588"/>
      <c r="H259" s="588"/>
      <c r="I259" s="137"/>
      <c r="J259" s="589"/>
      <c r="K259" s="137"/>
      <c r="L259" s="590"/>
      <c r="M259" s="591"/>
      <c r="N259" s="591"/>
      <c r="O259" s="591"/>
      <c r="P259" s="591"/>
      <c r="Q259" s="591"/>
      <c r="R259" s="137"/>
      <c r="S259" s="137"/>
      <c r="T259" s="137"/>
      <c r="U259" s="137"/>
    </row>
    <row r="260" spans="1:26" ht="28.9">
      <c r="A260" s="1340" t="s">
        <v>278</v>
      </c>
      <c r="B260" s="1340"/>
      <c r="C260" s="1340"/>
      <c r="D260" s="1340"/>
      <c r="E260" s="1340"/>
      <c r="F260" s="1340"/>
      <c r="G260" s="1340"/>
      <c r="H260" s="1340"/>
      <c r="I260" s="1340"/>
      <c r="J260" s="1340"/>
      <c r="K260" s="1340"/>
      <c r="L260" s="1340"/>
      <c r="M260" s="1340"/>
      <c r="N260" s="1340"/>
      <c r="O260" s="591"/>
      <c r="P260" s="591"/>
      <c r="Q260" s="591"/>
      <c r="R260" s="137"/>
      <c r="S260" s="137"/>
      <c r="T260" s="137"/>
      <c r="U260" s="137"/>
    </row>
    <row r="261" spans="1:26" ht="15.6">
      <c r="A261" s="1231"/>
      <c r="B261" s="137"/>
      <c r="C261" s="137"/>
      <c r="D261" s="137"/>
      <c r="E261" s="137"/>
      <c r="F261" s="137"/>
      <c r="G261" s="137"/>
      <c r="H261" s="137"/>
      <c r="I261" s="137"/>
      <c r="J261" s="137"/>
      <c r="K261" s="137"/>
      <c r="L261" s="137"/>
      <c r="M261" s="137"/>
      <c r="N261" s="137"/>
      <c r="O261" s="591"/>
      <c r="P261" s="591"/>
      <c r="Q261" s="591"/>
      <c r="R261" s="137"/>
      <c r="S261" s="137"/>
      <c r="T261" s="137"/>
      <c r="U261" s="137"/>
    </row>
    <row r="262" spans="1:26" ht="21">
      <c r="A262" s="1231"/>
      <c r="B262" s="137"/>
      <c r="C262" s="137"/>
      <c r="D262" s="137"/>
      <c r="E262" s="632" t="s">
        <v>49</v>
      </c>
      <c r="F262" s="137"/>
      <c r="G262" s="137"/>
      <c r="H262" s="137"/>
      <c r="I262" s="137"/>
      <c r="J262" s="137"/>
      <c r="K262" s="137"/>
      <c r="L262" s="137"/>
      <c r="M262" s="137"/>
      <c r="N262" s="137"/>
      <c r="O262" s="591"/>
      <c r="P262" s="591"/>
      <c r="Q262" s="591"/>
      <c r="R262" s="137"/>
      <c r="S262" s="137"/>
      <c r="T262" s="137"/>
      <c r="U262" s="137"/>
      <c r="X262"/>
      <c r="Y262"/>
      <c r="Z262"/>
    </row>
    <row r="263" spans="1:26" ht="21">
      <c r="A263" s="1231"/>
      <c r="B263" s="137"/>
      <c r="C263" s="137"/>
      <c r="D263" s="137"/>
      <c r="E263" s="732" t="s">
        <v>279</v>
      </c>
      <c r="F263" s="732"/>
      <c r="G263" s="732"/>
      <c r="H263" s="137"/>
      <c r="I263" s="636"/>
      <c r="J263" s="636"/>
      <c r="K263" s="636"/>
      <c r="L263" s="636"/>
      <c r="M263" s="637"/>
      <c r="N263" s="592"/>
      <c r="O263" s="592"/>
      <c r="P263" s="592"/>
      <c r="Q263" s="137"/>
      <c r="R263" s="137"/>
      <c r="S263" s="1367"/>
      <c r="T263" s="1367"/>
      <c r="U263" s="1367"/>
      <c r="X263"/>
      <c r="Y263"/>
      <c r="Z263"/>
    </row>
    <row r="264" spans="1:26" ht="21.6" thickBot="1">
      <c r="A264" s="1231"/>
      <c r="B264" s="137"/>
      <c r="C264" s="137"/>
      <c r="D264" s="137"/>
      <c r="E264" s="732" t="s">
        <v>280</v>
      </c>
      <c r="F264" s="732"/>
      <c r="G264" s="732"/>
      <c r="H264" s="732"/>
      <c r="I264" s="638"/>
      <c r="J264" s="636"/>
      <c r="K264" s="593"/>
      <c r="L264" s="593"/>
      <c r="M264" s="592"/>
      <c r="N264" s="592"/>
      <c r="O264" s="592"/>
      <c r="P264" s="592"/>
      <c r="Q264" s="137"/>
      <c r="R264" s="137"/>
      <c r="S264" s="137"/>
      <c r="T264" s="137"/>
      <c r="U264" s="137"/>
      <c r="X264"/>
      <c r="Y264"/>
      <c r="Z264"/>
    </row>
    <row r="265" spans="1:26" ht="24.4" customHeight="1" thickTop="1">
      <c r="A265" s="1231"/>
      <c r="B265" s="137"/>
      <c r="C265" s="137"/>
      <c r="D265" s="137"/>
      <c r="E265" s="1357" t="s">
        <v>281</v>
      </c>
      <c r="F265" s="1358"/>
      <c r="G265" s="1359"/>
      <c r="H265" s="1462" t="s">
        <v>98</v>
      </c>
      <c r="I265" s="1358"/>
      <c r="J265" s="1358"/>
      <c r="K265" s="1358"/>
      <c r="L265" s="1358"/>
      <c r="M265" s="1358"/>
      <c r="N265" s="1359"/>
      <c r="O265" s="1462" t="s">
        <v>282</v>
      </c>
      <c r="P265" s="1358"/>
      <c r="Q265" s="1358"/>
      <c r="R265" s="1358"/>
      <c r="S265" s="1358"/>
      <c r="T265" s="1358"/>
      <c r="U265" s="1463"/>
      <c r="X265"/>
      <c r="Y265"/>
      <c r="Z265"/>
    </row>
    <row r="266" spans="1:26" ht="24.4" customHeight="1">
      <c r="A266" s="1231"/>
      <c r="B266" s="137"/>
      <c r="C266" s="137"/>
      <c r="D266" s="137"/>
      <c r="E266" s="1342" t="s">
        <v>183</v>
      </c>
      <c r="F266" s="1343"/>
      <c r="G266" s="1344"/>
      <c r="H266" s="1459" t="s">
        <v>283</v>
      </c>
      <c r="I266" s="1460"/>
      <c r="J266" s="1460"/>
      <c r="K266" s="1460"/>
      <c r="L266" s="1460"/>
      <c r="M266" s="1460"/>
      <c r="N266" s="1555"/>
      <c r="O266" s="1459" t="s">
        <v>284</v>
      </c>
      <c r="P266" s="1460"/>
      <c r="Q266" s="1460"/>
      <c r="R266" s="1460"/>
      <c r="S266" s="1460"/>
      <c r="T266" s="1460"/>
      <c r="U266" s="1461"/>
      <c r="X266"/>
      <c r="Y266"/>
      <c r="Z266"/>
    </row>
    <row r="267" spans="1:26" ht="24.4" customHeight="1">
      <c r="A267" s="1231"/>
      <c r="B267" s="137"/>
      <c r="C267" s="137"/>
      <c r="D267" s="137"/>
      <c r="E267" s="1342" t="s">
        <v>186</v>
      </c>
      <c r="F267" s="1343"/>
      <c r="G267" s="1344"/>
      <c r="H267" s="1459" t="s">
        <v>285</v>
      </c>
      <c r="I267" s="1460"/>
      <c r="J267" s="1460"/>
      <c r="K267" s="1460"/>
      <c r="L267" s="1460"/>
      <c r="M267" s="1460"/>
      <c r="N267" s="1555"/>
      <c r="O267" s="1459" t="s">
        <v>286</v>
      </c>
      <c r="P267" s="1460"/>
      <c r="Q267" s="1460"/>
      <c r="R267" s="1460"/>
      <c r="S267" s="1460"/>
      <c r="T267" s="1460"/>
      <c r="U267" s="1461"/>
      <c r="X267"/>
      <c r="Y267"/>
      <c r="Z267"/>
    </row>
    <row r="268" spans="1:26" ht="24.4" customHeight="1">
      <c r="A268" s="1231"/>
      <c r="B268" s="137"/>
      <c r="C268" s="137"/>
      <c r="D268" s="137"/>
      <c r="E268" s="1342" t="s">
        <v>189</v>
      </c>
      <c r="F268" s="1343"/>
      <c r="G268" s="1344"/>
      <c r="H268" s="1459" t="s">
        <v>287</v>
      </c>
      <c r="I268" s="1460"/>
      <c r="J268" s="1460"/>
      <c r="K268" s="1460"/>
      <c r="L268" s="1460"/>
      <c r="M268" s="1460"/>
      <c r="N268" s="1555"/>
      <c r="O268" s="1459" t="s">
        <v>288</v>
      </c>
      <c r="P268" s="1460"/>
      <c r="Q268" s="1460"/>
      <c r="R268" s="1460"/>
      <c r="S268" s="1460"/>
      <c r="T268" s="1460"/>
      <c r="U268" s="1461"/>
      <c r="X268"/>
      <c r="Y268"/>
      <c r="Z268"/>
    </row>
    <row r="269" spans="1:26" ht="24.4" customHeight="1">
      <c r="A269" s="1231"/>
      <c r="B269" s="137"/>
      <c r="C269" s="137"/>
      <c r="D269" s="137"/>
      <c r="E269" s="1342" t="s">
        <v>192</v>
      </c>
      <c r="F269" s="1343"/>
      <c r="G269" s="1344"/>
      <c r="H269" s="1459" t="s">
        <v>289</v>
      </c>
      <c r="I269" s="1460"/>
      <c r="J269" s="1460"/>
      <c r="K269" s="1460"/>
      <c r="L269" s="1460"/>
      <c r="M269" s="1460"/>
      <c r="N269" s="1555"/>
      <c r="O269" s="1459" t="s">
        <v>290</v>
      </c>
      <c r="P269" s="1460"/>
      <c r="Q269" s="1460"/>
      <c r="R269" s="1460"/>
      <c r="S269" s="1460"/>
      <c r="T269" s="1460"/>
      <c r="U269" s="1461"/>
      <c r="X269"/>
      <c r="Y269"/>
      <c r="Z269"/>
    </row>
    <row r="270" spans="1:26" ht="24.4" customHeight="1">
      <c r="A270" s="1231"/>
      <c r="B270" s="137"/>
      <c r="C270" s="137"/>
      <c r="D270" s="137"/>
      <c r="E270" s="1342" t="s">
        <v>195</v>
      </c>
      <c r="F270" s="1343"/>
      <c r="G270" s="1344"/>
      <c r="H270" s="1459" t="s">
        <v>291</v>
      </c>
      <c r="I270" s="1460"/>
      <c r="J270" s="1460"/>
      <c r="K270" s="1460"/>
      <c r="L270" s="1460"/>
      <c r="M270" s="1460"/>
      <c r="N270" s="1555"/>
      <c r="O270" s="1459" t="s">
        <v>290</v>
      </c>
      <c r="P270" s="1460"/>
      <c r="Q270" s="1460"/>
      <c r="R270" s="1460"/>
      <c r="S270" s="1460"/>
      <c r="T270" s="1460"/>
      <c r="U270" s="1461"/>
      <c r="X270"/>
      <c r="Y270"/>
      <c r="Z270"/>
    </row>
    <row r="271" spans="1:26" ht="24.4" customHeight="1">
      <c r="A271" s="1231"/>
      <c r="B271" s="137"/>
      <c r="C271" s="137"/>
      <c r="D271" s="137"/>
      <c r="E271" s="1342" t="s">
        <v>197</v>
      </c>
      <c r="F271" s="1343"/>
      <c r="G271" s="1344"/>
      <c r="H271" s="1459" t="s">
        <v>292</v>
      </c>
      <c r="I271" s="1460"/>
      <c r="J271" s="1460"/>
      <c r="K271" s="1460"/>
      <c r="L271" s="1460"/>
      <c r="M271" s="1460"/>
      <c r="N271" s="1555"/>
      <c r="O271" s="1459" t="s">
        <v>293</v>
      </c>
      <c r="P271" s="1460"/>
      <c r="Q271" s="1460"/>
      <c r="R271" s="1460"/>
      <c r="S271" s="1460"/>
      <c r="T271" s="1460"/>
      <c r="U271" s="1461"/>
      <c r="X271"/>
      <c r="Y271"/>
      <c r="Z271"/>
    </row>
    <row r="272" spans="1:26" ht="24.4" customHeight="1">
      <c r="A272" s="1231"/>
      <c r="B272" s="137"/>
      <c r="C272" s="137"/>
      <c r="D272" s="137"/>
      <c r="E272" s="1342" t="s">
        <v>199</v>
      </c>
      <c r="F272" s="1343"/>
      <c r="G272" s="1344"/>
      <c r="H272" s="1459" t="s">
        <v>294</v>
      </c>
      <c r="I272" s="1460"/>
      <c r="J272" s="1460"/>
      <c r="K272" s="1460"/>
      <c r="L272" s="1460"/>
      <c r="M272" s="1460"/>
      <c r="N272" s="1555"/>
      <c r="O272" s="1459" t="s">
        <v>295</v>
      </c>
      <c r="P272" s="1460"/>
      <c r="Q272" s="1460"/>
      <c r="R272" s="1460"/>
      <c r="S272" s="1460"/>
      <c r="T272" s="1460"/>
      <c r="U272" s="1461"/>
      <c r="X272"/>
      <c r="Y272"/>
      <c r="Z272"/>
    </row>
    <row r="273" spans="1:26" ht="24.4" customHeight="1">
      <c r="A273" s="1231"/>
      <c r="B273" s="137"/>
      <c r="C273" s="137"/>
      <c r="D273" s="137"/>
      <c r="E273" s="1342" t="s">
        <v>202</v>
      </c>
      <c r="F273" s="1343"/>
      <c r="G273" s="1344"/>
      <c r="H273" s="1459" t="s">
        <v>296</v>
      </c>
      <c r="I273" s="1460"/>
      <c r="J273" s="1460"/>
      <c r="K273" s="1460"/>
      <c r="L273" s="1460"/>
      <c r="M273" s="1460"/>
      <c r="N273" s="1555"/>
      <c r="O273" s="1459" t="s">
        <v>290</v>
      </c>
      <c r="P273" s="1460"/>
      <c r="Q273" s="1460"/>
      <c r="R273" s="1460"/>
      <c r="S273" s="1460"/>
      <c r="T273" s="1460"/>
      <c r="U273" s="1461"/>
      <c r="X273"/>
      <c r="Y273"/>
      <c r="Z273"/>
    </row>
    <row r="274" spans="1:26" ht="24.4" customHeight="1">
      <c r="A274" s="1231"/>
      <c r="B274" s="137"/>
      <c r="C274" s="137"/>
      <c r="D274" s="137"/>
      <c r="E274" s="1342" t="s">
        <v>204</v>
      </c>
      <c r="F274" s="1343"/>
      <c r="G274" s="1344"/>
      <c r="H274" s="1459" t="s">
        <v>297</v>
      </c>
      <c r="I274" s="1460"/>
      <c r="J274" s="1460"/>
      <c r="K274" s="1460"/>
      <c r="L274" s="1460"/>
      <c r="M274" s="1460"/>
      <c r="N274" s="1555"/>
      <c r="O274" s="1459" t="s">
        <v>290</v>
      </c>
      <c r="P274" s="1460"/>
      <c r="Q274" s="1460"/>
      <c r="R274" s="1460"/>
      <c r="S274" s="1460"/>
      <c r="T274" s="1460"/>
      <c r="U274" s="1461"/>
      <c r="X274"/>
      <c r="Y274"/>
      <c r="Z274"/>
    </row>
    <row r="275" spans="1:26" ht="24.4" customHeight="1">
      <c r="A275" s="1231"/>
      <c r="B275" s="137"/>
      <c r="C275" s="137"/>
      <c r="D275" s="137"/>
      <c r="E275" s="1342" t="s">
        <v>206</v>
      </c>
      <c r="F275" s="1343"/>
      <c r="G275" s="1344"/>
      <c r="H275" s="1459" t="s">
        <v>298</v>
      </c>
      <c r="I275" s="1460"/>
      <c r="J275" s="1460"/>
      <c r="K275" s="1460"/>
      <c r="L275" s="1460"/>
      <c r="M275" s="1460"/>
      <c r="N275" s="1555"/>
      <c r="O275" s="1459" t="s">
        <v>299</v>
      </c>
      <c r="P275" s="1460"/>
      <c r="Q275" s="1460"/>
      <c r="R275" s="1460"/>
      <c r="S275" s="1460"/>
      <c r="T275" s="1460"/>
      <c r="U275" s="1461"/>
      <c r="X275"/>
      <c r="Y275"/>
      <c r="Z275"/>
    </row>
    <row r="276" spans="1:26" ht="24.4" customHeight="1">
      <c r="A276" s="1231"/>
      <c r="B276" s="137"/>
      <c r="C276" s="137"/>
      <c r="D276" s="137"/>
      <c r="E276" s="1342" t="s">
        <v>209</v>
      </c>
      <c r="F276" s="1343"/>
      <c r="G276" s="1344"/>
      <c r="H276" s="1459" t="s">
        <v>300</v>
      </c>
      <c r="I276" s="1460"/>
      <c r="J276" s="1460"/>
      <c r="K276" s="1460"/>
      <c r="L276" s="1460"/>
      <c r="M276" s="1460"/>
      <c r="N276" s="1555"/>
      <c r="O276" s="1459" t="s">
        <v>301</v>
      </c>
      <c r="P276" s="1460"/>
      <c r="Q276" s="1460"/>
      <c r="R276" s="1460"/>
      <c r="S276" s="1460"/>
      <c r="T276" s="1460"/>
      <c r="U276" s="1461"/>
      <c r="X276"/>
      <c r="Y276"/>
      <c r="Z276"/>
    </row>
    <row r="277" spans="1:26" ht="24.4" customHeight="1">
      <c r="A277" s="1231"/>
      <c r="B277" s="137"/>
      <c r="C277" s="137"/>
      <c r="D277" s="137"/>
      <c r="E277" s="1342" t="s">
        <v>212</v>
      </c>
      <c r="F277" s="1343"/>
      <c r="G277" s="1344"/>
      <c r="H277" s="1459" t="s">
        <v>302</v>
      </c>
      <c r="I277" s="1460"/>
      <c r="J277" s="1460"/>
      <c r="K277" s="1460"/>
      <c r="L277" s="1460"/>
      <c r="M277" s="1460"/>
      <c r="N277" s="1555"/>
      <c r="O277" s="1459" t="s">
        <v>290</v>
      </c>
      <c r="P277" s="1460"/>
      <c r="Q277" s="1460"/>
      <c r="R277" s="1460"/>
      <c r="S277" s="1460"/>
      <c r="T277" s="1460"/>
      <c r="U277" s="1461"/>
      <c r="X277"/>
      <c r="Y277"/>
      <c r="Z277"/>
    </row>
    <row r="278" spans="1:26" ht="24.4" customHeight="1">
      <c r="A278" s="1231"/>
      <c r="B278" s="137"/>
      <c r="C278" s="137"/>
      <c r="D278" s="137"/>
      <c r="E278" s="1342" t="s">
        <v>214</v>
      </c>
      <c r="F278" s="1343"/>
      <c r="G278" s="1344"/>
      <c r="H278" s="1459" t="s">
        <v>303</v>
      </c>
      <c r="I278" s="1460"/>
      <c r="J278" s="1460"/>
      <c r="K278" s="1460"/>
      <c r="L278" s="1460"/>
      <c r="M278" s="1460"/>
      <c r="N278" s="1555"/>
      <c r="O278" s="1459" t="s">
        <v>290</v>
      </c>
      <c r="P278" s="1460"/>
      <c r="Q278" s="1460"/>
      <c r="R278" s="1460"/>
      <c r="S278" s="1460"/>
      <c r="T278" s="1460"/>
      <c r="U278" s="1461"/>
      <c r="X278"/>
      <c r="Y278"/>
      <c r="Z278"/>
    </row>
    <row r="279" spans="1:26" ht="24.4" customHeight="1">
      <c r="A279" s="1231"/>
      <c r="B279" s="137"/>
      <c r="C279" s="137"/>
      <c r="D279" s="137"/>
      <c r="E279" s="1342" t="s">
        <v>216</v>
      </c>
      <c r="F279" s="1343"/>
      <c r="G279" s="1344"/>
      <c r="H279" s="1459" t="s">
        <v>304</v>
      </c>
      <c r="I279" s="1460"/>
      <c r="J279" s="1460"/>
      <c r="K279" s="1460"/>
      <c r="L279" s="1460"/>
      <c r="M279" s="1460"/>
      <c r="N279" s="1555"/>
      <c r="O279" s="1459" t="s">
        <v>290</v>
      </c>
      <c r="P279" s="1460"/>
      <c r="Q279" s="1460"/>
      <c r="R279" s="1460"/>
      <c r="S279" s="1460"/>
      <c r="T279" s="1460"/>
      <c r="U279" s="1461"/>
      <c r="X279"/>
      <c r="Y279"/>
      <c r="Z279"/>
    </row>
    <row r="280" spans="1:26" ht="24.4" customHeight="1" thickBot="1">
      <c r="A280" s="1231"/>
      <c r="B280" s="137"/>
      <c r="C280" s="137"/>
      <c r="D280" s="137"/>
      <c r="E280" s="1369" t="s">
        <v>218</v>
      </c>
      <c r="F280" s="1370"/>
      <c r="G280" s="1371"/>
      <c r="H280" s="1557" t="s">
        <v>305</v>
      </c>
      <c r="I280" s="1558"/>
      <c r="J280" s="1558"/>
      <c r="K280" s="1558"/>
      <c r="L280" s="1558"/>
      <c r="M280" s="1558"/>
      <c r="N280" s="1559"/>
      <c r="O280" s="1557" t="s">
        <v>290</v>
      </c>
      <c r="P280" s="1558"/>
      <c r="Q280" s="1558"/>
      <c r="R280" s="1558"/>
      <c r="S280" s="1558"/>
      <c r="T280" s="1558"/>
      <c r="U280" s="1560"/>
      <c r="V280" s="137"/>
      <c r="X280"/>
      <c r="Y280"/>
      <c r="Z280"/>
    </row>
    <row r="281" spans="1:26" ht="24.4" customHeight="1" thickTop="1">
      <c r="A281" s="1231"/>
      <c r="B281" s="137"/>
      <c r="C281" s="137"/>
      <c r="D281" s="137"/>
      <c r="E281" s="592"/>
      <c r="F281" s="592"/>
      <c r="G281" s="592"/>
      <c r="H281" s="592"/>
      <c r="I281" s="592"/>
      <c r="J281" s="592"/>
      <c r="K281" s="592"/>
      <c r="L281" s="592"/>
      <c r="M281" s="592"/>
      <c r="N281" s="592"/>
      <c r="O281" s="592"/>
      <c r="P281" s="592"/>
      <c r="Q281" s="592"/>
      <c r="R281" s="592"/>
      <c r="S281" s="592"/>
      <c r="T281" s="592"/>
      <c r="U281" s="592"/>
      <c r="V281" s="137"/>
      <c r="X281"/>
      <c r="Y281"/>
      <c r="Z281"/>
    </row>
    <row r="282" spans="1:26" ht="24.4" customHeight="1">
      <c r="A282" s="1231"/>
      <c r="B282" s="137"/>
      <c r="C282" s="137"/>
      <c r="D282" s="137"/>
      <c r="E282" s="632" t="s">
        <v>56</v>
      </c>
      <c r="F282" s="137"/>
      <c r="G282" s="137"/>
      <c r="H282" s="137"/>
      <c r="I282" s="592"/>
      <c r="J282" s="592"/>
      <c r="K282" s="592"/>
      <c r="L282" s="592"/>
      <c r="M282" s="592"/>
      <c r="N282" s="592"/>
      <c r="O282" s="592"/>
      <c r="P282" s="592"/>
      <c r="Q282" s="592"/>
      <c r="R282" s="592"/>
      <c r="S282" s="592"/>
      <c r="T282" s="592"/>
      <c r="U282" s="592"/>
      <c r="V282" s="137"/>
      <c r="X282"/>
      <c r="Y282"/>
      <c r="Z282"/>
    </row>
    <row r="283" spans="1:26" ht="24.4" customHeight="1">
      <c r="A283" s="1231"/>
      <c r="B283" s="137"/>
      <c r="C283" s="137"/>
      <c r="D283" s="137"/>
      <c r="E283" s="732" t="s">
        <v>306</v>
      </c>
      <c r="F283" s="732"/>
      <c r="G283" s="732"/>
      <c r="H283" s="137"/>
      <c r="I283" s="639"/>
      <c r="J283" s="137"/>
      <c r="K283" s="137"/>
      <c r="L283" s="592"/>
      <c r="M283" s="592"/>
      <c r="N283" s="592"/>
      <c r="O283" s="592"/>
      <c r="P283" s="592"/>
      <c r="Q283" s="1368"/>
      <c r="R283" s="1368"/>
      <c r="S283" s="1368"/>
      <c r="T283" s="1368"/>
      <c r="U283" s="1368"/>
      <c r="V283" s="137"/>
      <c r="X283"/>
      <c r="Y283"/>
      <c r="Z283"/>
    </row>
    <row r="284" spans="1:26" ht="24.4" customHeight="1" thickBot="1">
      <c r="A284" s="1231"/>
      <c r="B284" s="137"/>
      <c r="C284" s="137"/>
      <c r="D284" s="137"/>
      <c r="E284" s="732" t="s">
        <v>307</v>
      </c>
      <c r="F284" s="732"/>
      <c r="G284" s="732"/>
      <c r="H284" s="732"/>
      <c r="I284" s="639"/>
      <c r="J284" s="639"/>
      <c r="K284" s="639"/>
      <c r="L284" s="592"/>
      <c r="M284" s="592"/>
      <c r="N284" s="592"/>
      <c r="O284" s="592"/>
      <c r="P284" s="592"/>
      <c r="Q284" s="592"/>
      <c r="R284" s="592"/>
      <c r="S284" s="592"/>
      <c r="T284" s="592"/>
      <c r="U284" s="592"/>
      <c r="V284" s="137"/>
      <c r="X284"/>
      <c r="Y284"/>
      <c r="Z284"/>
    </row>
    <row r="285" spans="1:26" ht="24.4" customHeight="1" thickTop="1">
      <c r="A285" s="1231"/>
      <c r="B285" s="137"/>
      <c r="C285" s="137"/>
      <c r="D285" s="137"/>
      <c r="E285" s="1379" t="s">
        <v>281</v>
      </c>
      <c r="F285" s="1380"/>
      <c r="G285" s="1380"/>
      <c r="H285" s="1380" t="s">
        <v>98</v>
      </c>
      <c r="I285" s="1380"/>
      <c r="J285" s="1380"/>
      <c r="K285" s="1380"/>
      <c r="L285" s="1380"/>
      <c r="M285" s="1380"/>
      <c r="N285" s="1380"/>
      <c r="O285" s="1380" t="s">
        <v>282</v>
      </c>
      <c r="P285" s="1380"/>
      <c r="Q285" s="1380"/>
      <c r="R285" s="1380"/>
      <c r="S285" s="1380"/>
      <c r="T285" s="1380"/>
      <c r="U285" s="1455"/>
      <c r="V285" s="137"/>
      <c r="X285"/>
      <c r="Y285"/>
      <c r="Z285"/>
    </row>
    <row r="286" spans="1:26" ht="24.4" customHeight="1">
      <c r="A286" s="1231"/>
      <c r="B286" s="137"/>
      <c r="C286" s="137"/>
      <c r="D286" s="137"/>
      <c r="E286" s="1377" t="s">
        <v>183</v>
      </c>
      <c r="F286" s="1378"/>
      <c r="G286" s="1378"/>
      <c r="H286" s="1341" t="s">
        <v>283</v>
      </c>
      <c r="I286" s="1341"/>
      <c r="J286" s="1341"/>
      <c r="K286" s="1341"/>
      <c r="L286" s="1341"/>
      <c r="M286" s="1341"/>
      <c r="N286" s="1341"/>
      <c r="O286" s="1341" t="s">
        <v>308</v>
      </c>
      <c r="P286" s="1341"/>
      <c r="Q286" s="1341"/>
      <c r="R286" s="1341"/>
      <c r="S286" s="1341"/>
      <c r="T286" s="1341"/>
      <c r="U286" s="1556"/>
      <c r="V286" s="137"/>
      <c r="X286"/>
      <c r="Y286"/>
      <c r="Z286"/>
    </row>
    <row r="287" spans="1:26" ht="24.4" customHeight="1">
      <c r="A287" s="1231"/>
      <c r="B287" s="137"/>
      <c r="C287" s="137"/>
      <c r="D287" s="137"/>
      <c r="E287" s="1377" t="s">
        <v>221</v>
      </c>
      <c r="F287" s="1378"/>
      <c r="G287" s="1378"/>
      <c r="H287" s="1341" t="s">
        <v>285</v>
      </c>
      <c r="I287" s="1341"/>
      <c r="J287" s="1341"/>
      <c r="K287" s="1341"/>
      <c r="L287" s="1341"/>
      <c r="M287" s="1341"/>
      <c r="N287" s="1341"/>
      <c r="O287" s="1341" t="s">
        <v>309</v>
      </c>
      <c r="P287" s="1341"/>
      <c r="Q287" s="1341"/>
      <c r="R287" s="1341"/>
      <c r="S287" s="1341"/>
      <c r="T287" s="1341"/>
      <c r="U287" s="1556"/>
      <c r="V287" s="137"/>
      <c r="X287"/>
      <c r="Y287"/>
      <c r="Z287"/>
    </row>
    <row r="288" spans="1:26" ht="24.4" customHeight="1">
      <c r="A288" s="1231"/>
      <c r="B288" s="137"/>
      <c r="C288" s="137"/>
      <c r="D288" s="137"/>
      <c r="E288" s="1377" t="s">
        <v>195</v>
      </c>
      <c r="F288" s="1378"/>
      <c r="G288" s="1378"/>
      <c r="H288" s="1341" t="s">
        <v>291</v>
      </c>
      <c r="I288" s="1341"/>
      <c r="J288" s="1341"/>
      <c r="K288" s="1341"/>
      <c r="L288" s="1341"/>
      <c r="M288" s="1341"/>
      <c r="N288" s="1341"/>
      <c r="O288" s="1341" t="s">
        <v>290</v>
      </c>
      <c r="P288" s="1341"/>
      <c r="Q288" s="1341"/>
      <c r="R288" s="1341"/>
      <c r="S288" s="1341"/>
      <c r="T288" s="1341"/>
      <c r="U288" s="1556"/>
      <c r="V288" s="137"/>
      <c r="X288"/>
      <c r="Y288"/>
      <c r="Z288"/>
    </row>
    <row r="289" spans="1:26" ht="24.4" customHeight="1">
      <c r="A289" s="1231"/>
      <c r="B289" s="137"/>
      <c r="C289" s="137"/>
      <c r="D289" s="137"/>
      <c r="E289" s="1377" t="s">
        <v>197</v>
      </c>
      <c r="F289" s="1378"/>
      <c r="G289" s="1378"/>
      <c r="H289" s="1341" t="s">
        <v>292</v>
      </c>
      <c r="I289" s="1341"/>
      <c r="J289" s="1341"/>
      <c r="K289" s="1341"/>
      <c r="L289" s="1341"/>
      <c r="M289" s="1341"/>
      <c r="N289" s="1341"/>
      <c r="O289" s="1341" t="s">
        <v>309</v>
      </c>
      <c r="P289" s="1341"/>
      <c r="Q289" s="1341"/>
      <c r="R289" s="1341"/>
      <c r="S289" s="1341"/>
      <c r="T289" s="1341"/>
      <c r="U289" s="1556"/>
      <c r="V289" s="137"/>
      <c r="X289"/>
      <c r="Y289"/>
      <c r="Z289"/>
    </row>
    <row r="290" spans="1:26" ht="24.4" customHeight="1">
      <c r="A290" s="1231"/>
      <c r="B290" s="137"/>
      <c r="C290" s="137"/>
      <c r="D290" s="137"/>
      <c r="E290" s="1377" t="s">
        <v>199</v>
      </c>
      <c r="F290" s="1378"/>
      <c r="G290" s="1378"/>
      <c r="H290" s="1341" t="s">
        <v>294</v>
      </c>
      <c r="I290" s="1341"/>
      <c r="J290" s="1341"/>
      <c r="K290" s="1341"/>
      <c r="L290" s="1341"/>
      <c r="M290" s="1341"/>
      <c r="N290" s="1341"/>
      <c r="O290" s="1341" t="s">
        <v>310</v>
      </c>
      <c r="P290" s="1341"/>
      <c r="Q290" s="1341"/>
      <c r="R290" s="1341"/>
      <c r="S290" s="1341"/>
      <c r="T290" s="1341"/>
      <c r="U290" s="1556"/>
      <c r="V290" s="137"/>
      <c r="X290"/>
      <c r="Y290"/>
      <c r="Z290"/>
    </row>
    <row r="291" spans="1:26" ht="24.4" customHeight="1">
      <c r="A291" s="1231"/>
      <c r="B291" s="137"/>
      <c r="C291" s="137"/>
      <c r="D291" s="137"/>
      <c r="E291" s="1377" t="s">
        <v>225</v>
      </c>
      <c r="F291" s="1378"/>
      <c r="G291" s="1378"/>
      <c r="H291" s="1341" t="s">
        <v>296</v>
      </c>
      <c r="I291" s="1341"/>
      <c r="J291" s="1341"/>
      <c r="K291" s="1341"/>
      <c r="L291" s="1341"/>
      <c r="M291" s="1341"/>
      <c r="N291" s="1341"/>
      <c r="O291" s="1341" t="s">
        <v>290</v>
      </c>
      <c r="P291" s="1341"/>
      <c r="Q291" s="1341"/>
      <c r="R291" s="1341"/>
      <c r="S291" s="1341"/>
      <c r="T291" s="1341"/>
      <c r="U291" s="1556"/>
      <c r="V291" s="137"/>
      <c r="X291"/>
      <c r="Y291"/>
      <c r="Z291"/>
    </row>
    <row r="292" spans="1:26" ht="24.4" customHeight="1">
      <c r="A292" s="1231"/>
      <c r="B292" s="137"/>
      <c r="C292" s="137"/>
      <c r="D292" s="137"/>
      <c r="E292" s="1377" t="s">
        <v>204</v>
      </c>
      <c r="F292" s="1378"/>
      <c r="G292" s="1378"/>
      <c r="H292" s="1341" t="s">
        <v>297</v>
      </c>
      <c r="I292" s="1341"/>
      <c r="J292" s="1341"/>
      <c r="K292" s="1341"/>
      <c r="L292" s="1341"/>
      <c r="M292" s="1341"/>
      <c r="N292" s="1341"/>
      <c r="O292" s="1341" t="s">
        <v>290</v>
      </c>
      <c r="P292" s="1341"/>
      <c r="Q292" s="1341"/>
      <c r="R292" s="1341"/>
      <c r="S292" s="1341"/>
      <c r="T292" s="1341"/>
      <c r="U292" s="1556"/>
      <c r="V292" s="137"/>
      <c r="X292"/>
      <c r="Y292"/>
      <c r="Z292"/>
    </row>
    <row r="293" spans="1:26" ht="24.4" customHeight="1">
      <c r="A293" s="1231"/>
      <c r="B293" s="137"/>
      <c r="C293" s="137"/>
      <c r="D293" s="137"/>
      <c r="E293" s="1377" t="s">
        <v>226</v>
      </c>
      <c r="F293" s="1378"/>
      <c r="G293" s="1378"/>
      <c r="H293" s="1341" t="s">
        <v>302</v>
      </c>
      <c r="I293" s="1341"/>
      <c r="J293" s="1341"/>
      <c r="K293" s="1341"/>
      <c r="L293" s="1341"/>
      <c r="M293" s="1341"/>
      <c r="N293" s="1341"/>
      <c r="O293" s="1341" t="s">
        <v>290</v>
      </c>
      <c r="P293" s="1341"/>
      <c r="Q293" s="1341"/>
      <c r="R293" s="1341"/>
      <c r="S293" s="1341"/>
      <c r="T293" s="1341"/>
      <c r="U293" s="1556"/>
      <c r="V293" s="137"/>
      <c r="X293"/>
      <c r="Y293"/>
      <c r="Z293"/>
    </row>
    <row r="294" spans="1:26" ht="24.4" customHeight="1" thickBot="1">
      <c r="A294" s="1231"/>
      <c r="B294" s="137"/>
      <c r="C294" s="137"/>
      <c r="D294" s="137"/>
      <c r="E294" s="1457" t="s">
        <v>227</v>
      </c>
      <c r="F294" s="1458"/>
      <c r="G294" s="1458"/>
      <c r="H294" s="1456" t="s">
        <v>303</v>
      </c>
      <c r="I294" s="1456"/>
      <c r="J294" s="1456"/>
      <c r="K294" s="1456"/>
      <c r="L294" s="1456"/>
      <c r="M294" s="1456"/>
      <c r="N294" s="1456"/>
      <c r="O294" s="1456" t="s">
        <v>290</v>
      </c>
      <c r="P294" s="1456"/>
      <c r="Q294" s="1456"/>
      <c r="R294" s="1456"/>
      <c r="S294" s="1456"/>
      <c r="T294" s="1456"/>
      <c r="U294" s="1561"/>
      <c r="V294" s="137"/>
      <c r="X294"/>
      <c r="Y294"/>
      <c r="Z294"/>
    </row>
    <row r="295" spans="1:26" ht="18.600000000000001" thickTop="1">
      <c r="A295" s="588"/>
      <c r="B295" s="588"/>
      <c r="C295" s="588"/>
      <c r="D295" s="588"/>
      <c r="E295" s="588"/>
      <c r="F295" s="588"/>
      <c r="G295" s="588"/>
      <c r="H295" s="588"/>
      <c r="I295" s="137"/>
      <c r="J295" s="589"/>
      <c r="K295" s="137"/>
      <c r="L295" s="590"/>
      <c r="M295" s="591"/>
      <c r="N295" s="591"/>
      <c r="O295" s="591"/>
      <c r="P295" s="591"/>
      <c r="Q295" s="591"/>
      <c r="R295" s="137"/>
      <c r="S295" s="137"/>
      <c r="T295" s="137"/>
      <c r="U295" s="137"/>
      <c r="V295" s="137"/>
      <c r="X295"/>
      <c r="Y295"/>
      <c r="Z295"/>
    </row>
    <row r="296" spans="1:26" ht="18">
      <c r="A296" s="588"/>
      <c r="B296" s="588"/>
      <c r="C296" s="588"/>
      <c r="D296" s="588"/>
      <c r="E296" s="588"/>
      <c r="F296" s="588"/>
      <c r="G296" s="588"/>
      <c r="H296" s="588"/>
      <c r="I296" s="137"/>
      <c r="J296" s="589"/>
      <c r="K296" s="137"/>
      <c r="L296" s="590"/>
      <c r="M296" s="591"/>
      <c r="N296" s="591"/>
      <c r="O296" s="591"/>
      <c r="P296" s="591"/>
      <c r="Q296" s="591"/>
      <c r="R296" s="137"/>
      <c r="S296" s="137"/>
      <c r="T296" s="137"/>
      <c r="U296" s="137"/>
      <c r="V296" s="137"/>
      <c r="X296"/>
      <c r="Y296"/>
      <c r="Z296"/>
    </row>
    <row r="297" spans="1:26" ht="18">
      <c r="A297" s="588"/>
      <c r="B297" s="588"/>
      <c r="C297" s="588"/>
      <c r="D297" s="588"/>
      <c r="E297" s="588"/>
      <c r="F297" s="588"/>
      <c r="G297" s="588"/>
      <c r="H297" s="588"/>
      <c r="I297" s="137"/>
      <c r="J297" s="589"/>
      <c r="K297" s="137"/>
      <c r="L297" s="590"/>
      <c r="M297" s="591"/>
      <c r="N297" s="591"/>
      <c r="O297" s="591"/>
      <c r="P297" s="591"/>
      <c r="Q297" s="591"/>
      <c r="R297" s="137"/>
      <c r="S297" s="137"/>
      <c r="T297" s="137"/>
      <c r="U297" s="137"/>
      <c r="V297" s="137"/>
      <c r="X297"/>
      <c r="Y297"/>
      <c r="Z297"/>
    </row>
    <row r="298" spans="1:26" ht="18">
      <c r="A298" s="588"/>
      <c r="B298" s="588"/>
      <c r="C298" s="588"/>
      <c r="D298" s="588"/>
      <c r="E298" s="588"/>
      <c r="F298" s="588"/>
      <c r="G298" s="588"/>
      <c r="H298" s="588"/>
      <c r="I298" s="137"/>
      <c r="J298" s="589"/>
      <c r="K298" s="137"/>
      <c r="L298" s="590"/>
      <c r="M298" s="591"/>
      <c r="N298" s="591"/>
      <c r="O298" s="591"/>
      <c r="P298" s="591"/>
      <c r="Q298" s="591"/>
      <c r="R298" s="137"/>
      <c r="S298" s="137"/>
      <c r="T298" s="137"/>
      <c r="U298" s="137"/>
      <c r="V298" s="137"/>
      <c r="X298"/>
      <c r="Y298"/>
      <c r="Z298"/>
    </row>
    <row r="299" spans="1:26" ht="18">
      <c r="A299" s="588"/>
      <c r="B299" s="588"/>
      <c r="C299" s="588"/>
      <c r="D299" s="588"/>
      <c r="E299" s="588"/>
      <c r="F299" s="588"/>
      <c r="G299" s="588"/>
      <c r="H299" s="588"/>
      <c r="I299" s="137"/>
      <c r="J299" s="589"/>
      <c r="K299" s="137"/>
      <c r="L299" s="590"/>
      <c r="M299" s="591"/>
      <c r="N299" s="591"/>
      <c r="O299" s="591"/>
      <c r="P299" s="591"/>
      <c r="Q299" s="591"/>
      <c r="R299" s="137"/>
      <c r="S299" s="137"/>
      <c r="T299" s="137"/>
      <c r="U299" s="137"/>
      <c r="V299" s="137"/>
      <c r="X299"/>
      <c r="Y299"/>
      <c r="Z299"/>
    </row>
    <row r="300" spans="1:26" ht="18">
      <c r="A300" s="588"/>
      <c r="B300" s="588"/>
      <c r="C300" s="588"/>
      <c r="D300" s="588"/>
      <c r="E300" s="588"/>
      <c r="F300" s="588"/>
      <c r="G300" s="588"/>
      <c r="H300" s="588"/>
      <c r="I300" s="137"/>
      <c r="J300" s="589"/>
      <c r="K300" s="137"/>
      <c r="L300" s="590"/>
      <c r="M300" s="591"/>
      <c r="N300" s="591"/>
      <c r="O300" s="591"/>
      <c r="P300" s="591"/>
      <c r="Q300" s="591"/>
      <c r="R300" s="137"/>
      <c r="S300" s="137"/>
      <c r="T300" s="137"/>
      <c r="U300" s="137"/>
      <c r="V300" s="137"/>
      <c r="X300"/>
      <c r="Y300"/>
      <c r="Z300"/>
    </row>
    <row r="301" spans="1:26" ht="18">
      <c r="A301" s="588"/>
      <c r="B301" s="588"/>
      <c r="C301" s="588"/>
      <c r="D301" s="588"/>
      <c r="E301" s="588"/>
      <c r="F301" s="588"/>
      <c r="G301" s="588"/>
      <c r="H301" s="588"/>
      <c r="I301" s="137"/>
      <c r="J301" s="589"/>
      <c r="K301" s="137"/>
      <c r="L301" s="590"/>
      <c r="M301" s="591"/>
      <c r="N301" s="591"/>
      <c r="O301" s="591"/>
      <c r="P301" s="591"/>
      <c r="Q301" s="591"/>
      <c r="R301" s="137"/>
      <c r="S301" s="137"/>
      <c r="T301" s="137"/>
      <c r="U301" s="137"/>
      <c r="V301" s="137"/>
      <c r="X301"/>
      <c r="Y301"/>
      <c r="Z301"/>
    </row>
    <row r="302" spans="1:26" ht="15.6">
      <c r="A302" s="588"/>
      <c r="B302" s="588"/>
      <c r="C302" s="588"/>
      <c r="D302" s="588"/>
      <c r="E302" s="588"/>
      <c r="F302" s="588"/>
      <c r="G302" s="588"/>
      <c r="H302" s="588"/>
      <c r="I302" s="137"/>
      <c r="J302" s="137"/>
      <c r="K302" s="137"/>
      <c r="L302" s="137"/>
      <c r="M302" s="137"/>
      <c r="N302" s="137"/>
      <c r="O302" s="137"/>
      <c r="P302" s="137"/>
      <c r="Q302" s="137"/>
      <c r="R302" s="137"/>
      <c r="S302" s="137"/>
      <c r="T302" s="137"/>
      <c r="U302" s="137"/>
      <c r="X302"/>
      <c r="Y302"/>
      <c r="Z302"/>
    </row>
    <row r="303" spans="1:26" ht="28.9">
      <c r="A303" s="1340" t="s">
        <v>228</v>
      </c>
      <c r="B303" s="1340"/>
      <c r="C303" s="1340"/>
      <c r="D303" s="1340"/>
      <c r="E303" s="1340"/>
      <c r="F303" s="1340"/>
      <c r="G303" s="1340"/>
      <c r="H303" s="1340"/>
      <c r="I303" s="1340"/>
      <c r="J303" s="1340"/>
      <c r="K303" s="1340"/>
      <c r="L303" s="1340"/>
      <c r="M303" s="1340"/>
      <c r="N303" s="1340"/>
      <c r="O303" s="137"/>
      <c r="P303" s="137"/>
      <c r="Q303" s="137"/>
      <c r="R303" s="137"/>
      <c r="S303" s="137"/>
      <c r="T303" s="137"/>
      <c r="U303" s="137"/>
      <c r="X303"/>
      <c r="Y303"/>
      <c r="Z303"/>
    </row>
    <row r="304" spans="1:26">
      <c r="A304" s="137"/>
      <c r="B304" s="137"/>
      <c r="C304" s="137"/>
      <c r="D304" s="137"/>
      <c r="E304" s="137"/>
      <c r="F304" s="137"/>
      <c r="G304" s="137"/>
      <c r="H304" s="137"/>
      <c r="I304" s="137"/>
      <c r="J304" s="137"/>
      <c r="K304" s="137"/>
      <c r="L304" s="137"/>
      <c r="M304" s="137"/>
      <c r="N304" s="137"/>
      <c r="O304" s="137"/>
      <c r="P304" s="137"/>
      <c r="Q304" s="137"/>
      <c r="R304" s="137"/>
      <c r="S304" s="137"/>
      <c r="T304" s="137"/>
      <c r="U304" s="137"/>
      <c r="X304"/>
      <c r="Y304"/>
      <c r="Z304"/>
    </row>
    <row r="305" spans="1:26">
      <c r="A305" s="137"/>
      <c r="B305" s="137"/>
      <c r="C305" s="137"/>
      <c r="D305" s="137"/>
      <c r="E305" s="137"/>
      <c r="F305" s="137"/>
      <c r="G305" s="137"/>
      <c r="H305" s="137"/>
      <c r="I305" s="137"/>
      <c r="J305" s="137"/>
      <c r="K305" s="137"/>
      <c r="L305" s="137"/>
      <c r="M305" s="137"/>
      <c r="N305" s="137"/>
      <c r="O305" s="137"/>
      <c r="P305" s="137"/>
      <c r="Q305" s="137"/>
      <c r="R305" s="137"/>
      <c r="S305" s="137"/>
      <c r="T305" s="137"/>
      <c r="U305" s="137"/>
      <c r="X305"/>
      <c r="Y305"/>
      <c r="Z305"/>
    </row>
    <row r="306" spans="1:26">
      <c r="A306" s="137"/>
      <c r="B306" s="137"/>
      <c r="C306" s="137"/>
      <c r="D306" s="137"/>
      <c r="E306" s="137"/>
      <c r="F306" s="137"/>
      <c r="G306" s="137"/>
      <c r="H306" s="137"/>
      <c r="I306" s="137"/>
      <c r="J306" s="137"/>
      <c r="K306" s="137"/>
      <c r="L306" s="137"/>
      <c r="M306" s="137"/>
      <c r="N306" s="137"/>
      <c r="O306" s="137"/>
      <c r="P306" s="137"/>
      <c r="Q306" s="137"/>
      <c r="R306" s="137"/>
      <c r="S306" s="137"/>
      <c r="T306" s="137"/>
      <c r="U306" s="137"/>
      <c r="X306"/>
      <c r="Y306"/>
      <c r="Z306"/>
    </row>
    <row r="307" spans="1:26">
      <c r="A307" s="137"/>
      <c r="B307" s="137"/>
      <c r="C307" s="137"/>
      <c r="D307" s="137"/>
      <c r="E307" s="137"/>
      <c r="F307" s="137"/>
      <c r="G307" s="137"/>
      <c r="H307" s="137"/>
      <c r="I307" s="137"/>
      <c r="J307" s="137"/>
      <c r="K307" s="137"/>
      <c r="L307" s="137"/>
      <c r="M307" s="137"/>
      <c r="N307" s="137"/>
      <c r="O307" s="137"/>
      <c r="P307" s="137"/>
      <c r="Q307" s="137"/>
      <c r="R307" s="137"/>
      <c r="S307" s="137"/>
      <c r="T307" s="137"/>
      <c r="U307" s="137"/>
      <c r="X307"/>
      <c r="Y307"/>
      <c r="Z307"/>
    </row>
    <row r="308" spans="1:26">
      <c r="A308" s="137"/>
      <c r="B308" s="137"/>
      <c r="C308" s="137"/>
      <c r="D308" s="137"/>
      <c r="E308" s="137"/>
      <c r="F308" s="137"/>
      <c r="G308" s="137"/>
      <c r="H308" s="137"/>
      <c r="I308" s="137"/>
      <c r="J308" s="137"/>
      <c r="K308" s="137"/>
      <c r="L308" s="137"/>
      <c r="M308" s="137"/>
      <c r="N308" s="137"/>
      <c r="O308" s="137"/>
      <c r="P308" s="137"/>
      <c r="Q308" s="137"/>
      <c r="R308" s="137"/>
      <c r="S308" s="137"/>
      <c r="T308" s="137"/>
      <c r="U308" s="137"/>
      <c r="X308"/>
      <c r="Y308"/>
      <c r="Z308"/>
    </row>
    <row r="309" spans="1:26">
      <c r="A309" s="137"/>
      <c r="B309" s="137"/>
      <c r="C309" s="137"/>
      <c r="D309" s="137"/>
      <c r="E309" s="137"/>
      <c r="F309" s="137"/>
      <c r="G309" s="137"/>
      <c r="H309" s="137"/>
      <c r="I309" s="137"/>
      <c r="J309" s="137"/>
      <c r="K309" s="137"/>
      <c r="L309" s="137"/>
      <c r="M309" s="137"/>
      <c r="N309" s="137"/>
      <c r="O309" s="137"/>
      <c r="P309" s="137"/>
      <c r="Q309" s="137"/>
      <c r="R309" s="137"/>
      <c r="S309" s="137"/>
      <c r="T309" s="137"/>
      <c r="U309" s="137"/>
      <c r="X309"/>
      <c r="Y309"/>
      <c r="Z309"/>
    </row>
    <row r="310" spans="1:26">
      <c r="A310" s="137"/>
      <c r="B310" s="137"/>
      <c r="C310" s="137"/>
      <c r="D310" s="137"/>
      <c r="E310" s="137"/>
      <c r="F310" s="137"/>
      <c r="G310" s="137"/>
      <c r="H310" s="137"/>
      <c r="I310" s="137"/>
      <c r="J310" s="137"/>
      <c r="K310" s="137"/>
      <c r="L310" s="137"/>
      <c r="M310" s="137"/>
      <c r="N310" s="137"/>
      <c r="O310" s="137"/>
      <c r="P310" s="137"/>
      <c r="Q310" s="137"/>
      <c r="R310" s="137"/>
      <c r="S310" s="137"/>
      <c r="T310" s="137"/>
      <c r="U310" s="137"/>
      <c r="X310"/>
      <c r="Y310"/>
      <c r="Z310"/>
    </row>
    <row r="311" spans="1:26">
      <c r="A311" s="137"/>
      <c r="B311" s="137"/>
      <c r="C311" s="137"/>
      <c r="D311" s="137"/>
      <c r="E311" s="137"/>
      <c r="F311" s="137"/>
      <c r="G311" s="137"/>
      <c r="H311" s="137"/>
      <c r="I311" s="137"/>
      <c r="J311" s="137"/>
      <c r="K311" s="137"/>
      <c r="L311" s="137"/>
      <c r="M311" s="137"/>
      <c r="N311" s="137"/>
      <c r="O311" s="137"/>
      <c r="P311" s="137"/>
      <c r="Q311" s="137"/>
      <c r="R311" s="137"/>
      <c r="S311" s="137"/>
      <c r="T311" s="137"/>
      <c r="U311" s="137"/>
      <c r="X311"/>
      <c r="Y311"/>
      <c r="Z311"/>
    </row>
    <row r="312" spans="1:26">
      <c r="A312" s="137"/>
      <c r="B312" s="137"/>
      <c r="C312" s="137"/>
      <c r="D312" s="137"/>
      <c r="E312" s="137"/>
      <c r="F312" s="137"/>
      <c r="G312" s="137"/>
      <c r="H312" s="137"/>
      <c r="I312" s="137"/>
      <c r="J312" s="137"/>
      <c r="K312" s="137"/>
      <c r="L312" s="137"/>
      <c r="M312" s="137"/>
      <c r="N312" s="137"/>
      <c r="O312" s="137"/>
      <c r="P312" s="137"/>
      <c r="Q312" s="137"/>
      <c r="R312" s="137"/>
      <c r="S312" s="137"/>
      <c r="T312" s="137"/>
      <c r="U312" s="137"/>
      <c r="X312"/>
      <c r="Y312"/>
      <c r="Z312"/>
    </row>
    <row r="313" spans="1:26">
      <c r="A313" s="137"/>
      <c r="B313" s="137"/>
      <c r="C313" s="137"/>
      <c r="D313" s="137"/>
      <c r="E313" s="137"/>
      <c r="F313" s="137"/>
      <c r="G313" s="137"/>
      <c r="H313" s="137"/>
      <c r="I313" s="137"/>
      <c r="J313" s="137"/>
      <c r="K313" s="137"/>
      <c r="L313" s="137"/>
      <c r="M313" s="137"/>
      <c r="N313" s="137"/>
      <c r="O313" s="137"/>
      <c r="P313" s="137"/>
      <c r="Q313" s="137"/>
      <c r="R313" s="137"/>
      <c r="S313" s="137"/>
      <c r="T313" s="137"/>
      <c r="U313" s="137"/>
      <c r="X313"/>
      <c r="Y313"/>
      <c r="Z313"/>
    </row>
    <row r="314" spans="1:26">
      <c r="A314" s="137"/>
      <c r="B314" s="137"/>
      <c r="C314" s="137"/>
      <c r="D314" s="137"/>
      <c r="E314" s="137"/>
      <c r="F314" s="137"/>
      <c r="G314" s="137"/>
      <c r="H314" s="137"/>
      <c r="I314" s="137"/>
      <c r="J314" s="137"/>
      <c r="K314" s="137"/>
      <c r="L314" s="137"/>
      <c r="M314" s="137"/>
      <c r="N314" s="137"/>
      <c r="O314" s="137"/>
      <c r="P314" s="137"/>
      <c r="Q314" s="137"/>
      <c r="R314" s="137"/>
      <c r="S314" s="137"/>
      <c r="T314" s="137"/>
      <c r="U314" s="137"/>
      <c r="X314"/>
      <c r="Y314"/>
      <c r="Z314"/>
    </row>
    <row r="315" spans="1:26">
      <c r="A315" s="137"/>
      <c r="B315" s="137"/>
      <c r="C315" s="137"/>
      <c r="D315" s="137"/>
      <c r="E315" s="137"/>
      <c r="F315" s="137"/>
      <c r="G315" s="137"/>
      <c r="H315" s="137"/>
      <c r="I315" s="137"/>
      <c r="J315" s="137"/>
      <c r="K315" s="137"/>
      <c r="L315" s="137"/>
      <c r="M315" s="137"/>
      <c r="N315" s="137"/>
      <c r="O315" s="137"/>
      <c r="P315" s="137"/>
      <c r="Q315" s="137"/>
      <c r="R315" s="137"/>
      <c r="S315" s="137"/>
      <c r="T315" s="137"/>
      <c r="U315" s="137"/>
      <c r="X315"/>
      <c r="Y315"/>
      <c r="Z315"/>
    </row>
    <row r="316" spans="1:26">
      <c r="A316" s="137"/>
      <c r="B316" s="137"/>
      <c r="C316" s="137"/>
      <c r="D316" s="137"/>
      <c r="E316" s="137"/>
      <c r="F316" s="137"/>
      <c r="G316" s="137"/>
      <c r="H316" s="137"/>
      <c r="I316" s="137"/>
      <c r="J316" s="137"/>
      <c r="K316" s="137"/>
      <c r="L316" s="137"/>
      <c r="M316" s="137"/>
      <c r="N316" s="137"/>
      <c r="O316" s="137"/>
      <c r="P316" s="137"/>
      <c r="Q316" s="137"/>
      <c r="R316" s="137"/>
      <c r="S316" s="137"/>
      <c r="T316" s="137"/>
      <c r="U316" s="137"/>
      <c r="X316"/>
      <c r="Y316"/>
      <c r="Z316"/>
    </row>
    <row r="317" spans="1:26">
      <c r="A317" s="137"/>
      <c r="B317" s="137"/>
      <c r="C317" s="137"/>
      <c r="D317" s="137"/>
      <c r="E317" s="137"/>
      <c r="F317" s="137"/>
      <c r="G317" s="137"/>
      <c r="H317" s="137"/>
      <c r="I317" s="137"/>
      <c r="J317" s="137"/>
      <c r="K317" s="137"/>
      <c r="L317" s="137"/>
      <c r="M317" s="137"/>
      <c r="N317" s="137"/>
      <c r="O317" s="137"/>
      <c r="P317" s="137"/>
      <c r="Q317" s="137"/>
      <c r="R317" s="137"/>
      <c r="S317" s="137"/>
      <c r="T317" s="137"/>
      <c r="U317" s="137"/>
      <c r="X317"/>
      <c r="Y317"/>
      <c r="Z317"/>
    </row>
    <row r="318" spans="1:26">
      <c r="A318" s="137"/>
      <c r="B318" s="137"/>
      <c r="C318" s="137"/>
      <c r="D318" s="137"/>
      <c r="E318" s="137"/>
      <c r="F318" s="137"/>
      <c r="G318" s="137"/>
      <c r="H318" s="137"/>
      <c r="I318" s="137"/>
      <c r="J318" s="137"/>
      <c r="K318" s="137"/>
      <c r="L318" s="137"/>
      <c r="M318" s="137"/>
      <c r="N318" s="137"/>
      <c r="O318" s="137"/>
      <c r="P318" s="137"/>
      <c r="Q318" s="137"/>
      <c r="R318" s="137"/>
      <c r="S318" s="137"/>
      <c r="T318" s="137"/>
      <c r="U318" s="137"/>
      <c r="X318"/>
      <c r="Y318"/>
      <c r="Z318"/>
    </row>
    <row r="319" spans="1:26">
      <c r="A319" s="137"/>
      <c r="B319" s="137"/>
      <c r="C319" s="137"/>
      <c r="D319" s="137"/>
      <c r="E319" s="137"/>
      <c r="F319" s="137"/>
      <c r="G319" s="137"/>
      <c r="H319" s="137"/>
      <c r="I319" s="137"/>
      <c r="J319" s="137"/>
      <c r="K319" s="137"/>
      <c r="L319" s="137"/>
      <c r="M319" s="137"/>
      <c r="N319" s="137"/>
      <c r="O319" s="137"/>
      <c r="P319" s="137"/>
      <c r="Q319" s="137"/>
      <c r="R319" s="137"/>
      <c r="S319" s="137"/>
      <c r="T319" s="137"/>
      <c r="U319" s="137"/>
      <c r="X319"/>
      <c r="Y319"/>
      <c r="Z319"/>
    </row>
    <row r="320" spans="1:26">
      <c r="A320" s="137"/>
      <c r="B320" s="137"/>
      <c r="C320" s="137"/>
      <c r="D320" s="137"/>
      <c r="E320" s="137"/>
      <c r="F320" s="137"/>
      <c r="G320" s="137"/>
      <c r="H320" s="137"/>
      <c r="I320" s="137"/>
      <c r="J320" s="137"/>
      <c r="K320" s="137"/>
      <c r="L320" s="137"/>
      <c r="M320" s="137"/>
      <c r="N320" s="137"/>
      <c r="O320" s="137"/>
      <c r="P320" s="137"/>
      <c r="Q320" s="137"/>
      <c r="R320" s="137"/>
      <c r="S320" s="137"/>
      <c r="T320" s="137"/>
      <c r="U320" s="137"/>
      <c r="X320"/>
      <c r="Y320"/>
      <c r="Z320"/>
    </row>
    <row r="321" spans="1:26">
      <c r="A321" s="137"/>
      <c r="B321" s="137"/>
      <c r="C321" s="137"/>
      <c r="D321" s="137"/>
      <c r="E321" s="137"/>
      <c r="F321" s="137"/>
      <c r="G321" s="137"/>
      <c r="H321" s="137"/>
      <c r="I321" s="137"/>
      <c r="J321" s="137"/>
      <c r="K321" s="137"/>
      <c r="L321" s="137"/>
      <c r="M321" s="137"/>
      <c r="N321" s="137"/>
      <c r="O321" s="137"/>
      <c r="P321" s="137"/>
      <c r="Q321" s="137"/>
      <c r="R321" s="137"/>
      <c r="S321" s="137"/>
      <c r="T321" s="137"/>
      <c r="U321" s="137"/>
      <c r="X321"/>
      <c r="Y321"/>
      <c r="Z321"/>
    </row>
    <row r="322" spans="1:26">
      <c r="A322" s="137"/>
      <c r="B322" s="137"/>
      <c r="C322" s="137"/>
      <c r="D322" s="137"/>
      <c r="E322" s="137"/>
      <c r="F322" s="137"/>
      <c r="G322" s="137"/>
      <c r="H322" s="137"/>
      <c r="I322" s="137"/>
      <c r="J322" s="137"/>
      <c r="K322" s="137"/>
      <c r="L322" s="137"/>
      <c r="M322" s="137"/>
      <c r="N322" s="137"/>
      <c r="O322" s="137"/>
      <c r="P322" s="137"/>
      <c r="Q322" s="137"/>
      <c r="R322" s="137"/>
      <c r="S322" s="137"/>
      <c r="T322" s="137"/>
      <c r="U322" s="137"/>
      <c r="X322"/>
      <c r="Y322"/>
      <c r="Z322"/>
    </row>
    <row r="323" spans="1:26">
      <c r="A323" s="137"/>
      <c r="B323" s="137"/>
      <c r="C323" s="137"/>
      <c r="D323" s="137"/>
      <c r="E323" s="137"/>
      <c r="F323" s="137"/>
      <c r="G323" s="137"/>
      <c r="H323" s="137"/>
      <c r="I323" s="137"/>
      <c r="J323" s="137"/>
      <c r="K323" s="137"/>
      <c r="L323" s="137"/>
      <c r="M323" s="137"/>
      <c r="N323" s="137"/>
      <c r="O323" s="137"/>
      <c r="P323" s="137"/>
      <c r="Q323" s="137"/>
      <c r="R323" s="137"/>
      <c r="S323" s="137"/>
      <c r="T323" s="137"/>
      <c r="U323" s="137"/>
      <c r="X323"/>
      <c r="Y323"/>
      <c r="Z323"/>
    </row>
    <row r="324" spans="1:26">
      <c r="A324" s="137"/>
      <c r="B324" s="137"/>
      <c r="C324" s="137"/>
      <c r="D324" s="137"/>
      <c r="E324" s="137"/>
      <c r="F324" s="137"/>
      <c r="G324" s="137"/>
      <c r="H324" s="137"/>
      <c r="I324" s="137"/>
      <c r="J324" s="137"/>
      <c r="K324" s="137"/>
      <c r="L324" s="137"/>
      <c r="M324" s="137"/>
      <c r="N324" s="137"/>
      <c r="O324" s="137"/>
      <c r="P324" s="137"/>
      <c r="Q324" s="137"/>
      <c r="R324" s="137"/>
      <c r="S324" s="137"/>
      <c r="T324" s="137"/>
      <c r="U324" s="137"/>
      <c r="X324"/>
      <c r="Y324"/>
      <c r="Z324"/>
    </row>
    <row r="325" spans="1:26">
      <c r="A325" s="137"/>
      <c r="B325" s="137"/>
      <c r="C325" s="137"/>
      <c r="D325" s="137"/>
      <c r="E325" s="137"/>
      <c r="F325" s="137"/>
      <c r="G325" s="137"/>
      <c r="H325" s="137"/>
      <c r="I325" s="137"/>
      <c r="J325" s="137"/>
      <c r="K325" s="137"/>
      <c r="L325" s="137"/>
      <c r="M325" s="137"/>
      <c r="N325" s="137"/>
      <c r="O325" s="137"/>
      <c r="P325" s="137"/>
      <c r="Q325" s="137"/>
      <c r="R325" s="137"/>
      <c r="S325" s="137"/>
      <c r="T325" s="137"/>
      <c r="U325" s="137"/>
      <c r="X325"/>
      <c r="Y325"/>
      <c r="Z325"/>
    </row>
    <row r="326" spans="1:26">
      <c r="A326" s="137"/>
      <c r="B326" s="137"/>
      <c r="C326" s="137"/>
      <c r="D326" s="137"/>
      <c r="E326" s="137"/>
      <c r="F326" s="137"/>
      <c r="G326" s="137"/>
      <c r="H326" s="137"/>
      <c r="I326" s="137"/>
      <c r="J326" s="137"/>
      <c r="K326" s="137"/>
      <c r="L326" s="137"/>
      <c r="M326" s="137"/>
      <c r="N326" s="137"/>
      <c r="O326" s="137"/>
      <c r="P326" s="137"/>
      <c r="Q326" s="137"/>
      <c r="R326" s="137"/>
      <c r="S326" s="137"/>
      <c r="T326" s="137"/>
      <c r="U326" s="137"/>
      <c r="X326"/>
      <c r="Y326"/>
      <c r="Z326"/>
    </row>
    <row r="327" spans="1:26">
      <c r="A327" s="137"/>
      <c r="B327" s="137"/>
      <c r="C327" s="137"/>
      <c r="D327" s="137"/>
      <c r="E327" s="137"/>
      <c r="F327" s="137"/>
      <c r="G327" s="137"/>
      <c r="H327" s="137"/>
      <c r="I327" s="137"/>
      <c r="J327" s="137"/>
      <c r="K327" s="137"/>
      <c r="L327" s="137"/>
      <c r="M327" s="137"/>
      <c r="N327" s="137"/>
      <c r="O327" s="137"/>
      <c r="P327" s="137"/>
      <c r="Q327" s="137"/>
      <c r="R327" s="137"/>
      <c r="S327" s="137"/>
      <c r="T327" s="137"/>
      <c r="U327" s="137"/>
      <c r="X327"/>
      <c r="Y327"/>
      <c r="Z327"/>
    </row>
    <row r="328" spans="1:26">
      <c r="A328" s="137"/>
      <c r="B328" s="137"/>
      <c r="C328" s="137"/>
      <c r="D328" s="137"/>
      <c r="E328" s="137"/>
      <c r="F328" s="137"/>
      <c r="G328" s="137"/>
      <c r="H328" s="137"/>
      <c r="I328" s="137"/>
      <c r="J328" s="137"/>
      <c r="K328" s="137"/>
      <c r="L328" s="137"/>
      <c r="M328" s="137"/>
      <c r="N328" s="137"/>
      <c r="O328" s="137"/>
      <c r="P328" s="137"/>
      <c r="Q328" s="137"/>
      <c r="R328" s="137"/>
      <c r="S328" s="137"/>
      <c r="T328" s="137"/>
      <c r="U328" s="137"/>
      <c r="X328"/>
      <c r="Y328"/>
      <c r="Z328"/>
    </row>
    <row r="329" spans="1:26">
      <c r="A329" s="137"/>
      <c r="B329" s="137"/>
      <c r="C329" s="137"/>
      <c r="D329" s="137"/>
      <c r="E329" s="137"/>
      <c r="F329" s="137"/>
      <c r="G329" s="137"/>
      <c r="H329" s="137"/>
      <c r="I329" s="137"/>
      <c r="J329" s="137"/>
      <c r="K329" s="137"/>
      <c r="L329" s="137"/>
      <c r="M329" s="137"/>
      <c r="N329" s="137"/>
      <c r="O329" s="137"/>
      <c r="P329" s="137"/>
      <c r="Q329" s="137"/>
      <c r="R329" s="137"/>
      <c r="S329" s="137"/>
      <c r="T329" s="137"/>
      <c r="U329" s="137"/>
    </row>
    <row r="330" spans="1:26">
      <c r="A330" s="137"/>
      <c r="B330" s="137"/>
      <c r="C330" s="137"/>
      <c r="D330" s="137"/>
      <c r="E330" s="137"/>
      <c r="F330" s="137"/>
      <c r="G330" s="137"/>
      <c r="H330" s="137"/>
      <c r="I330" s="137"/>
      <c r="J330" s="137"/>
      <c r="K330" s="137"/>
      <c r="L330" s="137"/>
      <c r="M330" s="137"/>
      <c r="N330" s="137"/>
      <c r="O330" s="137"/>
      <c r="P330" s="137"/>
      <c r="Q330" s="137"/>
      <c r="R330" s="137"/>
      <c r="S330" s="137"/>
      <c r="T330" s="137"/>
      <c r="U330" s="137"/>
    </row>
    <row r="331" spans="1:26">
      <c r="A331" s="137"/>
      <c r="B331" s="137"/>
      <c r="C331" s="137"/>
      <c r="D331" s="137"/>
      <c r="E331" s="137"/>
      <c r="F331" s="137"/>
      <c r="G331" s="137"/>
      <c r="H331" s="137"/>
      <c r="I331" s="137"/>
      <c r="J331" s="137"/>
      <c r="K331" s="137"/>
      <c r="L331" s="137"/>
      <c r="M331" s="137"/>
      <c r="N331" s="137"/>
      <c r="O331" s="137"/>
      <c r="P331" s="137"/>
      <c r="Q331" s="137"/>
      <c r="R331" s="137"/>
      <c r="S331" s="137"/>
      <c r="T331" s="137"/>
      <c r="U331" s="137"/>
    </row>
    <row r="332" spans="1:26">
      <c r="A332" s="137"/>
      <c r="B332" s="137"/>
      <c r="C332" s="137"/>
      <c r="D332" s="137"/>
      <c r="E332" s="137"/>
      <c r="F332" s="137"/>
      <c r="G332" s="137"/>
      <c r="H332" s="137"/>
      <c r="I332" s="137"/>
      <c r="J332" s="137"/>
      <c r="K332" s="137"/>
      <c r="L332" s="137"/>
      <c r="M332" s="137"/>
      <c r="N332" s="137"/>
      <c r="O332" s="137"/>
      <c r="P332" s="137"/>
      <c r="Q332" s="137"/>
      <c r="R332" s="137"/>
      <c r="S332" s="137"/>
      <c r="T332" s="137"/>
      <c r="U332" s="137"/>
    </row>
    <row r="333" spans="1:26">
      <c r="A333" s="137"/>
      <c r="B333" s="137"/>
      <c r="C333" s="137"/>
      <c r="D333" s="137"/>
      <c r="E333" s="137"/>
      <c r="F333" s="137"/>
      <c r="G333" s="137"/>
      <c r="H333" s="137"/>
      <c r="I333" s="137"/>
      <c r="J333" s="137"/>
      <c r="K333" s="137"/>
      <c r="L333" s="137"/>
      <c r="M333" s="137"/>
      <c r="N333" s="137"/>
      <c r="O333" s="137"/>
      <c r="P333" s="137"/>
      <c r="Q333" s="137"/>
      <c r="R333" s="137"/>
      <c r="S333" s="137"/>
      <c r="T333" s="137"/>
      <c r="U333" s="137"/>
    </row>
    <row r="334" spans="1:26">
      <c r="A334" s="137"/>
      <c r="B334" s="137"/>
      <c r="C334" s="137"/>
      <c r="D334" s="137"/>
      <c r="E334" s="137"/>
      <c r="F334" s="137"/>
      <c r="G334" s="137"/>
      <c r="H334" s="137"/>
      <c r="I334" s="137"/>
      <c r="J334" s="137"/>
      <c r="K334" s="137"/>
      <c r="L334" s="137"/>
      <c r="M334" s="137"/>
      <c r="N334" s="137"/>
      <c r="O334" s="137"/>
      <c r="P334" s="137"/>
      <c r="Q334" s="137"/>
      <c r="R334" s="137"/>
      <c r="S334" s="137"/>
      <c r="T334" s="137"/>
      <c r="U334" s="137"/>
    </row>
    <row r="335" spans="1:26">
      <c r="A335" s="137"/>
      <c r="B335" s="137"/>
      <c r="C335" s="137"/>
      <c r="D335" s="137"/>
      <c r="E335" s="137"/>
      <c r="F335" s="137"/>
      <c r="G335" s="137"/>
      <c r="H335" s="137"/>
      <c r="I335" s="137"/>
      <c r="J335" s="137"/>
      <c r="K335" s="137"/>
      <c r="L335" s="137"/>
      <c r="M335" s="137"/>
      <c r="N335" s="137"/>
      <c r="O335" s="137"/>
      <c r="P335" s="137"/>
      <c r="Q335" s="137"/>
      <c r="R335" s="137"/>
      <c r="S335" s="137"/>
      <c r="T335" s="137"/>
      <c r="U335" s="137"/>
    </row>
    <row r="336" spans="1:26">
      <c r="A336" s="137"/>
      <c r="B336" s="137"/>
      <c r="C336" s="137"/>
      <c r="D336" s="137"/>
      <c r="E336" s="137"/>
      <c r="F336" s="137"/>
      <c r="G336" s="137"/>
      <c r="H336" s="137"/>
      <c r="I336" s="137"/>
      <c r="J336" s="137"/>
      <c r="K336" s="137"/>
      <c r="L336" s="137"/>
      <c r="M336" s="137"/>
      <c r="N336" s="137"/>
      <c r="O336" s="137"/>
      <c r="P336" s="137"/>
      <c r="Q336" s="137"/>
      <c r="R336" s="137"/>
      <c r="S336" s="137"/>
      <c r="T336" s="137"/>
      <c r="U336" s="137"/>
    </row>
    <row r="337" spans="1:21">
      <c r="A337" s="137"/>
      <c r="B337" s="137"/>
      <c r="C337" s="137"/>
      <c r="D337" s="137"/>
      <c r="E337" s="137"/>
      <c r="F337" s="137"/>
      <c r="G337" s="137"/>
      <c r="H337" s="137"/>
      <c r="I337" s="137"/>
      <c r="J337" s="137"/>
      <c r="K337" s="137"/>
      <c r="L337" s="137"/>
      <c r="M337" s="137"/>
      <c r="N337" s="137"/>
      <c r="O337" s="137"/>
      <c r="P337" s="137"/>
      <c r="Q337" s="137"/>
      <c r="R337" s="137"/>
      <c r="S337" s="137"/>
      <c r="T337" s="137"/>
      <c r="U337" s="137"/>
    </row>
    <row r="338" spans="1:21">
      <c r="A338" s="137"/>
      <c r="B338" s="137"/>
      <c r="C338" s="137"/>
      <c r="D338" s="137"/>
      <c r="E338" s="137"/>
      <c r="F338" s="137"/>
      <c r="G338" s="137"/>
      <c r="H338" s="137"/>
      <c r="I338" s="137"/>
      <c r="J338" s="137"/>
      <c r="K338" s="137"/>
      <c r="L338" s="137"/>
      <c r="M338" s="137"/>
      <c r="N338" s="137"/>
      <c r="O338" s="137"/>
      <c r="P338" s="137"/>
      <c r="Q338" s="137"/>
      <c r="R338" s="137"/>
      <c r="S338" s="137"/>
      <c r="T338" s="137"/>
      <c r="U338" s="137"/>
    </row>
    <row r="339" spans="1:21">
      <c r="A339" s="137"/>
      <c r="B339" s="137"/>
      <c r="C339" s="137"/>
      <c r="D339" s="137"/>
      <c r="E339" s="137"/>
      <c r="F339" s="137"/>
      <c r="G339" s="137"/>
      <c r="H339" s="137"/>
      <c r="I339" s="137"/>
      <c r="J339" s="137"/>
      <c r="K339" s="137"/>
      <c r="L339" s="137"/>
      <c r="M339" s="137"/>
      <c r="N339" s="137"/>
      <c r="O339" s="137"/>
      <c r="P339" s="137"/>
      <c r="Q339" s="137"/>
      <c r="R339" s="137"/>
      <c r="S339" s="137"/>
      <c r="T339" s="137"/>
      <c r="U339" s="137"/>
    </row>
    <row r="340" spans="1:21">
      <c r="A340" s="137"/>
      <c r="B340" s="137"/>
      <c r="C340" s="137"/>
      <c r="D340" s="137"/>
      <c r="E340" s="137"/>
      <c r="F340" s="137"/>
      <c r="G340" s="137"/>
      <c r="H340" s="137"/>
      <c r="I340" s="137"/>
      <c r="J340" s="137"/>
      <c r="K340" s="137"/>
      <c r="L340" s="137"/>
      <c r="M340" s="137"/>
      <c r="N340" s="137"/>
      <c r="O340" s="137"/>
      <c r="P340" s="137"/>
      <c r="Q340" s="137"/>
      <c r="R340" s="137"/>
      <c r="S340" s="137"/>
      <c r="T340" s="137"/>
      <c r="U340" s="137"/>
    </row>
    <row r="341" spans="1:21">
      <c r="A341" s="137"/>
      <c r="B341" s="137"/>
      <c r="C341" s="137"/>
      <c r="D341" s="137"/>
      <c r="E341" s="137"/>
      <c r="F341" s="137"/>
      <c r="G341" s="137"/>
      <c r="H341" s="137"/>
      <c r="I341" s="137"/>
      <c r="J341" s="137"/>
      <c r="K341" s="137"/>
      <c r="L341" s="137"/>
      <c r="M341" s="137"/>
      <c r="N341" s="137"/>
      <c r="O341" s="137"/>
      <c r="P341" s="137"/>
      <c r="Q341" s="137"/>
      <c r="R341" s="137"/>
      <c r="S341" s="137"/>
      <c r="T341" s="137"/>
      <c r="U341" s="137"/>
    </row>
    <row r="342" spans="1:21">
      <c r="A342" s="137"/>
      <c r="B342" s="137"/>
      <c r="C342" s="137"/>
      <c r="D342" s="137"/>
      <c r="E342" s="137"/>
      <c r="F342" s="137"/>
      <c r="G342" s="137"/>
      <c r="H342" s="137"/>
      <c r="I342" s="137"/>
      <c r="J342" s="137"/>
      <c r="K342" s="137"/>
      <c r="L342" s="137"/>
      <c r="M342" s="137"/>
      <c r="N342" s="137"/>
      <c r="O342" s="137"/>
      <c r="P342" s="137"/>
      <c r="Q342" s="137"/>
      <c r="R342" s="137"/>
      <c r="S342" s="137"/>
      <c r="T342" s="137"/>
      <c r="U342" s="137"/>
    </row>
    <row r="343" spans="1:21">
      <c r="A343" s="137"/>
      <c r="B343" s="137"/>
      <c r="C343" s="137"/>
      <c r="D343" s="137"/>
      <c r="E343" s="137"/>
      <c r="F343" s="137"/>
      <c r="G343" s="137"/>
      <c r="H343" s="137"/>
      <c r="I343" s="137"/>
      <c r="J343" s="137"/>
      <c r="K343" s="137"/>
      <c r="L343" s="137"/>
      <c r="M343" s="137"/>
      <c r="N343" s="137"/>
      <c r="O343" s="137"/>
      <c r="P343" s="137"/>
      <c r="Q343" s="137"/>
      <c r="R343" s="137"/>
      <c r="S343" s="137"/>
      <c r="T343" s="137"/>
      <c r="U343" s="137"/>
    </row>
    <row r="344" spans="1:21">
      <c r="A344" s="137"/>
      <c r="B344" s="137"/>
      <c r="C344" s="137"/>
      <c r="D344" s="137"/>
      <c r="E344" s="137"/>
      <c r="F344" s="137"/>
      <c r="G344" s="137"/>
      <c r="H344" s="137"/>
      <c r="I344" s="137"/>
      <c r="J344" s="137"/>
      <c r="K344" s="137"/>
      <c r="L344" s="137"/>
      <c r="M344" s="137"/>
      <c r="N344" s="137"/>
      <c r="O344" s="137"/>
      <c r="P344" s="137"/>
      <c r="Q344" s="137"/>
      <c r="R344" s="137"/>
      <c r="S344" s="137"/>
      <c r="T344" s="137"/>
      <c r="U344" s="137"/>
    </row>
    <row r="345" spans="1:21">
      <c r="A345" s="137"/>
      <c r="B345" s="137"/>
      <c r="C345" s="137"/>
      <c r="D345" s="137"/>
      <c r="E345" s="137"/>
      <c r="F345" s="137"/>
      <c r="G345" s="137"/>
      <c r="H345" s="137"/>
      <c r="I345" s="137"/>
      <c r="J345" s="137"/>
      <c r="K345" s="137"/>
      <c r="L345" s="137"/>
      <c r="M345" s="137"/>
      <c r="N345" s="137"/>
      <c r="O345" s="137"/>
      <c r="P345" s="137"/>
      <c r="Q345" s="137"/>
      <c r="R345" s="137"/>
      <c r="S345" s="137"/>
      <c r="T345" s="137"/>
      <c r="U345" s="137"/>
    </row>
    <row r="346" spans="1:21">
      <c r="A346" s="137"/>
      <c r="B346" s="137"/>
      <c r="C346" s="137"/>
      <c r="D346" s="137"/>
      <c r="E346" s="137"/>
      <c r="F346" s="137"/>
      <c r="G346" s="137"/>
      <c r="H346" s="137"/>
      <c r="I346" s="137"/>
      <c r="J346" s="137"/>
      <c r="K346" s="137"/>
      <c r="L346" s="137"/>
      <c r="M346" s="137"/>
      <c r="N346" s="137"/>
      <c r="O346" s="137"/>
      <c r="P346" s="137"/>
      <c r="Q346" s="137"/>
      <c r="R346" s="137"/>
      <c r="S346" s="137"/>
      <c r="T346" s="137"/>
      <c r="U346" s="137"/>
    </row>
    <row r="347" spans="1:21">
      <c r="A347" s="137"/>
      <c r="B347" s="137"/>
      <c r="C347" s="137"/>
      <c r="D347" s="137"/>
      <c r="E347" s="137"/>
      <c r="F347" s="137"/>
      <c r="G347" s="137"/>
      <c r="H347" s="137"/>
      <c r="I347" s="137"/>
      <c r="J347" s="137"/>
      <c r="K347" s="137"/>
      <c r="L347" s="137"/>
      <c r="M347" s="137"/>
      <c r="N347" s="137"/>
      <c r="O347" s="137"/>
      <c r="P347" s="137"/>
      <c r="Q347" s="137"/>
      <c r="R347" s="137"/>
      <c r="S347" s="137"/>
      <c r="T347" s="137"/>
      <c r="U347" s="137"/>
    </row>
    <row r="348" spans="1:21">
      <c r="A348" s="137"/>
      <c r="B348" s="137"/>
      <c r="C348" s="137"/>
      <c r="D348" s="137"/>
      <c r="E348" s="137"/>
      <c r="F348" s="137"/>
      <c r="G348" s="137"/>
      <c r="H348" s="137"/>
      <c r="I348" s="137"/>
      <c r="J348" s="137"/>
      <c r="K348" s="137"/>
      <c r="L348" s="137"/>
      <c r="M348" s="137"/>
      <c r="N348" s="137"/>
      <c r="O348" s="137"/>
      <c r="P348" s="137"/>
      <c r="Q348" s="137"/>
      <c r="R348" s="137"/>
      <c r="S348" s="137"/>
      <c r="T348" s="137"/>
      <c r="U348" s="137"/>
    </row>
    <row r="349" spans="1:21">
      <c r="A349" s="137"/>
      <c r="B349" s="137"/>
      <c r="C349" s="137"/>
      <c r="D349" s="137"/>
      <c r="E349" s="137"/>
      <c r="F349" s="137"/>
      <c r="G349" s="137"/>
      <c r="H349" s="137"/>
      <c r="I349" s="137"/>
      <c r="J349" s="137"/>
      <c r="K349" s="137"/>
      <c r="L349" s="137"/>
      <c r="M349" s="137"/>
      <c r="N349" s="137"/>
      <c r="O349" s="137"/>
      <c r="P349" s="137"/>
      <c r="Q349" s="137"/>
      <c r="R349" s="137"/>
      <c r="S349" s="137"/>
      <c r="T349" s="137"/>
      <c r="U349" s="137"/>
    </row>
    <row r="350" spans="1:21">
      <c r="A350" s="137"/>
      <c r="B350" s="137"/>
      <c r="C350" s="137"/>
      <c r="D350" s="137"/>
      <c r="E350" s="137"/>
      <c r="F350" s="137"/>
      <c r="G350" s="137"/>
      <c r="H350" s="137"/>
      <c r="I350" s="137"/>
      <c r="J350" s="137"/>
      <c r="K350" s="137"/>
      <c r="L350" s="137"/>
      <c r="M350" s="137"/>
      <c r="N350" s="137"/>
      <c r="O350" s="137"/>
      <c r="P350" s="137"/>
      <c r="Q350" s="137"/>
      <c r="R350" s="137"/>
      <c r="S350" s="137"/>
      <c r="T350" s="137"/>
      <c r="U350" s="137"/>
    </row>
    <row r="351" spans="1:21">
      <c r="A351" s="137"/>
      <c r="B351" s="137"/>
      <c r="C351" s="137"/>
      <c r="D351" s="137"/>
      <c r="E351" s="137"/>
      <c r="F351" s="137"/>
      <c r="G351" s="137"/>
      <c r="H351" s="137"/>
      <c r="I351" s="137"/>
      <c r="J351" s="137"/>
      <c r="K351" s="137"/>
      <c r="L351" s="137"/>
      <c r="M351" s="137"/>
      <c r="N351" s="137"/>
      <c r="O351" s="137"/>
      <c r="P351" s="137"/>
      <c r="Q351" s="137"/>
      <c r="R351" s="137"/>
      <c r="S351" s="137"/>
      <c r="T351" s="137"/>
      <c r="U351" s="137"/>
    </row>
    <row r="352" spans="1:21">
      <c r="A352" s="137"/>
      <c r="B352" s="137"/>
      <c r="C352" s="137"/>
      <c r="D352" s="137"/>
      <c r="E352" s="137"/>
      <c r="F352" s="137"/>
      <c r="G352" s="137"/>
      <c r="H352" s="137"/>
      <c r="I352" s="137"/>
      <c r="J352" s="137"/>
      <c r="K352" s="137"/>
      <c r="L352" s="137"/>
      <c r="M352" s="137"/>
      <c r="N352" s="137"/>
      <c r="O352" s="137"/>
      <c r="P352" s="137"/>
      <c r="Q352" s="137"/>
      <c r="R352" s="137"/>
      <c r="S352" s="137"/>
      <c r="T352" s="137"/>
      <c r="U352" s="137"/>
    </row>
    <row r="353" spans="1:21">
      <c r="A353" s="137"/>
      <c r="B353" s="137"/>
      <c r="C353" s="137"/>
      <c r="D353" s="137"/>
      <c r="E353" s="137"/>
      <c r="F353" s="137"/>
      <c r="G353" s="137"/>
      <c r="H353" s="137"/>
      <c r="I353" s="137"/>
      <c r="J353" s="137"/>
      <c r="K353" s="137"/>
      <c r="L353" s="137"/>
      <c r="M353" s="137"/>
      <c r="N353" s="137"/>
      <c r="O353" s="137"/>
      <c r="P353" s="137"/>
      <c r="Q353" s="137"/>
      <c r="R353" s="137"/>
      <c r="S353" s="137"/>
      <c r="T353" s="137"/>
      <c r="U353" s="137"/>
    </row>
    <row r="354" spans="1:21">
      <c r="A354" s="137"/>
      <c r="B354" s="137"/>
      <c r="C354" s="137"/>
      <c r="D354" s="137"/>
      <c r="E354" s="137"/>
      <c r="F354" s="137"/>
      <c r="G354" s="137"/>
      <c r="H354" s="137"/>
      <c r="I354" s="137"/>
      <c r="J354" s="137"/>
      <c r="K354" s="137"/>
      <c r="L354" s="137"/>
      <c r="M354" s="137"/>
      <c r="N354" s="137"/>
      <c r="O354" s="137"/>
      <c r="P354" s="137"/>
      <c r="Q354" s="137"/>
      <c r="R354" s="137"/>
      <c r="S354" s="137"/>
      <c r="T354" s="137"/>
      <c r="U354" s="137"/>
    </row>
    <row r="355" spans="1:21">
      <c r="A355" s="137"/>
      <c r="B355" s="137"/>
      <c r="C355" s="137"/>
      <c r="D355" s="137"/>
      <c r="E355" s="137"/>
      <c r="F355" s="137"/>
      <c r="G355" s="137"/>
      <c r="H355" s="137"/>
      <c r="I355" s="137"/>
      <c r="J355" s="137"/>
      <c r="K355" s="137"/>
      <c r="L355" s="137"/>
      <c r="M355" s="137"/>
      <c r="N355" s="137"/>
      <c r="O355" s="137"/>
      <c r="P355" s="137"/>
      <c r="Q355" s="137"/>
      <c r="R355" s="137"/>
      <c r="S355" s="137"/>
      <c r="T355" s="137"/>
      <c r="U355" s="137"/>
    </row>
    <row r="356" spans="1:21">
      <c r="A356" s="137"/>
      <c r="B356" s="137"/>
      <c r="C356" s="137"/>
      <c r="D356" s="137"/>
      <c r="E356" s="137"/>
      <c r="F356" s="137"/>
      <c r="G356" s="137"/>
      <c r="H356" s="137"/>
      <c r="I356" s="137"/>
      <c r="J356" s="137"/>
      <c r="K356" s="137"/>
      <c r="L356" s="137"/>
      <c r="M356" s="137"/>
      <c r="N356" s="137"/>
      <c r="O356" s="137"/>
      <c r="P356" s="137"/>
      <c r="Q356" s="137"/>
      <c r="R356" s="137"/>
      <c r="S356" s="137"/>
      <c r="T356" s="137"/>
      <c r="U356" s="137"/>
    </row>
    <row r="357" spans="1:21">
      <c r="A357" s="137"/>
      <c r="B357" s="137"/>
      <c r="C357" s="137"/>
      <c r="D357" s="137"/>
      <c r="E357" s="137"/>
      <c r="F357" s="137"/>
      <c r="G357" s="137"/>
      <c r="H357" s="137"/>
      <c r="I357" s="137"/>
      <c r="J357" s="137"/>
      <c r="K357" s="137"/>
      <c r="L357" s="137"/>
      <c r="M357" s="137"/>
      <c r="N357" s="137"/>
      <c r="O357" s="137"/>
      <c r="P357" s="137"/>
      <c r="Q357" s="137"/>
      <c r="R357" s="137"/>
      <c r="S357" s="137"/>
      <c r="T357" s="137"/>
      <c r="U357" s="137"/>
    </row>
    <row r="358" spans="1:21">
      <c r="A358" s="137"/>
      <c r="B358" s="137"/>
      <c r="C358" s="137"/>
      <c r="D358" s="137"/>
      <c r="E358" s="137"/>
      <c r="F358" s="137"/>
      <c r="G358" s="137"/>
      <c r="H358" s="137"/>
      <c r="I358" s="137"/>
      <c r="J358" s="137"/>
      <c r="K358" s="137"/>
      <c r="L358" s="137"/>
      <c r="M358" s="137"/>
      <c r="N358" s="137"/>
      <c r="O358" s="137"/>
      <c r="P358" s="137"/>
      <c r="Q358" s="137"/>
      <c r="R358" s="137"/>
      <c r="S358" s="137"/>
      <c r="T358" s="137"/>
      <c r="U358" s="137"/>
    </row>
    <row r="359" spans="1:21">
      <c r="A359" s="137"/>
      <c r="B359" s="137"/>
      <c r="C359" s="137"/>
      <c r="D359" s="137"/>
      <c r="E359" s="137"/>
      <c r="F359" s="137"/>
      <c r="G359" s="137"/>
      <c r="H359" s="137"/>
      <c r="I359" s="137"/>
      <c r="J359" s="137"/>
      <c r="K359" s="137"/>
      <c r="L359" s="137"/>
      <c r="M359" s="137"/>
      <c r="N359" s="137"/>
      <c r="O359" s="137"/>
      <c r="P359" s="137"/>
      <c r="Q359" s="137"/>
      <c r="R359" s="137"/>
      <c r="S359" s="137"/>
      <c r="T359" s="137"/>
      <c r="U359" s="137"/>
    </row>
    <row r="360" spans="1:21">
      <c r="A360" s="137"/>
      <c r="B360" s="137"/>
      <c r="C360" s="137"/>
      <c r="D360" s="137"/>
      <c r="E360" s="137"/>
      <c r="F360" s="137"/>
      <c r="G360" s="137"/>
      <c r="H360" s="137"/>
      <c r="I360" s="137"/>
      <c r="J360" s="137"/>
      <c r="K360" s="137"/>
      <c r="L360" s="137"/>
      <c r="M360" s="137"/>
      <c r="N360" s="137"/>
      <c r="O360" s="137"/>
      <c r="P360" s="137"/>
      <c r="Q360" s="137"/>
      <c r="R360" s="137"/>
      <c r="S360" s="137"/>
      <c r="T360" s="137"/>
      <c r="U360" s="137"/>
    </row>
    <row r="361" spans="1:21" ht="28.9">
      <c r="A361" s="1340" t="s">
        <v>229</v>
      </c>
      <c r="B361" s="1340"/>
      <c r="C361" s="1340"/>
      <c r="D361" s="1340"/>
      <c r="E361" s="1340"/>
      <c r="F361" s="1340"/>
      <c r="G361" s="1340"/>
      <c r="H361" s="1340"/>
      <c r="I361" s="1340"/>
      <c r="J361" s="1340"/>
      <c r="K361" s="1340"/>
      <c r="L361" s="1340"/>
      <c r="M361" s="1340"/>
      <c r="N361" s="1340"/>
      <c r="O361" s="137"/>
      <c r="P361" s="137"/>
      <c r="Q361" s="137"/>
      <c r="R361" s="137"/>
      <c r="S361" s="137"/>
      <c r="T361" s="137"/>
      <c r="U361" s="137"/>
    </row>
    <row r="362" spans="1:21">
      <c r="A362" s="137"/>
      <c r="B362" s="137"/>
      <c r="C362" s="137"/>
      <c r="D362" s="137"/>
      <c r="E362" s="137"/>
      <c r="F362" s="137"/>
      <c r="G362" s="137"/>
      <c r="H362" s="137"/>
      <c r="I362" s="137"/>
      <c r="J362" s="137"/>
      <c r="K362" s="137"/>
      <c r="L362" s="137"/>
      <c r="M362" s="137"/>
      <c r="N362" s="137"/>
      <c r="O362" s="137"/>
      <c r="P362" s="137"/>
      <c r="Q362" s="137"/>
      <c r="R362" s="137"/>
      <c r="S362" s="137"/>
      <c r="T362" s="137"/>
      <c r="U362" s="137"/>
    </row>
    <row r="363" spans="1:21">
      <c r="A363" s="137"/>
      <c r="B363" s="137"/>
      <c r="C363" s="137"/>
      <c r="D363" s="137"/>
      <c r="E363" s="137"/>
      <c r="F363" s="137"/>
      <c r="G363" s="137"/>
      <c r="H363" s="137"/>
      <c r="I363" s="137"/>
      <c r="J363" s="137"/>
      <c r="K363" s="137"/>
      <c r="L363" s="137"/>
      <c r="M363" s="137"/>
      <c r="N363" s="137"/>
      <c r="O363" s="137"/>
      <c r="P363" s="137"/>
      <c r="Q363" s="137"/>
      <c r="R363" s="137"/>
      <c r="S363" s="137"/>
      <c r="T363" s="137"/>
      <c r="U363" s="137"/>
    </row>
    <row r="364" spans="1:21">
      <c r="A364" s="137"/>
      <c r="B364" s="137"/>
      <c r="C364" s="137"/>
      <c r="D364" s="137"/>
      <c r="E364" s="137"/>
      <c r="F364" s="137"/>
      <c r="G364" s="137"/>
      <c r="H364" s="137"/>
      <c r="I364" s="137"/>
      <c r="J364" s="137"/>
      <c r="K364" s="137"/>
      <c r="L364" s="137"/>
      <c r="M364" s="137"/>
      <c r="N364" s="137"/>
      <c r="O364" s="137"/>
      <c r="P364" s="137"/>
      <c r="Q364" s="137"/>
      <c r="R364" s="137"/>
      <c r="S364" s="137"/>
      <c r="T364" s="137"/>
      <c r="U364" s="137"/>
    </row>
    <row r="365" spans="1:21">
      <c r="A365" s="137"/>
      <c r="B365" s="137"/>
      <c r="C365" s="137"/>
      <c r="D365" s="137"/>
      <c r="E365" s="137"/>
      <c r="F365" s="137"/>
      <c r="G365" s="137"/>
      <c r="H365" s="137"/>
      <c r="I365" s="137"/>
      <c r="J365" s="137"/>
      <c r="K365" s="137"/>
      <c r="L365" s="137"/>
      <c r="M365" s="137"/>
      <c r="N365" s="137"/>
      <c r="O365" s="137"/>
      <c r="P365" s="137"/>
      <c r="Q365" s="137"/>
      <c r="R365" s="137"/>
      <c r="S365" s="137"/>
      <c r="T365" s="137"/>
      <c r="U365" s="137"/>
    </row>
    <row r="366" spans="1:21">
      <c r="A366" s="137"/>
      <c r="B366" s="137"/>
      <c r="C366" s="137"/>
      <c r="D366" s="137"/>
      <c r="E366" s="137"/>
      <c r="F366" s="137"/>
      <c r="G366" s="137"/>
      <c r="H366" s="137"/>
      <c r="I366" s="137"/>
      <c r="J366" s="137"/>
      <c r="K366" s="137"/>
      <c r="L366" s="137"/>
      <c r="M366" s="137"/>
      <c r="N366" s="137"/>
      <c r="O366" s="137"/>
      <c r="P366" s="137"/>
      <c r="Q366" s="137"/>
      <c r="R366" s="137"/>
      <c r="S366" s="137"/>
      <c r="T366" s="137"/>
      <c r="U366" s="137"/>
    </row>
    <row r="367" spans="1:21">
      <c r="A367" s="137"/>
      <c r="B367" s="137"/>
      <c r="C367" s="137"/>
      <c r="D367" s="137"/>
      <c r="E367" s="137"/>
      <c r="F367" s="137"/>
      <c r="G367" s="137"/>
      <c r="H367" s="137"/>
      <c r="I367" s="137"/>
      <c r="J367" s="137"/>
      <c r="K367" s="137"/>
      <c r="L367" s="137"/>
      <c r="M367" s="137"/>
      <c r="N367" s="137"/>
      <c r="O367" s="137"/>
      <c r="P367" s="137"/>
      <c r="Q367" s="137"/>
      <c r="R367" s="137"/>
      <c r="S367" s="137"/>
      <c r="T367" s="137"/>
      <c r="U367" s="137"/>
    </row>
    <row r="368" spans="1:21">
      <c r="A368" s="137"/>
      <c r="B368" s="137"/>
      <c r="C368" s="137"/>
      <c r="D368" s="137"/>
      <c r="E368" s="137"/>
      <c r="F368" s="137"/>
      <c r="G368" s="137"/>
      <c r="H368" s="137"/>
      <c r="I368" s="137"/>
      <c r="J368" s="137"/>
      <c r="K368" s="137"/>
      <c r="L368" s="137"/>
      <c r="M368" s="137"/>
      <c r="N368" s="137"/>
      <c r="O368" s="137"/>
      <c r="P368" s="137"/>
      <c r="Q368" s="137"/>
      <c r="R368" s="137"/>
      <c r="S368" s="137"/>
      <c r="T368" s="137"/>
      <c r="U368" s="137"/>
    </row>
    <row r="369" spans="1:21">
      <c r="A369" s="137"/>
      <c r="B369" s="137"/>
      <c r="C369" s="137"/>
      <c r="D369" s="137"/>
      <c r="E369" s="137"/>
      <c r="F369" s="137"/>
      <c r="G369" s="137"/>
      <c r="H369" s="137"/>
      <c r="I369" s="137"/>
      <c r="J369" s="137"/>
      <c r="K369" s="137"/>
      <c r="L369" s="137"/>
      <c r="M369" s="137"/>
      <c r="N369" s="137"/>
      <c r="O369" s="137"/>
      <c r="P369" s="137"/>
      <c r="Q369" s="137"/>
      <c r="R369" s="137"/>
      <c r="S369" s="137"/>
      <c r="T369" s="137"/>
      <c r="U369" s="137"/>
    </row>
    <row r="370" spans="1:21">
      <c r="A370" s="137"/>
      <c r="B370" s="137"/>
      <c r="C370" s="137"/>
      <c r="D370" s="137"/>
      <c r="E370" s="137"/>
      <c r="F370" s="137"/>
      <c r="G370" s="137"/>
      <c r="H370" s="137"/>
      <c r="I370" s="137"/>
      <c r="J370" s="137"/>
      <c r="K370" s="137"/>
      <c r="L370" s="137"/>
      <c r="M370" s="137"/>
      <c r="N370" s="137"/>
      <c r="O370" s="137"/>
      <c r="P370" s="137"/>
      <c r="Q370" s="137"/>
      <c r="R370" s="137"/>
      <c r="S370" s="137"/>
      <c r="T370" s="137"/>
      <c r="U370" s="137"/>
    </row>
    <row r="371" spans="1:21">
      <c r="A371" s="137"/>
      <c r="B371" s="137"/>
      <c r="C371" s="137"/>
      <c r="D371" s="137"/>
      <c r="E371" s="137"/>
      <c r="F371" s="137"/>
      <c r="G371" s="137"/>
      <c r="H371" s="137"/>
      <c r="I371" s="137"/>
      <c r="J371" s="137"/>
      <c r="K371" s="137"/>
      <c r="L371" s="137"/>
      <c r="M371" s="137"/>
      <c r="N371" s="137"/>
      <c r="O371" s="137"/>
      <c r="P371" s="137"/>
      <c r="Q371" s="137"/>
      <c r="R371" s="137"/>
      <c r="S371" s="137"/>
      <c r="T371" s="137"/>
      <c r="U371" s="137"/>
    </row>
    <row r="372" spans="1:21">
      <c r="A372" s="137"/>
      <c r="B372" s="137"/>
      <c r="C372" s="137"/>
      <c r="D372" s="137"/>
      <c r="E372" s="137"/>
      <c r="F372" s="137"/>
      <c r="G372" s="137"/>
      <c r="H372" s="137"/>
      <c r="I372" s="137"/>
      <c r="J372" s="137"/>
      <c r="K372" s="137"/>
      <c r="L372" s="137"/>
      <c r="M372" s="137"/>
      <c r="N372" s="137"/>
      <c r="O372" s="137"/>
      <c r="P372" s="137"/>
      <c r="Q372" s="137"/>
      <c r="R372" s="137"/>
      <c r="S372" s="137"/>
      <c r="T372" s="137"/>
      <c r="U372" s="137"/>
    </row>
    <row r="373" spans="1:21">
      <c r="A373" s="137"/>
      <c r="B373" s="137"/>
      <c r="C373" s="137"/>
      <c r="D373" s="137"/>
      <c r="E373" s="137"/>
      <c r="F373" s="137"/>
      <c r="G373" s="137"/>
      <c r="H373" s="137"/>
      <c r="I373" s="137"/>
      <c r="J373" s="137"/>
      <c r="K373" s="137"/>
      <c r="L373" s="137"/>
      <c r="M373" s="137"/>
      <c r="N373" s="137"/>
      <c r="O373" s="137"/>
      <c r="P373" s="137"/>
      <c r="Q373" s="137"/>
      <c r="R373" s="137"/>
      <c r="S373" s="137"/>
      <c r="T373" s="137"/>
      <c r="U373" s="137"/>
    </row>
    <row r="374" spans="1:21">
      <c r="A374" s="137"/>
      <c r="B374" s="137"/>
      <c r="C374" s="137"/>
      <c r="D374" s="137"/>
      <c r="E374" s="137"/>
      <c r="F374" s="137"/>
      <c r="G374" s="137"/>
      <c r="H374" s="137"/>
      <c r="I374" s="137"/>
      <c r="J374" s="137"/>
      <c r="K374" s="137"/>
      <c r="L374" s="137"/>
      <c r="M374" s="137"/>
      <c r="N374" s="137"/>
      <c r="O374" s="137"/>
      <c r="P374" s="137"/>
      <c r="Q374" s="137"/>
      <c r="R374" s="137"/>
      <c r="S374" s="137"/>
      <c r="T374" s="137"/>
      <c r="U374" s="137"/>
    </row>
    <row r="375" spans="1:21">
      <c r="A375" s="137"/>
      <c r="B375" s="137"/>
      <c r="C375" s="137"/>
      <c r="D375" s="137"/>
      <c r="E375" s="137"/>
      <c r="F375" s="137"/>
      <c r="G375" s="137"/>
      <c r="H375" s="137"/>
      <c r="I375" s="137"/>
      <c r="J375" s="137"/>
      <c r="K375" s="137"/>
      <c r="L375" s="137"/>
      <c r="M375" s="137"/>
      <c r="N375" s="137"/>
      <c r="O375" s="137"/>
      <c r="P375" s="137"/>
      <c r="Q375" s="137"/>
      <c r="R375" s="137"/>
      <c r="S375" s="137"/>
      <c r="T375" s="137"/>
      <c r="U375" s="137"/>
    </row>
    <row r="376" spans="1:21">
      <c r="A376" s="137"/>
      <c r="B376" s="137"/>
      <c r="C376" s="137"/>
      <c r="D376" s="137"/>
      <c r="E376" s="137"/>
      <c r="F376" s="137"/>
      <c r="G376" s="137"/>
      <c r="H376" s="137"/>
      <c r="I376" s="137"/>
      <c r="J376" s="137"/>
      <c r="K376" s="137"/>
      <c r="L376" s="137"/>
      <c r="M376" s="137"/>
      <c r="N376" s="137"/>
      <c r="O376" s="137"/>
      <c r="P376" s="137"/>
      <c r="Q376" s="137"/>
      <c r="R376" s="137"/>
      <c r="S376" s="137"/>
      <c r="T376" s="137"/>
      <c r="U376" s="137"/>
    </row>
    <row r="377" spans="1:21">
      <c r="A377" s="137"/>
      <c r="B377" s="137"/>
      <c r="C377" s="137"/>
      <c r="D377" s="137"/>
      <c r="E377" s="137"/>
      <c r="F377" s="137"/>
      <c r="G377" s="137"/>
      <c r="H377" s="137"/>
      <c r="I377" s="137"/>
      <c r="J377" s="137"/>
      <c r="K377" s="137"/>
      <c r="L377" s="137"/>
      <c r="M377" s="137"/>
      <c r="N377" s="137"/>
      <c r="O377" s="137"/>
      <c r="P377" s="137"/>
      <c r="Q377" s="137"/>
      <c r="R377" s="137"/>
      <c r="S377" s="137"/>
      <c r="T377" s="137"/>
      <c r="U377" s="137"/>
    </row>
    <row r="378" spans="1:21">
      <c r="A378" s="137"/>
      <c r="B378" s="137"/>
      <c r="C378" s="137"/>
      <c r="D378" s="137"/>
      <c r="E378" s="137"/>
      <c r="F378" s="137"/>
      <c r="G378" s="137"/>
      <c r="H378" s="137"/>
      <c r="I378" s="137"/>
      <c r="J378" s="137"/>
      <c r="K378" s="137"/>
      <c r="L378" s="137"/>
      <c r="M378" s="137"/>
      <c r="N378" s="137"/>
      <c r="O378" s="137"/>
      <c r="P378" s="137"/>
      <c r="Q378" s="137"/>
      <c r="R378" s="137"/>
      <c r="S378" s="137"/>
      <c r="T378" s="137"/>
      <c r="U378" s="137"/>
    </row>
    <row r="379" spans="1:21">
      <c r="A379" s="137"/>
      <c r="B379" s="137"/>
      <c r="C379" s="137"/>
      <c r="D379" s="137"/>
      <c r="E379" s="137"/>
      <c r="F379" s="137"/>
      <c r="G379" s="137"/>
      <c r="H379" s="137"/>
      <c r="I379" s="137"/>
      <c r="J379" s="137"/>
      <c r="K379" s="137"/>
      <c r="L379" s="137"/>
      <c r="M379" s="137"/>
      <c r="N379" s="137"/>
      <c r="O379" s="137"/>
      <c r="P379" s="137"/>
      <c r="Q379" s="137"/>
      <c r="R379" s="137"/>
      <c r="S379" s="137"/>
      <c r="T379" s="137"/>
      <c r="U379" s="137"/>
    </row>
    <row r="380" spans="1:21">
      <c r="A380" s="137"/>
      <c r="B380" s="137"/>
      <c r="C380" s="137"/>
      <c r="D380" s="137"/>
      <c r="E380" s="137"/>
      <c r="F380" s="137"/>
      <c r="G380" s="137"/>
      <c r="H380" s="137"/>
      <c r="I380" s="137"/>
      <c r="J380" s="137"/>
      <c r="K380" s="137"/>
      <c r="L380" s="137"/>
      <c r="M380" s="137"/>
      <c r="N380" s="137"/>
      <c r="O380" s="137"/>
      <c r="P380" s="137"/>
      <c r="Q380" s="137"/>
      <c r="R380" s="137"/>
      <c r="S380" s="137"/>
      <c r="T380" s="137"/>
      <c r="U380" s="137"/>
    </row>
    <row r="381" spans="1:21">
      <c r="A381" s="137"/>
      <c r="B381" s="137"/>
      <c r="C381" s="137"/>
      <c r="D381" s="137"/>
      <c r="E381" s="137"/>
      <c r="F381" s="137"/>
      <c r="G381" s="137"/>
      <c r="H381" s="137"/>
      <c r="I381" s="137"/>
      <c r="J381" s="137"/>
      <c r="K381" s="137"/>
      <c r="L381" s="137"/>
      <c r="M381" s="137"/>
      <c r="N381" s="137"/>
      <c r="O381" s="137"/>
      <c r="P381" s="137"/>
      <c r="Q381" s="137"/>
      <c r="R381" s="137"/>
      <c r="S381" s="137"/>
      <c r="T381" s="137"/>
      <c r="U381" s="137"/>
    </row>
    <row r="382" spans="1:21">
      <c r="A382" s="137"/>
      <c r="B382" s="137"/>
      <c r="C382" s="137"/>
      <c r="D382" s="137"/>
      <c r="E382" s="137"/>
      <c r="F382" s="137"/>
      <c r="G382" s="137"/>
      <c r="H382" s="137"/>
      <c r="I382" s="137"/>
      <c r="J382" s="137"/>
      <c r="K382" s="137"/>
      <c r="L382" s="137"/>
      <c r="M382" s="137"/>
      <c r="N382" s="137"/>
      <c r="O382" s="137"/>
      <c r="P382" s="137"/>
      <c r="Q382" s="137"/>
      <c r="R382" s="137"/>
      <c r="S382" s="137"/>
      <c r="T382" s="137"/>
      <c r="U382" s="137"/>
    </row>
    <row r="383" spans="1:21">
      <c r="A383" s="137"/>
      <c r="B383" s="137"/>
      <c r="C383" s="137"/>
      <c r="D383" s="137"/>
      <c r="E383" s="137"/>
      <c r="F383" s="137"/>
      <c r="G383" s="137"/>
      <c r="H383" s="137"/>
      <c r="I383" s="137"/>
      <c r="J383" s="137"/>
      <c r="K383" s="137"/>
      <c r="L383" s="137"/>
      <c r="M383" s="137"/>
      <c r="N383" s="137"/>
      <c r="O383" s="137"/>
      <c r="P383" s="137"/>
      <c r="Q383" s="137"/>
      <c r="R383" s="137"/>
      <c r="S383" s="137"/>
      <c r="T383" s="137"/>
      <c r="U383" s="137"/>
    </row>
    <row r="384" spans="1:21">
      <c r="A384" s="137"/>
      <c r="B384" s="137"/>
      <c r="C384" s="137"/>
      <c r="D384" s="137"/>
      <c r="E384" s="137"/>
      <c r="F384" s="137"/>
      <c r="G384" s="137"/>
      <c r="H384" s="137"/>
      <c r="I384" s="137"/>
      <c r="J384" s="137"/>
      <c r="K384" s="137"/>
      <c r="L384" s="137"/>
      <c r="M384" s="137"/>
      <c r="N384" s="137"/>
      <c r="O384" s="137"/>
      <c r="P384" s="137"/>
      <c r="Q384" s="137"/>
      <c r="R384" s="137"/>
      <c r="S384" s="137"/>
      <c r="T384" s="137"/>
      <c r="U384" s="137"/>
    </row>
    <row r="385" spans="1:21">
      <c r="A385" s="137"/>
      <c r="B385" s="137"/>
      <c r="C385" s="137"/>
      <c r="D385" s="137"/>
      <c r="E385" s="137"/>
      <c r="F385" s="137"/>
      <c r="G385" s="137"/>
      <c r="H385" s="137"/>
      <c r="I385" s="137"/>
      <c r="J385" s="137"/>
      <c r="K385" s="137"/>
      <c r="L385" s="137"/>
      <c r="M385" s="137"/>
      <c r="N385" s="137"/>
      <c r="O385" s="137"/>
      <c r="P385" s="137"/>
      <c r="Q385" s="137"/>
      <c r="R385" s="137"/>
      <c r="S385" s="137"/>
      <c r="T385" s="137"/>
      <c r="U385" s="137"/>
    </row>
    <row r="386" spans="1:21">
      <c r="A386" s="137"/>
      <c r="B386" s="137"/>
      <c r="C386" s="137"/>
      <c r="D386" s="137"/>
      <c r="E386" s="137"/>
      <c r="F386" s="137"/>
      <c r="G386" s="137"/>
      <c r="H386" s="137"/>
      <c r="I386" s="137"/>
      <c r="J386" s="137"/>
      <c r="K386" s="137"/>
      <c r="L386" s="137"/>
      <c r="M386" s="137"/>
      <c r="N386" s="137"/>
      <c r="O386" s="137"/>
      <c r="P386" s="137"/>
      <c r="Q386" s="137"/>
      <c r="R386" s="137"/>
      <c r="S386" s="137"/>
      <c r="T386" s="137"/>
      <c r="U386" s="137"/>
    </row>
    <row r="387" spans="1:21">
      <c r="A387" s="137"/>
      <c r="B387" s="137"/>
      <c r="C387" s="137"/>
      <c r="D387" s="137"/>
      <c r="E387" s="137"/>
      <c r="F387" s="137"/>
      <c r="G387" s="137"/>
      <c r="H387" s="137"/>
      <c r="I387" s="137"/>
      <c r="J387" s="137"/>
      <c r="K387" s="137"/>
      <c r="L387" s="137"/>
      <c r="M387" s="137"/>
      <c r="N387" s="137"/>
      <c r="O387" s="137"/>
      <c r="P387" s="137"/>
      <c r="Q387" s="137"/>
      <c r="R387" s="137"/>
      <c r="S387" s="137"/>
      <c r="T387" s="137"/>
      <c r="U387" s="137"/>
    </row>
    <row r="388" spans="1:21">
      <c r="A388" s="137"/>
      <c r="B388" s="137"/>
      <c r="C388" s="137"/>
      <c r="D388" s="137"/>
      <c r="E388" s="137"/>
      <c r="F388" s="137"/>
      <c r="G388" s="137"/>
      <c r="H388" s="137"/>
      <c r="I388" s="137"/>
      <c r="J388" s="137"/>
      <c r="K388" s="137"/>
      <c r="L388" s="137"/>
      <c r="M388" s="137"/>
      <c r="N388" s="137"/>
      <c r="O388" s="137"/>
      <c r="P388" s="137"/>
      <c r="Q388" s="137"/>
      <c r="R388" s="137"/>
      <c r="S388" s="137"/>
      <c r="T388" s="137"/>
      <c r="U388" s="137"/>
    </row>
    <row r="389" spans="1:21">
      <c r="A389" s="137"/>
      <c r="B389" s="137"/>
      <c r="C389" s="137"/>
      <c r="D389" s="137"/>
      <c r="E389" s="137"/>
      <c r="F389" s="137"/>
      <c r="G389" s="137"/>
      <c r="H389" s="137"/>
      <c r="I389" s="137"/>
      <c r="J389" s="137"/>
      <c r="K389" s="137"/>
      <c r="L389" s="137"/>
      <c r="M389" s="137"/>
      <c r="N389" s="137"/>
      <c r="O389" s="137"/>
      <c r="P389" s="137"/>
      <c r="Q389" s="137"/>
      <c r="R389" s="137"/>
      <c r="S389" s="137"/>
      <c r="T389" s="137"/>
      <c r="U389" s="137"/>
    </row>
    <row r="390" spans="1:21">
      <c r="A390" s="137"/>
      <c r="B390" s="137"/>
      <c r="C390" s="137"/>
      <c r="D390" s="137"/>
      <c r="E390" s="137"/>
      <c r="F390" s="137"/>
      <c r="G390" s="137"/>
      <c r="H390" s="137"/>
      <c r="I390" s="137"/>
      <c r="J390" s="137"/>
      <c r="K390" s="137"/>
      <c r="L390" s="137"/>
      <c r="M390" s="137"/>
      <c r="N390" s="137"/>
      <c r="O390" s="137"/>
      <c r="P390" s="137"/>
      <c r="Q390" s="137"/>
      <c r="R390" s="137"/>
      <c r="S390" s="137"/>
      <c r="T390" s="137"/>
      <c r="U390" s="137"/>
    </row>
    <row r="391" spans="1:21">
      <c r="A391" s="137"/>
      <c r="B391" s="137"/>
      <c r="C391" s="137"/>
      <c r="D391" s="137"/>
      <c r="E391" s="137"/>
      <c r="F391" s="137"/>
      <c r="G391" s="137"/>
      <c r="H391" s="137"/>
      <c r="I391" s="137"/>
      <c r="J391" s="137"/>
      <c r="K391" s="137"/>
      <c r="L391" s="137"/>
      <c r="M391" s="137"/>
      <c r="N391" s="137"/>
      <c r="O391" s="137"/>
      <c r="P391" s="137"/>
      <c r="Q391" s="137"/>
      <c r="R391" s="137"/>
      <c r="S391" s="137"/>
      <c r="T391" s="137"/>
      <c r="U391" s="137"/>
    </row>
    <row r="392" spans="1:21">
      <c r="A392" s="137"/>
      <c r="B392" s="137"/>
      <c r="C392" s="137"/>
      <c r="D392" s="137"/>
      <c r="E392" s="137"/>
      <c r="F392" s="137"/>
      <c r="G392" s="137"/>
      <c r="H392" s="137"/>
      <c r="I392" s="137"/>
      <c r="J392" s="137"/>
      <c r="K392" s="137"/>
      <c r="L392" s="137"/>
      <c r="M392" s="137"/>
      <c r="N392" s="137"/>
      <c r="O392" s="137"/>
      <c r="P392" s="137"/>
      <c r="Q392" s="137"/>
      <c r="R392" s="137"/>
      <c r="S392" s="137"/>
      <c r="T392" s="137"/>
      <c r="U392" s="137"/>
    </row>
    <row r="393" spans="1:21">
      <c r="A393" s="137"/>
      <c r="B393" s="137"/>
      <c r="C393" s="137"/>
      <c r="D393" s="137"/>
      <c r="E393" s="137"/>
      <c r="F393" s="137"/>
      <c r="G393" s="137"/>
      <c r="H393" s="137"/>
      <c r="I393" s="137"/>
      <c r="J393" s="137"/>
      <c r="K393" s="137"/>
      <c r="L393" s="137"/>
      <c r="M393" s="137"/>
      <c r="N393" s="137"/>
      <c r="O393" s="137"/>
      <c r="P393" s="137"/>
      <c r="Q393" s="137"/>
      <c r="R393" s="137"/>
      <c r="S393" s="137"/>
      <c r="T393" s="137"/>
      <c r="U393" s="137"/>
    </row>
    <row r="394" spans="1:21">
      <c r="A394" s="137"/>
      <c r="B394" s="137"/>
      <c r="C394" s="137"/>
      <c r="D394" s="137"/>
      <c r="E394" s="137"/>
      <c r="F394" s="137"/>
      <c r="G394" s="137"/>
      <c r="H394" s="137"/>
      <c r="I394" s="137"/>
      <c r="J394" s="137"/>
      <c r="K394" s="137"/>
      <c r="L394" s="137"/>
      <c r="M394" s="137"/>
      <c r="N394" s="137"/>
      <c r="O394" s="137"/>
      <c r="P394" s="137"/>
      <c r="Q394" s="137"/>
      <c r="R394" s="137"/>
      <c r="S394" s="137"/>
      <c r="T394" s="137"/>
      <c r="U394" s="137"/>
    </row>
    <row r="395" spans="1:21">
      <c r="A395" s="137"/>
      <c r="B395" s="137"/>
      <c r="C395" s="137"/>
      <c r="D395" s="137"/>
      <c r="E395" s="137"/>
      <c r="F395" s="137"/>
      <c r="G395" s="137"/>
      <c r="H395" s="137"/>
      <c r="I395" s="137"/>
      <c r="J395" s="137"/>
      <c r="K395" s="137"/>
      <c r="L395" s="137"/>
      <c r="M395" s="137"/>
      <c r="N395" s="137"/>
      <c r="O395" s="137"/>
      <c r="P395" s="137"/>
      <c r="Q395" s="137"/>
      <c r="R395" s="137"/>
      <c r="S395" s="137"/>
      <c r="T395" s="137"/>
      <c r="U395" s="137"/>
    </row>
    <row r="396" spans="1:21">
      <c r="A396" s="137"/>
      <c r="B396" s="137"/>
      <c r="C396" s="137"/>
      <c r="D396" s="137"/>
      <c r="E396" s="137"/>
      <c r="F396" s="137"/>
      <c r="G396" s="137"/>
      <c r="H396" s="137"/>
      <c r="I396" s="137"/>
      <c r="J396" s="137"/>
      <c r="K396" s="137"/>
      <c r="L396" s="137"/>
      <c r="M396" s="137"/>
      <c r="N396" s="137"/>
      <c r="O396" s="137"/>
      <c r="P396" s="137"/>
      <c r="Q396" s="137"/>
      <c r="R396" s="137"/>
      <c r="S396" s="137"/>
      <c r="T396" s="137"/>
      <c r="U396" s="137"/>
    </row>
    <row r="397" spans="1:21">
      <c r="A397" s="137"/>
      <c r="B397" s="137"/>
      <c r="C397" s="137"/>
      <c r="D397" s="137"/>
      <c r="E397" s="137"/>
      <c r="F397" s="137"/>
      <c r="G397" s="137"/>
      <c r="H397" s="137"/>
      <c r="I397" s="137"/>
      <c r="J397" s="137"/>
      <c r="K397" s="137"/>
      <c r="L397" s="137"/>
      <c r="M397" s="137"/>
      <c r="N397" s="137"/>
      <c r="O397" s="137"/>
      <c r="P397" s="137"/>
      <c r="Q397" s="137"/>
      <c r="R397" s="137"/>
      <c r="S397" s="137"/>
      <c r="T397" s="137"/>
      <c r="U397" s="137"/>
    </row>
    <row r="398" spans="1:21">
      <c r="A398" s="137"/>
      <c r="B398" s="137"/>
      <c r="C398" s="137"/>
      <c r="D398" s="137"/>
      <c r="E398" s="137"/>
      <c r="F398" s="137"/>
      <c r="G398" s="137"/>
      <c r="H398" s="137"/>
      <c r="I398" s="137"/>
      <c r="J398" s="137"/>
      <c r="K398" s="137"/>
      <c r="L398" s="137"/>
      <c r="M398" s="137"/>
      <c r="N398" s="137"/>
      <c r="O398" s="137"/>
      <c r="P398" s="137"/>
      <c r="Q398" s="137"/>
      <c r="R398" s="137"/>
      <c r="S398" s="137"/>
      <c r="T398" s="137"/>
      <c r="U398" s="137"/>
    </row>
    <row r="399" spans="1:21">
      <c r="A399" s="137"/>
      <c r="B399" s="137"/>
      <c r="C399" s="137"/>
      <c r="D399" s="137"/>
      <c r="E399" s="137"/>
      <c r="F399" s="137"/>
      <c r="G399" s="137"/>
      <c r="H399" s="137"/>
      <c r="I399" s="137"/>
      <c r="J399" s="137"/>
      <c r="K399" s="137"/>
      <c r="L399" s="137"/>
      <c r="M399" s="137"/>
      <c r="N399" s="137"/>
      <c r="O399" s="137"/>
      <c r="P399" s="137"/>
      <c r="Q399" s="137"/>
      <c r="R399" s="137"/>
      <c r="S399" s="137"/>
      <c r="T399" s="137"/>
      <c r="U399" s="137"/>
    </row>
    <row r="400" spans="1:21">
      <c r="A400" s="137"/>
      <c r="B400" s="137"/>
      <c r="C400" s="137"/>
      <c r="D400" s="137"/>
      <c r="E400" s="137"/>
      <c r="F400" s="137"/>
      <c r="G400" s="137"/>
      <c r="H400" s="137"/>
      <c r="I400" s="137"/>
      <c r="J400" s="137"/>
      <c r="K400" s="137"/>
      <c r="L400" s="137"/>
      <c r="M400" s="137"/>
      <c r="N400" s="137"/>
      <c r="O400" s="137"/>
      <c r="P400" s="137"/>
      <c r="Q400" s="137"/>
      <c r="R400" s="137"/>
      <c r="S400" s="137"/>
      <c r="T400" s="137"/>
      <c r="U400" s="137"/>
    </row>
    <row r="401" spans="1:21">
      <c r="A401" s="137"/>
      <c r="B401" s="137"/>
      <c r="C401" s="137"/>
      <c r="D401" s="137"/>
      <c r="E401" s="137"/>
      <c r="F401" s="137"/>
      <c r="G401" s="137"/>
      <c r="H401" s="137"/>
      <c r="I401" s="137"/>
      <c r="J401" s="137"/>
      <c r="K401" s="137"/>
      <c r="L401" s="137"/>
      <c r="M401" s="137"/>
      <c r="N401" s="137"/>
      <c r="O401" s="137"/>
      <c r="P401" s="137"/>
      <c r="Q401" s="137"/>
      <c r="R401" s="137"/>
      <c r="S401" s="137"/>
      <c r="T401" s="137"/>
      <c r="U401" s="137"/>
    </row>
    <row r="402" spans="1:21">
      <c r="A402" s="137"/>
      <c r="B402" s="137"/>
      <c r="C402" s="137"/>
      <c r="D402" s="137"/>
      <c r="E402" s="137"/>
      <c r="F402" s="137"/>
      <c r="G402" s="137"/>
      <c r="H402" s="137"/>
      <c r="I402" s="137"/>
      <c r="J402" s="137"/>
      <c r="K402" s="137"/>
      <c r="L402" s="137"/>
      <c r="M402" s="137"/>
      <c r="N402" s="137"/>
      <c r="O402" s="137"/>
      <c r="P402" s="137"/>
      <c r="Q402" s="137"/>
      <c r="R402" s="137"/>
      <c r="S402" s="137"/>
      <c r="T402" s="137"/>
      <c r="U402" s="137"/>
    </row>
    <row r="403" spans="1:21">
      <c r="A403" s="137"/>
      <c r="B403" s="137"/>
      <c r="C403" s="137"/>
      <c r="D403" s="137"/>
      <c r="E403" s="137"/>
      <c r="F403" s="137"/>
      <c r="G403" s="137"/>
      <c r="H403" s="137"/>
      <c r="I403" s="137"/>
      <c r="J403" s="137"/>
      <c r="K403" s="137"/>
      <c r="L403" s="137"/>
      <c r="M403" s="137"/>
      <c r="N403" s="137"/>
      <c r="O403" s="137"/>
      <c r="P403" s="137"/>
      <c r="Q403" s="137"/>
      <c r="R403" s="137"/>
      <c r="S403" s="137"/>
      <c r="T403" s="137"/>
      <c r="U403" s="137"/>
    </row>
    <row r="404" spans="1:21">
      <c r="A404" s="137"/>
      <c r="B404" s="137"/>
      <c r="C404" s="137"/>
      <c r="D404" s="137"/>
      <c r="E404" s="137"/>
      <c r="F404" s="137"/>
      <c r="G404" s="137"/>
      <c r="H404" s="137"/>
      <c r="I404" s="137"/>
      <c r="J404" s="137"/>
      <c r="K404" s="137"/>
      <c r="L404" s="137"/>
      <c r="M404" s="137"/>
      <c r="N404" s="137"/>
      <c r="O404" s="137"/>
      <c r="P404" s="137"/>
      <c r="Q404" s="137"/>
      <c r="R404" s="137"/>
      <c r="S404" s="137"/>
      <c r="T404" s="137"/>
      <c r="U404" s="137"/>
    </row>
    <row r="405" spans="1:21">
      <c r="A405" s="137"/>
      <c r="B405" s="137"/>
      <c r="C405" s="137"/>
      <c r="D405" s="137"/>
      <c r="E405" s="137"/>
      <c r="F405" s="137"/>
      <c r="G405" s="137"/>
      <c r="H405" s="137"/>
      <c r="I405" s="137"/>
      <c r="J405" s="137"/>
      <c r="K405" s="137"/>
      <c r="L405" s="137"/>
      <c r="M405" s="137"/>
      <c r="N405" s="137"/>
      <c r="O405" s="137"/>
      <c r="P405" s="137"/>
      <c r="Q405" s="137"/>
      <c r="R405" s="137"/>
      <c r="S405" s="137"/>
      <c r="T405" s="137"/>
      <c r="U405" s="137"/>
    </row>
    <row r="406" spans="1:21">
      <c r="A406" s="137"/>
      <c r="B406" s="137"/>
      <c r="C406" s="137"/>
      <c r="D406" s="137"/>
      <c r="E406" s="137"/>
      <c r="F406" s="137"/>
      <c r="G406" s="137"/>
      <c r="H406" s="137"/>
      <c r="I406" s="137"/>
      <c r="J406" s="137"/>
      <c r="K406" s="137"/>
      <c r="L406" s="137"/>
      <c r="M406" s="137"/>
      <c r="N406" s="137"/>
      <c r="O406" s="137"/>
      <c r="P406" s="137"/>
      <c r="Q406" s="137"/>
      <c r="R406" s="137"/>
      <c r="S406" s="137"/>
      <c r="T406" s="137"/>
      <c r="U406" s="137"/>
    </row>
    <row r="407" spans="1:21">
      <c r="A407" s="137"/>
      <c r="B407" s="137"/>
      <c r="C407" s="137"/>
      <c r="D407" s="137"/>
      <c r="E407" s="137"/>
      <c r="F407" s="137"/>
      <c r="G407" s="137"/>
      <c r="H407" s="137"/>
      <c r="I407" s="137"/>
      <c r="J407" s="137"/>
      <c r="K407" s="137"/>
      <c r="L407" s="137"/>
      <c r="M407" s="137"/>
      <c r="N407" s="137"/>
      <c r="O407" s="137"/>
      <c r="P407" s="137"/>
      <c r="Q407" s="137"/>
      <c r="R407" s="137"/>
      <c r="S407" s="137"/>
      <c r="T407" s="137"/>
      <c r="U407" s="137"/>
    </row>
    <row r="408" spans="1:21">
      <c r="A408" s="137"/>
      <c r="B408" s="137"/>
      <c r="C408" s="137"/>
      <c r="D408" s="137"/>
      <c r="E408" s="137"/>
      <c r="F408" s="137"/>
      <c r="G408" s="137"/>
      <c r="H408" s="137"/>
      <c r="I408" s="137"/>
      <c r="J408" s="137"/>
      <c r="K408" s="137"/>
      <c r="L408" s="137"/>
      <c r="M408" s="137"/>
      <c r="N408" s="137"/>
      <c r="O408" s="137"/>
      <c r="P408" s="137"/>
      <c r="Q408" s="137"/>
      <c r="R408" s="137"/>
      <c r="S408" s="137"/>
      <c r="T408" s="137"/>
      <c r="U408" s="137"/>
    </row>
    <row r="409" spans="1:21">
      <c r="A409" s="137"/>
      <c r="B409" s="137"/>
      <c r="C409" s="137"/>
      <c r="D409" s="137"/>
      <c r="E409" s="137"/>
      <c r="F409" s="137"/>
      <c r="G409" s="137"/>
      <c r="H409" s="137"/>
      <c r="I409" s="137"/>
      <c r="J409" s="137"/>
      <c r="K409" s="137"/>
      <c r="L409" s="137"/>
      <c r="M409" s="137"/>
      <c r="N409" s="137"/>
      <c r="O409" s="137"/>
      <c r="P409" s="137"/>
      <c r="Q409" s="137"/>
      <c r="R409" s="137"/>
      <c r="S409" s="137"/>
      <c r="T409" s="137"/>
      <c r="U409" s="137"/>
    </row>
    <row r="410" spans="1:21">
      <c r="A410" s="137"/>
      <c r="B410" s="137"/>
      <c r="C410" s="137"/>
      <c r="D410" s="137"/>
      <c r="E410" s="137"/>
      <c r="F410" s="137"/>
      <c r="G410" s="137"/>
      <c r="H410" s="137"/>
      <c r="I410" s="137"/>
      <c r="J410" s="137"/>
      <c r="K410" s="137"/>
      <c r="L410" s="137"/>
      <c r="M410" s="137"/>
      <c r="N410" s="137"/>
      <c r="O410" s="137"/>
      <c r="P410" s="137"/>
      <c r="Q410" s="137"/>
      <c r="R410" s="137"/>
      <c r="S410" s="137"/>
      <c r="T410" s="137"/>
      <c r="U410" s="137"/>
    </row>
    <row r="411" spans="1:21">
      <c r="A411" s="137"/>
      <c r="B411" s="137"/>
      <c r="C411" s="137"/>
      <c r="D411" s="137"/>
      <c r="E411" s="137"/>
      <c r="F411" s="137"/>
      <c r="G411" s="137"/>
      <c r="H411" s="137"/>
      <c r="I411" s="137"/>
      <c r="J411" s="137"/>
      <c r="K411" s="137"/>
      <c r="L411" s="137"/>
      <c r="M411" s="137"/>
      <c r="N411" s="137"/>
      <c r="O411" s="137"/>
      <c r="P411" s="137"/>
      <c r="Q411" s="137"/>
      <c r="R411" s="137"/>
      <c r="S411" s="137"/>
      <c r="T411" s="137"/>
      <c r="U411" s="137"/>
    </row>
    <row r="412" spans="1:21">
      <c r="A412" s="137"/>
      <c r="B412" s="137"/>
      <c r="C412" s="137"/>
      <c r="D412" s="137"/>
      <c r="E412" s="137"/>
      <c r="F412" s="137"/>
      <c r="G412" s="137"/>
      <c r="H412" s="137"/>
      <c r="I412" s="137"/>
      <c r="J412" s="137"/>
      <c r="K412" s="137"/>
      <c r="L412" s="137"/>
      <c r="M412" s="137"/>
      <c r="N412" s="137"/>
      <c r="O412" s="137"/>
      <c r="P412" s="137"/>
      <c r="Q412" s="137"/>
      <c r="R412" s="137"/>
      <c r="S412" s="137"/>
      <c r="T412" s="137"/>
      <c r="U412" s="137"/>
    </row>
    <row r="413" spans="1:21">
      <c r="A413" s="137"/>
      <c r="B413" s="137"/>
      <c r="C413" s="137"/>
      <c r="D413" s="137"/>
      <c r="E413" s="137"/>
      <c r="F413" s="137"/>
      <c r="G413" s="137"/>
      <c r="H413" s="137"/>
      <c r="I413" s="137"/>
      <c r="J413" s="137"/>
      <c r="K413" s="137"/>
      <c r="L413" s="137"/>
      <c r="M413" s="137"/>
      <c r="N413" s="137"/>
      <c r="O413" s="137"/>
      <c r="P413" s="137"/>
      <c r="Q413" s="137"/>
      <c r="R413" s="137"/>
      <c r="S413" s="137"/>
      <c r="T413" s="137"/>
      <c r="U413" s="137"/>
    </row>
    <row r="414" spans="1:21">
      <c r="A414" s="137"/>
      <c r="B414" s="137"/>
      <c r="C414" s="137"/>
      <c r="D414" s="137"/>
      <c r="E414" s="137"/>
      <c r="F414" s="137"/>
      <c r="G414" s="137"/>
      <c r="H414" s="137"/>
      <c r="I414" s="137"/>
      <c r="J414" s="137"/>
      <c r="K414" s="137"/>
      <c r="L414" s="137"/>
      <c r="M414" s="137"/>
      <c r="N414" s="137"/>
      <c r="O414" s="137"/>
      <c r="P414" s="137"/>
      <c r="Q414" s="137"/>
      <c r="R414" s="137"/>
      <c r="S414" s="137"/>
      <c r="T414" s="137"/>
      <c r="U414" s="137"/>
    </row>
    <row r="415" spans="1:21">
      <c r="A415" s="137"/>
      <c r="B415" s="137"/>
      <c r="C415" s="137"/>
      <c r="D415" s="137"/>
      <c r="E415" s="137"/>
      <c r="F415" s="137"/>
      <c r="G415" s="137"/>
      <c r="H415" s="137"/>
      <c r="I415" s="137"/>
      <c r="J415" s="137"/>
      <c r="K415" s="137"/>
      <c r="L415" s="137"/>
      <c r="M415" s="137"/>
      <c r="N415" s="137"/>
      <c r="O415" s="137"/>
      <c r="P415" s="137"/>
      <c r="Q415" s="137"/>
      <c r="R415" s="137"/>
      <c r="S415" s="137"/>
      <c r="T415" s="137"/>
      <c r="U415" s="137"/>
    </row>
    <row r="416" spans="1:21">
      <c r="A416" s="137"/>
      <c r="B416" s="137"/>
      <c r="C416" s="137"/>
      <c r="D416" s="137"/>
      <c r="E416" s="137"/>
      <c r="F416" s="137"/>
      <c r="G416" s="137"/>
      <c r="H416" s="137"/>
      <c r="I416" s="137"/>
      <c r="J416" s="137"/>
      <c r="K416" s="137"/>
      <c r="L416" s="137"/>
      <c r="M416" s="137"/>
      <c r="N416" s="137"/>
      <c r="O416" s="137"/>
      <c r="P416" s="137"/>
      <c r="Q416" s="137"/>
      <c r="R416" s="137"/>
      <c r="S416" s="137"/>
      <c r="T416" s="137"/>
      <c r="U416" s="137"/>
    </row>
    <row r="417" spans="1:21">
      <c r="A417" s="137"/>
      <c r="B417" s="137"/>
      <c r="C417" s="137"/>
      <c r="D417" s="137"/>
      <c r="E417" s="137"/>
      <c r="F417" s="137"/>
      <c r="G417" s="137"/>
      <c r="H417" s="137"/>
      <c r="I417" s="137"/>
      <c r="J417" s="137"/>
      <c r="K417" s="137"/>
      <c r="L417" s="137"/>
      <c r="M417" s="137"/>
      <c r="N417" s="137"/>
      <c r="O417" s="137"/>
      <c r="P417" s="137"/>
      <c r="Q417" s="137"/>
      <c r="R417" s="137"/>
      <c r="S417" s="137"/>
      <c r="T417" s="137"/>
      <c r="U417" s="137"/>
    </row>
    <row r="418" spans="1:21">
      <c r="A418" s="137"/>
      <c r="B418" s="137"/>
      <c r="C418" s="137"/>
      <c r="D418" s="137"/>
      <c r="E418" s="137"/>
      <c r="F418" s="137"/>
      <c r="G418" s="137"/>
      <c r="H418" s="137"/>
      <c r="I418" s="137"/>
      <c r="J418" s="137"/>
      <c r="K418" s="137"/>
      <c r="L418" s="137"/>
      <c r="M418" s="137"/>
      <c r="N418" s="137"/>
      <c r="O418" s="137"/>
      <c r="P418" s="137"/>
      <c r="Q418" s="137"/>
      <c r="R418" s="137"/>
      <c r="S418" s="137"/>
      <c r="T418" s="137"/>
      <c r="U418" s="137"/>
    </row>
    <row r="419" spans="1:21">
      <c r="A419" s="137"/>
      <c r="B419" s="137"/>
      <c r="C419" s="137"/>
      <c r="D419" s="137"/>
      <c r="E419" s="137"/>
      <c r="F419" s="137"/>
      <c r="G419" s="137"/>
      <c r="H419" s="137"/>
      <c r="I419" s="137"/>
      <c r="J419" s="137"/>
      <c r="K419" s="137"/>
      <c r="L419" s="137"/>
      <c r="M419" s="137"/>
      <c r="N419" s="137"/>
      <c r="O419" s="137"/>
      <c r="P419" s="137"/>
      <c r="Q419" s="137"/>
      <c r="R419" s="137"/>
      <c r="S419" s="137"/>
      <c r="T419" s="137"/>
      <c r="U419" s="137"/>
    </row>
    <row r="420" spans="1:21">
      <c r="A420" s="137"/>
      <c r="B420" s="137"/>
      <c r="C420" s="137"/>
      <c r="D420" s="137"/>
      <c r="E420" s="137"/>
      <c r="F420" s="137"/>
      <c r="G420" s="137"/>
      <c r="H420" s="137"/>
      <c r="I420" s="137"/>
      <c r="J420" s="137"/>
      <c r="K420" s="137"/>
      <c r="L420" s="137"/>
      <c r="M420" s="137"/>
      <c r="N420" s="137"/>
      <c r="O420" s="137"/>
      <c r="P420" s="137"/>
      <c r="Q420" s="137"/>
      <c r="R420" s="137"/>
      <c r="S420" s="137"/>
      <c r="T420" s="137"/>
      <c r="U420" s="137"/>
    </row>
    <row r="421" spans="1:21" ht="28.9">
      <c r="A421" s="1340" t="s">
        <v>230</v>
      </c>
      <c r="B421" s="1340"/>
      <c r="C421" s="1340"/>
      <c r="D421" s="1340"/>
      <c r="E421" s="1340"/>
      <c r="F421" s="1340"/>
      <c r="G421" s="1340"/>
      <c r="H421" s="1340"/>
      <c r="I421" s="1340"/>
      <c r="J421" s="1340"/>
      <c r="K421" s="1340"/>
      <c r="L421" s="1340"/>
      <c r="M421" s="1340"/>
      <c r="N421" s="1340"/>
      <c r="O421" s="137"/>
      <c r="P421" s="137"/>
      <c r="Q421" s="137"/>
      <c r="R421" s="137"/>
      <c r="S421" s="137"/>
      <c r="T421" s="137"/>
      <c r="U421" s="137"/>
    </row>
    <row r="422" spans="1:21">
      <c r="A422" s="137"/>
      <c r="B422" s="137"/>
      <c r="C422" s="137"/>
      <c r="D422" s="137"/>
      <c r="E422" s="137"/>
      <c r="F422" s="137"/>
      <c r="G422" s="137"/>
      <c r="H422" s="137"/>
      <c r="I422" s="137"/>
      <c r="J422" s="137"/>
      <c r="K422" s="137"/>
      <c r="L422" s="137"/>
      <c r="M422" s="137"/>
      <c r="N422" s="137"/>
      <c r="O422" s="137"/>
      <c r="P422" s="137"/>
      <c r="Q422" s="137"/>
      <c r="R422" s="137"/>
      <c r="S422" s="137"/>
      <c r="T422" s="137"/>
      <c r="U422" s="137"/>
    </row>
    <row r="423" spans="1:21">
      <c r="A423" s="137"/>
      <c r="B423" s="137"/>
      <c r="C423" s="137"/>
      <c r="D423" s="137"/>
      <c r="E423" s="137"/>
      <c r="F423" s="137"/>
      <c r="G423" s="137"/>
      <c r="H423" s="137"/>
      <c r="I423" s="137"/>
      <c r="J423" s="137"/>
      <c r="K423" s="137"/>
      <c r="L423" s="137"/>
      <c r="M423" s="137"/>
      <c r="N423" s="137"/>
      <c r="O423" s="137"/>
      <c r="P423" s="137"/>
      <c r="Q423" s="137"/>
      <c r="R423" s="137"/>
      <c r="S423" s="137"/>
      <c r="T423" s="137"/>
      <c r="U423" s="137"/>
    </row>
    <row r="424" spans="1:21">
      <c r="A424" s="137"/>
      <c r="B424" s="137"/>
      <c r="C424" s="137"/>
      <c r="D424" s="137"/>
      <c r="E424" s="137"/>
      <c r="F424" s="137"/>
      <c r="G424" s="137"/>
      <c r="H424" s="137"/>
      <c r="I424" s="137"/>
      <c r="J424" s="137"/>
      <c r="K424" s="137"/>
      <c r="L424" s="137"/>
      <c r="M424" s="137"/>
      <c r="N424" s="137"/>
      <c r="O424" s="137"/>
      <c r="P424" s="137"/>
      <c r="Q424" s="137"/>
      <c r="R424" s="137"/>
      <c r="S424" s="137"/>
      <c r="T424" s="137"/>
      <c r="U424" s="137"/>
    </row>
    <row r="425" spans="1:21">
      <c r="A425" s="137"/>
      <c r="B425" s="137"/>
      <c r="C425" s="137"/>
      <c r="D425" s="137"/>
      <c r="E425" s="137"/>
      <c r="F425" s="137"/>
      <c r="G425" s="137"/>
      <c r="H425" s="137"/>
      <c r="I425" s="137"/>
      <c r="J425" s="137"/>
      <c r="K425" s="137"/>
      <c r="L425" s="137"/>
      <c r="M425" s="137"/>
      <c r="N425" s="137"/>
      <c r="O425" s="137"/>
      <c r="P425" s="137"/>
      <c r="Q425" s="137"/>
      <c r="R425" s="137"/>
      <c r="S425" s="137"/>
      <c r="T425" s="137"/>
      <c r="U425" s="137"/>
    </row>
    <row r="426" spans="1:21">
      <c r="A426" s="137"/>
      <c r="B426" s="137"/>
      <c r="C426" s="137"/>
      <c r="D426" s="137"/>
      <c r="E426" s="137"/>
      <c r="F426" s="137"/>
      <c r="G426" s="137"/>
      <c r="H426" s="137"/>
      <c r="I426" s="137"/>
      <c r="J426" s="137"/>
      <c r="K426" s="137"/>
      <c r="L426" s="137"/>
      <c r="M426" s="137"/>
      <c r="N426" s="137"/>
      <c r="O426" s="137"/>
      <c r="P426" s="137"/>
      <c r="Q426" s="137"/>
      <c r="R426" s="137"/>
      <c r="S426" s="137"/>
      <c r="T426" s="137"/>
      <c r="U426" s="137"/>
    </row>
    <row r="427" spans="1:21">
      <c r="A427" s="137"/>
      <c r="B427" s="137"/>
      <c r="C427" s="137"/>
      <c r="D427" s="137"/>
      <c r="E427" s="137"/>
      <c r="F427" s="137"/>
      <c r="G427" s="137"/>
      <c r="H427" s="137"/>
      <c r="I427" s="137"/>
      <c r="J427" s="137"/>
      <c r="K427" s="137"/>
      <c r="L427" s="137"/>
      <c r="M427" s="137"/>
      <c r="N427" s="137"/>
      <c r="O427" s="137"/>
      <c r="P427" s="137"/>
      <c r="Q427" s="137"/>
      <c r="R427" s="137"/>
      <c r="S427" s="137"/>
      <c r="T427" s="137"/>
      <c r="U427" s="137"/>
    </row>
    <row r="428" spans="1:21">
      <c r="A428" s="137"/>
      <c r="B428" s="137"/>
      <c r="C428" s="137"/>
      <c r="D428" s="137"/>
      <c r="E428" s="137"/>
      <c r="F428" s="137"/>
      <c r="G428" s="137"/>
      <c r="H428" s="137"/>
      <c r="I428" s="137"/>
      <c r="J428" s="137"/>
      <c r="K428" s="137"/>
      <c r="L428" s="137"/>
      <c r="M428" s="137"/>
      <c r="N428" s="137"/>
      <c r="O428" s="137"/>
      <c r="P428" s="137"/>
      <c r="Q428" s="137"/>
      <c r="R428" s="137"/>
      <c r="S428" s="137"/>
      <c r="T428" s="137"/>
      <c r="U428" s="137"/>
    </row>
    <row r="429" spans="1:21">
      <c r="A429" s="137"/>
      <c r="B429" s="137"/>
      <c r="C429" s="137"/>
      <c r="D429" s="137"/>
      <c r="E429" s="137"/>
      <c r="F429" s="137"/>
      <c r="G429" s="137"/>
      <c r="H429" s="137"/>
      <c r="I429" s="137"/>
      <c r="J429" s="137"/>
      <c r="K429" s="137"/>
      <c r="L429" s="137"/>
      <c r="M429" s="137"/>
      <c r="N429" s="137"/>
      <c r="O429" s="137"/>
      <c r="P429" s="137"/>
      <c r="Q429" s="137"/>
      <c r="R429" s="137"/>
      <c r="S429" s="137"/>
      <c r="T429" s="137"/>
      <c r="U429" s="137"/>
    </row>
    <row r="430" spans="1:21">
      <c r="A430" s="137"/>
      <c r="B430" s="137"/>
      <c r="C430" s="137"/>
      <c r="D430" s="137"/>
      <c r="E430" s="137"/>
      <c r="F430" s="137"/>
      <c r="G430" s="137"/>
      <c r="H430" s="137"/>
      <c r="I430" s="137"/>
      <c r="J430" s="137"/>
      <c r="K430" s="137"/>
      <c r="L430" s="137"/>
      <c r="M430" s="137"/>
      <c r="N430" s="137"/>
      <c r="O430" s="137"/>
      <c r="P430" s="137"/>
      <c r="Q430" s="137"/>
      <c r="R430" s="137"/>
      <c r="S430" s="137"/>
      <c r="T430" s="137"/>
      <c r="U430" s="137"/>
    </row>
    <row r="431" spans="1:21">
      <c r="A431" s="137"/>
      <c r="B431" s="137"/>
      <c r="C431" s="137"/>
      <c r="D431" s="137"/>
      <c r="E431" s="137"/>
      <c r="F431" s="137"/>
      <c r="G431" s="137"/>
      <c r="H431" s="137"/>
      <c r="I431" s="137"/>
      <c r="J431" s="137"/>
      <c r="K431" s="137"/>
      <c r="L431" s="137"/>
      <c r="M431" s="137"/>
      <c r="N431" s="137"/>
      <c r="O431" s="137"/>
      <c r="P431" s="137"/>
      <c r="Q431" s="137"/>
      <c r="R431" s="137"/>
      <c r="S431" s="137"/>
      <c r="T431" s="137"/>
      <c r="U431" s="137"/>
    </row>
    <row r="432" spans="1:21">
      <c r="A432" s="137"/>
      <c r="B432" s="137"/>
      <c r="C432" s="137"/>
      <c r="D432" s="137"/>
      <c r="E432" s="137"/>
      <c r="F432" s="137"/>
      <c r="G432" s="137"/>
      <c r="H432" s="137"/>
      <c r="I432" s="137"/>
      <c r="J432" s="137"/>
      <c r="K432" s="137"/>
      <c r="L432" s="137"/>
      <c r="M432" s="137"/>
      <c r="N432" s="137"/>
      <c r="O432" s="137"/>
      <c r="P432" s="137"/>
      <c r="Q432" s="137"/>
      <c r="R432" s="137"/>
      <c r="S432" s="137"/>
      <c r="T432" s="137"/>
      <c r="U432" s="137"/>
    </row>
    <row r="433" spans="1:21">
      <c r="A433" s="137"/>
      <c r="B433" s="137"/>
      <c r="C433" s="137"/>
      <c r="D433" s="137"/>
      <c r="E433" s="137"/>
      <c r="F433" s="137"/>
      <c r="G433" s="137"/>
      <c r="H433" s="137"/>
      <c r="I433" s="137"/>
      <c r="J433" s="137"/>
      <c r="K433" s="137"/>
      <c r="L433" s="137"/>
      <c r="M433" s="137"/>
      <c r="N433" s="137"/>
      <c r="O433" s="137"/>
      <c r="P433" s="137"/>
      <c r="Q433" s="137"/>
      <c r="R433" s="137"/>
      <c r="S433" s="137"/>
      <c r="T433" s="137"/>
      <c r="U433" s="137"/>
    </row>
    <row r="434" spans="1:21">
      <c r="A434" s="137"/>
      <c r="B434" s="137"/>
      <c r="C434" s="137"/>
      <c r="D434" s="137"/>
      <c r="E434" s="137"/>
      <c r="F434" s="137"/>
      <c r="G434" s="137"/>
      <c r="H434" s="137"/>
      <c r="I434" s="137"/>
      <c r="J434" s="137"/>
      <c r="K434" s="137"/>
      <c r="L434" s="137"/>
      <c r="M434" s="137"/>
      <c r="N434" s="137"/>
      <c r="O434" s="137"/>
      <c r="P434" s="137"/>
      <c r="Q434" s="137"/>
      <c r="R434" s="137"/>
      <c r="S434" s="137"/>
      <c r="T434" s="137"/>
      <c r="U434" s="137"/>
    </row>
    <row r="435" spans="1:21">
      <c r="A435" s="137"/>
      <c r="B435" s="137"/>
      <c r="C435" s="137"/>
      <c r="D435" s="137"/>
      <c r="E435" s="137"/>
      <c r="F435" s="137"/>
      <c r="G435" s="137"/>
      <c r="H435" s="137"/>
      <c r="I435" s="137"/>
      <c r="J435" s="137"/>
      <c r="K435" s="137"/>
      <c r="L435" s="137"/>
      <c r="M435" s="137"/>
      <c r="N435" s="137"/>
      <c r="O435" s="137"/>
      <c r="P435" s="137"/>
      <c r="Q435" s="137"/>
      <c r="R435" s="137"/>
      <c r="S435" s="137"/>
      <c r="T435" s="137"/>
      <c r="U435" s="137"/>
    </row>
    <row r="436" spans="1:21">
      <c r="A436" s="137"/>
      <c r="B436" s="137"/>
      <c r="C436" s="137"/>
      <c r="D436" s="137"/>
      <c r="E436" s="137"/>
      <c r="F436" s="137"/>
      <c r="G436" s="137"/>
      <c r="H436" s="137"/>
      <c r="I436" s="137"/>
      <c r="J436" s="137"/>
      <c r="K436" s="137"/>
      <c r="L436" s="137"/>
      <c r="M436" s="137"/>
      <c r="N436" s="137"/>
      <c r="O436" s="137"/>
      <c r="P436" s="137"/>
      <c r="Q436" s="137"/>
      <c r="R436" s="137"/>
      <c r="S436" s="137"/>
      <c r="T436" s="137"/>
      <c r="U436" s="137"/>
    </row>
    <row r="437" spans="1:21">
      <c r="A437" s="137"/>
      <c r="B437" s="137"/>
      <c r="C437" s="137"/>
      <c r="D437" s="137"/>
      <c r="E437" s="137"/>
      <c r="F437" s="137"/>
      <c r="G437" s="137"/>
      <c r="H437" s="137"/>
      <c r="I437" s="137"/>
      <c r="J437" s="137"/>
      <c r="K437" s="137"/>
      <c r="L437" s="137"/>
      <c r="M437" s="137"/>
      <c r="N437" s="137"/>
      <c r="O437" s="137"/>
      <c r="P437" s="137"/>
      <c r="Q437" s="137"/>
      <c r="R437" s="137"/>
      <c r="S437" s="137"/>
      <c r="T437" s="137"/>
      <c r="U437" s="137"/>
    </row>
    <row r="438" spans="1:21">
      <c r="A438" s="137"/>
      <c r="B438" s="137"/>
      <c r="C438" s="137"/>
      <c r="D438" s="137"/>
      <c r="E438" s="137"/>
      <c r="F438" s="137"/>
      <c r="G438" s="137"/>
      <c r="H438" s="137"/>
      <c r="I438" s="137"/>
      <c r="J438" s="137"/>
      <c r="K438" s="137"/>
      <c r="L438" s="137"/>
      <c r="M438" s="137"/>
      <c r="N438" s="137"/>
      <c r="O438" s="137"/>
      <c r="P438" s="137"/>
      <c r="Q438" s="137"/>
      <c r="R438" s="137"/>
      <c r="S438" s="137"/>
      <c r="T438" s="137"/>
      <c r="U438" s="137"/>
    </row>
    <row r="439" spans="1:21">
      <c r="A439" s="137"/>
      <c r="B439" s="137"/>
      <c r="C439" s="137"/>
      <c r="D439" s="137"/>
      <c r="E439" s="137"/>
      <c r="F439" s="137"/>
      <c r="G439" s="137"/>
      <c r="H439" s="137"/>
      <c r="I439" s="137"/>
      <c r="J439" s="137"/>
      <c r="K439" s="137"/>
      <c r="L439" s="137"/>
      <c r="M439" s="137"/>
      <c r="N439" s="137"/>
      <c r="O439" s="137"/>
      <c r="P439" s="137"/>
      <c r="Q439" s="137"/>
      <c r="R439" s="137"/>
      <c r="S439" s="137"/>
      <c r="T439" s="137"/>
      <c r="U439" s="137"/>
    </row>
    <row r="440" spans="1:21">
      <c r="A440" s="137"/>
      <c r="B440" s="137"/>
      <c r="C440" s="137"/>
      <c r="D440" s="137"/>
      <c r="E440" s="137"/>
      <c r="F440" s="137"/>
      <c r="G440" s="137"/>
      <c r="H440" s="137"/>
      <c r="I440" s="137"/>
      <c r="J440" s="137"/>
      <c r="K440" s="137"/>
      <c r="L440" s="137"/>
      <c r="M440" s="137"/>
      <c r="N440" s="137"/>
      <c r="O440" s="137"/>
      <c r="P440" s="137"/>
      <c r="Q440" s="137"/>
      <c r="R440" s="137"/>
      <c r="S440" s="137"/>
      <c r="T440" s="137"/>
      <c r="U440" s="137"/>
    </row>
    <row r="441" spans="1:21">
      <c r="A441" s="137"/>
      <c r="B441" s="137"/>
      <c r="C441" s="137"/>
      <c r="D441" s="137"/>
      <c r="E441" s="137"/>
      <c r="F441" s="137"/>
      <c r="G441" s="137"/>
      <c r="H441" s="137"/>
      <c r="I441" s="137"/>
      <c r="J441" s="137"/>
      <c r="K441" s="137"/>
      <c r="L441" s="137"/>
      <c r="M441" s="137"/>
      <c r="N441" s="137"/>
      <c r="O441" s="137"/>
      <c r="P441" s="137"/>
      <c r="Q441" s="137"/>
      <c r="R441" s="137"/>
      <c r="S441" s="137"/>
      <c r="T441" s="137"/>
      <c r="U441" s="137"/>
    </row>
    <row r="442" spans="1:21">
      <c r="A442" s="137"/>
      <c r="B442" s="137"/>
      <c r="C442" s="137"/>
      <c r="D442" s="137"/>
      <c r="E442" s="137"/>
      <c r="F442" s="137"/>
      <c r="G442" s="137"/>
      <c r="H442" s="137"/>
      <c r="I442" s="137"/>
      <c r="J442" s="137"/>
      <c r="K442" s="137"/>
      <c r="L442" s="137"/>
      <c r="M442" s="137"/>
      <c r="N442" s="137"/>
      <c r="O442" s="137"/>
      <c r="P442" s="137"/>
      <c r="Q442" s="137"/>
      <c r="R442" s="137"/>
      <c r="S442" s="137"/>
      <c r="T442" s="137"/>
      <c r="U442" s="137"/>
    </row>
    <row r="443" spans="1:21">
      <c r="A443" s="137"/>
      <c r="B443" s="137"/>
      <c r="C443" s="137"/>
      <c r="D443" s="137"/>
      <c r="E443" s="137"/>
      <c r="F443" s="137"/>
      <c r="G443" s="137"/>
      <c r="H443" s="137"/>
      <c r="I443" s="137"/>
      <c r="J443" s="137"/>
      <c r="K443" s="137"/>
      <c r="L443" s="137"/>
      <c r="M443" s="137"/>
      <c r="N443" s="137"/>
      <c r="O443" s="137"/>
      <c r="P443" s="137"/>
      <c r="Q443" s="137"/>
      <c r="R443" s="137"/>
      <c r="S443" s="137"/>
      <c r="T443" s="137"/>
      <c r="U443" s="137"/>
    </row>
    <row r="444" spans="1:21">
      <c r="A444" s="137"/>
      <c r="B444" s="137"/>
      <c r="C444" s="137"/>
      <c r="D444" s="137"/>
      <c r="E444" s="137"/>
      <c r="F444" s="137"/>
      <c r="G444" s="137"/>
      <c r="H444" s="137"/>
      <c r="I444" s="137"/>
      <c r="J444" s="137"/>
      <c r="K444" s="137"/>
      <c r="L444" s="137"/>
      <c r="M444" s="137"/>
      <c r="N444" s="137"/>
      <c r="O444" s="137"/>
      <c r="P444" s="137"/>
      <c r="Q444" s="137"/>
      <c r="R444" s="137"/>
      <c r="S444" s="137"/>
      <c r="T444" s="137"/>
      <c r="U444" s="137"/>
    </row>
    <row r="445" spans="1:21">
      <c r="A445" s="137"/>
      <c r="B445" s="137"/>
      <c r="C445" s="137"/>
      <c r="D445" s="137"/>
      <c r="E445" s="137"/>
      <c r="F445" s="137"/>
      <c r="G445" s="137"/>
      <c r="H445" s="137"/>
      <c r="I445" s="137"/>
      <c r="J445" s="137"/>
      <c r="K445" s="137"/>
      <c r="L445" s="137"/>
      <c r="M445" s="137"/>
      <c r="N445" s="137"/>
      <c r="O445" s="137"/>
      <c r="P445" s="137"/>
      <c r="Q445" s="137"/>
      <c r="R445" s="137"/>
      <c r="S445" s="137"/>
      <c r="T445" s="137"/>
      <c r="U445" s="137"/>
    </row>
    <row r="446" spans="1:21">
      <c r="A446" s="137"/>
      <c r="B446" s="137"/>
      <c r="C446" s="137"/>
      <c r="D446" s="137"/>
      <c r="E446" s="137"/>
      <c r="F446" s="137"/>
      <c r="G446" s="137"/>
      <c r="H446" s="137"/>
      <c r="I446" s="137"/>
      <c r="J446" s="137"/>
      <c r="K446" s="137"/>
      <c r="L446" s="137"/>
      <c r="M446" s="137"/>
      <c r="N446" s="137"/>
      <c r="O446" s="137"/>
      <c r="P446" s="137"/>
      <c r="Q446" s="137"/>
      <c r="R446" s="137"/>
      <c r="S446" s="137"/>
      <c r="T446" s="137"/>
      <c r="U446" s="137"/>
    </row>
    <row r="447" spans="1:21">
      <c r="A447" s="137"/>
      <c r="B447" s="137"/>
      <c r="C447" s="137"/>
      <c r="D447" s="137"/>
      <c r="E447" s="137"/>
      <c r="F447" s="137"/>
      <c r="G447" s="137"/>
      <c r="H447" s="137"/>
      <c r="I447" s="137"/>
      <c r="J447" s="137"/>
      <c r="K447" s="137"/>
      <c r="L447" s="137"/>
      <c r="M447" s="137"/>
      <c r="N447" s="137"/>
      <c r="O447" s="137"/>
      <c r="P447" s="137"/>
      <c r="Q447" s="137"/>
      <c r="R447" s="137"/>
      <c r="S447" s="137"/>
      <c r="T447" s="137"/>
      <c r="U447" s="137"/>
    </row>
    <row r="448" spans="1:21">
      <c r="A448" s="137"/>
      <c r="B448" s="137"/>
      <c r="C448" s="137"/>
      <c r="D448" s="137"/>
      <c r="E448" s="137"/>
      <c r="F448" s="137"/>
      <c r="G448" s="137"/>
      <c r="H448" s="137"/>
      <c r="I448" s="137"/>
      <c r="J448" s="137"/>
      <c r="K448" s="137"/>
      <c r="L448" s="137"/>
      <c r="M448" s="137"/>
      <c r="N448" s="137"/>
      <c r="O448" s="137"/>
      <c r="P448" s="137"/>
      <c r="Q448" s="137"/>
      <c r="R448" s="137"/>
      <c r="S448" s="137"/>
      <c r="T448" s="137"/>
      <c r="U448" s="137"/>
    </row>
    <row r="449" spans="1:21">
      <c r="A449" s="137"/>
      <c r="B449" s="137"/>
      <c r="C449" s="137"/>
      <c r="D449" s="137"/>
      <c r="E449" s="137"/>
      <c r="F449" s="137"/>
      <c r="G449" s="137"/>
      <c r="H449" s="137"/>
      <c r="I449" s="137"/>
      <c r="J449" s="137"/>
      <c r="K449" s="137"/>
      <c r="L449" s="137"/>
      <c r="M449" s="137"/>
      <c r="N449" s="137"/>
      <c r="O449" s="137"/>
      <c r="P449" s="137"/>
      <c r="Q449" s="137"/>
      <c r="R449" s="137"/>
      <c r="S449" s="137"/>
      <c r="T449" s="137"/>
      <c r="U449" s="137"/>
    </row>
    <row r="450" spans="1:21">
      <c r="A450" s="137"/>
      <c r="B450" s="137"/>
      <c r="C450" s="137"/>
      <c r="D450" s="137"/>
      <c r="E450" s="137"/>
      <c r="F450" s="137"/>
      <c r="G450" s="137"/>
      <c r="H450" s="137"/>
      <c r="I450" s="137"/>
      <c r="J450" s="137"/>
      <c r="K450" s="137"/>
      <c r="L450" s="137"/>
      <c r="M450" s="137"/>
      <c r="N450" s="137"/>
      <c r="O450" s="137"/>
      <c r="P450" s="137"/>
      <c r="Q450" s="137"/>
      <c r="R450" s="137"/>
      <c r="S450" s="137"/>
      <c r="T450" s="137"/>
      <c r="U450" s="137"/>
    </row>
    <row r="451" spans="1:21">
      <c r="A451" s="137"/>
      <c r="B451" s="137"/>
      <c r="C451" s="137"/>
      <c r="D451" s="137"/>
      <c r="E451" s="137"/>
      <c r="F451" s="137"/>
      <c r="G451" s="137"/>
      <c r="H451" s="137"/>
      <c r="I451" s="137"/>
      <c r="J451" s="137"/>
      <c r="K451" s="137"/>
      <c r="L451" s="137"/>
      <c r="M451" s="137"/>
      <c r="N451" s="137"/>
      <c r="O451" s="137"/>
      <c r="P451" s="137"/>
      <c r="Q451" s="137"/>
      <c r="R451" s="137"/>
      <c r="S451" s="137"/>
      <c r="T451" s="137"/>
      <c r="U451" s="137"/>
    </row>
    <row r="452" spans="1:21">
      <c r="A452" s="137"/>
      <c r="B452" s="137"/>
      <c r="C452" s="137"/>
      <c r="D452" s="137"/>
      <c r="E452" s="137"/>
      <c r="F452" s="137"/>
      <c r="G452" s="137"/>
      <c r="H452" s="137"/>
      <c r="I452" s="137"/>
      <c r="J452" s="137"/>
      <c r="K452" s="137"/>
      <c r="L452" s="137"/>
      <c r="M452" s="137"/>
      <c r="N452" s="137"/>
      <c r="O452" s="137"/>
      <c r="P452" s="137"/>
      <c r="Q452" s="137"/>
      <c r="R452" s="137"/>
      <c r="S452" s="137"/>
      <c r="T452" s="137"/>
      <c r="U452" s="137"/>
    </row>
    <row r="453" spans="1:21">
      <c r="A453" s="137"/>
      <c r="B453" s="137"/>
      <c r="C453" s="137"/>
      <c r="D453" s="137"/>
      <c r="E453" s="137"/>
      <c r="F453" s="137"/>
      <c r="G453" s="137"/>
      <c r="H453" s="137"/>
      <c r="I453" s="137"/>
      <c r="J453" s="137"/>
      <c r="K453" s="137"/>
      <c r="L453" s="137"/>
      <c r="M453" s="137"/>
      <c r="N453" s="137"/>
      <c r="O453" s="137"/>
      <c r="P453" s="137"/>
      <c r="Q453" s="137"/>
      <c r="R453" s="137"/>
      <c r="S453" s="137"/>
      <c r="T453" s="137"/>
      <c r="U453" s="137"/>
    </row>
    <row r="454" spans="1:21">
      <c r="A454" s="137"/>
      <c r="B454" s="137"/>
      <c r="C454" s="137"/>
      <c r="D454" s="137"/>
      <c r="E454" s="137"/>
      <c r="F454" s="137"/>
      <c r="G454" s="137"/>
      <c r="H454" s="137"/>
      <c r="I454" s="137"/>
      <c r="J454" s="137"/>
      <c r="K454" s="137"/>
      <c r="L454" s="137"/>
      <c r="M454" s="137"/>
      <c r="N454" s="137"/>
      <c r="O454" s="137"/>
      <c r="P454" s="137"/>
      <c r="Q454" s="137"/>
      <c r="R454" s="137"/>
      <c r="S454" s="137"/>
      <c r="T454" s="137"/>
      <c r="U454" s="137"/>
    </row>
    <row r="455" spans="1:21">
      <c r="A455" s="137"/>
      <c r="B455" s="137"/>
      <c r="C455" s="137"/>
      <c r="D455" s="137"/>
      <c r="E455" s="137"/>
      <c r="F455" s="137"/>
      <c r="G455" s="137"/>
      <c r="H455" s="137"/>
      <c r="I455" s="137"/>
      <c r="J455" s="137"/>
      <c r="K455" s="137"/>
      <c r="L455" s="137"/>
      <c r="M455" s="137"/>
      <c r="N455" s="137"/>
      <c r="O455" s="137"/>
      <c r="P455" s="137"/>
      <c r="Q455" s="137"/>
      <c r="R455" s="137"/>
      <c r="S455" s="137"/>
      <c r="T455" s="137"/>
      <c r="U455" s="137"/>
    </row>
    <row r="456" spans="1:21">
      <c r="A456" s="137"/>
      <c r="B456" s="137"/>
      <c r="C456" s="137"/>
      <c r="D456" s="137"/>
      <c r="E456" s="137"/>
      <c r="F456" s="137"/>
      <c r="G456" s="137"/>
      <c r="H456" s="137"/>
      <c r="I456" s="137"/>
      <c r="J456" s="137"/>
      <c r="K456" s="137"/>
      <c r="L456" s="137"/>
      <c r="M456" s="137"/>
      <c r="N456" s="137"/>
      <c r="O456" s="137"/>
      <c r="P456" s="137"/>
      <c r="Q456" s="137"/>
      <c r="R456" s="137"/>
      <c r="S456" s="137"/>
      <c r="T456" s="137"/>
      <c r="U456" s="137"/>
    </row>
    <row r="457" spans="1:21">
      <c r="A457" s="137"/>
      <c r="B457" s="137"/>
      <c r="C457" s="137"/>
      <c r="D457" s="137"/>
      <c r="E457" s="137"/>
      <c r="F457" s="137"/>
      <c r="G457" s="137"/>
      <c r="H457" s="137"/>
      <c r="I457" s="137"/>
      <c r="J457" s="137"/>
      <c r="K457" s="137"/>
      <c r="L457" s="137"/>
      <c r="M457" s="137"/>
      <c r="N457" s="137"/>
      <c r="O457" s="137"/>
      <c r="P457" s="137"/>
      <c r="Q457" s="137"/>
      <c r="R457" s="137"/>
      <c r="S457" s="137"/>
      <c r="T457" s="137"/>
      <c r="U457" s="137"/>
    </row>
    <row r="458" spans="1:21">
      <c r="A458" s="137"/>
      <c r="B458" s="137"/>
      <c r="C458" s="137"/>
      <c r="D458" s="137"/>
      <c r="E458" s="137"/>
      <c r="F458" s="137"/>
      <c r="G458" s="137"/>
      <c r="H458" s="137"/>
      <c r="I458" s="137"/>
      <c r="J458" s="137"/>
      <c r="K458" s="137"/>
      <c r="L458" s="137"/>
      <c r="M458" s="137"/>
      <c r="N458" s="137"/>
      <c r="O458" s="137"/>
      <c r="P458" s="137"/>
      <c r="Q458" s="137"/>
      <c r="R458" s="137"/>
      <c r="S458" s="137"/>
      <c r="T458" s="137"/>
      <c r="U458" s="137"/>
    </row>
    <row r="459" spans="1:21">
      <c r="A459" s="137"/>
      <c r="B459" s="137"/>
      <c r="C459" s="137"/>
      <c r="D459" s="137"/>
      <c r="E459" s="137"/>
      <c r="F459" s="137"/>
      <c r="G459" s="137"/>
      <c r="H459" s="137"/>
      <c r="I459" s="137"/>
      <c r="J459" s="137"/>
      <c r="K459" s="137"/>
      <c r="L459" s="137"/>
      <c r="M459" s="137"/>
      <c r="N459" s="137"/>
      <c r="O459" s="137"/>
      <c r="P459" s="137"/>
      <c r="Q459" s="137"/>
      <c r="R459" s="137"/>
      <c r="S459" s="137"/>
      <c r="T459" s="137"/>
      <c r="U459" s="137"/>
    </row>
    <row r="460" spans="1:21">
      <c r="A460" s="137"/>
      <c r="B460" s="137"/>
      <c r="C460" s="137"/>
      <c r="D460" s="137"/>
      <c r="E460" s="137"/>
      <c r="F460" s="137"/>
      <c r="G460" s="137"/>
      <c r="H460" s="137"/>
      <c r="I460" s="137"/>
      <c r="J460" s="137"/>
      <c r="K460" s="137"/>
      <c r="L460" s="137"/>
      <c r="M460" s="137"/>
      <c r="N460" s="137"/>
      <c r="O460" s="137"/>
      <c r="P460" s="137"/>
      <c r="Q460" s="137"/>
      <c r="R460" s="137"/>
      <c r="S460" s="137"/>
      <c r="T460" s="137"/>
      <c r="U460" s="137"/>
    </row>
    <row r="461" spans="1:21">
      <c r="A461" s="137"/>
      <c r="B461" s="137"/>
      <c r="C461" s="137"/>
      <c r="D461" s="137"/>
      <c r="E461" s="137"/>
      <c r="F461" s="137"/>
      <c r="G461" s="137"/>
      <c r="H461" s="137"/>
      <c r="I461" s="137"/>
      <c r="J461" s="137"/>
      <c r="K461" s="137"/>
      <c r="L461" s="137"/>
      <c r="M461" s="137"/>
      <c r="N461" s="137"/>
      <c r="O461" s="137"/>
      <c r="P461" s="137"/>
      <c r="Q461" s="137"/>
      <c r="R461" s="137"/>
      <c r="S461" s="137"/>
      <c r="T461" s="137"/>
      <c r="U461" s="137"/>
    </row>
    <row r="462" spans="1:21">
      <c r="A462" s="137"/>
      <c r="B462" s="137"/>
      <c r="C462" s="137"/>
      <c r="D462" s="137"/>
      <c r="E462" s="137"/>
      <c r="F462" s="137"/>
      <c r="G462" s="137"/>
      <c r="H462" s="137"/>
      <c r="I462" s="137"/>
      <c r="J462" s="137"/>
      <c r="K462" s="137"/>
      <c r="L462" s="137"/>
      <c r="M462" s="137"/>
      <c r="N462" s="137"/>
      <c r="O462" s="137"/>
      <c r="P462" s="137"/>
      <c r="Q462" s="137"/>
      <c r="R462" s="137"/>
      <c r="S462" s="137"/>
      <c r="T462" s="137"/>
      <c r="U462" s="137"/>
    </row>
    <row r="463" spans="1:21">
      <c r="A463" s="137"/>
      <c r="B463" s="137"/>
      <c r="C463" s="137"/>
      <c r="D463" s="137"/>
      <c r="E463" s="137"/>
      <c r="F463" s="137"/>
      <c r="G463" s="137"/>
      <c r="H463" s="137"/>
      <c r="I463" s="137"/>
      <c r="J463" s="137"/>
      <c r="K463" s="137"/>
      <c r="L463" s="137"/>
      <c r="M463" s="137"/>
      <c r="N463" s="137"/>
      <c r="O463" s="137"/>
      <c r="P463" s="137"/>
      <c r="Q463" s="137"/>
      <c r="R463" s="137"/>
      <c r="S463" s="137"/>
      <c r="T463" s="137"/>
      <c r="U463" s="137"/>
    </row>
    <row r="464" spans="1:21">
      <c r="A464" s="137"/>
      <c r="B464" s="137"/>
      <c r="C464" s="137"/>
      <c r="D464" s="137"/>
      <c r="E464" s="137"/>
      <c r="F464" s="137"/>
      <c r="G464" s="137"/>
      <c r="H464" s="137"/>
      <c r="I464" s="137"/>
      <c r="J464" s="137"/>
      <c r="K464" s="137"/>
      <c r="L464" s="137"/>
      <c r="M464" s="137"/>
      <c r="N464" s="137"/>
      <c r="O464" s="137"/>
      <c r="P464" s="137"/>
      <c r="Q464" s="137"/>
      <c r="R464" s="137"/>
      <c r="S464" s="137"/>
      <c r="T464" s="137"/>
      <c r="U464" s="137"/>
    </row>
    <row r="465" spans="1:21">
      <c r="A465" s="137"/>
      <c r="B465" s="137"/>
      <c r="C465" s="137"/>
      <c r="D465" s="137"/>
      <c r="E465" s="137"/>
      <c r="F465" s="137"/>
      <c r="G465" s="137"/>
      <c r="H465" s="137"/>
      <c r="I465" s="137"/>
      <c r="J465" s="137"/>
      <c r="K465" s="137"/>
      <c r="L465" s="137"/>
      <c r="M465" s="137"/>
      <c r="N465" s="137"/>
      <c r="O465" s="137"/>
      <c r="P465" s="137"/>
      <c r="Q465" s="137"/>
      <c r="R465" s="137"/>
      <c r="S465" s="137"/>
      <c r="T465" s="137"/>
      <c r="U465" s="137"/>
    </row>
    <row r="466" spans="1:21">
      <c r="A466" s="137"/>
      <c r="B466" s="137"/>
      <c r="C466" s="137"/>
      <c r="D466" s="137"/>
      <c r="E466" s="137"/>
      <c r="F466" s="137"/>
      <c r="G466" s="137"/>
      <c r="H466" s="137"/>
      <c r="I466" s="137"/>
      <c r="J466" s="137"/>
      <c r="K466" s="137"/>
      <c r="L466" s="137"/>
      <c r="M466" s="137"/>
      <c r="N466" s="137"/>
      <c r="O466" s="137"/>
      <c r="P466" s="137"/>
      <c r="Q466" s="137"/>
      <c r="R466" s="137"/>
      <c r="S466" s="137"/>
      <c r="T466" s="137"/>
      <c r="U466" s="137"/>
    </row>
    <row r="467" spans="1:21">
      <c r="A467" s="137"/>
      <c r="B467" s="137"/>
      <c r="C467" s="137"/>
      <c r="D467" s="137"/>
      <c r="E467" s="137"/>
      <c r="F467" s="137"/>
      <c r="G467" s="137"/>
      <c r="H467" s="137"/>
      <c r="I467" s="137"/>
      <c r="J467" s="137"/>
      <c r="K467" s="137"/>
      <c r="L467" s="137"/>
      <c r="M467" s="137"/>
      <c r="N467" s="137"/>
      <c r="O467" s="137"/>
      <c r="P467" s="137"/>
      <c r="Q467" s="137"/>
      <c r="R467" s="137"/>
      <c r="S467" s="137"/>
      <c r="T467" s="137"/>
      <c r="U467" s="137"/>
    </row>
    <row r="468" spans="1:21">
      <c r="A468" s="137"/>
      <c r="B468" s="137"/>
      <c r="C468" s="137"/>
      <c r="D468" s="137"/>
      <c r="E468" s="137"/>
      <c r="F468" s="137"/>
      <c r="G468" s="137"/>
      <c r="H468" s="137"/>
      <c r="I468" s="137"/>
      <c r="J468" s="137"/>
      <c r="K468" s="137"/>
      <c r="L468" s="137"/>
      <c r="M468" s="137"/>
      <c r="N468" s="137"/>
      <c r="O468" s="137"/>
      <c r="P468" s="137"/>
      <c r="Q468" s="137"/>
      <c r="R468" s="137"/>
      <c r="S468" s="137"/>
      <c r="T468" s="137"/>
      <c r="U468" s="137"/>
    </row>
    <row r="469" spans="1:21">
      <c r="A469" s="137"/>
      <c r="B469" s="137"/>
      <c r="C469" s="137"/>
      <c r="D469" s="137"/>
      <c r="E469" s="137"/>
      <c r="F469" s="137"/>
      <c r="G469" s="137"/>
      <c r="H469" s="137"/>
      <c r="I469" s="137"/>
      <c r="J469" s="137"/>
      <c r="K469" s="137"/>
      <c r="L469" s="137"/>
      <c r="M469" s="137"/>
      <c r="N469" s="137"/>
      <c r="O469" s="137"/>
      <c r="P469" s="137"/>
      <c r="Q469" s="137"/>
      <c r="R469" s="137"/>
      <c r="S469" s="137"/>
      <c r="T469" s="137"/>
      <c r="U469" s="137"/>
    </row>
    <row r="470" spans="1:21">
      <c r="A470" s="137"/>
      <c r="B470" s="137"/>
      <c r="C470" s="137"/>
      <c r="D470" s="137"/>
      <c r="E470" s="137"/>
      <c r="F470" s="137"/>
      <c r="G470" s="137"/>
      <c r="H470" s="137"/>
      <c r="I470" s="137"/>
      <c r="J470" s="137"/>
      <c r="K470" s="137"/>
      <c r="L470" s="137"/>
      <c r="M470" s="137"/>
      <c r="N470" s="137"/>
      <c r="O470" s="137"/>
      <c r="P470" s="137"/>
      <c r="Q470" s="137"/>
      <c r="R470" s="137"/>
      <c r="S470" s="137"/>
      <c r="T470" s="137"/>
      <c r="U470" s="137"/>
    </row>
    <row r="471" spans="1:21">
      <c r="A471" s="137"/>
      <c r="B471" s="137"/>
      <c r="C471" s="137"/>
      <c r="D471" s="137"/>
      <c r="E471" s="137"/>
      <c r="F471" s="137"/>
      <c r="G471" s="137"/>
      <c r="H471" s="137"/>
      <c r="I471" s="137"/>
      <c r="J471" s="137"/>
      <c r="K471" s="137"/>
      <c r="L471" s="137"/>
      <c r="M471" s="137"/>
      <c r="N471" s="137"/>
      <c r="O471" s="137"/>
      <c r="P471" s="137"/>
      <c r="Q471" s="137"/>
      <c r="R471" s="137"/>
      <c r="S471" s="137"/>
      <c r="T471" s="137"/>
      <c r="U471" s="137"/>
    </row>
    <row r="472" spans="1:21">
      <c r="A472" s="137"/>
      <c r="B472" s="137"/>
      <c r="C472" s="137"/>
      <c r="D472" s="137"/>
      <c r="E472" s="137"/>
      <c r="F472" s="137"/>
      <c r="G472" s="137"/>
      <c r="H472" s="137"/>
      <c r="I472" s="137"/>
      <c r="J472" s="137"/>
      <c r="K472" s="137"/>
      <c r="L472" s="137"/>
      <c r="M472" s="137"/>
      <c r="N472" s="137"/>
      <c r="O472" s="137"/>
      <c r="P472" s="137"/>
      <c r="Q472" s="137"/>
      <c r="R472" s="137"/>
      <c r="S472" s="137"/>
      <c r="T472" s="137"/>
      <c r="U472" s="137"/>
    </row>
    <row r="473" spans="1:21">
      <c r="A473" s="137"/>
      <c r="B473" s="137"/>
      <c r="C473" s="137"/>
      <c r="D473" s="137"/>
      <c r="E473" s="137"/>
      <c r="F473" s="137"/>
      <c r="G473" s="137"/>
      <c r="H473" s="137"/>
      <c r="I473" s="137"/>
      <c r="J473" s="137"/>
      <c r="K473" s="137"/>
      <c r="L473" s="137"/>
      <c r="M473" s="137"/>
      <c r="N473" s="137"/>
      <c r="O473" s="137"/>
      <c r="P473" s="137"/>
      <c r="Q473" s="137"/>
      <c r="R473" s="137"/>
      <c r="S473" s="137"/>
      <c r="T473" s="137"/>
      <c r="U473" s="137"/>
    </row>
    <row r="474" spans="1:21">
      <c r="A474" s="137"/>
      <c r="B474" s="137"/>
      <c r="C474" s="137"/>
      <c r="D474" s="137"/>
      <c r="E474" s="137"/>
      <c r="F474" s="137"/>
      <c r="G474" s="137"/>
      <c r="H474" s="137"/>
      <c r="I474" s="137"/>
      <c r="J474" s="137"/>
      <c r="K474" s="137"/>
      <c r="L474" s="137"/>
      <c r="M474" s="137"/>
      <c r="N474" s="137"/>
      <c r="O474" s="137"/>
      <c r="P474" s="137"/>
      <c r="Q474" s="137"/>
      <c r="R474" s="137"/>
      <c r="S474" s="137"/>
      <c r="T474" s="137"/>
      <c r="U474" s="137"/>
    </row>
    <row r="475" spans="1:21">
      <c r="A475" s="137"/>
      <c r="B475" s="137"/>
      <c r="C475" s="137"/>
      <c r="D475" s="137"/>
      <c r="E475" s="137"/>
      <c r="F475" s="137"/>
      <c r="G475" s="137"/>
      <c r="H475" s="137"/>
      <c r="I475" s="137"/>
      <c r="J475" s="137"/>
      <c r="K475" s="137"/>
      <c r="L475" s="137"/>
      <c r="M475" s="137"/>
      <c r="N475" s="137"/>
      <c r="O475" s="137"/>
      <c r="P475" s="137"/>
      <c r="Q475" s="137"/>
      <c r="R475" s="137"/>
      <c r="S475" s="137"/>
      <c r="T475" s="137"/>
      <c r="U475" s="137"/>
    </row>
    <row r="476" spans="1:21">
      <c r="A476" s="137"/>
      <c r="B476" s="137"/>
      <c r="C476" s="137"/>
      <c r="D476" s="137"/>
      <c r="E476" s="137"/>
      <c r="F476" s="137"/>
      <c r="G476" s="137"/>
      <c r="H476" s="137"/>
      <c r="I476" s="137"/>
      <c r="J476" s="137"/>
      <c r="K476" s="137"/>
      <c r="L476" s="137"/>
      <c r="M476" s="137"/>
      <c r="N476" s="137"/>
      <c r="O476" s="137"/>
      <c r="P476" s="137"/>
      <c r="Q476" s="137"/>
      <c r="R476" s="137"/>
      <c r="S476" s="137"/>
      <c r="T476" s="137"/>
      <c r="U476" s="137"/>
    </row>
    <row r="477" spans="1:21">
      <c r="A477" s="137"/>
      <c r="B477" s="137"/>
      <c r="C477" s="137"/>
      <c r="D477" s="137"/>
      <c r="E477" s="137"/>
      <c r="F477" s="137"/>
      <c r="G477" s="137"/>
      <c r="H477" s="137"/>
      <c r="I477" s="137"/>
      <c r="J477" s="137"/>
      <c r="K477" s="137"/>
      <c r="L477" s="137"/>
      <c r="M477" s="137"/>
      <c r="N477" s="137"/>
      <c r="O477" s="137"/>
      <c r="P477" s="137"/>
      <c r="Q477" s="137"/>
      <c r="R477" s="137"/>
      <c r="S477" s="137"/>
      <c r="T477" s="137"/>
      <c r="U477" s="137"/>
    </row>
    <row r="478" spans="1:21">
      <c r="A478" s="137"/>
      <c r="B478" s="137"/>
      <c r="C478" s="137"/>
      <c r="D478" s="137"/>
      <c r="E478" s="137"/>
      <c r="F478" s="137"/>
      <c r="G478" s="137"/>
      <c r="H478" s="137"/>
      <c r="I478" s="137"/>
      <c r="J478" s="137"/>
      <c r="K478" s="137"/>
      <c r="L478" s="137"/>
      <c r="M478" s="137"/>
      <c r="N478" s="137"/>
      <c r="O478" s="137"/>
      <c r="P478" s="137"/>
      <c r="Q478" s="137"/>
      <c r="R478" s="137"/>
      <c r="S478" s="137"/>
      <c r="T478" s="137"/>
      <c r="U478" s="137"/>
    </row>
    <row r="479" spans="1:21">
      <c r="A479" s="137"/>
      <c r="B479" s="137"/>
      <c r="C479" s="137"/>
      <c r="D479" s="137"/>
      <c r="E479" s="137"/>
      <c r="F479" s="137"/>
      <c r="G479" s="137"/>
      <c r="H479" s="137"/>
      <c r="I479" s="137"/>
      <c r="J479" s="137"/>
      <c r="K479" s="137"/>
      <c r="L479" s="137"/>
      <c r="M479" s="137"/>
      <c r="N479" s="137"/>
      <c r="O479" s="137"/>
      <c r="P479" s="137"/>
      <c r="Q479" s="137"/>
      <c r="R479" s="137"/>
      <c r="S479" s="137"/>
      <c r="T479" s="137"/>
      <c r="U479" s="137"/>
    </row>
    <row r="480" spans="1:21">
      <c r="A480" s="137"/>
      <c r="B480" s="137"/>
      <c r="C480" s="137"/>
      <c r="D480" s="137"/>
      <c r="E480" s="137"/>
      <c r="F480" s="137"/>
      <c r="G480" s="137"/>
      <c r="H480" s="137"/>
      <c r="I480" s="137"/>
      <c r="J480" s="137"/>
      <c r="K480" s="137"/>
      <c r="L480" s="137"/>
      <c r="M480" s="137"/>
      <c r="N480" s="137"/>
      <c r="O480" s="137"/>
      <c r="P480" s="137"/>
      <c r="Q480" s="137"/>
      <c r="R480" s="137"/>
      <c r="S480" s="137"/>
      <c r="T480" s="137"/>
      <c r="U480" s="137"/>
    </row>
    <row r="481" spans="1:21" ht="28.9">
      <c r="A481" s="1340" t="s">
        <v>231</v>
      </c>
      <c r="B481" s="1340"/>
      <c r="C481" s="1340"/>
      <c r="D481" s="1340"/>
      <c r="E481" s="1340"/>
      <c r="F481" s="1340"/>
      <c r="G481" s="1340"/>
      <c r="H481" s="1340"/>
      <c r="I481" s="1340"/>
      <c r="J481" s="1340"/>
      <c r="K481" s="1340"/>
      <c r="L481" s="1340"/>
      <c r="M481" s="1340"/>
      <c r="N481" s="1340"/>
      <c r="O481" s="137"/>
      <c r="P481" s="137"/>
      <c r="Q481" s="137"/>
      <c r="R481" s="137"/>
      <c r="S481" s="137"/>
      <c r="T481" s="137"/>
      <c r="U481" s="137"/>
    </row>
    <row r="482" spans="1:21">
      <c r="A482" s="137"/>
      <c r="B482" s="137"/>
      <c r="C482" s="137"/>
      <c r="D482" s="137"/>
      <c r="E482" s="137"/>
      <c r="F482" s="137"/>
      <c r="G482" s="137"/>
      <c r="H482" s="137"/>
      <c r="I482" s="137"/>
      <c r="J482" s="137"/>
      <c r="K482" s="137"/>
      <c r="L482" s="137"/>
      <c r="M482" s="137"/>
      <c r="N482" s="137"/>
      <c r="O482" s="137"/>
      <c r="P482" s="137"/>
      <c r="Q482" s="137"/>
      <c r="R482" s="137"/>
      <c r="S482" s="137"/>
      <c r="T482" s="137"/>
      <c r="U482" s="137"/>
    </row>
    <row r="483" spans="1:21">
      <c r="A483" s="137"/>
      <c r="B483" s="137"/>
      <c r="C483" s="137"/>
      <c r="D483" s="137"/>
      <c r="E483" s="137"/>
      <c r="F483" s="137"/>
      <c r="G483" s="137"/>
      <c r="H483" s="137"/>
      <c r="I483" s="137"/>
      <c r="J483" s="137"/>
      <c r="K483" s="137"/>
      <c r="L483" s="137"/>
      <c r="M483" s="137"/>
      <c r="N483" s="137"/>
      <c r="O483" s="137"/>
      <c r="P483" s="137"/>
      <c r="Q483" s="137"/>
      <c r="R483" s="137"/>
      <c r="S483" s="137"/>
      <c r="T483" s="137"/>
      <c r="U483" s="137"/>
    </row>
    <row r="484" spans="1:21">
      <c r="A484" s="137"/>
      <c r="B484" s="137"/>
      <c r="C484" s="137"/>
      <c r="D484" s="137"/>
      <c r="E484" s="137"/>
      <c r="F484" s="137"/>
      <c r="G484" s="137"/>
      <c r="H484" s="137"/>
      <c r="I484" s="137"/>
      <c r="J484" s="137"/>
      <c r="K484" s="137"/>
      <c r="L484" s="137"/>
      <c r="M484" s="137"/>
      <c r="N484" s="137"/>
      <c r="O484" s="137"/>
      <c r="P484" s="137"/>
      <c r="Q484" s="137"/>
      <c r="R484" s="137"/>
      <c r="S484" s="137"/>
      <c r="T484" s="137"/>
      <c r="U484" s="137"/>
    </row>
    <row r="485" spans="1:21">
      <c r="A485" s="137"/>
      <c r="B485" s="137"/>
      <c r="C485" s="137"/>
      <c r="D485" s="137"/>
      <c r="E485" s="137"/>
      <c r="F485" s="137"/>
      <c r="G485" s="137"/>
      <c r="H485" s="137"/>
      <c r="I485" s="137"/>
      <c r="J485" s="137"/>
      <c r="K485" s="137"/>
      <c r="L485" s="137"/>
      <c r="M485" s="137"/>
      <c r="N485" s="137"/>
      <c r="O485" s="137"/>
      <c r="P485" s="137"/>
      <c r="Q485" s="137"/>
      <c r="R485" s="137"/>
      <c r="S485" s="137"/>
      <c r="T485" s="137"/>
      <c r="U485" s="137"/>
    </row>
    <row r="486" spans="1:21">
      <c r="A486" s="137"/>
      <c r="B486" s="137"/>
      <c r="C486" s="137"/>
      <c r="D486" s="137"/>
      <c r="E486" s="137"/>
      <c r="F486" s="137"/>
      <c r="G486" s="137"/>
      <c r="H486" s="137"/>
      <c r="I486" s="137"/>
      <c r="J486" s="137"/>
      <c r="K486" s="137"/>
      <c r="L486" s="137"/>
      <c r="M486" s="137"/>
      <c r="N486" s="137"/>
      <c r="O486" s="137"/>
      <c r="P486" s="137"/>
      <c r="Q486" s="137"/>
      <c r="R486" s="137"/>
      <c r="S486" s="137"/>
      <c r="T486" s="137"/>
      <c r="U486" s="137"/>
    </row>
    <row r="487" spans="1:21">
      <c r="A487" s="137"/>
      <c r="B487" s="137"/>
      <c r="C487" s="137"/>
      <c r="D487" s="137"/>
      <c r="E487" s="137"/>
      <c r="F487" s="137"/>
      <c r="G487" s="137"/>
      <c r="H487" s="137"/>
      <c r="I487" s="137"/>
      <c r="J487" s="137"/>
      <c r="K487" s="137"/>
      <c r="L487" s="137"/>
      <c r="M487" s="137"/>
      <c r="N487" s="137"/>
      <c r="O487" s="137"/>
      <c r="P487" s="137"/>
      <c r="Q487" s="137"/>
      <c r="R487" s="137"/>
      <c r="S487" s="137"/>
      <c r="T487" s="137"/>
      <c r="U487" s="137"/>
    </row>
    <row r="488" spans="1:21">
      <c r="A488" s="137"/>
      <c r="B488" s="137"/>
      <c r="C488" s="137"/>
      <c r="D488" s="137"/>
      <c r="E488" s="137"/>
      <c r="F488" s="137"/>
      <c r="G488" s="137"/>
      <c r="H488" s="137"/>
      <c r="I488" s="137"/>
      <c r="J488" s="137"/>
      <c r="K488" s="137"/>
      <c r="L488" s="137"/>
      <c r="M488" s="137"/>
      <c r="N488" s="137"/>
      <c r="O488" s="137"/>
      <c r="P488" s="137"/>
      <c r="Q488" s="137"/>
      <c r="R488" s="137"/>
      <c r="S488" s="137"/>
      <c r="T488" s="137"/>
      <c r="U488" s="137"/>
    </row>
    <row r="489" spans="1:21">
      <c r="A489" s="137"/>
      <c r="B489" s="137"/>
      <c r="C489" s="137"/>
      <c r="D489" s="137"/>
      <c r="E489" s="137"/>
      <c r="F489" s="137"/>
      <c r="G489" s="137"/>
      <c r="H489" s="137"/>
      <c r="I489" s="137"/>
      <c r="J489" s="137"/>
      <c r="K489" s="137"/>
      <c r="L489" s="137"/>
      <c r="M489" s="137"/>
      <c r="N489" s="137"/>
      <c r="O489" s="137"/>
      <c r="P489" s="137"/>
      <c r="Q489" s="137"/>
      <c r="R489" s="137"/>
      <c r="S489" s="137"/>
      <c r="T489" s="137"/>
      <c r="U489" s="137"/>
    </row>
    <row r="490" spans="1:21">
      <c r="A490" s="137"/>
      <c r="B490" s="137"/>
      <c r="C490" s="137"/>
      <c r="D490" s="137"/>
      <c r="E490" s="137"/>
      <c r="F490" s="137"/>
      <c r="G490" s="137"/>
      <c r="H490" s="137"/>
      <c r="I490" s="137"/>
      <c r="J490" s="137"/>
      <c r="K490" s="137"/>
      <c r="L490" s="137"/>
      <c r="M490" s="137"/>
      <c r="N490" s="137"/>
      <c r="O490" s="137"/>
      <c r="P490" s="137"/>
      <c r="Q490" s="137"/>
      <c r="R490" s="137"/>
      <c r="S490" s="137"/>
      <c r="T490" s="137"/>
      <c r="U490" s="137"/>
    </row>
    <row r="491" spans="1:21">
      <c r="A491" s="137"/>
      <c r="B491" s="137"/>
      <c r="C491" s="137"/>
      <c r="D491" s="137"/>
      <c r="E491" s="137"/>
      <c r="F491" s="137"/>
      <c r="G491" s="137"/>
      <c r="H491" s="137"/>
      <c r="I491" s="137"/>
      <c r="J491" s="137"/>
      <c r="K491" s="137"/>
      <c r="L491" s="137"/>
      <c r="M491" s="137"/>
      <c r="N491" s="137"/>
      <c r="O491" s="137"/>
      <c r="P491" s="137"/>
      <c r="Q491" s="137"/>
      <c r="R491" s="137"/>
      <c r="S491" s="137"/>
      <c r="T491" s="137"/>
      <c r="U491" s="137"/>
    </row>
    <row r="492" spans="1:21">
      <c r="A492" s="137"/>
      <c r="B492" s="137"/>
      <c r="C492" s="137"/>
      <c r="D492" s="137"/>
      <c r="E492" s="137"/>
      <c r="F492" s="137"/>
      <c r="G492" s="137"/>
      <c r="H492" s="137"/>
      <c r="I492" s="137"/>
      <c r="J492" s="137"/>
      <c r="K492" s="137"/>
      <c r="L492" s="137"/>
      <c r="M492" s="137"/>
      <c r="N492" s="137"/>
      <c r="O492" s="137"/>
      <c r="P492" s="137"/>
      <c r="Q492" s="137"/>
      <c r="R492" s="137"/>
      <c r="S492" s="137"/>
      <c r="T492" s="137"/>
      <c r="U492" s="137"/>
    </row>
    <row r="493" spans="1:21">
      <c r="A493" s="137"/>
      <c r="B493" s="137"/>
      <c r="C493" s="137"/>
      <c r="D493" s="137"/>
      <c r="E493" s="137"/>
      <c r="F493" s="137"/>
      <c r="G493" s="137"/>
      <c r="H493" s="137"/>
      <c r="I493" s="137"/>
      <c r="J493" s="137"/>
      <c r="K493" s="137"/>
      <c r="L493" s="137"/>
      <c r="M493" s="137"/>
      <c r="N493" s="137"/>
      <c r="O493" s="137"/>
      <c r="P493" s="137"/>
      <c r="Q493" s="137"/>
      <c r="R493" s="137"/>
      <c r="S493" s="137"/>
      <c r="T493" s="137"/>
      <c r="U493" s="137"/>
    </row>
    <row r="494" spans="1:21">
      <c r="A494" s="137"/>
      <c r="B494" s="137"/>
      <c r="C494" s="137"/>
      <c r="D494" s="137"/>
      <c r="E494" s="137"/>
      <c r="F494" s="137"/>
      <c r="G494" s="137"/>
      <c r="H494" s="137"/>
      <c r="I494" s="137"/>
      <c r="J494" s="137"/>
      <c r="K494" s="137"/>
      <c r="L494" s="137"/>
      <c r="M494" s="137"/>
      <c r="N494" s="137"/>
      <c r="O494" s="137"/>
      <c r="P494" s="137"/>
      <c r="Q494" s="137"/>
      <c r="R494" s="137"/>
      <c r="S494" s="137"/>
      <c r="T494" s="137"/>
      <c r="U494" s="137"/>
    </row>
    <row r="495" spans="1:21">
      <c r="A495" s="137"/>
      <c r="B495" s="137"/>
      <c r="C495" s="137"/>
      <c r="D495" s="137"/>
      <c r="E495" s="137"/>
      <c r="F495" s="137"/>
      <c r="G495" s="137"/>
      <c r="H495" s="137"/>
      <c r="I495" s="137"/>
      <c r="J495" s="137"/>
      <c r="K495" s="137"/>
      <c r="L495" s="137"/>
      <c r="M495" s="137"/>
      <c r="N495" s="137"/>
      <c r="O495" s="137"/>
      <c r="P495" s="137"/>
      <c r="Q495" s="137"/>
      <c r="R495" s="137"/>
      <c r="S495" s="137"/>
      <c r="T495" s="137"/>
      <c r="U495" s="137"/>
    </row>
    <row r="496" spans="1:21">
      <c r="A496" s="137"/>
      <c r="B496" s="137"/>
      <c r="C496" s="137"/>
      <c r="D496" s="137"/>
      <c r="E496" s="137"/>
      <c r="F496" s="137"/>
      <c r="G496" s="137"/>
      <c r="H496" s="137"/>
      <c r="I496" s="137"/>
      <c r="J496" s="137"/>
      <c r="K496" s="137"/>
      <c r="L496" s="137"/>
      <c r="M496" s="137"/>
      <c r="N496" s="137"/>
      <c r="O496" s="137"/>
      <c r="P496" s="137"/>
      <c r="Q496" s="137"/>
      <c r="R496" s="137"/>
      <c r="S496" s="137"/>
      <c r="T496" s="137"/>
      <c r="U496" s="137"/>
    </row>
    <row r="497" spans="1:21">
      <c r="A497" s="137"/>
      <c r="B497" s="137"/>
      <c r="C497" s="137"/>
      <c r="D497" s="137"/>
      <c r="E497" s="137"/>
      <c r="F497" s="137"/>
      <c r="G497" s="137"/>
      <c r="H497" s="137"/>
      <c r="I497" s="137"/>
      <c r="J497" s="137"/>
      <c r="K497" s="137"/>
      <c r="L497" s="137"/>
      <c r="M497" s="137"/>
      <c r="N497" s="137"/>
      <c r="O497" s="137"/>
      <c r="P497" s="137"/>
      <c r="Q497" s="137"/>
      <c r="R497" s="137"/>
      <c r="S497" s="137"/>
      <c r="T497" s="137"/>
      <c r="U497" s="137"/>
    </row>
    <row r="498" spans="1:21">
      <c r="A498" s="137"/>
      <c r="B498" s="137"/>
      <c r="C498" s="137"/>
      <c r="D498" s="137"/>
      <c r="E498" s="137"/>
      <c r="F498" s="137"/>
      <c r="G498" s="137"/>
      <c r="H498" s="137"/>
      <c r="I498" s="137"/>
      <c r="J498" s="137"/>
      <c r="K498" s="137"/>
      <c r="L498" s="137"/>
      <c r="M498" s="137"/>
      <c r="N498" s="137"/>
      <c r="O498" s="137"/>
      <c r="P498" s="137"/>
      <c r="Q498" s="137"/>
      <c r="R498" s="137"/>
      <c r="S498" s="137"/>
      <c r="T498" s="137"/>
      <c r="U498" s="137"/>
    </row>
    <row r="499" spans="1:21">
      <c r="A499" s="137"/>
      <c r="B499" s="137"/>
      <c r="C499" s="137"/>
      <c r="D499" s="137"/>
      <c r="E499" s="137"/>
      <c r="F499" s="137"/>
      <c r="G499" s="137"/>
      <c r="H499" s="137"/>
      <c r="I499" s="137"/>
      <c r="J499" s="137"/>
      <c r="K499" s="137"/>
      <c r="L499" s="137"/>
      <c r="M499" s="137"/>
      <c r="N499" s="137"/>
      <c r="O499" s="137"/>
      <c r="P499" s="137"/>
      <c r="Q499" s="137"/>
      <c r="R499" s="137"/>
      <c r="S499" s="137"/>
      <c r="T499" s="137"/>
      <c r="U499" s="137"/>
    </row>
    <row r="500" spans="1:21">
      <c r="A500" s="137"/>
      <c r="B500" s="137"/>
      <c r="C500" s="137"/>
      <c r="D500" s="137"/>
      <c r="E500" s="137"/>
      <c r="F500" s="137"/>
      <c r="G500" s="137"/>
      <c r="H500" s="137"/>
      <c r="I500" s="137"/>
      <c r="J500" s="137"/>
      <c r="K500" s="137"/>
      <c r="L500" s="137"/>
      <c r="M500" s="137"/>
      <c r="N500" s="137"/>
      <c r="O500" s="137"/>
      <c r="P500" s="137"/>
      <c r="Q500" s="137"/>
      <c r="R500" s="137"/>
      <c r="S500" s="137"/>
      <c r="T500" s="137"/>
      <c r="U500" s="137"/>
    </row>
    <row r="501" spans="1:21">
      <c r="A501" s="137"/>
      <c r="B501" s="137"/>
      <c r="C501" s="137"/>
      <c r="D501" s="137"/>
      <c r="E501" s="137"/>
      <c r="F501" s="137"/>
      <c r="G501" s="137"/>
      <c r="H501" s="137"/>
      <c r="I501" s="137"/>
      <c r="J501" s="137"/>
      <c r="K501" s="137"/>
      <c r="L501" s="137"/>
      <c r="M501" s="137"/>
      <c r="N501" s="137"/>
      <c r="O501" s="137"/>
      <c r="P501" s="137"/>
      <c r="Q501" s="137"/>
      <c r="R501" s="137"/>
      <c r="S501" s="137"/>
      <c r="T501" s="137"/>
      <c r="U501" s="137"/>
    </row>
    <row r="502" spans="1:21">
      <c r="A502" s="137"/>
      <c r="B502" s="137"/>
      <c r="C502" s="137"/>
      <c r="D502" s="137"/>
      <c r="E502" s="137"/>
      <c r="F502" s="137"/>
      <c r="G502" s="137"/>
      <c r="H502" s="137"/>
      <c r="I502" s="137"/>
      <c r="J502" s="137"/>
      <c r="K502" s="137"/>
      <c r="L502" s="137"/>
      <c r="M502" s="137"/>
      <c r="N502" s="137"/>
      <c r="O502" s="137"/>
      <c r="P502" s="137"/>
      <c r="Q502" s="137"/>
      <c r="R502" s="137"/>
      <c r="S502" s="137"/>
      <c r="T502" s="137"/>
      <c r="U502" s="137"/>
    </row>
    <row r="503" spans="1:21">
      <c r="A503" s="137"/>
      <c r="B503" s="137"/>
      <c r="C503" s="137"/>
      <c r="D503" s="137"/>
      <c r="E503" s="137"/>
      <c r="F503" s="137"/>
      <c r="G503" s="137"/>
      <c r="H503" s="137"/>
      <c r="I503" s="137"/>
      <c r="J503" s="137"/>
      <c r="K503" s="137"/>
      <c r="L503" s="137"/>
      <c r="M503" s="137"/>
      <c r="N503" s="137"/>
      <c r="O503" s="137"/>
      <c r="P503" s="137"/>
      <c r="Q503" s="137"/>
      <c r="R503" s="137"/>
      <c r="S503" s="137"/>
      <c r="T503" s="137"/>
      <c r="U503" s="137"/>
    </row>
    <row r="504" spans="1:21">
      <c r="A504" s="137"/>
      <c r="B504" s="137"/>
      <c r="C504" s="137"/>
      <c r="D504" s="137"/>
      <c r="E504" s="137"/>
      <c r="F504" s="137"/>
      <c r="G504" s="137"/>
      <c r="H504" s="137"/>
      <c r="I504" s="137"/>
      <c r="J504" s="137"/>
      <c r="K504" s="137"/>
      <c r="L504" s="137"/>
      <c r="M504" s="137"/>
      <c r="N504" s="137"/>
      <c r="O504" s="137"/>
      <c r="P504" s="137"/>
      <c r="Q504" s="137"/>
      <c r="R504" s="137"/>
      <c r="S504" s="137"/>
      <c r="T504" s="137"/>
      <c r="U504" s="137"/>
    </row>
    <row r="505" spans="1:21">
      <c r="A505" s="137"/>
      <c r="B505" s="137"/>
      <c r="C505" s="137"/>
      <c r="D505" s="137"/>
      <c r="E505" s="137"/>
      <c r="F505" s="137"/>
      <c r="G505" s="137"/>
      <c r="H505" s="137"/>
      <c r="I505" s="137"/>
      <c r="J505" s="137"/>
      <c r="K505" s="137"/>
      <c r="L505" s="137"/>
      <c r="M505" s="137"/>
      <c r="N505" s="137"/>
      <c r="O505" s="137"/>
      <c r="P505" s="137"/>
      <c r="Q505" s="137"/>
      <c r="R505" s="137"/>
      <c r="S505" s="137"/>
      <c r="T505" s="137"/>
      <c r="U505" s="137"/>
    </row>
    <row r="506" spans="1:21">
      <c r="A506" s="137"/>
      <c r="B506" s="137"/>
      <c r="C506" s="137"/>
      <c r="D506" s="137"/>
      <c r="E506" s="137"/>
      <c r="F506" s="137"/>
      <c r="G506" s="137"/>
      <c r="H506" s="137"/>
      <c r="I506" s="137"/>
      <c r="J506" s="137"/>
      <c r="K506" s="137"/>
      <c r="L506" s="137"/>
      <c r="M506" s="137"/>
      <c r="N506" s="137"/>
      <c r="O506" s="137"/>
      <c r="P506" s="137"/>
      <c r="Q506" s="137"/>
      <c r="R506" s="137"/>
      <c r="S506" s="137"/>
      <c r="T506" s="137"/>
      <c r="U506" s="137"/>
    </row>
    <row r="507" spans="1:21">
      <c r="A507" s="137"/>
      <c r="B507" s="137"/>
      <c r="C507" s="137"/>
      <c r="D507" s="137"/>
      <c r="E507" s="137"/>
      <c r="F507" s="137"/>
      <c r="G507" s="137"/>
      <c r="H507" s="137"/>
      <c r="I507" s="137"/>
      <c r="J507" s="137"/>
      <c r="K507" s="137"/>
      <c r="L507" s="137"/>
      <c r="M507" s="137"/>
      <c r="N507" s="137"/>
      <c r="O507" s="137"/>
      <c r="P507" s="137"/>
      <c r="Q507" s="137"/>
      <c r="R507" s="137"/>
      <c r="S507" s="137"/>
      <c r="T507" s="137"/>
      <c r="U507" s="137"/>
    </row>
    <row r="508" spans="1:21">
      <c r="A508" s="137"/>
      <c r="B508" s="137"/>
      <c r="C508" s="137"/>
      <c r="D508" s="137"/>
      <c r="E508" s="137"/>
      <c r="F508" s="137"/>
      <c r="G508" s="137"/>
      <c r="H508" s="137"/>
      <c r="I508" s="137"/>
      <c r="J508" s="137"/>
      <c r="K508" s="137"/>
      <c r="L508" s="137"/>
      <c r="M508" s="137"/>
      <c r="N508" s="137"/>
      <c r="O508" s="137"/>
      <c r="P508" s="137"/>
      <c r="Q508" s="137"/>
      <c r="R508" s="137"/>
      <c r="S508" s="137"/>
      <c r="T508" s="137"/>
      <c r="U508" s="137"/>
    </row>
    <row r="509" spans="1:21">
      <c r="A509" s="137"/>
      <c r="B509" s="137"/>
      <c r="C509" s="137"/>
      <c r="D509" s="137"/>
      <c r="E509" s="137"/>
      <c r="F509" s="137"/>
      <c r="G509" s="137"/>
      <c r="H509" s="137"/>
      <c r="I509" s="137"/>
      <c r="J509" s="137"/>
      <c r="K509" s="137"/>
      <c r="L509" s="137"/>
      <c r="M509" s="137"/>
      <c r="N509" s="137"/>
      <c r="O509" s="137"/>
      <c r="P509" s="137"/>
      <c r="Q509" s="137"/>
      <c r="R509" s="137"/>
      <c r="S509" s="137"/>
      <c r="T509" s="137"/>
      <c r="U509" s="137"/>
    </row>
    <row r="510" spans="1:21">
      <c r="A510" s="137"/>
      <c r="B510" s="137"/>
      <c r="C510" s="137"/>
      <c r="D510" s="137"/>
      <c r="E510" s="137"/>
      <c r="F510" s="137"/>
      <c r="G510" s="137"/>
      <c r="H510" s="137"/>
      <c r="I510" s="137"/>
      <c r="J510" s="137"/>
      <c r="K510" s="137"/>
      <c r="L510" s="137"/>
      <c r="M510" s="137"/>
      <c r="N510" s="137"/>
      <c r="O510" s="137"/>
      <c r="P510" s="137"/>
      <c r="Q510" s="137"/>
      <c r="R510" s="137"/>
      <c r="S510" s="137"/>
      <c r="T510" s="137"/>
      <c r="U510" s="137"/>
    </row>
    <row r="511" spans="1:21">
      <c r="A511" s="137"/>
      <c r="B511" s="137"/>
      <c r="C511" s="137"/>
      <c r="D511" s="137"/>
      <c r="E511" s="137"/>
      <c r="F511" s="137"/>
      <c r="G511" s="137"/>
      <c r="H511" s="137"/>
      <c r="I511" s="137"/>
      <c r="J511" s="137"/>
      <c r="K511" s="137"/>
      <c r="L511" s="137"/>
      <c r="M511" s="137"/>
      <c r="N511" s="137"/>
      <c r="O511" s="137"/>
      <c r="P511" s="137"/>
      <c r="Q511" s="137"/>
      <c r="R511" s="137"/>
      <c r="S511" s="137"/>
      <c r="T511" s="137"/>
      <c r="U511" s="137"/>
    </row>
    <row r="512" spans="1:21">
      <c r="A512" s="137"/>
      <c r="B512" s="137"/>
      <c r="C512" s="137"/>
      <c r="D512" s="137"/>
      <c r="E512" s="137"/>
      <c r="F512" s="137"/>
      <c r="G512" s="137"/>
      <c r="H512" s="137"/>
      <c r="I512" s="137"/>
      <c r="J512" s="137"/>
      <c r="K512" s="137"/>
      <c r="L512" s="137"/>
      <c r="M512" s="137"/>
      <c r="N512" s="137"/>
      <c r="O512" s="137"/>
      <c r="P512" s="137"/>
      <c r="Q512" s="137"/>
      <c r="R512" s="137"/>
      <c r="S512" s="137"/>
      <c r="T512" s="137"/>
      <c r="U512" s="137"/>
    </row>
    <row r="513" spans="1:21">
      <c r="A513" s="137"/>
      <c r="B513" s="137"/>
      <c r="C513" s="137"/>
      <c r="D513" s="137"/>
      <c r="E513" s="137"/>
      <c r="F513" s="137"/>
      <c r="G513" s="137"/>
      <c r="H513" s="137"/>
      <c r="I513" s="137"/>
      <c r="J513" s="137"/>
      <c r="K513" s="137"/>
      <c r="L513" s="137"/>
      <c r="M513" s="137"/>
      <c r="N513" s="137"/>
      <c r="O513" s="137"/>
      <c r="P513" s="137"/>
      <c r="Q513" s="137"/>
      <c r="R513" s="137"/>
      <c r="S513" s="137"/>
      <c r="T513" s="137"/>
      <c r="U513" s="137"/>
    </row>
    <row r="514" spans="1:21">
      <c r="A514" s="137"/>
      <c r="B514" s="137"/>
      <c r="C514" s="137"/>
      <c r="D514" s="137"/>
      <c r="E514" s="137"/>
      <c r="F514" s="137"/>
      <c r="G514" s="137"/>
      <c r="H514" s="137"/>
      <c r="I514" s="137"/>
      <c r="J514" s="137"/>
      <c r="K514" s="137"/>
      <c r="L514" s="137"/>
      <c r="M514" s="137"/>
      <c r="N514" s="137"/>
      <c r="O514" s="137"/>
      <c r="P514" s="137"/>
      <c r="Q514" s="137"/>
      <c r="R514" s="137"/>
      <c r="S514" s="137"/>
      <c r="T514" s="137"/>
      <c r="U514" s="137"/>
    </row>
    <row r="515" spans="1:21">
      <c r="A515" s="137"/>
      <c r="B515" s="137"/>
      <c r="C515" s="137"/>
      <c r="D515" s="137"/>
      <c r="E515" s="137"/>
      <c r="F515" s="137"/>
      <c r="G515" s="137"/>
      <c r="H515" s="137"/>
      <c r="I515" s="137"/>
      <c r="J515" s="137"/>
      <c r="K515" s="137"/>
      <c r="L515" s="137"/>
      <c r="M515" s="137"/>
      <c r="N515" s="137"/>
      <c r="O515" s="137"/>
      <c r="P515" s="137"/>
      <c r="Q515" s="137"/>
      <c r="R515" s="137"/>
      <c r="S515" s="137"/>
      <c r="T515" s="137"/>
      <c r="U515" s="137"/>
    </row>
    <row r="516" spans="1:21">
      <c r="A516" s="137"/>
      <c r="B516" s="137"/>
      <c r="C516" s="137"/>
      <c r="D516" s="137"/>
      <c r="E516" s="137"/>
      <c r="F516" s="137"/>
      <c r="G516" s="137"/>
      <c r="H516" s="137"/>
      <c r="I516" s="137"/>
      <c r="J516" s="137"/>
      <c r="K516" s="137"/>
      <c r="L516" s="137"/>
      <c r="M516" s="137"/>
      <c r="N516" s="137"/>
      <c r="O516" s="137"/>
      <c r="P516" s="137"/>
      <c r="Q516" s="137"/>
      <c r="R516" s="137"/>
      <c r="S516" s="137"/>
      <c r="T516" s="137"/>
      <c r="U516" s="137"/>
    </row>
    <row r="517" spans="1:21">
      <c r="A517" s="137"/>
      <c r="B517" s="137"/>
      <c r="C517" s="137"/>
      <c r="D517" s="137"/>
      <c r="E517" s="137"/>
      <c r="F517" s="137"/>
      <c r="G517" s="137"/>
      <c r="H517" s="137"/>
      <c r="I517" s="137"/>
      <c r="J517" s="137"/>
      <c r="K517" s="137"/>
      <c r="L517" s="137"/>
      <c r="M517" s="137"/>
      <c r="N517" s="137"/>
      <c r="O517" s="137"/>
      <c r="P517" s="137"/>
      <c r="Q517" s="137"/>
      <c r="R517" s="137"/>
      <c r="S517" s="137"/>
      <c r="T517" s="137"/>
      <c r="U517" s="137"/>
    </row>
    <row r="518" spans="1:21">
      <c r="A518" s="137"/>
      <c r="B518" s="137"/>
      <c r="C518" s="137"/>
      <c r="D518" s="137"/>
      <c r="E518" s="137"/>
      <c r="F518" s="137"/>
      <c r="G518" s="137"/>
      <c r="H518" s="137"/>
      <c r="I518" s="137"/>
      <c r="J518" s="137"/>
      <c r="K518" s="137"/>
      <c r="L518" s="137"/>
      <c r="M518" s="137"/>
      <c r="N518" s="137"/>
      <c r="O518" s="137"/>
      <c r="P518" s="137"/>
      <c r="Q518" s="137"/>
      <c r="R518" s="137"/>
      <c r="S518" s="137"/>
      <c r="T518" s="137"/>
      <c r="U518" s="137"/>
    </row>
    <row r="519" spans="1:21">
      <c r="A519" s="137"/>
      <c r="B519" s="137"/>
      <c r="C519" s="137"/>
      <c r="D519" s="137"/>
      <c r="E519" s="137"/>
      <c r="F519" s="137"/>
      <c r="G519" s="137"/>
      <c r="H519" s="137"/>
      <c r="I519" s="137"/>
      <c r="J519" s="137"/>
      <c r="K519" s="137"/>
      <c r="L519" s="137"/>
      <c r="M519" s="137"/>
      <c r="N519" s="137"/>
      <c r="O519" s="137"/>
      <c r="P519" s="137"/>
      <c r="Q519" s="137"/>
      <c r="R519" s="137"/>
      <c r="S519" s="137"/>
      <c r="T519" s="137"/>
      <c r="U519" s="137"/>
    </row>
    <row r="520" spans="1:21">
      <c r="A520" s="137"/>
      <c r="B520" s="137"/>
      <c r="C520" s="137"/>
      <c r="D520" s="137"/>
      <c r="E520" s="137"/>
      <c r="F520" s="137"/>
      <c r="G520" s="137"/>
      <c r="H520" s="137"/>
      <c r="I520" s="137"/>
      <c r="J520" s="137"/>
      <c r="K520" s="137"/>
      <c r="L520" s="137"/>
      <c r="M520" s="137"/>
      <c r="N520" s="137"/>
      <c r="O520" s="137"/>
      <c r="P520" s="137"/>
      <c r="Q520" s="137"/>
      <c r="R520" s="137"/>
      <c r="S520" s="137"/>
      <c r="T520" s="137"/>
      <c r="U520" s="137"/>
    </row>
    <row r="521" spans="1:21">
      <c r="A521" s="137"/>
      <c r="B521" s="137"/>
      <c r="C521" s="137"/>
      <c r="D521" s="137"/>
      <c r="E521" s="137"/>
      <c r="F521" s="137"/>
      <c r="G521" s="137"/>
      <c r="H521" s="137"/>
      <c r="I521" s="137"/>
      <c r="J521" s="137"/>
      <c r="K521" s="137"/>
      <c r="L521" s="137"/>
      <c r="M521" s="137"/>
      <c r="N521" s="137"/>
      <c r="O521" s="137"/>
      <c r="P521" s="137"/>
      <c r="Q521" s="137"/>
      <c r="R521" s="137"/>
      <c r="S521" s="137"/>
      <c r="T521" s="137"/>
      <c r="U521" s="137"/>
    </row>
    <row r="522" spans="1:21">
      <c r="A522" s="137"/>
      <c r="B522" s="137"/>
      <c r="C522" s="137"/>
      <c r="D522" s="137"/>
      <c r="E522" s="137"/>
      <c r="F522" s="137"/>
      <c r="G522" s="137"/>
      <c r="H522" s="137"/>
      <c r="I522" s="137"/>
      <c r="J522" s="137"/>
      <c r="K522" s="137"/>
      <c r="L522" s="137"/>
      <c r="M522" s="137"/>
      <c r="N522" s="137"/>
      <c r="O522" s="137"/>
      <c r="P522" s="137"/>
      <c r="Q522" s="137"/>
      <c r="R522" s="137"/>
      <c r="S522" s="137"/>
      <c r="T522" s="137"/>
      <c r="U522" s="137"/>
    </row>
    <row r="523" spans="1:21">
      <c r="A523" s="137"/>
      <c r="B523" s="137"/>
      <c r="C523" s="137"/>
      <c r="D523" s="137"/>
      <c r="E523" s="137"/>
      <c r="F523" s="137"/>
      <c r="G523" s="137"/>
      <c r="H523" s="137"/>
      <c r="I523" s="137"/>
      <c r="J523" s="137"/>
      <c r="K523" s="137"/>
      <c r="L523" s="137"/>
      <c r="M523" s="137"/>
      <c r="N523" s="137"/>
      <c r="O523" s="137"/>
      <c r="P523" s="137"/>
      <c r="Q523" s="137"/>
      <c r="R523" s="137"/>
      <c r="S523" s="137"/>
      <c r="T523" s="137"/>
      <c r="U523" s="137"/>
    </row>
    <row r="524" spans="1:21">
      <c r="A524" s="137"/>
      <c r="B524" s="137"/>
      <c r="C524" s="137"/>
      <c r="D524" s="137"/>
      <c r="E524" s="137"/>
      <c r="F524" s="137"/>
      <c r="G524" s="137"/>
      <c r="H524" s="137"/>
      <c r="I524" s="137"/>
      <c r="J524" s="137"/>
      <c r="K524" s="137"/>
      <c r="L524" s="137"/>
      <c r="M524" s="137"/>
      <c r="N524" s="137"/>
      <c r="O524" s="137"/>
      <c r="P524" s="137"/>
      <c r="Q524" s="137"/>
      <c r="R524" s="137"/>
      <c r="S524" s="137"/>
      <c r="T524" s="137"/>
      <c r="U524" s="137"/>
    </row>
    <row r="525" spans="1:21">
      <c r="A525" s="137"/>
      <c r="B525" s="137"/>
      <c r="C525" s="137"/>
      <c r="D525" s="137"/>
      <c r="E525" s="137"/>
      <c r="F525" s="137"/>
      <c r="G525" s="137"/>
      <c r="H525" s="137"/>
      <c r="I525" s="137"/>
      <c r="J525" s="137"/>
      <c r="K525" s="137"/>
      <c r="L525" s="137"/>
      <c r="M525" s="137"/>
      <c r="N525" s="137"/>
      <c r="O525" s="137"/>
      <c r="P525" s="137"/>
      <c r="Q525" s="137"/>
      <c r="R525" s="137"/>
      <c r="S525" s="137"/>
      <c r="T525" s="137"/>
      <c r="U525" s="137"/>
    </row>
    <row r="526" spans="1:21">
      <c r="A526" s="137"/>
      <c r="B526" s="137"/>
      <c r="C526" s="137"/>
      <c r="D526" s="137"/>
      <c r="E526" s="137"/>
      <c r="F526" s="137"/>
      <c r="G526" s="137"/>
      <c r="H526" s="137"/>
      <c r="I526" s="137"/>
      <c r="J526" s="137"/>
      <c r="K526" s="137"/>
      <c r="L526" s="137"/>
      <c r="M526" s="137"/>
      <c r="N526" s="137"/>
      <c r="O526" s="137"/>
      <c r="P526" s="137"/>
      <c r="Q526" s="137"/>
      <c r="R526" s="137"/>
      <c r="S526" s="137"/>
      <c r="T526" s="137"/>
      <c r="U526" s="137"/>
    </row>
    <row r="527" spans="1:21">
      <c r="A527" s="137"/>
      <c r="B527" s="137"/>
      <c r="C527" s="137"/>
      <c r="D527" s="137"/>
      <c r="E527" s="137"/>
      <c r="F527" s="137"/>
      <c r="G527" s="137"/>
      <c r="H527" s="137"/>
      <c r="I527" s="137"/>
      <c r="J527" s="137"/>
      <c r="K527" s="137"/>
      <c r="L527" s="137"/>
      <c r="M527" s="137"/>
      <c r="N527" s="137"/>
      <c r="O527" s="137"/>
      <c r="P527" s="137"/>
      <c r="Q527" s="137"/>
      <c r="R527" s="137"/>
      <c r="S527" s="137"/>
      <c r="T527" s="137"/>
      <c r="U527" s="137"/>
    </row>
    <row r="528" spans="1:21">
      <c r="A528" s="137"/>
      <c r="B528" s="137"/>
      <c r="C528" s="137"/>
      <c r="D528" s="137"/>
      <c r="E528" s="137"/>
      <c r="F528" s="137"/>
      <c r="G528" s="137"/>
      <c r="H528" s="137"/>
      <c r="I528" s="137"/>
      <c r="J528" s="137"/>
      <c r="K528" s="137"/>
      <c r="L528" s="137"/>
      <c r="M528" s="137"/>
      <c r="N528" s="137"/>
      <c r="O528" s="137"/>
      <c r="P528" s="137"/>
      <c r="Q528" s="137"/>
      <c r="R528" s="137"/>
      <c r="S528" s="137"/>
      <c r="T528" s="137"/>
      <c r="U528" s="137"/>
    </row>
    <row r="529" spans="1:21">
      <c r="A529" s="137"/>
      <c r="B529" s="137"/>
      <c r="C529" s="137"/>
      <c r="D529" s="137"/>
      <c r="E529" s="137"/>
      <c r="F529" s="137"/>
      <c r="G529" s="137"/>
      <c r="H529" s="137"/>
      <c r="I529" s="137"/>
      <c r="J529" s="137"/>
      <c r="K529" s="137"/>
      <c r="L529" s="137"/>
      <c r="M529" s="137"/>
      <c r="N529" s="137"/>
      <c r="O529" s="137"/>
      <c r="P529" s="137"/>
      <c r="Q529" s="137"/>
      <c r="R529" s="137"/>
      <c r="S529" s="137"/>
      <c r="T529" s="137"/>
      <c r="U529" s="137"/>
    </row>
    <row r="530" spans="1:21">
      <c r="A530" s="137"/>
      <c r="B530" s="137"/>
      <c r="C530" s="137"/>
      <c r="D530" s="137"/>
      <c r="E530" s="137"/>
      <c r="F530" s="137"/>
      <c r="G530" s="137"/>
      <c r="H530" s="137"/>
      <c r="I530" s="137"/>
      <c r="J530" s="137"/>
      <c r="K530" s="137"/>
      <c r="L530" s="137"/>
      <c r="M530" s="137"/>
      <c r="N530" s="137"/>
      <c r="O530" s="137"/>
      <c r="P530" s="137"/>
      <c r="Q530" s="137"/>
      <c r="R530" s="137"/>
      <c r="S530" s="137"/>
      <c r="T530" s="137"/>
      <c r="U530" s="137"/>
    </row>
    <row r="531" spans="1:21">
      <c r="A531" s="137"/>
      <c r="B531" s="137"/>
      <c r="C531" s="137"/>
      <c r="D531" s="137"/>
      <c r="E531" s="137"/>
      <c r="F531" s="137"/>
      <c r="G531" s="137"/>
      <c r="H531" s="137"/>
      <c r="I531" s="137"/>
      <c r="J531" s="137"/>
      <c r="K531" s="137"/>
      <c r="L531" s="137"/>
      <c r="M531" s="137"/>
      <c r="N531" s="137"/>
      <c r="O531" s="137"/>
      <c r="P531" s="137"/>
      <c r="Q531" s="137"/>
      <c r="R531" s="137"/>
      <c r="S531" s="137"/>
      <c r="T531" s="137"/>
      <c r="U531" s="137"/>
    </row>
    <row r="532" spans="1:21">
      <c r="A532" s="137"/>
      <c r="B532" s="137"/>
      <c r="C532" s="137"/>
      <c r="D532" s="137"/>
      <c r="E532" s="137"/>
      <c r="F532" s="137"/>
      <c r="G532" s="137"/>
      <c r="H532" s="137"/>
      <c r="I532" s="137"/>
      <c r="J532" s="137"/>
      <c r="K532" s="137"/>
      <c r="L532" s="137"/>
      <c r="M532" s="137"/>
      <c r="N532" s="137"/>
      <c r="O532" s="137"/>
      <c r="P532" s="137"/>
      <c r="Q532" s="137"/>
      <c r="R532" s="137"/>
      <c r="S532" s="137"/>
      <c r="T532" s="137"/>
      <c r="U532" s="137"/>
    </row>
    <row r="533" spans="1:21">
      <c r="A533" s="137"/>
      <c r="B533" s="137"/>
      <c r="C533" s="137"/>
      <c r="D533" s="137"/>
      <c r="E533" s="137"/>
      <c r="F533" s="137"/>
      <c r="G533" s="137"/>
      <c r="H533" s="137"/>
      <c r="I533" s="137"/>
      <c r="J533" s="137"/>
      <c r="K533" s="137"/>
      <c r="L533" s="137"/>
      <c r="M533" s="137"/>
      <c r="N533" s="137"/>
      <c r="O533" s="137"/>
      <c r="P533" s="137"/>
      <c r="Q533" s="137"/>
      <c r="R533" s="137"/>
      <c r="S533" s="137"/>
      <c r="T533" s="137"/>
      <c r="U533" s="137"/>
    </row>
    <row r="534" spans="1:21">
      <c r="A534" s="137"/>
      <c r="B534" s="137"/>
      <c r="C534" s="137"/>
      <c r="D534" s="137"/>
      <c r="E534" s="137"/>
      <c r="F534" s="137"/>
      <c r="G534" s="137"/>
      <c r="H534" s="137"/>
      <c r="I534" s="137"/>
      <c r="J534" s="137"/>
      <c r="K534" s="137"/>
      <c r="L534" s="137"/>
      <c r="M534" s="137"/>
      <c r="N534" s="137"/>
      <c r="O534" s="137"/>
      <c r="P534" s="137"/>
      <c r="Q534" s="137"/>
      <c r="R534" s="137"/>
      <c r="S534" s="137"/>
      <c r="T534" s="137"/>
      <c r="U534" s="137"/>
    </row>
    <row r="535" spans="1:21">
      <c r="A535" s="137"/>
      <c r="B535" s="137"/>
      <c r="C535" s="137"/>
      <c r="D535" s="137"/>
      <c r="E535" s="137"/>
      <c r="F535" s="137"/>
      <c r="G535" s="137"/>
      <c r="H535" s="137"/>
      <c r="I535" s="137"/>
      <c r="J535" s="137"/>
      <c r="K535" s="137"/>
      <c r="L535" s="137"/>
      <c r="M535" s="137"/>
      <c r="N535" s="137"/>
      <c r="O535" s="137"/>
      <c r="P535" s="137"/>
      <c r="Q535" s="137"/>
      <c r="R535" s="137"/>
      <c r="S535" s="137"/>
      <c r="T535" s="137"/>
      <c r="U535" s="137"/>
    </row>
    <row r="536" spans="1:21">
      <c r="A536" s="137"/>
      <c r="B536" s="137"/>
      <c r="C536" s="137"/>
      <c r="D536" s="137"/>
      <c r="E536" s="137"/>
      <c r="F536" s="137"/>
      <c r="G536" s="137"/>
      <c r="H536" s="137"/>
      <c r="I536" s="137"/>
      <c r="J536" s="137"/>
      <c r="K536" s="137"/>
      <c r="L536" s="137"/>
      <c r="M536" s="137"/>
      <c r="N536" s="137"/>
      <c r="O536" s="137"/>
      <c r="P536" s="137"/>
      <c r="Q536" s="137"/>
      <c r="R536" s="137"/>
      <c r="S536" s="137"/>
      <c r="T536" s="137"/>
      <c r="U536" s="137"/>
    </row>
    <row r="537" spans="1:21">
      <c r="A537" s="137"/>
      <c r="B537" s="137"/>
      <c r="C537" s="137"/>
      <c r="D537" s="137"/>
      <c r="E537" s="137"/>
      <c r="F537" s="137"/>
      <c r="G537" s="137"/>
      <c r="H537" s="137"/>
      <c r="I537" s="137"/>
      <c r="J537" s="137"/>
      <c r="K537" s="137"/>
      <c r="L537" s="137"/>
      <c r="M537" s="137"/>
      <c r="N537" s="137"/>
      <c r="O537" s="137"/>
      <c r="P537" s="137"/>
      <c r="Q537" s="137"/>
      <c r="R537" s="137"/>
      <c r="S537" s="137"/>
      <c r="T537" s="137"/>
      <c r="U537" s="137"/>
    </row>
    <row r="538" spans="1:21">
      <c r="A538" s="137"/>
      <c r="B538" s="137"/>
      <c r="C538" s="137"/>
      <c r="D538" s="137"/>
      <c r="E538" s="137"/>
      <c r="F538" s="137"/>
      <c r="G538" s="137"/>
      <c r="H538" s="137"/>
      <c r="I538" s="137"/>
      <c r="J538" s="137"/>
      <c r="K538" s="137"/>
      <c r="L538" s="137"/>
      <c r="M538" s="137"/>
      <c r="N538" s="137"/>
      <c r="O538" s="137"/>
      <c r="P538" s="137"/>
      <c r="Q538" s="137"/>
      <c r="R538" s="137"/>
      <c r="S538" s="137"/>
      <c r="T538" s="137"/>
      <c r="U538" s="137"/>
    </row>
    <row r="539" spans="1:21">
      <c r="A539" s="137"/>
      <c r="B539" s="137"/>
      <c r="C539" s="137"/>
      <c r="D539" s="137"/>
      <c r="E539" s="137"/>
      <c r="F539" s="137"/>
      <c r="G539" s="137"/>
      <c r="H539" s="137"/>
      <c r="I539" s="137"/>
      <c r="J539" s="137"/>
      <c r="K539" s="137"/>
      <c r="L539" s="137"/>
      <c r="M539" s="137"/>
      <c r="N539" s="137"/>
      <c r="O539" s="137"/>
      <c r="P539" s="137"/>
      <c r="Q539" s="137"/>
      <c r="R539" s="137"/>
      <c r="S539" s="137"/>
      <c r="T539" s="137"/>
      <c r="U539" s="137"/>
    </row>
    <row r="540" spans="1:21">
      <c r="A540" s="137"/>
      <c r="B540" s="137"/>
      <c r="C540" s="137"/>
      <c r="D540" s="137"/>
      <c r="E540" s="137"/>
      <c r="F540" s="137"/>
      <c r="G540" s="137"/>
      <c r="H540" s="137"/>
      <c r="I540" s="137"/>
      <c r="J540" s="137"/>
      <c r="K540" s="137"/>
      <c r="L540" s="137"/>
      <c r="M540" s="137"/>
      <c r="N540" s="137"/>
      <c r="O540" s="137"/>
      <c r="P540" s="137"/>
      <c r="Q540" s="137"/>
      <c r="R540" s="137"/>
      <c r="S540" s="137"/>
      <c r="T540" s="137"/>
      <c r="U540" s="137"/>
    </row>
    <row r="541" spans="1:21">
      <c r="A541" s="137"/>
      <c r="B541" s="137"/>
      <c r="C541" s="137"/>
      <c r="D541" s="137"/>
      <c r="E541" s="137"/>
      <c r="F541" s="137"/>
      <c r="G541" s="137"/>
      <c r="H541" s="137"/>
      <c r="I541" s="137"/>
      <c r="J541" s="137"/>
      <c r="K541" s="137"/>
      <c r="L541" s="137"/>
      <c r="M541" s="137"/>
      <c r="N541" s="137"/>
      <c r="O541" s="137"/>
      <c r="P541" s="137"/>
      <c r="Q541" s="137"/>
      <c r="R541" s="137"/>
      <c r="S541" s="137"/>
      <c r="T541" s="137"/>
      <c r="U541" s="137"/>
    </row>
  </sheetData>
  <sheetProtection algorithmName="SHA-512" hashValue="8zGOz/1UnJRPzw+9HbzjVDt9IHdgW7mE2nwy0T6BhRDUPmIDl7oiGACeRt5OC6Fn7f7Ey/sDltWyzTgaHXOnNA==" saltValue="kcxMFl7n4mdSJiXW0mG09w==" spinCount="100000" sheet="1" selectLockedCells="1"/>
  <mergeCells count="371">
    <mergeCell ref="R93:U93"/>
    <mergeCell ref="I92:L92"/>
    <mergeCell ref="M92:Q92"/>
    <mergeCell ref="R92:U92"/>
    <mergeCell ref="E93:F93"/>
    <mergeCell ref="I95:U95"/>
    <mergeCell ref="I96:U96"/>
    <mergeCell ref="E91:F92"/>
    <mergeCell ref="I91:L91"/>
    <mergeCell ref="M91:Q91"/>
    <mergeCell ref="R91:U91"/>
    <mergeCell ref="E89:F90"/>
    <mergeCell ref="I89:L89"/>
    <mergeCell ref="M89:Q89"/>
    <mergeCell ref="R89:U89"/>
    <mergeCell ref="I90:L90"/>
    <mergeCell ref="M90:Q90"/>
    <mergeCell ref="R90:U90"/>
    <mergeCell ref="R98:U98"/>
    <mergeCell ref="G99:H99"/>
    <mergeCell ref="I99:L99"/>
    <mergeCell ref="M99:Q99"/>
    <mergeCell ref="R99:U99"/>
    <mergeCell ref="C97:F97"/>
    <mergeCell ref="C98:D99"/>
    <mergeCell ref="E98:F99"/>
    <mergeCell ref="G98:H98"/>
    <mergeCell ref="I98:L98"/>
    <mergeCell ref="M98:Q98"/>
    <mergeCell ref="G97:H97"/>
    <mergeCell ref="I97:L97"/>
    <mergeCell ref="M97:Q97"/>
    <mergeCell ref="R97:U97"/>
    <mergeCell ref="I93:L93"/>
    <mergeCell ref="M93:Q93"/>
    <mergeCell ref="A481:N481"/>
    <mergeCell ref="E294:G294"/>
    <mergeCell ref="H294:N294"/>
    <mergeCell ref="O294:U294"/>
    <mergeCell ref="A303:N303"/>
    <mergeCell ref="A361:N361"/>
    <mergeCell ref="A421:N421"/>
    <mergeCell ref="E292:G292"/>
    <mergeCell ref="H292:N292"/>
    <mergeCell ref="O292:U292"/>
    <mergeCell ref="E293:G293"/>
    <mergeCell ref="H293:N293"/>
    <mergeCell ref="O293:U293"/>
    <mergeCell ref="E290:G290"/>
    <mergeCell ref="H290:N290"/>
    <mergeCell ref="O290:U290"/>
    <mergeCell ref="E291:G291"/>
    <mergeCell ref="H291:N291"/>
    <mergeCell ref="O291:U291"/>
    <mergeCell ref="E288:G288"/>
    <mergeCell ref="H288:N288"/>
    <mergeCell ref="O288:U288"/>
    <mergeCell ref="E289:G289"/>
    <mergeCell ref="H289:N289"/>
    <mergeCell ref="O289:U289"/>
    <mergeCell ref="E286:G286"/>
    <mergeCell ref="H286:N286"/>
    <mergeCell ref="O286:U286"/>
    <mergeCell ref="E287:G287"/>
    <mergeCell ref="H287:N287"/>
    <mergeCell ref="O287:U287"/>
    <mergeCell ref="E280:G280"/>
    <mergeCell ref="H280:N280"/>
    <mergeCell ref="O280:U280"/>
    <mergeCell ref="Q283:R283"/>
    <mergeCell ref="S283:U283"/>
    <mergeCell ref="E285:G285"/>
    <mergeCell ref="H285:N285"/>
    <mergeCell ref="O285:U285"/>
    <mergeCell ref="E278:G278"/>
    <mergeCell ref="H278:N278"/>
    <mergeCell ref="O278:U278"/>
    <mergeCell ref="E279:G279"/>
    <mergeCell ref="H279:N279"/>
    <mergeCell ref="O279:U279"/>
    <mergeCell ref="E276:G276"/>
    <mergeCell ref="H276:N276"/>
    <mergeCell ref="O276:U276"/>
    <mergeCell ref="E277:G277"/>
    <mergeCell ref="H277:N277"/>
    <mergeCell ref="O277:U277"/>
    <mergeCell ref="E274:G274"/>
    <mergeCell ref="H274:N274"/>
    <mergeCell ref="O274:U274"/>
    <mergeCell ref="E275:G275"/>
    <mergeCell ref="H275:N275"/>
    <mergeCell ref="O275:U275"/>
    <mergeCell ref="E272:G272"/>
    <mergeCell ref="H272:N272"/>
    <mergeCell ref="O272:U272"/>
    <mergeCell ref="E273:G273"/>
    <mergeCell ref="H273:N273"/>
    <mergeCell ref="O273:U273"/>
    <mergeCell ref="A260:N260"/>
    <mergeCell ref="A261:A294"/>
    <mergeCell ref="S263:U263"/>
    <mergeCell ref="E265:G265"/>
    <mergeCell ref="H265:N265"/>
    <mergeCell ref="O265:U265"/>
    <mergeCell ref="E266:G266"/>
    <mergeCell ref="H266:N266"/>
    <mergeCell ref="O266:U266"/>
    <mergeCell ref="E267:G267"/>
    <mergeCell ref="E270:G270"/>
    <mergeCell ref="H270:N270"/>
    <mergeCell ref="O270:U270"/>
    <mergeCell ref="E271:G271"/>
    <mergeCell ref="H271:N271"/>
    <mergeCell ref="O271:U271"/>
    <mergeCell ref="H267:N267"/>
    <mergeCell ref="O267:U267"/>
    <mergeCell ref="E268:G268"/>
    <mergeCell ref="H268:N268"/>
    <mergeCell ref="O268:U268"/>
    <mergeCell ref="E269:G269"/>
    <mergeCell ref="H269:N269"/>
    <mergeCell ref="O269:U269"/>
    <mergeCell ref="S235:U235"/>
    <mergeCell ref="S237:T237"/>
    <mergeCell ref="Q152:U152"/>
    <mergeCell ref="AA162:AA164"/>
    <mergeCell ref="AB162:AD162"/>
    <mergeCell ref="AB163:AD163"/>
    <mergeCell ref="AA170:AB170"/>
    <mergeCell ref="A192:H195"/>
    <mergeCell ref="J192:L195"/>
    <mergeCell ref="N192:Q195"/>
    <mergeCell ref="A142:N142"/>
    <mergeCell ref="S143:U143"/>
    <mergeCell ref="Z135:AB135"/>
    <mergeCell ref="AC135:AI135"/>
    <mergeCell ref="AJ135:AP135"/>
    <mergeCell ref="A200:U200"/>
    <mergeCell ref="E202:I202"/>
    <mergeCell ref="S207:U207"/>
    <mergeCell ref="E234:J234"/>
    <mergeCell ref="BY135:BY138"/>
    <mergeCell ref="BZ135:BZ138"/>
    <mergeCell ref="Z136:AB136"/>
    <mergeCell ref="AC136:AI136"/>
    <mergeCell ref="AJ136:AP136"/>
    <mergeCell ref="Z137:AB137"/>
    <mergeCell ref="AC137:AI137"/>
    <mergeCell ref="Z133:AB133"/>
    <mergeCell ref="AC133:AI133"/>
    <mergeCell ref="AJ133:AP133"/>
    <mergeCell ref="Z134:AB134"/>
    <mergeCell ref="AC134:AI134"/>
    <mergeCell ref="AJ134:AP134"/>
    <mergeCell ref="AJ137:AP137"/>
    <mergeCell ref="Z138:AB138"/>
    <mergeCell ref="AC138:AI138"/>
    <mergeCell ref="AJ138:AP138"/>
    <mergeCell ref="CN128:CO128"/>
    <mergeCell ref="CP128:CQ128"/>
    <mergeCell ref="CB129:CC129"/>
    <mergeCell ref="CD129:CE129"/>
    <mergeCell ref="CF129:CG129"/>
    <mergeCell ref="CH129:CI129"/>
    <mergeCell ref="CJ129:CK129"/>
    <mergeCell ref="CL129:CM129"/>
    <mergeCell ref="CN129:CO129"/>
    <mergeCell ref="CP129:CQ129"/>
    <mergeCell ref="CB128:CC128"/>
    <mergeCell ref="CD128:CE128"/>
    <mergeCell ref="CF128:CG128"/>
    <mergeCell ref="CH128:CI128"/>
    <mergeCell ref="CJ128:CK128"/>
    <mergeCell ref="CL128:CM128"/>
    <mergeCell ref="BW119:BZ119"/>
    <mergeCell ref="BW120:BZ120"/>
    <mergeCell ref="CJ122:CQ122"/>
    <mergeCell ref="BX123:CQ124"/>
    <mergeCell ref="CB125:CQ125"/>
    <mergeCell ref="CS104:CS133"/>
    <mergeCell ref="BW108:CA108"/>
    <mergeCell ref="BW109:BX109"/>
    <mergeCell ref="BW110:BX110"/>
    <mergeCell ref="BW111:BZ111"/>
    <mergeCell ref="BW113:CA113"/>
    <mergeCell ref="BW114:BZ114"/>
    <mergeCell ref="BW115:BZ115"/>
    <mergeCell ref="BW116:BZ116"/>
    <mergeCell ref="CC116:CQ116"/>
    <mergeCell ref="CR98:CR138"/>
    <mergeCell ref="CB126:CE126"/>
    <mergeCell ref="CF126:CI126"/>
    <mergeCell ref="CJ126:CM126"/>
    <mergeCell ref="CN126:CQ126"/>
    <mergeCell ref="CB127:CE127"/>
    <mergeCell ref="CF127:CI127"/>
    <mergeCell ref="CJ127:CM127"/>
    <mergeCell ref="CN127:CQ127"/>
    <mergeCell ref="A100:N100"/>
    <mergeCell ref="BX104:CA104"/>
    <mergeCell ref="BW117:BZ117"/>
    <mergeCell ref="CC117:CQ117"/>
    <mergeCell ref="BW118:BZ118"/>
    <mergeCell ref="CC118:CQ118"/>
    <mergeCell ref="BQ72:BQ121"/>
    <mergeCell ref="I73:J73"/>
    <mergeCell ref="K73:L73"/>
    <mergeCell ref="M73:N73"/>
    <mergeCell ref="O73:Q73"/>
    <mergeCell ref="R73:S73"/>
    <mergeCell ref="T73:U73"/>
    <mergeCell ref="E78:I78"/>
    <mergeCell ref="K78:L78"/>
    <mergeCell ref="M78:N78"/>
    <mergeCell ref="K79:L79"/>
    <mergeCell ref="K80:L80"/>
    <mergeCell ref="K81:L81"/>
    <mergeCell ref="I82:U82"/>
    <mergeCell ref="I86:L86"/>
    <mergeCell ref="M86:Q86"/>
    <mergeCell ref="R86:U86"/>
    <mergeCell ref="I87:L87"/>
    <mergeCell ref="M87:Q87"/>
    <mergeCell ref="R87:U87"/>
    <mergeCell ref="I88:L88"/>
    <mergeCell ref="M88:Q88"/>
    <mergeCell ref="R88:U88"/>
    <mergeCell ref="M84:Q84"/>
    <mergeCell ref="R84:U84"/>
    <mergeCell ref="I85:L85"/>
    <mergeCell ref="M85:Q85"/>
    <mergeCell ref="R85:U85"/>
    <mergeCell ref="I83:U83"/>
    <mergeCell ref="I84:L84"/>
    <mergeCell ref="E87:F88"/>
    <mergeCell ref="C84:F84"/>
    <mergeCell ref="C85:D93"/>
    <mergeCell ref="E85:F86"/>
    <mergeCell ref="I68:U69"/>
    <mergeCell ref="E70:E76"/>
    <mergeCell ref="I70:U70"/>
    <mergeCell ref="I71:L71"/>
    <mergeCell ref="M71:Q71"/>
    <mergeCell ref="R71:U71"/>
    <mergeCell ref="I72:J72"/>
    <mergeCell ref="K72:L72"/>
    <mergeCell ref="M72:N72"/>
    <mergeCell ref="O72:Q72"/>
    <mergeCell ref="R72:S72"/>
    <mergeCell ref="T72:U72"/>
    <mergeCell ref="F74:H74"/>
    <mergeCell ref="O74:P74"/>
    <mergeCell ref="F75:H75"/>
    <mergeCell ref="O75:P75"/>
    <mergeCell ref="F76:H76"/>
    <mergeCell ref="O76:P76"/>
    <mergeCell ref="O55:Q55"/>
    <mergeCell ref="R55:S55"/>
    <mergeCell ref="F62:F65"/>
    <mergeCell ref="G62:G65"/>
    <mergeCell ref="O62:P62"/>
    <mergeCell ref="O63:P63"/>
    <mergeCell ref="O64:P64"/>
    <mergeCell ref="O65:P65"/>
    <mergeCell ref="F57:H57"/>
    <mergeCell ref="O57:P57"/>
    <mergeCell ref="F58:F61"/>
    <mergeCell ref="G58:G61"/>
    <mergeCell ref="O58:P58"/>
    <mergeCell ref="O59:P59"/>
    <mergeCell ref="O60:P60"/>
    <mergeCell ref="O61:P61"/>
    <mergeCell ref="E43:O43"/>
    <mergeCell ref="R43:U43"/>
    <mergeCell ref="I48:U51"/>
    <mergeCell ref="E52:E65"/>
    <mergeCell ref="F52:H52"/>
    <mergeCell ref="I52:U52"/>
    <mergeCell ref="F53:H53"/>
    <mergeCell ref="I53:L53"/>
    <mergeCell ref="T55:U55"/>
    <mergeCell ref="F56:H56"/>
    <mergeCell ref="I56:J56"/>
    <mergeCell ref="K56:L56"/>
    <mergeCell ref="M56:N56"/>
    <mergeCell ref="O56:Q56"/>
    <mergeCell ref="R56:S56"/>
    <mergeCell ref="T56:U56"/>
    <mergeCell ref="M53:Q53"/>
    <mergeCell ref="R53:U53"/>
    <mergeCell ref="I54:L54"/>
    <mergeCell ref="M54:Q54"/>
    <mergeCell ref="R54:U54"/>
    <mergeCell ref="I55:J55"/>
    <mergeCell ref="K55:L55"/>
    <mergeCell ref="M55:N55"/>
    <mergeCell ref="E40:O40"/>
    <mergeCell ref="R40:U40"/>
    <mergeCell ref="E41:O41"/>
    <mergeCell ref="R41:U41"/>
    <mergeCell ref="E42:O42"/>
    <mergeCell ref="R42:U42"/>
    <mergeCell ref="E35:M36"/>
    <mergeCell ref="E37:Q37"/>
    <mergeCell ref="R37:U37"/>
    <mergeCell ref="E38:O38"/>
    <mergeCell ref="R38:U38"/>
    <mergeCell ref="E39:O39"/>
    <mergeCell ref="R39:U39"/>
    <mergeCell ref="T32:U32"/>
    <mergeCell ref="I33:J33"/>
    <mergeCell ref="K33:L33"/>
    <mergeCell ref="M33:N33"/>
    <mergeCell ref="O33:Q33"/>
    <mergeCell ref="R33:S33"/>
    <mergeCell ref="T33:U33"/>
    <mergeCell ref="E32:H32"/>
    <mergeCell ref="I32:J32"/>
    <mergeCell ref="K32:L32"/>
    <mergeCell ref="M32:N32"/>
    <mergeCell ref="O32:Q32"/>
    <mergeCell ref="R32:S32"/>
    <mergeCell ref="T30:U30"/>
    <mergeCell ref="E31:H31"/>
    <mergeCell ref="I31:J31"/>
    <mergeCell ref="K31:L31"/>
    <mergeCell ref="M31:N31"/>
    <mergeCell ref="O31:Q31"/>
    <mergeCell ref="R31:S31"/>
    <mergeCell ref="T31:U31"/>
    <mergeCell ref="E30:H30"/>
    <mergeCell ref="I30:J30"/>
    <mergeCell ref="K30:L30"/>
    <mergeCell ref="M30:N30"/>
    <mergeCell ref="O30:Q30"/>
    <mergeCell ref="R30:S30"/>
    <mergeCell ref="K29:L29"/>
    <mergeCell ref="M29:N29"/>
    <mergeCell ref="O29:Q29"/>
    <mergeCell ref="R29:S29"/>
    <mergeCell ref="T29:U29"/>
    <mergeCell ref="I28:J28"/>
    <mergeCell ref="K28:L28"/>
    <mergeCell ref="M28:N28"/>
    <mergeCell ref="O28:Q28"/>
    <mergeCell ref="R28:S28"/>
    <mergeCell ref="T28:U28"/>
    <mergeCell ref="D1:H1"/>
    <mergeCell ref="D3:J3"/>
    <mergeCell ref="CR4:CR97"/>
    <mergeCell ref="D5:H5"/>
    <mergeCell ref="D6:E6"/>
    <mergeCell ref="D7:E7"/>
    <mergeCell ref="D8:G8"/>
    <mergeCell ref="D10:H10"/>
    <mergeCell ref="D11:G11"/>
    <mergeCell ref="D12:G12"/>
    <mergeCell ref="D19:H19"/>
    <mergeCell ref="E24:M25"/>
    <mergeCell ref="AX24:AY24"/>
    <mergeCell ref="I26:U26"/>
    <mergeCell ref="I27:L27"/>
    <mergeCell ref="M27:Q27"/>
    <mergeCell ref="R27:U27"/>
    <mergeCell ref="D13:G13"/>
    <mergeCell ref="D14:G14"/>
    <mergeCell ref="D15:G15"/>
    <mergeCell ref="D16:G16"/>
    <mergeCell ref="AU16:AV16"/>
    <mergeCell ref="D17:G17"/>
    <mergeCell ref="I29:J29"/>
  </mergeCells>
  <conditionalFormatting sqref="M78:N78">
    <cfRule type="containsText" dxfId="214" priority="50" operator="containsText" text="Mur de">
      <formula>NOT(ISERROR(SEARCH("Mur de",M78)))</formula>
    </cfRule>
  </conditionalFormatting>
  <conditionalFormatting sqref="E53:U56 E75:O76 Q75:U76 E66:U67 E68 E52:I52 E70:U73 E58:H65 E74:H74 E57:O57 Q57:U57">
    <cfRule type="containsText" dxfId="213" priority="49" operator="containsText" text="N/D">
      <formula>NOT(ISERROR(SEARCH("N/D",E52)))</formula>
    </cfRule>
  </conditionalFormatting>
  <conditionalFormatting sqref="S144:U145 S147:U148 S146 S143">
    <cfRule type="containsText" dxfId="212" priority="48" operator="containsText" text="N/D">
      <formula>NOT(ISERROR(SEARCH("N/D",S143)))</formula>
    </cfRule>
  </conditionalFormatting>
  <conditionalFormatting sqref="Z133:AP140">
    <cfRule type="containsText" dxfId="211" priority="47" operator="containsText" text="a">
      <formula>NOT(ISERROR(SEARCH("a",Z133)))</formula>
    </cfRule>
  </conditionalFormatting>
  <conditionalFormatting sqref="I58:O65 Q58:U65">
    <cfRule type="containsText" dxfId="210" priority="46" operator="containsText" text="N/D">
      <formula>NOT(ISERROR(SEARCH("N/D",I58)))</formula>
    </cfRule>
  </conditionalFormatting>
  <conditionalFormatting sqref="M58:O65 Q58:Q65">
    <cfRule type="cellIs" dxfId="209" priority="52" operator="equal">
      <formula>$J$40</formula>
    </cfRule>
  </conditionalFormatting>
  <conditionalFormatting sqref="I74:O74 Q74:U74">
    <cfRule type="containsText" dxfId="208" priority="5" operator="containsText" text="N/D">
      <formula>NOT(ISERROR(SEARCH("N/D",I74)))</formula>
    </cfRule>
  </conditionalFormatting>
  <conditionalFormatting sqref="K81:L81">
    <cfRule type="containsText" dxfId="207" priority="4" operator="containsText" text="FM">
      <formula>NOT(ISERROR(SEARCH("FM",K81)))</formula>
    </cfRule>
  </conditionalFormatting>
  <conditionalFormatting sqref="I96">
    <cfRule type="containsText" dxfId="206" priority="1" operator="containsText" text="N/D">
      <formula>NOT(ISERROR(SEARCH("N/D",I96)))</formula>
    </cfRule>
  </conditionalFormatting>
  <conditionalFormatting sqref="I83:I84 M84 R84">
    <cfRule type="containsText" dxfId="205" priority="3" operator="containsText" text="N/D">
      <formula>NOT(ISERROR(SEARCH("N/D",I83)))</formula>
    </cfRule>
  </conditionalFormatting>
  <conditionalFormatting sqref="I97 M97 R97">
    <cfRule type="containsText" dxfId="204" priority="2" operator="containsText" text="N/D">
      <formula>NOT(ISERROR(SEARCH("N/D",I97)))</formula>
    </cfRule>
  </conditionalFormatting>
  <dataValidations disablePrompts="1" count="1">
    <dataValidation type="whole" operator="notEqual" allowBlank="1" showInputMessage="1" showErrorMessage="1" sqref="Z7" xr:uid="{89D13A1A-DB51-41A4-8BF8-1B02098060F4}">
      <formula1>2</formula1>
    </dataValidation>
  </dataValidations>
  <hyperlinks>
    <hyperlink ref="S144:U144" r:id="rId1" display="https://www.fmapprovals.com/products-we-certify/understanding-the-benefits/fm-approved-insulated-panels" xr:uid="{A90C8192-2254-4A04-9FDB-C82DF38AC0FF}"/>
    <hyperlink ref="T145" r:id="rId2" display="https://norbec.com/wp-content/uploads/2018/06/FM-Listing-4880-Norex-L-H.pdf" xr:uid="{791104C4-343F-4E30-9F7B-2FD2AD5140BB}"/>
    <hyperlink ref="U145" r:id="rId3" display="https://norbec.com/wp-content/uploads/2018/06/FM-Listing-4881-Norex-L-H-1.pdf" xr:uid="{B07423C4-A4A3-48CC-9ABF-D6D3CBEF73E8}"/>
    <hyperlink ref="S147:U147" r:id="rId4" display="https://norbec.com/norbec-cad-library/REX-IC-2.06-FM-4881-Approved-pattern-FP1.pdf" xr:uid="{21FF4C6E-6591-421B-88BD-36E6BA10A7D4}"/>
    <hyperlink ref="S148:U148" r:id="rId5" display="https://norbec.com/norbec-cad-library/REX-IC-2.07-FM-4881-Approved-pattern-FP4.pdf" xr:uid="{89DEB5A1-4D94-4709-9F20-4D164E61F446}"/>
    <hyperlink ref="A196:H196" r:id="rId6" display="NAI-IC 10, 10" xr:uid="{C54BC208-1F5E-4159-83BF-5A66438869A5}"/>
    <hyperlink ref="N196:Q196" r:id="rId7" display="Description (EN)" xr:uid="{CA161597-A26D-415A-90B7-139958255BAC}"/>
    <hyperlink ref="S209:T209" r:id="rId8" display="Catalogue Buildex" xr:uid="{DAA8E92B-916B-4FDD-8D2D-4155CE1E735B}"/>
    <hyperlink ref="S210:T210" r:id="rId9" display="Manuel d'utilisation UCAN" xr:uid="{E8110BF3-43C5-4210-A6A5-55F15FC7C43B}"/>
    <hyperlink ref="S237:T237" r:id="rId10" display="Page d'information StarDrive GPR" xr:uid="{322E9069-0F12-4CDD-893E-5B1976439228}"/>
    <hyperlink ref="L196" r:id="rId11" xr:uid="{88EF4709-4F79-4FF8-9179-00BBA4D5D454}"/>
    <hyperlink ref="L197" r:id="rId12" xr:uid="{020E3AAA-3677-49A4-98B8-5DFDEAFD5EA5}"/>
    <hyperlink ref="E264:H264" r:id="rId13" display="Résultats de test" xr:uid="{A6285217-2366-413B-8CA4-57753E8CBB5B}"/>
    <hyperlink ref="E283:G283" r:id="rId14" display="Fiche technique" xr:uid="{EB3C4986-4E43-4EFB-B82D-A48F133ECB25}"/>
    <hyperlink ref="E284:H284" r:id="rId15" display="Résultats de test" xr:uid="{6BD49FBF-0E3C-464A-BEF5-8A3187DBC9E9}"/>
    <hyperlink ref="K55:L55" r:id="rId16" display=" 12''- 2x Teks 1/4''" xr:uid="{B5C137AD-561B-4892-A4BC-C1BA1BEA385B}"/>
    <hyperlink ref="I55:J55" r:id="rId17" display=" 5''- 2x Teks 1/4''" xr:uid="{7FC9EC77-417D-4B22-81A6-1269EB9B3791}"/>
    <hyperlink ref="E263:F263" r:id="rId18" display="Data Sheet" xr:uid="{6301A733-1F36-4634-B3AE-BA5B750D9584}"/>
    <hyperlink ref="E283" r:id="rId19" xr:uid="{0F48AEFB-E219-405C-8989-F4A92E5F2993}"/>
    <hyperlink ref="E33:H33" r:id="rId20" display="Largeur de la bande de polyéthylène" xr:uid="{7990A1C5-339C-4D47-B477-566F075E7000}"/>
  </hyperlinks>
  <pageMargins left="0.7" right="0.7" top="0.75" bottom="0.75" header="0.3" footer="0.3"/>
  <pageSetup scale="47" fitToHeight="0" orientation="landscape" r:id="rId21"/>
  <headerFooter>
    <oddHeader>&amp;R&amp;G</oddHeader>
    <oddFooter>&amp;LImprimé le : &amp;D - &amp;T&amp;R&amp;P</oddFooter>
  </headerFooter>
  <rowBreaks count="11" manualBreakCount="11">
    <brk id="48" max="16383" man="1"/>
    <brk id="97" min="21" max="41" man="1"/>
    <brk id="99" max="20" man="1"/>
    <brk id="140" max="20" man="1"/>
    <brk id="198" max="20" man="1"/>
    <brk id="257" max="20" man="1"/>
    <brk id="301" max="20" man="1"/>
    <brk id="359" max="20" man="1"/>
    <brk id="419" max="16383" man="1"/>
    <brk id="480" max="20" man="1"/>
    <brk id="541" max="20" man="1"/>
  </rowBreaks>
  <colBreaks count="1" manualBreakCount="1">
    <brk id="22" max="1048575" man="1"/>
  </colBreaks>
  <drawing r:id="rId22"/>
  <legacyDrawingHF r:id="rId23"/>
  <extLst>
    <ext xmlns:x14="http://schemas.microsoft.com/office/spreadsheetml/2009/9/main" uri="{78C0D931-6437-407d-A8EE-F0AAD7539E65}">
      <x14:conditionalFormattings>
        <x14:conditionalFormatting xmlns:xm="http://schemas.microsoft.com/office/excel/2006/main">
          <x14:cfRule type="cellIs" priority="45" operator="equal" id="{EC2EFA84-2277-4C0C-8A8B-97FF5C0C29B9}">
            <xm:f>'Synthèse résultat'!$P$11</xm:f>
            <x14:dxf>
              <fill>
                <patternFill>
                  <bgColor theme="7" tint="0.79998168889431442"/>
                </patternFill>
              </fill>
            </x14:dxf>
          </x14:cfRule>
          <xm:sqref>I58:L65</xm:sqref>
        </x14:conditionalFormatting>
        <x14:conditionalFormatting xmlns:xm="http://schemas.microsoft.com/office/excel/2006/main">
          <x14:cfRule type="cellIs" priority="43" operator="equal" id="{3A675401-7EA6-4160-9C14-3DF97CBB4284}">
            <xm:f>'Synthèse résultat'!$P$19</xm:f>
            <x14:dxf>
              <fill>
                <patternFill>
                  <bgColor theme="7" tint="0.79998168889431442"/>
                </patternFill>
              </fill>
            </x14:dxf>
          </x14:cfRule>
          <xm:sqref>R58:U65</xm:sqref>
        </x14:conditionalFormatting>
        <x14:conditionalFormatting xmlns:xm="http://schemas.microsoft.com/office/excel/2006/main">
          <x14:cfRule type="cellIs" priority="28" operator="equal" id="{5C9F5D4E-7F28-4328-A283-6B5CD73971AC}">
            <xm:f>'Synthèse résultat'!$AQ$13</xm:f>
            <x14:dxf>
              <fill>
                <patternFill>
                  <bgColor theme="2" tint="-9.9948118533890809E-2"/>
                </patternFill>
              </fill>
            </x14:dxf>
          </x14:cfRule>
          <x14:cfRule type="cellIs" priority="42" operator="equal" id="{CFA0EEBB-77F2-4672-8875-FB378BBF3862}">
            <xm:f>'Synthèse résultat'!$B$87</xm:f>
            <x14:dxf>
              <fill>
                <patternFill>
                  <bgColor theme="9" tint="0.79998168889431442"/>
                </patternFill>
              </fill>
            </x14:dxf>
          </x14:cfRule>
          <xm:sqref>I62:I65 K62:K65</xm:sqref>
        </x14:conditionalFormatting>
        <x14:conditionalFormatting xmlns:xm="http://schemas.microsoft.com/office/excel/2006/main">
          <x14:cfRule type="cellIs" priority="44" operator="equal" id="{41C77015-BE6C-4EF1-B5E1-83A74FD652C4}">
            <xm:f>'Synthèse résultat'!$P$15</xm:f>
            <x14:dxf>
              <fill>
                <patternFill>
                  <bgColor theme="7" tint="0.79998168889431442"/>
                </patternFill>
              </fill>
            </x14:dxf>
          </x14:cfRule>
          <xm:sqref>M58:Q65</xm:sqref>
        </x14:conditionalFormatting>
        <x14:conditionalFormatting xmlns:xm="http://schemas.microsoft.com/office/excel/2006/main">
          <x14:cfRule type="cellIs" priority="27" operator="equal" id="{6B364CC6-EA19-4F5B-8352-A84C4A01D9D0}">
            <xm:f>'Synthèse résultat'!$AQ$14</xm:f>
            <x14:dxf>
              <fill>
                <patternFill>
                  <bgColor theme="2" tint="-9.9948118533890809E-2"/>
                </patternFill>
              </fill>
            </x14:dxf>
          </x14:cfRule>
          <x14:cfRule type="cellIs" priority="41" operator="equal" id="{ABA2D696-187C-4877-94ED-C271FF42F150}">
            <xm:f>'Synthèse résultat'!$C$87</xm:f>
            <x14:dxf>
              <fill>
                <patternFill>
                  <bgColor theme="9" tint="0.79998168889431442"/>
                </patternFill>
              </fill>
            </x14:dxf>
          </x14:cfRule>
          <xm:sqref>J62:J65 L62:L65</xm:sqref>
        </x14:conditionalFormatting>
        <x14:conditionalFormatting xmlns:xm="http://schemas.microsoft.com/office/excel/2006/main">
          <x14:cfRule type="cellIs" priority="40" operator="equal" id="{864A1180-578E-45FF-8CE4-794EA608CC0C}">
            <xm:f>'Synthèse résultat'!$D$87</xm:f>
            <x14:dxf>
              <fill>
                <patternFill>
                  <bgColor theme="9" tint="0.79998168889431442"/>
                </patternFill>
              </fill>
            </x14:dxf>
          </x14:cfRule>
          <xm:sqref>M62:M65 O62:P65 O76:P76</xm:sqref>
        </x14:conditionalFormatting>
        <x14:conditionalFormatting xmlns:xm="http://schemas.microsoft.com/office/excel/2006/main">
          <x14:cfRule type="cellIs" priority="39" operator="equal" id="{7A3B1983-050A-40CA-BFAD-C2E42628EDA4}">
            <xm:f>'Synthèse résultat'!$E$87</xm:f>
            <x14:dxf>
              <fill>
                <patternFill>
                  <bgColor theme="9" tint="0.79998168889431442"/>
                </patternFill>
              </fill>
            </x14:dxf>
          </x14:cfRule>
          <xm:sqref>N62:N65 Q62:Q65 Q76</xm:sqref>
        </x14:conditionalFormatting>
        <x14:conditionalFormatting xmlns:xm="http://schemas.microsoft.com/office/excel/2006/main">
          <x14:cfRule type="cellIs" priority="38" operator="equal" id="{1C672865-154E-46A3-B5A2-90A3A607DD81}">
            <xm:f>'Synthèse résultat'!$F$87</xm:f>
            <x14:dxf>
              <fill>
                <patternFill>
                  <bgColor theme="9" tint="0.79998168889431442"/>
                </patternFill>
              </fill>
            </x14:dxf>
          </x14:cfRule>
          <xm:sqref>R62:R65 T62:T65 T76</xm:sqref>
        </x14:conditionalFormatting>
        <x14:conditionalFormatting xmlns:xm="http://schemas.microsoft.com/office/excel/2006/main">
          <x14:cfRule type="cellIs" priority="37" operator="equal" id="{711E0BD3-2F5E-46F4-BE94-5E0439E58F41}">
            <xm:f>'Synthèse résultat'!$G$87</xm:f>
            <x14:dxf>
              <fill>
                <patternFill>
                  <bgColor theme="9" tint="0.79998168889431442"/>
                </patternFill>
              </fill>
            </x14:dxf>
          </x14:cfRule>
          <xm:sqref>S62:S65 U62:U65 U76</xm:sqref>
        </x14:conditionalFormatting>
        <x14:conditionalFormatting xmlns:xm="http://schemas.microsoft.com/office/excel/2006/main">
          <x14:cfRule type="cellIs" priority="30" operator="equal" id="{B5E27137-58FE-4C10-AB6B-332FD8175E27}">
            <xm:f>'Synthèse résultat'!$AQ$11</xm:f>
            <x14:dxf>
              <fill>
                <patternFill>
                  <bgColor theme="2" tint="-9.9948118533890809E-2"/>
                </patternFill>
              </fill>
            </x14:dxf>
          </x14:cfRule>
          <x14:cfRule type="cellIs" priority="36" operator="equal" id="{F4977244-65A4-41C9-BFC8-28FE4C23E1DA}">
            <xm:f>'Synthèse résultat'!$B$86</xm:f>
            <x14:dxf>
              <fill>
                <patternFill>
                  <bgColor theme="9" tint="0.79998168889431442"/>
                </patternFill>
              </fill>
            </x14:dxf>
          </x14:cfRule>
          <xm:sqref>I58:I61 K58:K61</xm:sqref>
        </x14:conditionalFormatting>
        <x14:conditionalFormatting xmlns:xm="http://schemas.microsoft.com/office/excel/2006/main">
          <x14:cfRule type="cellIs" priority="29" operator="equal" id="{105162AC-0A2C-4952-9B21-525009B3B599}">
            <xm:f>'Synthèse résultat'!$AQ$12</xm:f>
            <x14:dxf>
              <fill>
                <patternFill>
                  <bgColor theme="2" tint="-9.9948118533890809E-2"/>
                </patternFill>
              </fill>
            </x14:dxf>
          </x14:cfRule>
          <x14:cfRule type="cellIs" priority="35" operator="equal" id="{1E289446-CA22-4448-BBD2-43DBCB4ABD88}">
            <xm:f>'Synthèse résultat'!$C$86</xm:f>
            <x14:dxf>
              <fill>
                <patternFill>
                  <bgColor theme="9" tint="0.79998168889431442"/>
                </patternFill>
              </fill>
            </x14:dxf>
          </x14:cfRule>
          <xm:sqref>J58:J61 L58:L61</xm:sqref>
        </x14:conditionalFormatting>
        <x14:conditionalFormatting xmlns:xm="http://schemas.microsoft.com/office/excel/2006/main">
          <x14:cfRule type="cellIs" priority="34" operator="equal" id="{83343813-D05A-478B-8805-A1CA742F3210}">
            <xm:f>'Synthèse résultat'!$D$86</xm:f>
            <x14:dxf>
              <fill>
                <patternFill>
                  <bgColor theme="9" tint="0.79998168889431442"/>
                </patternFill>
              </fill>
            </x14:dxf>
          </x14:cfRule>
          <xm:sqref>M58:M61 O58:P61 O75:P75</xm:sqref>
        </x14:conditionalFormatting>
        <x14:conditionalFormatting xmlns:xm="http://schemas.microsoft.com/office/excel/2006/main">
          <x14:cfRule type="cellIs" priority="33" operator="equal" id="{EC3DE371-2391-4009-AFF6-E69B91667C0A}">
            <xm:f>'Synthèse résultat'!$E$86</xm:f>
            <x14:dxf>
              <fill>
                <patternFill>
                  <bgColor theme="9" tint="0.79998168889431442"/>
                </patternFill>
              </fill>
            </x14:dxf>
          </x14:cfRule>
          <xm:sqref>N58:N61 Q58:Q61 Q75</xm:sqref>
        </x14:conditionalFormatting>
        <x14:conditionalFormatting xmlns:xm="http://schemas.microsoft.com/office/excel/2006/main">
          <x14:cfRule type="cellIs" priority="32" operator="equal" id="{8C91DD76-E563-4F98-9AD6-C8636B15C930}">
            <xm:f>'Synthèse résultat'!$F$86</xm:f>
            <x14:dxf>
              <fill>
                <patternFill>
                  <bgColor theme="9" tint="0.79998168889431442"/>
                </patternFill>
              </fill>
            </x14:dxf>
          </x14:cfRule>
          <xm:sqref>R58:R61 T58:T61 T75</xm:sqref>
        </x14:conditionalFormatting>
        <x14:conditionalFormatting xmlns:xm="http://schemas.microsoft.com/office/excel/2006/main">
          <x14:cfRule type="cellIs" priority="31" operator="equal" id="{6434C185-39FB-4D64-BE0B-4FD46E6B96DD}">
            <xm:f>'Synthèse résultat'!$G$86</xm:f>
            <x14:dxf>
              <fill>
                <patternFill>
                  <bgColor theme="9" tint="0.79998168889431442"/>
                </patternFill>
              </fill>
            </x14:dxf>
          </x14:cfRule>
          <xm:sqref>S58:S61 U58:U61 U75</xm:sqref>
        </x14:conditionalFormatting>
        <x14:conditionalFormatting xmlns:xm="http://schemas.microsoft.com/office/excel/2006/main">
          <x14:cfRule type="cellIs" priority="26" operator="equal" id="{1A4A92B8-C8B0-4DA7-86CE-88F2A20D975A}">
            <xm:f>'Synthèse résultat'!$B$86</xm:f>
            <x14:dxf>
              <fill>
                <patternFill>
                  <bgColor theme="9" tint="0.79998168889431442"/>
                </patternFill>
              </fill>
            </x14:dxf>
          </x14:cfRule>
          <xm:sqref>I75 K75</xm:sqref>
        </x14:conditionalFormatting>
        <x14:conditionalFormatting xmlns:xm="http://schemas.microsoft.com/office/excel/2006/main">
          <x14:cfRule type="cellIs" priority="25" operator="equal" id="{1075162C-C376-4DDA-B2BC-4B4366C0B037}">
            <xm:f>'Synthèse résultat'!$P$11</xm:f>
            <x14:dxf>
              <fill>
                <patternFill>
                  <bgColor theme="7" tint="0.79998168889431442"/>
                </patternFill>
              </fill>
            </x14:dxf>
          </x14:cfRule>
          <xm:sqref>I75:L76</xm:sqref>
        </x14:conditionalFormatting>
        <x14:conditionalFormatting xmlns:xm="http://schemas.microsoft.com/office/excel/2006/main">
          <x14:cfRule type="cellIs" priority="24" operator="equal" id="{207E513A-6433-49ED-83B9-2531D928ADDF}">
            <xm:f>'Synthèse résultat'!$P$15</xm:f>
            <x14:dxf>
              <fill>
                <patternFill>
                  <bgColor theme="7" tint="0.79998168889431442"/>
                </patternFill>
              </fill>
            </x14:dxf>
          </x14:cfRule>
          <xm:sqref>M75:Q76</xm:sqref>
        </x14:conditionalFormatting>
        <x14:conditionalFormatting xmlns:xm="http://schemas.microsoft.com/office/excel/2006/main">
          <x14:cfRule type="cellIs" priority="23" operator="equal" id="{C43DB63F-D2B8-421C-A127-B8E28B7D2B7B}">
            <xm:f>'Synthèse résultat'!$P$19</xm:f>
            <x14:dxf>
              <fill>
                <patternFill>
                  <bgColor theme="7" tint="0.79998168889431442"/>
                </patternFill>
              </fill>
            </x14:dxf>
          </x14:cfRule>
          <xm:sqref>R75:U76</xm:sqref>
        </x14:conditionalFormatting>
        <x14:conditionalFormatting xmlns:xm="http://schemas.microsoft.com/office/excel/2006/main">
          <x14:cfRule type="cellIs" priority="22" operator="equal" id="{31F4815F-474D-4E8A-AA17-E68051813E35}">
            <xm:f>'Synthèse résultat'!$C$86</xm:f>
            <x14:dxf>
              <fill>
                <patternFill>
                  <bgColor theme="9" tint="0.79998168889431442"/>
                </patternFill>
              </fill>
            </x14:dxf>
          </x14:cfRule>
          <xm:sqref>J75 L75</xm:sqref>
        </x14:conditionalFormatting>
        <x14:conditionalFormatting xmlns:xm="http://schemas.microsoft.com/office/excel/2006/main">
          <x14:cfRule type="cellIs" priority="21" operator="equal" id="{5B47C57C-8552-402F-A70B-10F1F5E79C24}">
            <xm:f>'Synthèse résultat'!$B$87</xm:f>
            <x14:dxf>
              <fill>
                <patternFill>
                  <bgColor theme="9" tint="0.79998168889431442"/>
                </patternFill>
              </fill>
            </x14:dxf>
          </x14:cfRule>
          <xm:sqref>I76 K76</xm:sqref>
        </x14:conditionalFormatting>
        <x14:conditionalFormatting xmlns:xm="http://schemas.microsoft.com/office/excel/2006/main">
          <x14:cfRule type="cellIs" priority="20" operator="equal" id="{0EE4BCBC-6464-4DB1-9647-533B81365685}">
            <xm:f>'Synthèse résultat'!$C$87</xm:f>
            <x14:dxf>
              <fill>
                <patternFill>
                  <bgColor theme="9" tint="0.79998168889431442"/>
                </patternFill>
              </fill>
            </x14:dxf>
          </x14:cfRule>
          <xm:sqref>J76 L76</xm:sqref>
        </x14:conditionalFormatting>
        <x14:conditionalFormatting xmlns:xm="http://schemas.microsoft.com/office/excel/2006/main">
          <x14:cfRule type="cellIs" priority="19" operator="equal" id="{919435C4-69CF-4ECA-8EB4-E493DEEB0122}">
            <xm:f>'Synthèse résultat'!$D$86</xm:f>
            <x14:dxf>
              <fill>
                <patternFill>
                  <bgColor theme="9" tint="0.79998168889431442"/>
                </patternFill>
              </fill>
            </x14:dxf>
          </x14:cfRule>
          <xm:sqref>M75</xm:sqref>
        </x14:conditionalFormatting>
        <x14:conditionalFormatting xmlns:xm="http://schemas.microsoft.com/office/excel/2006/main">
          <x14:cfRule type="cellIs" priority="18" operator="equal" id="{60934AEB-0C97-46F5-A7EB-644F4BA414BD}">
            <xm:f>'Synthèse résultat'!$E$86</xm:f>
            <x14:dxf>
              <fill>
                <patternFill>
                  <bgColor theme="9" tint="0.79998168889431442"/>
                </patternFill>
              </fill>
            </x14:dxf>
          </x14:cfRule>
          <xm:sqref>N75</xm:sqref>
        </x14:conditionalFormatting>
        <x14:conditionalFormatting xmlns:xm="http://schemas.microsoft.com/office/excel/2006/main">
          <x14:cfRule type="cellIs" priority="17" operator="equal" id="{89932030-E77D-4862-AB35-846C34710A74}">
            <xm:f>'Synthèse résultat'!$D$87</xm:f>
            <x14:dxf>
              <fill>
                <patternFill>
                  <bgColor theme="9" tint="0.79998168889431442"/>
                </patternFill>
              </fill>
            </x14:dxf>
          </x14:cfRule>
          <xm:sqref>M76</xm:sqref>
        </x14:conditionalFormatting>
        <x14:conditionalFormatting xmlns:xm="http://schemas.microsoft.com/office/excel/2006/main">
          <x14:cfRule type="cellIs" priority="16" operator="equal" id="{11AC3525-51C3-4EBE-B6D0-C62AEE5CDC9E}">
            <xm:f>'Synthèse résultat'!$E$87</xm:f>
            <x14:dxf>
              <fill>
                <patternFill>
                  <bgColor theme="9" tint="0.79998168889431442"/>
                </patternFill>
              </fill>
            </x14:dxf>
          </x14:cfRule>
          <xm:sqref>N76</xm:sqref>
        </x14:conditionalFormatting>
        <x14:conditionalFormatting xmlns:xm="http://schemas.microsoft.com/office/excel/2006/main">
          <x14:cfRule type="cellIs" priority="15" operator="equal" id="{C7865698-B028-4386-B32C-C3C058CBEF8C}">
            <xm:f>'Synthèse résultat'!$F$86</xm:f>
            <x14:dxf>
              <fill>
                <patternFill>
                  <bgColor theme="9" tint="0.79998168889431442"/>
                </patternFill>
              </fill>
            </x14:dxf>
          </x14:cfRule>
          <xm:sqref>R75</xm:sqref>
        </x14:conditionalFormatting>
        <x14:conditionalFormatting xmlns:xm="http://schemas.microsoft.com/office/excel/2006/main">
          <x14:cfRule type="cellIs" priority="14" operator="equal" id="{AA319C3C-3A77-42A6-A680-6E006977995C}">
            <xm:f>'Synthèse résultat'!$G$86</xm:f>
            <x14:dxf>
              <fill>
                <patternFill>
                  <bgColor theme="9" tint="0.79998168889431442"/>
                </patternFill>
              </fill>
            </x14:dxf>
          </x14:cfRule>
          <xm:sqref>S75</xm:sqref>
        </x14:conditionalFormatting>
        <x14:conditionalFormatting xmlns:xm="http://schemas.microsoft.com/office/excel/2006/main">
          <x14:cfRule type="cellIs" priority="13" operator="equal" id="{73D01214-58B1-448F-87B4-C216D3855CF1}">
            <xm:f>'Synthèse résultat'!$F$87</xm:f>
            <x14:dxf>
              <fill>
                <patternFill>
                  <bgColor theme="9" tint="0.79998168889431442"/>
                </patternFill>
              </fill>
            </x14:dxf>
          </x14:cfRule>
          <xm:sqref>R76</xm:sqref>
        </x14:conditionalFormatting>
        <x14:conditionalFormatting xmlns:xm="http://schemas.microsoft.com/office/excel/2006/main">
          <x14:cfRule type="cellIs" priority="12" operator="equal" id="{38124A5C-E08A-410F-B6B1-101E23F3C23C}">
            <xm:f>'Synthèse résultat'!$G$87</xm:f>
            <x14:dxf>
              <fill>
                <patternFill>
                  <bgColor theme="9" tint="0.79998168889431442"/>
                </patternFill>
              </fill>
            </x14:dxf>
          </x14:cfRule>
          <xm:sqref>S76</xm:sqref>
        </x14:conditionalFormatting>
        <x14:conditionalFormatting xmlns:xm="http://schemas.microsoft.com/office/excel/2006/main">
          <x14:cfRule type="cellIs" priority="9" operator="equal" id="{3435C849-8CDF-4039-BB78-071A1CCD6C83}">
            <xm:f>'Synthèse résultat'!$AQ$15</xm:f>
            <x14:dxf>
              <fill>
                <patternFill>
                  <bgColor theme="2" tint="-9.9948118533890809E-2"/>
                </patternFill>
              </fill>
            </x14:dxf>
          </x14:cfRule>
          <xm:sqref>M58:M60</xm:sqref>
        </x14:conditionalFormatting>
        <x14:conditionalFormatting xmlns:xm="http://schemas.microsoft.com/office/excel/2006/main">
          <x14:cfRule type="cellIs" priority="8" operator="equal" id="{1824EADD-9BB7-4A5A-972D-125CBCFBA2C4}">
            <xm:f>'Synthèse résultat'!$AQ$16</xm:f>
            <x14:dxf>
              <fill>
                <patternFill>
                  <bgColor theme="2" tint="-9.9948118533890809E-2"/>
                </patternFill>
              </fill>
            </x14:dxf>
          </x14:cfRule>
          <xm:sqref>N58:N60</xm:sqref>
        </x14:conditionalFormatting>
        <x14:conditionalFormatting xmlns:xm="http://schemas.microsoft.com/office/excel/2006/main">
          <x14:cfRule type="cellIs" priority="7" operator="equal" id="{1B3FA5F3-9FB0-4F87-B624-7BCCF9635EDF}">
            <xm:f>'Synthèse résultat'!$AQ$19</xm:f>
            <x14:dxf>
              <fill>
                <patternFill>
                  <bgColor theme="2" tint="-9.9948118533890809E-2"/>
                </patternFill>
              </fill>
            </x14:dxf>
          </x14:cfRule>
          <xm:sqref>R58:R60</xm:sqref>
        </x14:conditionalFormatting>
        <x14:conditionalFormatting xmlns:xm="http://schemas.microsoft.com/office/excel/2006/main">
          <x14:cfRule type="cellIs" priority="6" operator="equal" id="{B9BDC488-84A4-43FA-8111-389E3E353CA2}">
            <xm:f>'Synthèse résultat'!$AQ$20</xm:f>
            <x14:dxf>
              <fill>
                <patternFill>
                  <bgColor theme="2" tint="-9.9948118533890809E-2"/>
                </patternFill>
              </fill>
            </x14:dxf>
          </x14:cfRule>
          <xm:sqref>S58:S60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FFB1-B351-419B-98A5-24845CF5C9BF}">
  <sheetPr published="0" codeName="Feuil9"/>
  <dimension ref="A3:AR88"/>
  <sheetViews>
    <sheetView topLeftCell="A62" workbookViewId="0">
      <selection activeCell="B3" sqref="B3:K6"/>
    </sheetView>
  </sheetViews>
  <sheetFormatPr defaultColWidth="11.42578125" defaultRowHeight="14.45"/>
  <cols>
    <col min="1" max="4" width="11" customWidth="1"/>
    <col min="5" max="5" width="9" customWidth="1"/>
    <col min="6" max="6" width="11.7109375" customWidth="1"/>
    <col min="7" max="7" width="12.140625" customWidth="1"/>
    <col min="8" max="15" width="9" customWidth="1"/>
    <col min="16" max="16" width="9.5703125" customWidth="1"/>
    <col min="19" max="19" width="12.140625" bestFit="1" customWidth="1"/>
    <col min="42" max="42" width="11.85546875" bestFit="1" customWidth="1"/>
    <col min="43" max="43" width="14.42578125" customWidth="1"/>
    <col min="44" max="44" width="17.5703125" customWidth="1"/>
  </cols>
  <sheetData>
    <row r="3" spans="2:44">
      <c r="B3" s="1599" t="s">
        <v>311</v>
      </c>
      <c r="C3" s="1599"/>
      <c r="D3" s="1599"/>
      <c r="E3" s="1599"/>
      <c r="F3" s="1599"/>
      <c r="G3" s="1599"/>
    </row>
    <row r="4" spans="2:44">
      <c r="B4" s="1599"/>
      <c r="C4" s="1599"/>
      <c r="D4" s="1599"/>
      <c r="E4" s="1599"/>
      <c r="F4" s="1599"/>
      <c r="G4" s="1599"/>
      <c r="S4" s="22"/>
    </row>
    <row r="5" spans="2:44">
      <c r="S5" s="22"/>
    </row>
    <row r="6" spans="2:44">
      <c r="D6" t="str">
        <f>IF('Saisie de données'!$D$16='Menu déroulant'!B20,"","")</f>
        <v/>
      </c>
      <c r="S6" s="22"/>
    </row>
    <row r="7" spans="2:44" ht="18.600000000000001" thickBot="1">
      <c r="B7" s="816" t="s">
        <v>312</v>
      </c>
      <c r="C7" s="67"/>
      <c r="D7" s="67"/>
      <c r="E7" s="35"/>
      <c r="F7" s="35"/>
      <c r="G7" s="68"/>
      <c r="H7" s="68"/>
      <c r="I7" s="68"/>
      <c r="J7" s="68"/>
      <c r="K7" s="68"/>
      <c r="L7" s="68"/>
      <c r="M7" s="68"/>
      <c r="N7" s="68"/>
      <c r="O7" s="68"/>
      <c r="P7" s="35"/>
      <c r="Q7" s="67"/>
      <c r="R7" s="67"/>
      <c r="S7" s="67"/>
      <c r="T7" s="67"/>
      <c r="U7" s="67"/>
      <c r="V7" s="67"/>
      <c r="W7" s="67"/>
      <c r="X7" s="67"/>
      <c r="Y7" s="67"/>
      <c r="Z7" s="67"/>
    </row>
    <row r="8" spans="2:44" ht="15" thickTop="1">
      <c r="B8" s="1574" t="s">
        <v>313</v>
      </c>
      <c r="C8" s="1575"/>
      <c r="D8" s="1576"/>
      <c r="E8" s="1606" t="s">
        <v>314</v>
      </c>
      <c r="F8" s="1584" t="s">
        <v>315</v>
      </c>
      <c r="G8" s="1585"/>
      <c r="H8" s="1585"/>
      <c r="I8" s="1585"/>
      <c r="J8" s="1585"/>
      <c r="K8" s="1585"/>
      <c r="L8" s="1585"/>
      <c r="M8" s="1585"/>
      <c r="N8" s="1585"/>
      <c r="O8" s="1586"/>
      <c r="P8" s="1609" t="s">
        <v>316</v>
      </c>
      <c r="Q8" s="1611" t="s">
        <v>317</v>
      </c>
      <c r="R8" s="1611"/>
      <c r="S8" s="1611"/>
      <c r="T8" s="1611"/>
      <c r="U8" s="1611"/>
      <c r="V8" s="1611"/>
      <c r="W8" s="1611"/>
      <c r="X8" s="1611"/>
      <c r="Y8" s="1611"/>
      <c r="Z8" s="1612"/>
      <c r="AA8" s="1617" t="s">
        <v>318</v>
      </c>
      <c r="AB8" s="1593"/>
      <c r="AC8" s="1593"/>
      <c r="AD8" s="1593"/>
      <c r="AE8" s="1593"/>
      <c r="AF8" s="1593"/>
      <c r="AG8" s="1593"/>
      <c r="AH8" s="1593"/>
      <c r="AI8" s="1593"/>
      <c r="AJ8" s="1593"/>
      <c r="AK8" s="1593"/>
      <c r="AL8" s="1593"/>
      <c r="AM8" s="1593"/>
      <c r="AN8" s="1593"/>
      <c r="AO8" s="1593"/>
      <c r="AP8" s="1594"/>
      <c r="AQ8" s="433" t="s">
        <v>319</v>
      </c>
      <c r="AR8" s="444" t="s">
        <v>320</v>
      </c>
    </row>
    <row r="9" spans="2:44">
      <c r="B9" s="1577"/>
      <c r="C9" s="1332"/>
      <c r="D9" s="1578"/>
      <c r="E9" s="1603"/>
      <c r="F9" s="1587"/>
      <c r="G9" s="1588"/>
      <c r="H9" s="1588"/>
      <c r="I9" s="1588"/>
      <c r="J9" s="1588"/>
      <c r="K9" s="1588"/>
      <c r="L9" s="1588"/>
      <c r="M9" s="1588"/>
      <c r="N9" s="1588"/>
      <c r="O9" s="1589"/>
      <c r="P9" s="1610"/>
      <c r="Q9" s="1613" t="s">
        <v>321</v>
      </c>
      <c r="R9" s="1613"/>
      <c r="S9" s="1613"/>
      <c r="T9" s="1613"/>
      <c r="U9" s="1613"/>
      <c r="V9" s="1613" t="s">
        <v>322</v>
      </c>
      <c r="W9" s="1613"/>
      <c r="X9" s="1613"/>
      <c r="Y9" s="1613"/>
      <c r="Z9" s="1614"/>
      <c r="AA9" s="1618" t="s">
        <v>113</v>
      </c>
      <c r="AB9" s="1619"/>
      <c r="AC9" s="1619"/>
      <c r="AD9" s="1619"/>
      <c r="AE9" s="1619"/>
      <c r="AF9" s="1619"/>
      <c r="AG9" s="1619"/>
      <c r="AH9" s="1620"/>
      <c r="AI9" s="1621" t="s">
        <v>114</v>
      </c>
      <c r="AJ9" s="1619"/>
      <c r="AK9" s="1619"/>
      <c r="AL9" s="1619"/>
      <c r="AM9" s="1619"/>
      <c r="AN9" s="1619"/>
      <c r="AO9" s="1619"/>
      <c r="AP9" s="1622"/>
      <c r="AQ9" s="433"/>
      <c r="AR9" s="444"/>
    </row>
    <row r="10" spans="2:44" ht="15" thickBot="1">
      <c r="B10" s="1579"/>
      <c r="C10" s="1580"/>
      <c r="D10" s="1581"/>
      <c r="E10" s="1608"/>
      <c r="F10" s="242" t="s">
        <v>323</v>
      </c>
      <c r="G10" s="242" t="s">
        <v>324</v>
      </c>
      <c r="H10" s="242" t="s">
        <v>325</v>
      </c>
      <c r="I10" s="242" t="s">
        <v>326</v>
      </c>
      <c r="J10" s="242" t="s">
        <v>327</v>
      </c>
      <c r="K10" s="242" t="s">
        <v>328</v>
      </c>
      <c r="L10" s="242" t="s">
        <v>329</v>
      </c>
      <c r="M10" s="242" t="s">
        <v>330</v>
      </c>
      <c r="N10" s="242" t="s">
        <v>331</v>
      </c>
      <c r="O10" s="242" t="s">
        <v>332</v>
      </c>
      <c r="P10" s="243" t="s">
        <v>333</v>
      </c>
      <c r="Q10" s="244">
        <v>0.1875</v>
      </c>
      <c r="R10" s="244" t="s">
        <v>334</v>
      </c>
      <c r="S10" s="244" t="s">
        <v>335</v>
      </c>
      <c r="T10" s="244" t="s">
        <v>336</v>
      </c>
      <c r="U10" s="244" t="s">
        <v>337</v>
      </c>
      <c r="V10" s="244">
        <v>0.1875</v>
      </c>
      <c r="W10" s="244" t="s">
        <v>334</v>
      </c>
      <c r="X10" s="244" t="s">
        <v>335</v>
      </c>
      <c r="Y10" s="244" t="s">
        <v>336</v>
      </c>
      <c r="Z10" s="245" t="s">
        <v>337</v>
      </c>
      <c r="AA10" s="436" t="s">
        <v>323</v>
      </c>
      <c r="AB10" s="437" t="s">
        <v>324</v>
      </c>
      <c r="AC10" s="437" t="s">
        <v>325</v>
      </c>
      <c r="AD10" s="437" t="s">
        <v>326</v>
      </c>
      <c r="AE10" s="437" t="s">
        <v>327</v>
      </c>
      <c r="AF10" s="437" t="s">
        <v>329</v>
      </c>
      <c r="AG10" s="437" t="s">
        <v>330</v>
      </c>
      <c r="AH10" s="438" t="s">
        <v>331</v>
      </c>
      <c r="AI10" s="437" t="s">
        <v>323</v>
      </c>
      <c r="AJ10" s="437" t="s">
        <v>324</v>
      </c>
      <c r="AK10" s="437" t="s">
        <v>325</v>
      </c>
      <c r="AL10" s="437" t="s">
        <v>326</v>
      </c>
      <c r="AM10" s="437" t="s">
        <v>327</v>
      </c>
      <c r="AN10" s="437" t="s">
        <v>329</v>
      </c>
      <c r="AO10" s="437" t="s">
        <v>330</v>
      </c>
      <c r="AP10" s="439" t="s">
        <v>331</v>
      </c>
      <c r="AQ10" s="435"/>
      <c r="AR10" s="445"/>
    </row>
    <row r="11" spans="2:44">
      <c r="B11" s="1600" t="s">
        <v>48</v>
      </c>
      <c r="C11" s="1111" t="s">
        <v>338</v>
      </c>
      <c r="D11" s="59" t="str">
        <f>IF('Saisie de données'!$D$16='Menu déroulant'!$B$20,D50,D30)</f>
        <v>e-</v>
      </c>
      <c r="E11" s="59" t="e" cm="1">
        <f t="array" ref="E11">_xlfn.IFS(OR('Saisie de données'!$D$13='Menu déroulant'!$AA$3,'Saisie de données'!$D$13='Menu déroulant'!$AA$4),'Synthèse résultat'!E68,'Saisie de données'!$D$16='Menu déroulant'!$B$20,E50,'Saisie de données'!$D$16='Menu déroulant'!$B$21,E30)</f>
        <v>#N/A</v>
      </c>
      <c r="F11" s="411" cm="1">
        <f t="array" aca="1" ref="F11" ca="1">IFERROR(_xlfn.IFS(OR('Saisie de données'!$D$13='Menu déroulant'!$AA$3,'Saisie de données'!$D$13='Menu déroulant'!$AA$4),'Synthèse résultat'!F68,'Saisie de données'!$D$16='Menu déroulant'!$B$20,F50,'Saisie de données'!$D$16='Menu déroulant'!$B$21,F30),100000)</f>
        <v>100000</v>
      </c>
      <c r="G11" s="411" cm="1">
        <f t="array" aca="1" ref="G11" ca="1">IFERROR(_xlfn.IFS(OR('Saisie de données'!$D$13='Menu déroulant'!$AA$3,'Saisie de données'!$D$13='Menu déroulant'!$AA$4),'Synthèse résultat'!G68,'Saisie de données'!$D$16='Menu déroulant'!$B$20,G50,'Saisie de données'!$D$16='Menu déroulant'!$B$21,G30),100000)</f>
        <v>100000</v>
      </c>
      <c r="H11" s="411" cm="1">
        <f t="array" aca="1" ref="H11" ca="1">IFERROR(_xlfn.IFS(OR('Saisie de données'!$D$13='Menu déroulant'!$AA$3,'Saisie de données'!$D$13='Menu déroulant'!$AA$4),'Synthèse résultat'!H68,'Saisie de données'!$D$16='Menu déroulant'!$B$20,H50,'Saisie de données'!$D$16='Menu déroulant'!$B$21,H30),100000)</f>
        <v>100000</v>
      </c>
      <c r="I11" s="411" cm="1">
        <f t="array" aca="1" ref="I11" ca="1">IFERROR(_xlfn.IFS(OR('Saisie de données'!$D$13='Menu déroulant'!$AA$3,'Saisie de données'!$D$13='Menu déroulant'!$AA$4),'Synthèse résultat'!I68,'Saisie de données'!$D$16='Menu déroulant'!$B$20,I50,'Saisie de données'!$D$16='Menu déroulant'!$B$21,I30),100000)</f>
        <v>100000</v>
      </c>
      <c r="J11" s="411" cm="1">
        <f t="array" aca="1" ref="J11" ca="1">IFERROR(_xlfn.IFS(OR('Saisie de données'!$D$13='Menu déroulant'!$AA$3,'Saisie de données'!$D$13='Menu déroulant'!$AA$4),'Synthèse résultat'!J68,'Saisie de données'!$D$16='Menu déroulant'!$B$20,J50,'Saisie de données'!$D$16='Menu déroulant'!$B$21,J30),100000)</f>
        <v>100000</v>
      </c>
      <c r="K11" s="411" cm="1">
        <f t="array" aca="1" ref="K11" ca="1">IFERROR(_xlfn.IFS(OR('Saisie de données'!$D$13='Menu déroulant'!$AA$3,'Saisie de données'!$D$13='Menu déroulant'!$AA$4),'Synthèse résultat'!K68,'Saisie de données'!$D$16='Menu déroulant'!$B$20,K50,'Saisie de données'!$D$16='Menu déroulant'!$B$21,K30),100000)</f>
        <v>100000</v>
      </c>
      <c r="L11" s="411" cm="1">
        <f t="array" aca="1" ref="L11" ca="1">IFERROR(_xlfn.IFS(OR('Saisie de données'!$D$13='Menu déroulant'!$AA$3,'Saisie de données'!$D$13='Menu déroulant'!$AA$4),'Synthèse résultat'!L68,'Saisie de données'!$D$16='Menu déroulant'!$B$20,L50,'Saisie de données'!$D$16='Menu déroulant'!$B$21,L30),100000)</f>
        <v>100000</v>
      </c>
      <c r="M11" s="411" cm="1">
        <f t="array" aca="1" ref="M11" ca="1">IFERROR(_xlfn.IFS(OR('Saisie de données'!$D$13='Menu déroulant'!$AA$3,'Saisie de données'!$D$13='Menu déroulant'!$AA$4),'Synthèse résultat'!M68,'Saisie de données'!$D$16='Menu déroulant'!$B$20,M50,'Saisie de données'!$D$16='Menu déroulant'!$B$21,M30),100000)</f>
        <v>100000</v>
      </c>
      <c r="N11" s="411" cm="1">
        <f t="array" aca="1" ref="N11" ca="1">IFERROR(_xlfn.IFS(OR('Saisie de données'!$D$13='Menu déroulant'!$AA$3,'Saisie de données'!$D$13='Menu déroulant'!$AA$4),'Synthèse résultat'!N68,'Saisie de données'!$D$16='Menu déroulant'!$B$20,N50,'Saisie de données'!$D$16='Menu déroulant'!$B$21,N30),100000)</f>
        <v>100000</v>
      </c>
      <c r="O11" s="411" cm="1">
        <f t="array" aca="1" ref="O11" ca="1">IFERROR(_xlfn.IFS(OR('Saisie de données'!$D$13='Menu déroulant'!$AA$3,'Saisie de données'!$D$13='Menu déroulant'!$AA$4),'Synthèse résultat'!O68,'Saisie de données'!$D$16='Menu déroulant'!$B$20,O50,'Saisie de données'!$D$16='Menu déroulant'!$B$21,O30),100000)</f>
        <v>100000</v>
      </c>
      <c r="P11" s="412" cm="1">
        <f t="array" ref="P11">_xlfn.IFS(OR('Saisie de données'!$D$13='Menu déroulant'!$AA$3,'Saisie de données'!$D$13='Menu déroulant'!$AA$4),'Synthèse résultat'!P68,'Saisie de données'!$D$16='Menu déroulant'!$B$20,P50,'Saisie de données'!$D$16='Menu déroulant'!$B$21,P30)</f>
        <v>10</v>
      </c>
      <c r="Q11" s="413" t="e" cm="1">
        <f t="array" ref="Q11">_xlfn.IFS(OR('Saisie de données'!$D$13='Menu déroulant'!$AA$3,'Saisie de données'!$D$13='Menu déroulant'!$AA$4),'Synthèse résultat'!Q68,'Saisie de données'!$D$16='Menu déroulant'!$B$20,Q50,'Saisie de données'!$D$16='Menu déroulant'!$B$21,Q30)</f>
        <v>#N/A</v>
      </c>
      <c r="R11" s="413" t="e" cm="1">
        <f t="array" ref="R11">_xlfn.IFS(OR('Saisie de données'!$D$13='Menu déroulant'!$AA$3,'Saisie de données'!$D$13='Menu déroulant'!$AA$4),'Synthèse résultat'!R68,'Saisie de données'!$D$16='Menu déroulant'!$B$20,R50,'Saisie de données'!$D$16='Menu déroulant'!$B$21,R30)</f>
        <v>#N/A</v>
      </c>
      <c r="S11" s="413" t="e" cm="1">
        <f t="array" ref="S11">_xlfn.IFS(OR('Saisie de données'!$D$13='Menu déroulant'!$AA$3,'Saisie de données'!$D$13='Menu déroulant'!$AA$4),'Synthèse résultat'!S68,'Saisie de données'!$D$16='Menu déroulant'!$B$20,S50,'Saisie de données'!$D$16='Menu déroulant'!$B$21,S30)</f>
        <v>#N/A</v>
      </c>
      <c r="T11" s="413" t="e" cm="1">
        <f t="array" ref="T11">_xlfn.IFS(OR('Saisie de données'!$D$13='Menu déroulant'!$AA$3,'Saisie de données'!$D$13='Menu déroulant'!$AA$4),'Synthèse résultat'!T68,'Saisie de données'!$D$16='Menu déroulant'!$B$20,T50,'Saisie de données'!$D$16='Menu déroulant'!$B$21,T30)</f>
        <v>#N/A</v>
      </c>
      <c r="U11" s="413" t="e" cm="1">
        <f t="array" ref="U11">_xlfn.IFS(OR('Saisie de données'!$D$13='Menu déroulant'!$AA$3,'Saisie de données'!$D$13='Menu déroulant'!$AA$4),'Synthèse résultat'!U68,'Saisie de données'!$D$16='Menu déroulant'!$B$20,U50,'Saisie de données'!$D$16='Menu déroulant'!$B$21,U30)</f>
        <v>#N/A</v>
      </c>
      <c r="V11" s="413" t="e" cm="1">
        <f t="array" ref="V11">_xlfn.IFS(OR('Saisie de données'!$D$13='Menu déroulant'!$AA$3,'Saisie de données'!$D$13='Menu déroulant'!$AA$4),'Synthèse résultat'!V68,'Saisie de données'!$D$16='Menu déroulant'!$B$20,V50,'Saisie de données'!$D$16='Menu déroulant'!$B$21,V30)</f>
        <v>#N/A</v>
      </c>
      <c r="W11" s="413" t="e" cm="1">
        <f t="array" ref="W11">_xlfn.IFS(OR('Saisie de données'!$D$13='Menu déroulant'!$AA$3,'Saisie de données'!$D$13='Menu déroulant'!$AA$4),'Synthèse résultat'!W68,'Saisie de données'!$D$16='Menu déroulant'!$B$20,W50,'Saisie de données'!$D$16='Menu déroulant'!$B$21,W30)</f>
        <v>#N/A</v>
      </c>
      <c r="X11" s="413" t="e" cm="1">
        <f t="array" ref="X11">_xlfn.IFS(OR('Saisie de données'!$D$13='Menu déroulant'!$AA$3,'Saisie de données'!$D$13='Menu déroulant'!$AA$4),'Synthèse résultat'!X68,'Saisie de données'!$D$16='Menu déroulant'!$B$20,X50,'Saisie de données'!$D$16='Menu déroulant'!$B$21,X30)</f>
        <v>#N/A</v>
      </c>
      <c r="Y11" s="413" t="e" cm="1">
        <f t="array" ref="Y11">_xlfn.IFS(OR('Saisie de données'!$D$13='Menu déroulant'!$AA$3,'Saisie de données'!$D$13='Menu déroulant'!$AA$4),'Synthèse résultat'!Y68,'Saisie de données'!$D$16='Menu déroulant'!$B$20,Y50,'Saisie de données'!$D$16='Menu déroulant'!$B$21,Y30)</f>
        <v>#N/A</v>
      </c>
      <c r="Z11" s="414" t="e" cm="1">
        <f t="array" ref="Z11">_xlfn.IFS(OR('Saisie de données'!$D$13='Menu déroulant'!$AA$3,'Saisie de données'!$D$13='Menu déroulant'!$AA$4),'Synthèse résultat'!Z68,'Saisie de données'!$D$16='Menu déroulant'!$B$20,Z50,'Saisie de données'!$D$16='Menu déroulant'!$B$21,Z30)</f>
        <v>#N/A</v>
      </c>
      <c r="AA11" s="440" t="e" cm="1">
        <f t="array" ref="AA11">_xlfn.IFS(OR('Saisie de données'!$D$13='Menu déroulant'!$AA$3,'Saisie de données'!$D$13='Menu déroulant'!$AA$4),'Synthèse résultat'!AA68,'Saisie de données'!$D$16='Menu déroulant'!$B$20,AA50,'Saisie de données'!$D$16='Menu déroulant'!$B$21,AA30)</f>
        <v>#N/A</v>
      </c>
      <c r="AB11" s="413" t="e" cm="1">
        <f t="array" ref="AB11">_xlfn.IFS(OR('Saisie de données'!$D$13='Menu déroulant'!$AA$3,'Saisie de données'!$D$13='Menu déroulant'!$AA$4),'Synthèse résultat'!AB68,'Saisie de données'!$D$16='Menu déroulant'!$B$20,AB50,'Saisie de données'!$D$16='Menu déroulant'!$B$21,AB30)</f>
        <v>#N/A</v>
      </c>
      <c r="AC11" s="413" t="e" cm="1">
        <f t="array" ref="AC11">_xlfn.IFS(OR('Saisie de données'!$D$13='Menu déroulant'!$AA$3,'Saisie de données'!$D$13='Menu déroulant'!$AA$4),'Synthèse résultat'!AC68,'Saisie de données'!$D$16='Menu déroulant'!$B$20,AC50,'Saisie de données'!$D$16='Menu déroulant'!$B$21,AC30)</f>
        <v>#N/A</v>
      </c>
      <c r="AD11" s="413" t="e" cm="1">
        <f t="array" ref="AD11">_xlfn.IFS(OR('Saisie de données'!$D$13='Menu déroulant'!$AA$3,'Saisie de données'!$D$13='Menu déroulant'!$AA$4),'Synthèse résultat'!AD68,'Saisie de données'!$D$16='Menu déroulant'!$B$20,AD50,'Saisie de données'!$D$16='Menu déroulant'!$B$21,AD30)</f>
        <v>#N/A</v>
      </c>
      <c r="AE11" s="413" t="e" cm="1">
        <f t="array" ref="AE11">hbsdhvd</f>
        <v>#NAME?</v>
      </c>
      <c r="AF11" s="413" t="e" cm="1">
        <f t="array" ref="AF11">_xlfn.IFS(OR('Saisie de données'!$D$13='Menu déroulant'!$AA$3,'Saisie de données'!$D$13='Menu déroulant'!$AA$4),'Synthèse résultat'!AF68,'Saisie de données'!$D$16='Menu déroulant'!$B$20,AF50,'Saisie de données'!$D$16='Menu déroulant'!$B$21,AF30)</f>
        <v>#N/A</v>
      </c>
      <c r="AG11" s="413" t="e" cm="1">
        <f t="array" ref="AG11">_xlfn.IFS(OR('Saisie de données'!$D$13='Menu déroulant'!$AA$3,'Saisie de données'!$D$13='Menu déroulant'!$AA$4),'Synthèse résultat'!AG68,'Saisie de données'!$D$16='Menu déroulant'!$B$20,AG50,'Saisie de données'!$D$16='Menu déroulant'!$B$21,AG30)</f>
        <v>#N/A</v>
      </c>
      <c r="AH11" s="413" t="e" cm="1">
        <f t="array" ref="AH11">hbsdhvd</f>
        <v>#NAME?</v>
      </c>
      <c r="AI11" s="413" t="e" cm="1">
        <f t="array" ref="AI11">_xlfn.IFS(OR('Saisie de données'!$D$13='Menu déroulant'!$AA$3,'Saisie de données'!$D$13='Menu déroulant'!$AA$4),'Synthèse résultat'!AI68,'Saisie de données'!$D$16='Menu déroulant'!$B$20,AI50,'Saisie de données'!$D$16='Menu déroulant'!$B$21,AI30)</f>
        <v>#N/A</v>
      </c>
      <c r="AJ11" s="413" t="e" cm="1">
        <f t="array" ref="AJ11">_xlfn.IFS(OR('Saisie de données'!$D$13='Menu déroulant'!$AA$3,'Saisie de données'!$D$13='Menu déroulant'!$AA$4),'Synthèse résultat'!AJ68,'Saisie de données'!$D$16='Menu déroulant'!$B$20,AJ50,'Saisie de données'!$D$16='Menu déroulant'!$B$21,AJ30)</f>
        <v>#N/A</v>
      </c>
      <c r="AK11" s="413" t="e" cm="1">
        <f t="array" ref="AK11">_xlfn.IFS(OR('Saisie de données'!$D$13='Menu déroulant'!$AA$3,'Saisie de données'!$D$13='Menu déroulant'!$AA$4),'Synthèse résultat'!AK68,'Saisie de données'!$D$16='Menu déroulant'!$B$20,AK50,'Saisie de données'!$D$16='Menu déroulant'!$B$21,AK30)</f>
        <v>#N/A</v>
      </c>
      <c r="AL11" s="413" t="e" cm="1">
        <f t="array" ref="AL11">_xlfn.IFS(OR('Saisie de données'!$D$13='Menu déroulant'!$AA$3,'Saisie de données'!$D$13='Menu déroulant'!$AA$4),'Synthèse résultat'!AL68,'Saisie de données'!$D$16='Menu déroulant'!$B$20,AL50,'Saisie de données'!$D$16='Menu déroulant'!$B$21,AL30)</f>
        <v>#N/A</v>
      </c>
      <c r="AM11" s="413" t="e" cm="1">
        <f t="array" ref="AM11">_xlfn.IFS(OR('Saisie de données'!$D$13='Menu déroulant'!$AA$3,'Saisie de données'!$D$13='Menu déroulant'!$AA$4),'Synthèse résultat'!AM68,'Saisie de données'!$D$16='Menu déroulant'!$B$20,AM50,'Saisie de données'!$D$16='Menu déroulant'!$B$21,AM30)</f>
        <v>#N/A</v>
      </c>
      <c r="AN11" s="413" t="e" cm="1">
        <f t="array" ref="AN11">_xlfn.IFS(OR('Saisie de données'!$D$13='Menu déroulant'!$AA$3,'Saisie de données'!$D$13='Menu déroulant'!$AA$4),'Synthèse résultat'!AN68,'Saisie de données'!$D$16='Menu déroulant'!$B$20,AN50,'Saisie de données'!$D$16='Menu déroulant'!$B$21,AN30)</f>
        <v>#N/A</v>
      </c>
      <c r="AO11" s="413" t="e" cm="1">
        <f t="array" ref="AO11">_xlfn.IFS(OR('Saisie de données'!$D$13='Menu déroulant'!$AA$3,'Saisie de données'!$D$13='Menu déroulant'!$AA$4),'Synthèse résultat'!AO68,'Saisie de données'!$D$16='Menu déroulant'!$B$20,AO50,'Saisie de données'!$D$16='Menu déroulant'!$B$21,AO30)</f>
        <v>#N/A</v>
      </c>
      <c r="AP11" s="414" t="e" cm="1">
        <f t="array" ref="AP11">_xlfn.IFS(OR('Saisie de données'!$D$13='Menu déroulant'!$AA$3,'Saisie de données'!$D$13='Menu déroulant'!$AA$4),'Synthèse résultat'!AP68,'Saisie de données'!$D$16='Menu déroulant'!$B$20,AP50,'Saisie de données'!$D$16='Menu déroulant'!$B$21,AP30)</f>
        <v>#N/A</v>
      </c>
      <c r="AQ11" s="433" cm="1">
        <f t="array" ref="AQ11">_xlfn.IFS('Saisie de données'!$D$13='Menu déroulant'!$AA$3,VLOOKUP(MAX(IF('Infos Techniques'!$AM$4:$AM$87&lt;='Synthèse résultat'!$E11,'Infos Techniques'!$AM$4:$AM$87)),'Infos Techniques'!$AM$4:$AO$87,2,0),'Saisie de données'!$D$13='Menu déroulant'!$AA$4,VLOOKUP(MAX(IF('Infos Techniques'!$AM$4:$AM$87&lt;='Synthèse résultat'!$E11,'Infos Techniques'!$AM$4:$AM$87)),'Infos Techniques'!$AM$4:$AO$87,3,0),'Saisie de données'!$D$13='Menu déroulant'!$AA$5,10000000000)</f>
        <v>10000000000</v>
      </c>
      <c r="AR11" s="444">
        <f>IF('Saisie de données'!$AL$70='Menu déroulant'!$AG$50,5,10000000000000)</f>
        <v>10000000000000</v>
      </c>
    </row>
    <row r="12" spans="2:44">
      <c r="B12" s="1601"/>
      <c r="C12" s="1603"/>
      <c r="D12" s="28" t="str">
        <f>IF('Saisie de données'!$D$16='Menu déroulant'!$B$20,D51,D31)</f>
        <v>w-</v>
      </c>
      <c r="E12" s="43" t="e" cm="1">
        <f t="array" ref="E12">_xlfn.IFS(OR('Saisie de données'!$D$13='Menu déroulant'!$AA$3,'Saisie de données'!$D$13='Menu déroulant'!$AA$4),'Synthèse résultat'!E69,'Saisie de données'!$D$16='Menu déroulant'!$B$20,E51,'Saisie de données'!$D$16='Menu déroulant'!$B$21,E31)</f>
        <v>#N/A</v>
      </c>
      <c r="F12" s="415" cm="1">
        <f t="array" aca="1" ref="F12" ca="1">IFERROR(_xlfn.IFS(OR('Saisie de données'!$D$13='Menu déroulant'!$AA$3,'Saisie de données'!$D$13='Menu déroulant'!$AA$4),'Synthèse résultat'!F69,'Saisie de données'!$D$16='Menu déroulant'!$B$20,F51,'Saisie de données'!$D$16='Menu déroulant'!$B$21,F31),100000)</f>
        <v>100000</v>
      </c>
      <c r="G12" s="415" cm="1">
        <f t="array" aca="1" ref="G12" ca="1">IFERROR(_xlfn.IFS(OR('Saisie de données'!$D$13='Menu déroulant'!$AA$3,'Saisie de données'!$D$13='Menu déroulant'!$AA$4),'Synthèse résultat'!G69,'Saisie de données'!$D$16='Menu déroulant'!$B$20,G51,'Saisie de données'!$D$16='Menu déroulant'!$B$21,G31),100000)</f>
        <v>100000</v>
      </c>
      <c r="H12" s="415" cm="1">
        <f t="array" aca="1" ref="H12" ca="1">IFERROR(_xlfn.IFS(OR('Saisie de données'!$D$13='Menu déroulant'!$AA$3,'Saisie de données'!$D$13='Menu déroulant'!$AA$4),'Synthèse résultat'!H69,'Saisie de données'!$D$16='Menu déroulant'!$B$20,H51,'Saisie de données'!$D$16='Menu déroulant'!$B$21,H31),100000)</f>
        <v>100000</v>
      </c>
      <c r="I12" s="415" cm="1">
        <f t="array" aca="1" ref="I12" ca="1">IFERROR(_xlfn.IFS(OR('Saisie de données'!$D$13='Menu déroulant'!$AA$3,'Saisie de données'!$D$13='Menu déroulant'!$AA$4),'Synthèse résultat'!I69,'Saisie de données'!$D$16='Menu déroulant'!$B$20,I51,'Saisie de données'!$D$16='Menu déroulant'!$B$21,I31),100000)</f>
        <v>100000</v>
      </c>
      <c r="J12" s="415" cm="1">
        <f t="array" aca="1" ref="J12" ca="1">IFERROR(_xlfn.IFS(OR('Saisie de données'!$D$13='Menu déroulant'!$AA$3,'Saisie de données'!$D$13='Menu déroulant'!$AA$4),'Synthèse résultat'!J69,'Saisie de données'!$D$16='Menu déroulant'!$B$20,J51,'Saisie de données'!$D$16='Menu déroulant'!$B$21,J31),100000)</f>
        <v>100000</v>
      </c>
      <c r="K12" s="415" cm="1">
        <f t="array" aca="1" ref="K12" ca="1">IFERROR(_xlfn.IFS(OR('Saisie de données'!$D$13='Menu déroulant'!$AA$3,'Saisie de données'!$D$13='Menu déroulant'!$AA$4),'Synthèse résultat'!K69,'Saisie de données'!$D$16='Menu déroulant'!$B$20,K51,'Saisie de données'!$D$16='Menu déroulant'!$B$21,K31),100000)</f>
        <v>100000</v>
      </c>
      <c r="L12" s="415" cm="1">
        <f t="array" aca="1" ref="L12" ca="1">IFERROR(_xlfn.IFS(OR('Saisie de données'!$D$13='Menu déroulant'!$AA$3,'Saisie de données'!$D$13='Menu déroulant'!$AA$4),'Synthèse résultat'!L69,'Saisie de données'!$D$16='Menu déroulant'!$B$20,L51,'Saisie de données'!$D$16='Menu déroulant'!$B$21,L31),100000)</f>
        <v>100000</v>
      </c>
      <c r="M12" s="415" cm="1">
        <f t="array" aca="1" ref="M12" ca="1">IFERROR(_xlfn.IFS(OR('Saisie de données'!$D$13='Menu déroulant'!$AA$3,'Saisie de données'!$D$13='Menu déroulant'!$AA$4),'Synthèse résultat'!M69,'Saisie de données'!$D$16='Menu déroulant'!$B$20,M51,'Saisie de données'!$D$16='Menu déroulant'!$B$21,M31),100000)</f>
        <v>100000</v>
      </c>
      <c r="N12" s="415" cm="1">
        <f t="array" aca="1" ref="N12" ca="1">IFERROR(_xlfn.IFS(OR('Saisie de données'!$D$13='Menu déroulant'!$AA$3,'Saisie de données'!$D$13='Menu déroulant'!$AA$4),'Synthèse résultat'!N69,'Saisie de données'!$D$16='Menu déroulant'!$B$20,N51,'Saisie de données'!$D$16='Menu déroulant'!$B$21,N31),100000)</f>
        <v>100000</v>
      </c>
      <c r="O12" s="415" cm="1">
        <f t="array" aca="1" ref="O12" ca="1">IFERROR(_xlfn.IFS(OR('Saisie de données'!$D$13='Menu déroulant'!$AA$3,'Saisie de données'!$D$13='Menu déroulant'!$AA$4),'Synthèse résultat'!O69,'Saisie de données'!$D$16='Menu déroulant'!$B$20,O51,'Saisie de données'!$D$16='Menu déroulant'!$B$21,O31),100000)</f>
        <v>100000</v>
      </c>
      <c r="P12" s="416" cm="1">
        <f t="array" ref="P12">_xlfn.IFS(OR('Saisie de données'!$D$13='Menu déroulant'!$AA$3,'Saisie de données'!$D$13='Menu déroulant'!$AA$4),'Synthèse résultat'!P69,'Saisie de données'!$D$16='Menu déroulant'!$B$20,P51,'Saisie de données'!$D$16='Menu déroulant'!$B$21,P31)</f>
        <v>10</v>
      </c>
      <c r="Q12" s="326" t="e" cm="1">
        <f t="array" ref="Q12">_xlfn.IFS(OR('Saisie de données'!$D$13='Menu déroulant'!$AA$3,'Saisie de données'!$D$13='Menu déroulant'!$AA$4),'Synthèse résultat'!Q69,'Saisie de données'!$D$16='Menu déroulant'!$B$20,Q51,'Saisie de données'!$D$16='Menu déroulant'!$B$21,Q31)</f>
        <v>#N/A</v>
      </c>
      <c r="R12" s="326" t="e" cm="1">
        <f t="array" ref="R12">_xlfn.IFS(OR('Saisie de données'!$D$13='Menu déroulant'!$AA$3,'Saisie de données'!$D$13='Menu déroulant'!$AA$4),'Synthèse résultat'!R69,'Saisie de données'!$D$16='Menu déroulant'!$B$20,R51,'Saisie de données'!$D$16='Menu déroulant'!$B$21,R31)</f>
        <v>#N/A</v>
      </c>
      <c r="S12" s="326" t="e" cm="1">
        <f t="array" ref="S12">_xlfn.IFS(OR('Saisie de données'!$D$13='Menu déroulant'!$AA$3,'Saisie de données'!$D$13='Menu déroulant'!$AA$4),'Synthèse résultat'!S69,'Saisie de données'!$D$16='Menu déroulant'!$B$20,S51,'Saisie de données'!$D$16='Menu déroulant'!$B$21,S31)</f>
        <v>#N/A</v>
      </c>
      <c r="T12" s="326" t="e" cm="1">
        <f t="array" ref="T12">_xlfn.IFS(OR('Saisie de données'!$D$13='Menu déroulant'!$AA$3,'Saisie de données'!$D$13='Menu déroulant'!$AA$4),'Synthèse résultat'!T69,'Saisie de données'!$D$16='Menu déroulant'!$B$20,T51,'Saisie de données'!$D$16='Menu déroulant'!$B$21,T31)</f>
        <v>#N/A</v>
      </c>
      <c r="U12" s="326" t="e" cm="1">
        <f t="array" ref="U12">_xlfn.IFS(OR('Saisie de données'!$D$13='Menu déroulant'!$AA$3,'Saisie de données'!$D$13='Menu déroulant'!$AA$4),'Synthèse résultat'!U69,'Saisie de données'!$D$16='Menu déroulant'!$B$20,U51,'Saisie de données'!$D$16='Menu déroulant'!$B$21,U31)</f>
        <v>#N/A</v>
      </c>
      <c r="V12" s="326" t="e" cm="1">
        <f t="array" ref="V12">_xlfn.IFS(OR('Saisie de données'!$D$13='Menu déroulant'!$AA$3,'Saisie de données'!$D$13='Menu déroulant'!$AA$4),'Synthèse résultat'!V69,'Saisie de données'!$D$16='Menu déroulant'!$B$20,V51,'Saisie de données'!$D$16='Menu déroulant'!$B$21,V31)</f>
        <v>#N/A</v>
      </c>
      <c r="W12" s="326" t="e" cm="1">
        <f t="array" ref="W12">_xlfn.IFS(OR('Saisie de données'!$D$13='Menu déroulant'!$AA$3,'Saisie de données'!$D$13='Menu déroulant'!$AA$4),'Synthèse résultat'!W69,'Saisie de données'!$D$16='Menu déroulant'!$B$20,W51,'Saisie de données'!$D$16='Menu déroulant'!$B$21,W31)</f>
        <v>#N/A</v>
      </c>
      <c r="X12" s="326" t="e" cm="1">
        <f t="array" ref="X12">_xlfn.IFS(OR('Saisie de données'!$D$13='Menu déroulant'!$AA$3,'Saisie de données'!$D$13='Menu déroulant'!$AA$4),'Synthèse résultat'!X69,'Saisie de données'!$D$16='Menu déroulant'!$B$20,X51,'Saisie de données'!$D$16='Menu déroulant'!$B$21,X31)</f>
        <v>#N/A</v>
      </c>
      <c r="Y12" s="326" t="e" cm="1">
        <f t="array" ref="Y12">_xlfn.IFS(OR('Saisie de données'!$D$13='Menu déroulant'!$AA$3,'Saisie de données'!$D$13='Menu déroulant'!$AA$4),'Synthèse résultat'!Y69,'Saisie de données'!$D$16='Menu déroulant'!$B$20,Y51,'Saisie de données'!$D$16='Menu déroulant'!$B$21,Y31)</f>
        <v>#N/A</v>
      </c>
      <c r="Z12" s="417" t="e" cm="1">
        <f t="array" ref="Z12">_xlfn.IFS(OR('Saisie de données'!$D$13='Menu déroulant'!$AA$3,'Saisie de données'!$D$13='Menu déroulant'!$AA$4),'Synthèse résultat'!Z69,'Saisie de données'!$D$16='Menu déroulant'!$B$20,Z51,'Saisie de données'!$D$16='Menu déroulant'!$B$21,Z31)</f>
        <v>#N/A</v>
      </c>
      <c r="AA12" s="442" t="e" cm="1">
        <f t="array" ref="AA12">_xlfn.IFS(OR('Saisie de données'!$D$13='Menu déroulant'!$AA$3,'Saisie de données'!$D$13='Menu déroulant'!$AA$4),'Synthèse résultat'!AA69,'Saisie de données'!$D$16='Menu déroulant'!$B$20,AA51,'Saisie de données'!$D$16='Menu déroulant'!$B$21,AA31)</f>
        <v>#N/A</v>
      </c>
      <c r="AB12" s="326" t="e" cm="1">
        <f t="array" ref="AB12">_xlfn.IFS(OR('Saisie de données'!$D$13='Menu déroulant'!$AA$3,'Saisie de données'!$D$13='Menu déroulant'!$AA$4),'Synthèse résultat'!AB69,'Saisie de données'!$D$16='Menu déroulant'!$B$20,AB51,'Saisie de données'!$D$16='Menu déroulant'!$B$21,AB31)</f>
        <v>#N/A</v>
      </c>
      <c r="AC12" s="326" t="e" cm="1">
        <f t="array" ref="AC12">_xlfn.IFS(OR('Saisie de données'!$D$13='Menu déroulant'!$AA$3,'Saisie de données'!$D$13='Menu déroulant'!$AA$4),'Synthèse résultat'!AC69,'Saisie de données'!$D$16='Menu déroulant'!$B$20,AC51,'Saisie de données'!$D$16='Menu déroulant'!$B$21,AC31)</f>
        <v>#N/A</v>
      </c>
      <c r="AD12" s="326" t="e" cm="1">
        <f t="array" ref="AD12">_xlfn.IFS(OR('Saisie de données'!$D$13='Menu déroulant'!$AA$3,'Saisie de données'!$D$13='Menu déroulant'!$AA$4),'Synthèse résultat'!AD69,'Saisie de données'!$D$16='Menu déroulant'!$B$20,AD51,'Saisie de données'!$D$16='Menu déroulant'!$B$21,AD31)</f>
        <v>#N/A</v>
      </c>
      <c r="AE12" s="326" t="e" cm="1">
        <f t="array" ref="AE12">hbsdhvd</f>
        <v>#NAME?</v>
      </c>
      <c r="AF12" s="326" t="e" cm="1">
        <f t="array" ref="AF12">_xlfn.IFS(OR('Saisie de données'!$D$13='Menu déroulant'!$AA$3,'Saisie de données'!$D$13='Menu déroulant'!$AA$4),'Synthèse résultat'!AF69,'Saisie de données'!$D$16='Menu déroulant'!$B$20,AF51,'Saisie de données'!$D$16='Menu déroulant'!$B$21,AF31)</f>
        <v>#N/A</v>
      </c>
      <c r="AG12" s="326" t="e" cm="1">
        <f t="array" ref="AG12">_xlfn.IFS(OR('Saisie de données'!$D$13='Menu déroulant'!$AA$3,'Saisie de données'!$D$13='Menu déroulant'!$AA$4),'Synthèse résultat'!AG69,'Saisie de données'!$D$16='Menu déroulant'!$B$20,AG51,'Saisie de données'!$D$16='Menu déroulant'!$B$21,AG31)</f>
        <v>#N/A</v>
      </c>
      <c r="AH12" s="326" t="e" cm="1">
        <f t="array" ref="AH12">hbsdhvd</f>
        <v>#NAME?</v>
      </c>
      <c r="AI12" s="326" t="e" cm="1">
        <f t="array" ref="AI12">_xlfn.IFS(OR('Saisie de données'!$D$13='Menu déroulant'!$AA$3,'Saisie de données'!$D$13='Menu déroulant'!$AA$4),'Synthèse résultat'!AI69,'Saisie de données'!$D$16='Menu déroulant'!$B$20,AI51,'Saisie de données'!$D$16='Menu déroulant'!$B$21,AI31)</f>
        <v>#N/A</v>
      </c>
      <c r="AJ12" s="326" t="e" cm="1">
        <f t="array" ref="AJ12">_xlfn.IFS(OR('Saisie de données'!$D$13='Menu déroulant'!$AA$3,'Saisie de données'!$D$13='Menu déroulant'!$AA$4),'Synthèse résultat'!AJ69,'Saisie de données'!$D$16='Menu déroulant'!$B$20,AJ51,'Saisie de données'!$D$16='Menu déroulant'!$B$21,AJ31)</f>
        <v>#N/A</v>
      </c>
      <c r="AK12" s="326" t="e" cm="1">
        <f t="array" ref="AK12">_xlfn.IFS(OR('Saisie de données'!$D$13='Menu déroulant'!$AA$3,'Saisie de données'!$D$13='Menu déroulant'!$AA$4),'Synthèse résultat'!AK69,'Saisie de données'!$D$16='Menu déroulant'!$B$20,AK51,'Saisie de données'!$D$16='Menu déroulant'!$B$21,AK31)</f>
        <v>#N/A</v>
      </c>
      <c r="AL12" s="326" t="e" cm="1">
        <f t="array" ref="AL12">_xlfn.IFS(OR('Saisie de données'!$D$13='Menu déroulant'!$AA$3,'Saisie de données'!$D$13='Menu déroulant'!$AA$4),'Synthèse résultat'!AL69,'Saisie de données'!$D$16='Menu déroulant'!$B$20,AL51,'Saisie de données'!$D$16='Menu déroulant'!$B$21,AL31)</f>
        <v>#N/A</v>
      </c>
      <c r="AM12" s="326" t="e" cm="1">
        <f t="array" ref="AM12">_xlfn.IFS(OR('Saisie de données'!$D$13='Menu déroulant'!$AA$3,'Saisie de données'!$D$13='Menu déroulant'!$AA$4),'Synthèse résultat'!AM69,'Saisie de données'!$D$16='Menu déroulant'!$B$20,AM51,'Saisie de données'!$D$16='Menu déroulant'!$B$21,AM31)</f>
        <v>#N/A</v>
      </c>
      <c r="AN12" s="326" t="e" cm="1">
        <f t="array" ref="AN12">_xlfn.IFS(OR('Saisie de données'!$D$13='Menu déroulant'!$AA$3,'Saisie de données'!$D$13='Menu déroulant'!$AA$4),'Synthèse résultat'!AN69,'Saisie de données'!$D$16='Menu déroulant'!$B$20,AN51,'Saisie de données'!$D$16='Menu déroulant'!$B$21,AN31)</f>
        <v>#N/A</v>
      </c>
      <c r="AO12" s="326" t="e" cm="1">
        <f t="array" ref="AO12">_xlfn.IFS(OR('Saisie de données'!$D$13='Menu déroulant'!$AA$3,'Saisie de données'!$D$13='Menu déroulant'!$AA$4),'Synthèse résultat'!AO69,'Saisie de données'!$D$16='Menu déroulant'!$B$20,AO51,'Saisie de données'!$D$16='Menu déroulant'!$B$21,AO31)</f>
        <v>#N/A</v>
      </c>
      <c r="AP12" s="417" t="e" cm="1">
        <f t="array" ref="AP12">_xlfn.IFS(OR('Saisie de données'!$D$13='Menu déroulant'!$AA$3,'Saisie de données'!$D$13='Menu déroulant'!$AA$4),'Synthèse résultat'!AP69,'Saisie de données'!$D$16='Menu déroulant'!$B$20,AP51,'Saisie de données'!$D$16='Menu déroulant'!$B$21,AP31)</f>
        <v>#N/A</v>
      </c>
      <c r="AQ12" s="433" cm="1">
        <f t="array" ref="AQ12">_xlfn.IFS('Saisie de données'!$D$13='Menu déroulant'!$AA$3,VLOOKUP(MAX(IF('Infos Techniques'!$AM$4:$AM$87&lt;='Synthèse résultat'!$E12,'Infos Techniques'!$AM$4:$AM$87)),'Infos Techniques'!$AM$4:$AO$87,2,0),'Saisie de données'!$D$13='Menu déroulant'!$AA$4,VLOOKUP(MAX(IF('Infos Techniques'!$AM$4:$AM$87&lt;='Synthèse résultat'!$E12,'Infos Techniques'!$AM$4:$AM$87)),'Infos Techniques'!$AM$4:$AO$87,3,0),'Saisie de données'!$D$13='Menu déroulant'!$AA$5,10000000000)</f>
        <v>10000000000</v>
      </c>
      <c r="AR12" s="444">
        <f>IF('Saisie de données'!$AL$70='Menu déroulant'!$AG$50,5,10000000000000)</f>
        <v>10000000000000</v>
      </c>
    </row>
    <row r="13" spans="2:44">
      <c r="B13" s="1601"/>
      <c r="C13" s="1603" t="s">
        <v>111</v>
      </c>
      <c r="D13" s="28" t="str">
        <f>IF('Saisie de données'!$D$16='Menu déroulant'!$B$20,D52,D32)</f>
        <v>e-</v>
      </c>
      <c r="E13" s="43" t="e" cm="1">
        <f t="array" ref="E13">_xlfn.IFS(OR('Saisie de données'!$D$13='Menu déroulant'!$AA$3,'Saisie de données'!$D$13='Menu déroulant'!$AA$4),'Synthèse résultat'!E70,'Saisie de données'!$D$16='Menu déroulant'!$B$20,E52,'Saisie de données'!$D$16='Menu déroulant'!$B$21,E32)</f>
        <v>#N/A</v>
      </c>
      <c r="F13" s="415" cm="1">
        <f t="array" aca="1" ref="F13" ca="1">IFERROR(_xlfn.IFS(OR('Saisie de données'!$D$13='Menu déroulant'!$AA$3,'Saisie de données'!$D$13='Menu déroulant'!$AA$4),'Synthèse résultat'!F70,'Saisie de données'!$D$16='Menu déroulant'!$B$20,F52,'Saisie de données'!$D$16='Menu déroulant'!$B$21,F32),100000)</f>
        <v>100000</v>
      </c>
      <c r="G13" s="415" cm="1">
        <f t="array" aca="1" ref="G13" ca="1">IFERROR(_xlfn.IFS(OR('Saisie de données'!$D$13='Menu déroulant'!$AA$3,'Saisie de données'!$D$13='Menu déroulant'!$AA$4),'Synthèse résultat'!G70,'Saisie de données'!$D$16='Menu déroulant'!$B$20,G52,'Saisie de données'!$D$16='Menu déroulant'!$B$21,G32),100000)</f>
        <v>100000</v>
      </c>
      <c r="H13" s="415" cm="1">
        <f t="array" aca="1" ref="H13" ca="1">IFERROR(_xlfn.IFS(OR('Saisie de données'!$D$13='Menu déroulant'!$AA$3,'Saisie de données'!$D$13='Menu déroulant'!$AA$4),'Synthèse résultat'!H70,'Saisie de données'!$D$16='Menu déroulant'!$B$20,H52,'Saisie de données'!$D$16='Menu déroulant'!$B$21,H32),100000)</f>
        <v>100000</v>
      </c>
      <c r="I13" s="415" cm="1">
        <f t="array" aca="1" ref="I13" ca="1">IFERROR(_xlfn.IFS(OR('Saisie de données'!$D$13='Menu déroulant'!$AA$3,'Saisie de données'!$D$13='Menu déroulant'!$AA$4),'Synthèse résultat'!I70,'Saisie de données'!$D$16='Menu déroulant'!$B$20,I52,'Saisie de données'!$D$16='Menu déroulant'!$B$21,I32),100000)</f>
        <v>100000</v>
      </c>
      <c r="J13" s="415" cm="1">
        <f t="array" aca="1" ref="J13" ca="1">IFERROR(_xlfn.IFS(OR('Saisie de données'!$D$13='Menu déroulant'!$AA$3,'Saisie de données'!$D$13='Menu déroulant'!$AA$4),'Synthèse résultat'!J70,'Saisie de données'!$D$16='Menu déroulant'!$B$20,J52,'Saisie de données'!$D$16='Menu déroulant'!$B$21,J32),100000)</f>
        <v>100000</v>
      </c>
      <c r="K13" s="415" cm="1">
        <f t="array" aca="1" ref="K13" ca="1">IFERROR(_xlfn.IFS(OR('Saisie de données'!$D$13='Menu déroulant'!$AA$3,'Saisie de données'!$D$13='Menu déroulant'!$AA$4),'Synthèse résultat'!K70,'Saisie de données'!$D$16='Menu déroulant'!$B$20,K52,'Saisie de données'!$D$16='Menu déroulant'!$B$21,K32),100000)</f>
        <v>100000</v>
      </c>
      <c r="L13" s="415" cm="1">
        <f t="array" aca="1" ref="L13" ca="1">IFERROR(_xlfn.IFS(OR('Saisie de données'!$D$13='Menu déroulant'!$AA$3,'Saisie de données'!$D$13='Menu déroulant'!$AA$4),'Synthèse résultat'!L70,'Saisie de données'!$D$16='Menu déroulant'!$B$20,L52,'Saisie de données'!$D$16='Menu déroulant'!$B$21,L32),100000)</f>
        <v>100000</v>
      </c>
      <c r="M13" s="415" cm="1">
        <f t="array" aca="1" ref="M13" ca="1">IFERROR(_xlfn.IFS(OR('Saisie de données'!$D$13='Menu déroulant'!$AA$3,'Saisie de données'!$D$13='Menu déroulant'!$AA$4),'Synthèse résultat'!M70,'Saisie de données'!$D$16='Menu déroulant'!$B$20,M52,'Saisie de données'!$D$16='Menu déroulant'!$B$21,M32),100000)</f>
        <v>100000</v>
      </c>
      <c r="N13" s="415" cm="1">
        <f t="array" aca="1" ref="N13" ca="1">IFERROR(_xlfn.IFS(OR('Saisie de données'!$D$13='Menu déroulant'!$AA$3,'Saisie de données'!$D$13='Menu déroulant'!$AA$4),'Synthèse résultat'!N70,'Saisie de données'!$D$16='Menu déroulant'!$B$20,N52,'Saisie de données'!$D$16='Menu déroulant'!$B$21,N32),100000)</f>
        <v>100000</v>
      </c>
      <c r="O13" s="415" cm="1">
        <f t="array" aca="1" ref="O13" ca="1">IFERROR(_xlfn.IFS(OR('Saisie de données'!$D$13='Menu déroulant'!$AA$3,'Saisie de données'!$D$13='Menu déroulant'!$AA$4),'Synthèse résultat'!O70,'Saisie de données'!$D$16='Menu déroulant'!$B$20,O52,'Saisie de données'!$D$16='Menu déroulant'!$B$21,O32),100000)</f>
        <v>100000</v>
      </c>
      <c r="P13" s="416">
        <v>2</v>
      </c>
      <c r="Q13" s="326" t="e" cm="1">
        <f t="array" aca="1" ref="Q13" ca="1">_xlfn.IFS(OR('Saisie de données'!$D$13='Menu déroulant'!$AA$3,'Saisie de données'!$D$13='Menu déroulant'!$AA$4),'Synthèse résultat'!Q70,'Saisie de données'!$D$16='Menu déroulant'!$B$20,Q52,'Saisie de données'!$D$16='Menu déroulant'!$B$21,Q32)</f>
        <v>#VALUE!</v>
      </c>
      <c r="R13" s="326" t="e" cm="1">
        <f t="array" aca="1" ref="R13" ca="1">_xlfn.IFS(OR('Saisie de données'!$D$13='Menu déroulant'!$AA$3,'Saisie de données'!$D$13='Menu déroulant'!$AA$4),'Synthèse résultat'!R70,'Saisie de données'!$D$16='Menu déroulant'!$B$20,R52,'Saisie de données'!$D$16='Menu déroulant'!$B$21,R32)</f>
        <v>#VALUE!</v>
      </c>
      <c r="S13" s="326" t="e" cm="1">
        <f t="array" aca="1" ref="S13" ca="1">_xlfn.IFS(OR('Saisie de données'!$D$13='Menu déroulant'!$AA$3,'Saisie de données'!$D$13='Menu déroulant'!$AA$4),'Synthèse résultat'!S70,'Saisie de données'!$D$16='Menu déroulant'!$B$20,S52,'Saisie de données'!$D$16='Menu déroulant'!$B$21,S32)</f>
        <v>#VALUE!</v>
      </c>
      <c r="T13" s="326" t="e" cm="1">
        <f t="array" aca="1" ref="T13" ca="1">_xlfn.IFS(OR('Saisie de données'!$D$13='Menu déroulant'!$AA$3,'Saisie de données'!$D$13='Menu déroulant'!$AA$4),'Synthèse résultat'!T70,'Saisie de données'!$D$16='Menu déroulant'!$B$20,T52,'Saisie de données'!$D$16='Menu déroulant'!$B$21,T32)</f>
        <v>#VALUE!</v>
      </c>
      <c r="U13" s="326" t="e" cm="1">
        <f t="array" aca="1" ref="U13" ca="1">_xlfn.IFS(OR('Saisie de données'!$D$13='Menu déroulant'!$AA$3,'Saisie de données'!$D$13='Menu déroulant'!$AA$4),'Synthèse résultat'!U70,'Saisie de données'!$D$16='Menu déroulant'!$B$20,U52,'Saisie de données'!$D$16='Menu déroulant'!$B$21,U32)</f>
        <v>#VALUE!</v>
      </c>
      <c r="V13" s="326" t="e" cm="1">
        <f t="array" aca="1" ref="V13" ca="1">_xlfn.IFS(OR('Saisie de données'!$D$13='Menu déroulant'!$AA$3,'Saisie de données'!$D$13='Menu déroulant'!$AA$4),'Synthèse résultat'!V70,'Saisie de données'!$D$16='Menu déroulant'!$B$20,V52,'Saisie de données'!$D$16='Menu déroulant'!$B$21,V32)</f>
        <v>#VALUE!</v>
      </c>
      <c r="W13" s="326" t="e" cm="1">
        <f t="array" aca="1" ref="W13" ca="1">_xlfn.IFS(OR('Saisie de données'!$D$13='Menu déroulant'!$AA$3,'Saisie de données'!$D$13='Menu déroulant'!$AA$4),'Synthèse résultat'!W70,'Saisie de données'!$D$16='Menu déroulant'!$B$20,W52,'Saisie de données'!$D$16='Menu déroulant'!$B$21,W32)</f>
        <v>#VALUE!</v>
      </c>
      <c r="X13" s="326" t="e" cm="1">
        <f t="array" aca="1" ref="X13" ca="1">_xlfn.IFS(OR('Saisie de données'!$D$13='Menu déroulant'!$AA$3,'Saisie de données'!$D$13='Menu déroulant'!$AA$4),'Synthèse résultat'!X70,'Saisie de données'!$D$16='Menu déroulant'!$B$20,X52,'Saisie de données'!$D$16='Menu déroulant'!$B$21,X32)</f>
        <v>#VALUE!</v>
      </c>
      <c r="Y13" s="326" t="e" cm="1">
        <f t="array" aca="1" ref="Y13" ca="1">_xlfn.IFS(OR('Saisie de données'!$D$13='Menu déroulant'!$AA$3,'Saisie de données'!$D$13='Menu déroulant'!$AA$4),'Synthèse résultat'!Y70,'Saisie de données'!$D$16='Menu déroulant'!$B$20,Y52,'Saisie de données'!$D$16='Menu déroulant'!$B$21,Y32)</f>
        <v>#VALUE!</v>
      </c>
      <c r="Z13" s="417" t="e" cm="1">
        <f t="array" aca="1" ref="Z13" ca="1">_xlfn.IFS(OR('Saisie de données'!$D$13='Menu déroulant'!$AA$3,'Saisie de données'!$D$13='Menu déroulant'!$AA$4),'Synthèse résultat'!Z70,'Saisie de données'!$D$16='Menu déroulant'!$B$20,Z52,'Saisie de données'!$D$16='Menu déroulant'!$B$21,Z32)</f>
        <v>#VALUE!</v>
      </c>
      <c r="AA13" s="442" t="e" cm="1">
        <f t="array" aca="1" ref="AA13" ca="1">_xlfn.IFS(OR('Saisie de données'!$D$13='Menu déroulant'!$AA$3,'Saisie de données'!$D$13='Menu déroulant'!$AA$4),'Synthèse résultat'!AA70,'Saisie de données'!$D$16='Menu déroulant'!$B$20,AA52,'Saisie de données'!$D$16='Menu déroulant'!$B$21,AA32)</f>
        <v>#VALUE!</v>
      </c>
      <c r="AB13" s="326" t="e" cm="1">
        <f t="array" aca="1" ref="AB13" ca="1">_xlfn.IFS(OR('Saisie de données'!$D$13='Menu déroulant'!$AA$3,'Saisie de données'!$D$13='Menu déroulant'!$AA$4),'Synthèse résultat'!AB70,'Saisie de données'!$D$16='Menu déroulant'!$B$20,AB52,'Saisie de données'!$D$16='Menu déroulant'!$B$21,AB32)</f>
        <v>#VALUE!</v>
      </c>
      <c r="AC13" s="326" t="e" cm="1">
        <f t="array" aca="1" ref="AC13" ca="1">_xlfn.IFS(OR('Saisie de données'!$D$13='Menu déroulant'!$AA$3,'Saisie de données'!$D$13='Menu déroulant'!$AA$4),'Synthèse résultat'!AC70,'Saisie de données'!$D$16='Menu déroulant'!$B$20,AC52,'Saisie de données'!$D$16='Menu déroulant'!$B$21,AC32)</f>
        <v>#VALUE!</v>
      </c>
      <c r="AD13" s="326" t="e" cm="1">
        <f t="array" aca="1" ref="AD13" ca="1">_xlfn.IFS(OR('Saisie de données'!$D$13='Menu déroulant'!$AA$3,'Saisie de données'!$D$13='Menu déroulant'!$AA$4),'Synthèse résultat'!AD70,'Saisie de données'!$D$16='Menu déroulant'!$B$20,AD52,'Saisie de données'!$D$16='Menu déroulant'!$B$21,AD32)</f>
        <v>#VALUE!</v>
      </c>
      <c r="AE13" s="326" t="e" cm="1">
        <f t="array" ref="AE13">hbsdhvd</f>
        <v>#NAME?</v>
      </c>
      <c r="AF13" s="326" t="e" cm="1">
        <f t="array" aca="1" ref="AF13" ca="1">_xlfn.IFS(OR('Saisie de données'!$D$13='Menu déroulant'!$AA$3,'Saisie de données'!$D$13='Menu déroulant'!$AA$4),'Synthèse résultat'!AF70,'Saisie de données'!$D$16='Menu déroulant'!$B$20,AF52,'Saisie de données'!$D$16='Menu déroulant'!$B$21,AF32)</f>
        <v>#VALUE!</v>
      </c>
      <c r="AG13" s="326" t="e" cm="1">
        <f t="array" aca="1" ref="AG13" ca="1">_xlfn.IFS(OR('Saisie de données'!$D$13='Menu déroulant'!$AA$3,'Saisie de données'!$D$13='Menu déroulant'!$AA$4),'Synthèse résultat'!AG70,'Saisie de données'!$D$16='Menu déroulant'!$B$20,AG52,'Saisie de données'!$D$16='Menu déroulant'!$B$21,AG32)</f>
        <v>#VALUE!</v>
      </c>
      <c r="AH13" s="326" t="e" cm="1">
        <f t="array" ref="AH13">hbsdhvd</f>
        <v>#NAME?</v>
      </c>
      <c r="AI13" s="326" t="e" cm="1">
        <f t="array" aca="1" ref="AI13" ca="1">_xlfn.IFS(OR('Saisie de données'!$D$13='Menu déroulant'!$AA$3,'Saisie de données'!$D$13='Menu déroulant'!$AA$4),'Synthèse résultat'!AI70,'Saisie de données'!$D$16='Menu déroulant'!$B$20,AI52,'Saisie de données'!$D$16='Menu déroulant'!$B$21,AI32)</f>
        <v>#VALUE!</v>
      </c>
      <c r="AJ13" s="326" t="e" cm="1">
        <f t="array" aca="1" ref="AJ13" ca="1">_xlfn.IFS(OR('Saisie de données'!$D$13='Menu déroulant'!$AA$3,'Saisie de données'!$D$13='Menu déroulant'!$AA$4),'Synthèse résultat'!AJ70,'Saisie de données'!$D$16='Menu déroulant'!$B$20,AJ52,'Saisie de données'!$D$16='Menu déroulant'!$B$21,AJ32)</f>
        <v>#VALUE!</v>
      </c>
      <c r="AK13" s="326" t="e" cm="1">
        <f t="array" aca="1" ref="AK13" ca="1">_xlfn.IFS(OR('Saisie de données'!$D$13='Menu déroulant'!$AA$3,'Saisie de données'!$D$13='Menu déroulant'!$AA$4),'Synthèse résultat'!AK70,'Saisie de données'!$D$16='Menu déroulant'!$B$20,AK52,'Saisie de données'!$D$16='Menu déroulant'!$B$21,AK32)</f>
        <v>#VALUE!</v>
      </c>
      <c r="AL13" s="326" t="e" cm="1">
        <f t="array" aca="1" ref="AL13" ca="1">_xlfn.IFS(OR('Saisie de données'!$D$13='Menu déroulant'!$AA$3,'Saisie de données'!$D$13='Menu déroulant'!$AA$4),'Synthèse résultat'!AL70,'Saisie de données'!$D$16='Menu déroulant'!$B$20,AL52,'Saisie de données'!$D$16='Menu déroulant'!$B$21,AL32)</f>
        <v>#VALUE!</v>
      </c>
      <c r="AM13" s="326" t="e" cm="1">
        <f t="array" aca="1" ref="AM13" ca="1">_xlfn.IFS(OR('Saisie de données'!$D$13='Menu déroulant'!$AA$3,'Saisie de données'!$D$13='Menu déroulant'!$AA$4),'Synthèse résultat'!AM70,'Saisie de données'!$D$16='Menu déroulant'!$B$20,AM52,'Saisie de données'!$D$16='Menu déroulant'!$B$21,AM32)</f>
        <v>#VALUE!</v>
      </c>
      <c r="AN13" s="326" t="e" cm="1">
        <f t="array" aca="1" ref="AN13" ca="1">_xlfn.IFS(OR('Saisie de données'!$D$13='Menu déroulant'!$AA$3,'Saisie de données'!$D$13='Menu déroulant'!$AA$4),'Synthèse résultat'!AN70,'Saisie de données'!$D$16='Menu déroulant'!$B$20,AN52,'Saisie de données'!$D$16='Menu déroulant'!$B$21,AN32)</f>
        <v>#VALUE!</v>
      </c>
      <c r="AO13" s="326" t="e" cm="1">
        <f t="array" aca="1" ref="AO13" ca="1">_xlfn.IFS(OR('Saisie de données'!$D$13='Menu déroulant'!$AA$3,'Saisie de données'!$D$13='Menu déroulant'!$AA$4),'Synthèse résultat'!AO70,'Saisie de données'!$D$16='Menu déroulant'!$B$20,AO52,'Saisie de données'!$D$16='Menu déroulant'!$B$21,AO32)</f>
        <v>#VALUE!</v>
      </c>
      <c r="AP13" s="417" t="e" cm="1">
        <f t="array" aca="1" ref="AP13" ca="1">_xlfn.IFS(OR('Saisie de données'!$D$13='Menu déroulant'!$AA$3,'Saisie de données'!$D$13='Menu déroulant'!$AA$4),'Synthèse résultat'!AP70,'Saisie de données'!$D$16='Menu déroulant'!$B$20,AP52,'Saisie de données'!$D$16='Menu déroulant'!$B$21,AP32)</f>
        <v>#VALUE!</v>
      </c>
      <c r="AQ13" s="433" cm="1">
        <f t="array" ref="AQ13">_xlfn.IFS('Saisie de données'!$D$13='Menu déroulant'!$AA$3,VLOOKUP(MAX(IF('Infos Techniques'!$AM$4:$AM$87&lt;='Synthèse résultat'!$E13,'Infos Techniques'!$AM$4:$AM$87)),'Infos Techniques'!$AM$4:$AO$87,2,0),'Saisie de données'!$D$13='Menu déroulant'!$AA$4,VLOOKUP(MAX(IF('Infos Techniques'!$AM$4:$AM$87&lt;='Synthèse résultat'!$E13,'Infos Techniques'!$AM$4:$AM$87)),'Infos Techniques'!$AM$4:$AO$87,3,0),'Saisie de données'!$D$13='Menu déroulant'!$AA$5,10000000000)</f>
        <v>10000000000</v>
      </c>
      <c r="AR13" s="444">
        <f>IF('Saisie de données'!$AL$70='Menu déroulant'!$AG$50,5,10000000000000)</f>
        <v>10000000000000</v>
      </c>
    </row>
    <row r="14" spans="2:44" ht="15" thickBot="1">
      <c r="B14" s="1607"/>
      <c r="C14" s="1608"/>
      <c r="D14" s="50" t="str">
        <f>IF('Saisie de données'!$D$16='Menu déroulant'!$B$20,D53,D33)</f>
        <v>w-</v>
      </c>
      <c r="E14" s="60" t="e" cm="1">
        <f t="array" ref="E14">_xlfn.IFS(OR('Saisie de données'!$D$13='Menu déroulant'!$AA$3,'Saisie de données'!$D$13='Menu déroulant'!$AA$4),'Synthèse résultat'!E71,'Saisie de données'!$D$16='Menu déroulant'!$B$20,E53,'Saisie de données'!$D$16='Menu déroulant'!$B$21,E33)</f>
        <v>#N/A</v>
      </c>
      <c r="F14" s="415" cm="1">
        <f t="array" aca="1" ref="F14" ca="1">IFERROR(_xlfn.IFS(OR('Saisie de données'!$D$13='Menu déroulant'!$AA$3,'Saisie de données'!$D$13='Menu déroulant'!$AA$4),'Synthèse résultat'!F71,'Saisie de données'!$D$16='Menu déroulant'!$B$20,F53,'Saisie de données'!$D$16='Menu déroulant'!$B$21,F33),100000)</f>
        <v>100000</v>
      </c>
      <c r="G14" s="415" cm="1">
        <f t="array" aca="1" ref="G14" ca="1">IFERROR(_xlfn.IFS(OR('Saisie de données'!$D$13='Menu déroulant'!$AA$3,'Saisie de données'!$D$13='Menu déroulant'!$AA$4),'Synthèse résultat'!G71,'Saisie de données'!$D$16='Menu déroulant'!$B$20,G53,'Saisie de données'!$D$16='Menu déroulant'!$B$21,G33),100000)</f>
        <v>100000</v>
      </c>
      <c r="H14" s="415" cm="1">
        <f t="array" aca="1" ref="H14" ca="1">IFERROR(_xlfn.IFS(OR('Saisie de données'!$D$13='Menu déroulant'!$AA$3,'Saisie de données'!$D$13='Menu déroulant'!$AA$4),'Synthèse résultat'!H71,'Saisie de données'!$D$16='Menu déroulant'!$B$20,H53,'Saisie de données'!$D$16='Menu déroulant'!$B$21,H33),100000)</f>
        <v>100000</v>
      </c>
      <c r="I14" s="415" cm="1">
        <f t="array" aca="1" ref="I14" ca="1">IFERROR(_xlfn.IFS(OR('Saisie de données'!$D$13='Menu déroulant'!$AA$3,'Saisie de données'!$D$13='Menu déroulant'!$AA$4),'Synthèse résultat'!I71,'Saisie de données'!$D$16='Menu déroulant'!$B$20,I53,'Saisie de données'!$D$16='Menu déroulant'!$B$21,I33),100000)</f>
        <v>100000</v>
      </c>
      <c r="J14" s="415" cm="1">
        <f t="array" aca="1" ref="J14" ca="1">IFERROR(_xlfn.IFS(OR('Saisie de données'!$D$13='Menu déroulant'!$AA$3,'Saisie de données'!$D$13='Menu déroulant'!$AA$4),'Synthèse résultat'!J71,'Saisie de données'!$D$16='Menu déroulant'!$B$20,J53,'Saisie de données'!$D$16='Menu déroulant'!$B$21,J33),100000)</f>
        <v>100000</v>
      </c>
      <c r="K14" s="415" cm="1">
        <f t="array" aca="1" ref="K14" ca="1">IFERROR(_xlfn.IFS(OR('Saisie de données'!$D$13='Menu déroulant'!$AA$3,'Saisie de données'!$D$13='Menu déroulant'!$AA$4),'Synthèse résultat'!K71,'Saisie de données'!$D$16='Menu déroulant'!$B$20,K53,'Saisie de données'!$D$16='Menu déroulant'!$B$21,K33),100000)</f>
        <v>100000</v>
      </c>
      <c r="L14" s="415" cm="1">
        <f t="array" aca="1" ref="L14" ca="1">IFERROR(_xlfn.IFS(OR('Saisie de données'!$D$13='Menu déroulant'!$AA$3,'Saisie de données'!$D$13='Menu déroulant'!$AA$4),'Synthèse résultat'!L71,'Saisie de données'!$D$16='Menu déroulant'!$B$20,L53,'Saisie de données'!$D$16='Menu déroulant'!$B$21,L33),100000)</f>
        <v>100000</v>
      </c>
      <c r="M14" s="415" cm="1">
        <f t="array" aca="1" ref="M14" ca="1">IFERROR(_xlfn.IFS(OR('Saisie de données'!$D$13='Menu déroulant'!$AA$3,'Saisie de données'!$D$13='Menu déroulant'!$AA$4),'Synthèse résultat'!M71,'Saisie de données'!$D$16='Menu déroulant'!$B$20,M53,'Saisie de données'!$D$16='Menu déroulant'!$B$21,M33),100000)</f>
        <v>100000</v>
      </c>
      <c r="N14" s="415" cm="1">
        <f t="array" aca="1" ref="N14" ca="1">IFERROR(_xlfn.IFS(OR('Saisie de données'!$D$13='Menu déroulant'!$AA$3,'Saisie de données'!$D$13='Menu déroulant'!$AA$4),'Synthèse résultat'!N71,'Saisie de données'!$D$16='Menu déroulant'!$B$20,N53,'Saisie de données'!$D$16='Menu déroulant'!$B$21,N33),100000)</f>
        <v>100000</v>
      </c>
      <c r="O14" s="453" cm="1">
        <f t="array" aca="1" ref="O14" ca="1">IFERROR(_xlfn.IFS(OR('Saisie de données'!$D$13='Menu déroulant'!$AA$3,'Saisie de données'!$D$13='Menu déroulant'!$AA$4),'Synthèse résultat'!O71,'Saisie de données'!$D$16='Menu déroulant'!$B$20,O53,'Saisie de données'!$D$16='Menu déroulant'!$B$21,O33),100000)</f>
        <v>100000</v>
      </c>
      <c r="P14" s="418">
        <v>2</v>
      </c>
      <c r="Q14" s="419" t="e" cm="1">
        <f t="array" aca="1" ref="Q14" ca="1">_xlfn.IFS(OR('Saisie de données'!$D$13='Menu déroulant'!$AA$3,'Saisie de données'!$D$13='Menu déroulant'!$AA$4),'Synthèse résultat'!Q71,'Saisie de données'!$D$16='Menu déroulant'!$B$20,Q53,'Saisie de données'!$D$16='Menu déroulant'!$B$21,Q33)</f>
        <v>#VALUE!</v>
      </c>
      <c r="R14" s="419" t="e" cm="1">
        <f t="array" aca="1" ref="R14" ca="1">_xlfn.IFS(OR('Saisie de données'!$D$13='Menu déroulant'!$AA$3,'Saisie de données'!$D$13='Menu déroulant'!$AA$4),'Synthèse résultat'!R71,'Saisie de données'!$D$16='Menu déroulant'!$B$20,R53,'Saisie de données'!$D$16='Menu déroulant'!$B$21,R33)</f>
        <v>#VALUE!</v>
      </c>
      <c r="S14" s="419" t="e" cm="1">
        <f t="array" aca="1" ref="S14" ca="1">_xlfn.IFS(OR('Saisie de données'!$D$13='Menu déroulant'!$AA$3,'Saisie de données'!$D$13='Menu déroulant'!$AA$4),'Synthèse résultat'!S71,'Saisie de données'!$D$16='Menu déroulant'!$B$20,S53,'Saisie de données'!$D$16='Menu déroulant'!$B$21,S33)</f>
        <v>#VALUE!</v>
      </c>
      <c r="T14" s="419" t="e" cm="1">
        <f t="array" aca="1" ref="T14" ca="1">_xlfn.IFS(OR('Saisie de données'!$D$13='Menu déroulant'!$AA$3,'Saisie de données'!$D$13='Menu déroulant'!$AA$4),'Synthèse résultat'!T71,'Saisie de données'!$D$16='Menu déroulant'!$B$20,T53,'Saisie de données'!$D$16='Menu déroulant'!$B$21,T33)</f>
        <v>#VALUE!</v>
      </c>
      <c r="U14" s="419" t="e" cm="1">
        <f t="array" aca="1" ref="U14" ca="1">_xlfn.IFS(OR('Saisie de données'!$D$13='Menu déroulant'!$AA$3,'Saisie de données'!$D$13='Menu déroulant'!$AA$4),'Synthèse résultat'!U71,'Saisie de données'!$D$16='Menu déroulant'!$B$20,U53,'Saisie de données'!$D$16='Menu déroulant'!$B$21,U33)</f>
        <v>#VALUE!</v>
      </c>
      <c r="V14" s="419" t="e" cm="1">
        <f t="array" aca="1" ref="V14" ca="1">_xlfn.IFS(OR('Saisie de données'!$D$13='Menu déroulant'!$AA$3,'Saisie de données'!$D$13='Menu déroulant'!$AA$4),'Synthèse résultat'!V71,'Saisie de données'!$D$16='Menu déroulant'!$B$20,V53,'Saisie de données'!$D$16='Menu déroulant'!$B$21,V33)</f>
        <v>#VALUE!</v>
      </c>
      <c r="W14" s="419" t="e" cm="1">
        <f t="array" aca="1" ref="W14" ca="1">_xlfn.IFS(OR('Saisie de données'!$D$13='Menu déroulant'!$AA$3,'Saisie de données'!$D$13='Menu déroulant'!$AA$4),'Synthèse résultat'!W71,'Saisie de données'!$D$16='Menu déroulant'!$B$20,W53,'Saisie de données'!$D$16='Menu déroulant'!$B$21,W33)</f>
        <v>#VALUE!</v>
      </c>
      <c r="X14" s="419" t="e" cm="1">
        <f t="array" aca="1" ref="X14" ca="1">_xlfn.IFS(OR('Saisie de données'!$D$13='Menu déroulant'!$AA$3,'Saisie de données'!$D$13='Menu déroulant'!$AA$4),'Synthèse résultat'!X71,'Saisie de données'!$D$16='Menu déroulant'!$B$20,X53,'Saisie de données'!$D$16='Menu déroulant'!$B$21,X33)</f>
        <v>#VALUE!</v>
      </c>
      <c r="Y14" s="419" t="e" cm="1">
        <f t="array" aca="1" ref="Y14" ca="1">_xlfn.IFS(OR('Saisie de données'!$D$13='Menu déroulant'!$AA$3,'Saisie de données'!$D$13='Menu déroulant'!$AA$4),'Synthèse résultat'!Y71,'Saisie de données'!$D$16='Menu déroulant'!$B$20,Y53,'Saisie de données'!$D$16='Menu déroulant'!$B$21,Y33)</f>
        <v>#VALUE!</v>
      </c>
      <c r="Z14" s="420" t="e" cm="1">
        <f t="array" aca="1" ref="Z14" ca="1">_xlfn.IFS(OR('Saisie de données'!$D$13='Menu déroulant'!$AA$3,'Saisie de données'!$D$13='Menu déroulant'!$AA$4),'Synthèse résultat'!Z71,'Saisie de données'!$D$16='Menu déroulant'!$B$20,Z53,'Saisie de données'!$D$16='Menu déroulant'!$B$21,Z33)</f>
        <v>#VALUE!</v>
      </c>
      <c r="AA14" s="442" t="e" cm="1">
        <f t="array" aca="1" ref="AA14" ca="1">_xlfn.IFS(OR('Saisie de données'!$D$13='Menu déroulant'!$AA$3,'Saisie de données'!$D$13='Menu déroulant'!$AA$4),'Synthèse résultat'!AA71,'Saisie de données'!$D$16='Menu déroulant'!$B$20,AA53,'Saisie de données'!$D$16='Menu déroulant'!$B$21,AA33)</f>
        <v>#VALUE!</v>
      </c>
      <c r="AB14" s="326" t="e" cm="1">
        <f t="array" aca="1" ref="AB14" ca="1">_xlfn.IFS(OR('Saisie de données'!$D$13='Menu déroulant'!$AA$3,'Saisie de données'!$D$13='Menu déroulant'!$AA$4),'Synthèse résultat'!AB71,'Saisie de données'!$D$16='Menu déroulant'!$B$20,AB53,'Saisie de données'!$D$16='Menu déroulant'!$B$21,AB33)</f>
        <v>#VALUE!</v>
      </c>
      <c r="AC14" s="326" t="e" cm="1">
        <f t="array" aca="1" ref="AC14" ca="1">_xlfn.IFS(OR('Saisie de données'!$D$13='Menu déroulant'!$AA$3,'Saisie de données'!$D$13='Menu déroulant'!$AA$4),'Synthèse résultat'!AC71,'Saisie de données'!$D$16='Menu déroulant'!$B$20,AC53,'Saisie de données'!$D$16='Menu déroulant'!$B$21,AC33)</f>
        <v>#VALUE!</v>
      </c>
      <c r="AD14" s="326" t="e" cm="1">
        <f t="array" aca="1" ref="AD14" ca="1">_xlfn.IFS(OR('Saisie de données'!$D$13='Menu déroulant'!$AA$3,'Saisie de données'!$D$13='Menu déroulant'!$AA$4),'Synthèse résultat'!AD71,'Saisie de données'!$D$16='Menu déroulant'!$B$20,AD53,'Saisie de données'!$D$16='Menu déroulant'!$B$21,AD33)</f>
        <v>#VALUE!</v>
      </c>
      <c r="AE14" s="326" t="e" cm="1">
        <f t="array" ref="AE14">hbsdhvd</f>
        <v>#NAME?</v>
      </c>
      <c r="AF14" s="326" t="e" cm="1">
        <f t="array" aca="1" ref="AF14" ca="1">_xlfn.IFS(OR('Saisie de données'!$D$13='Menu déroulant'!$AA$3,'Saisie de données'!$D$13='Menu déroulant'!$AA$4),'Synthèse résultat'!AF71,'Saisie de données'!$D$16='Menu déroulant'!$B$20,AF53,'Saisie de données'!$D$16='Menu déroulant'!$B$21,AF33)</f>
        <v>#VALUE!</v>
      </c>
      <c r="AG14" s="326" t="e" cm="1">
        <f t="array" aca="1" ref="AG14" ca="1">_xlfn.IFS(OR('Saisie de données'!$D$13='Menu déroulant'!$AA$3,'Saisie de données'!$D$13='Menu déroulant'!$AA$4),'Synthèse résultat'!AG71,'Saisie de données'!$D$16='Menu déroulant'!$B$20,AG53,'Saisie de données'!$D$16='Menu déroulant'!$B$21,AG33)</f>
        <v>#VALUE!</v>
      </c>
      <c r="AH14" s="326" t="e" cm="1">
        <f t="array" ref="AH14">hbsdhvd</f>
        <v>#NAME?</v>
      </c>
      <c r="AI14" s="326" t="e" cm="1">
        <f t="array" aca="1" ref="AI14" ca="1">_xlfn.IFS(OR('Saisie de données'!$D$13='Menu déroulant'!$AA$3,'Saisie de données'!$D$13='Menu déroulant'!$AA$4),'Synthèse résultat'!AI71,'Saisie de données'!$D$16='Menu déroulant'!$B$20,AI53,'Saisie de données'!$D$16='Menu déroulant'!$B$21,AI33)</f>
        <v>#VALUE!</v>
      </c>
      <c r="AJ14" s="326" t="e" cm="1">
        <f t="array" aca="1" ref="AJ14" ca="1">_xlfn.IFS(OR('Saisie de données'!$D$13='Menu déroulant'!$AA$3,'Saisie de données'!$D$13='Menu déroulant'!$AA$4),'Synthèse résultat'!AJ71,'Saisie de données'!$D$16='Menu déroulant'!$B$20,AJ53,'Saisie de données'!$D$16='Menu déroulant'!$B$21,AJ33)</f>
        <v>#VALUE!</v>
      </c>
      <c r="AK14" s="326" t="e" cm="1">
        <f t="array" aca="1" ref="AK14" ca="1">_xlfn.IFS(OR('Saisie de données'!$D$13='Menu déroulant'!$AA$3,'Saisie de données'!$D$13='Menu déroulant'!$AA$4),'Synthèse résultat'!AK71,'Saisie de données'!$D$16='Menu déroulant'!$B$20,AK53,'Saisie de données'!$D$16='Menu déroulant'!$B$21,AK33)</f>
        <v>#VALUE!</v>
      </c>
      <c r="AL14" s="326" t="e" cm="1">
        <f t="array" aca="1" ref="AL14" ca="1">_xlfn.IFS(OR('Saisie de données'!$D$13='Menu déroulant'!$AA$3,'Saisie de données'!$D$13='Menu déroulant'!$AA$4),'Synthèse résultat'!AL71,'Saisie de données'!$D$16='Menu déroulant'!$B$20,AL53,'Saisie de données'!$D$16='Menu déroulant'!$B$21,AL33)</f>
        <v>#VALUE!</v>
      </c>
      <c r="AM14" s="326" t="e" cm="1">
        <f t="array" aca="1" ref="AM14" ca="1">_xlfn.IFS(OR('Saisie de données'!$D$13='Menu déroulant'!$AA$3,'Saisie de données'!$D$13='Menu déroulant'!$AA$4),'Synthèse résultat'!AM71,'Saisie de données'!$D$16='Menu déroulant'!$B$20,AM53,'Saisie de données'!$D$16='Menu déroulant'!$B$21,AM33)</f>
        <v>#VALUE!</v>
      </c>
      <c r="AN14" s="326" t="e" cm="1">
        <f t="array" aca="1" ref="AN14" ca="1">_xlfn.IFS(OR('Saisie de données'!$D$13='Menu déroulant'!$AA$3,'Saisie de données'!$D$13='Menu déroulant'!$AA$4),'Synthèse résultat'!AN71,'Saisie de données'!$D$16='Menu déroulant'!$B$20,AN53,'Saisie de données'!$D$16='Menu déroulant'!$B$21,AN33)</f>
        <v>#VALUE!</v>
      </c>
      <c r="AO14" s="326" t="e" cm="1">
        <f t="array" aca="1" ref="AO14" ca="1">_xlfn.IFS(OR('Saisie de données'!$D$13='Menu déroulant'!$AA$3,'Saisie de données'!$D$13='Menu déroulant'!$AA$4),'Synthèse résultat'!AO71,'Saisie de données'!$D$16='Menu déroulant'!$B$20,AO53,'Saisie de données'!$D$16='Menu déroulant'!$B$21,AO33)</f>
        <v>#VALUE!</v>
      </c>
      <c r="AP14" s="417" t="e" cm="1">
        <f t="array" aca="1" ref="AP14" ca="1">_xlfn.IFS(OR('Saisie de données'!$D$13='Menu déroulant'!$AA$3,'Saisie de données'!$D$13='Menu déroulant'!$AA$4),'Synthèse résultat'!AP71,'Saisie de données'!$D$16='Menu déroulant'!$B$20,AP53,'Saisie de données'!$D$16='Menu déroulant'!$B$21,AP33)</f>
        <v>#VALUE!</v>
      </c>
      <c r="AQ14" s="433" cm="1">
        <f t="array" ref="AQ14">_xlfn.IFS('Saisie de données'!$D$13='Menu déroulant'!$AA$3,VLOOKUP(MAX(IF('Infos Techniques'!$AM$4:$AM$87&lt;='Synthèse résultat'!$E14,'Infos Techniques'!$AM$4:$AM$87)),'Infos Techniques'!$AM$4:$AO$87,2,0),'Saisie de données'!$D$13='Menu déroulant'!$AA$4,VLOOKUP(MAX(IF('Infos Techniques'!$AM$4:$AM$87&lt;='Synthèse résultat'!$E14,'Infos Techniques'!$AM$4:$AM$87)),'Infos Techniques'!$AM$4:$AO$87,3,0),'Saisie de données'!$D$13='Menu déroulant'!$AA$5,10000000000)</f>
        <v>10000000000</v>
      </c>
      <c r="AR14" s="444">
        <f>IF('Saisie de données'!$AL$70='Menu déroulant'!$AG$50,5,10000000000000)</f>
        <v>10000000000000</v>
      </c>
    </row>
    <row r="15" spans="2:44">
      <c r="B15" s="1600" t="s">
        <v>54</v>
      </c>
      <c r="C15" s="1111" t="s">
        <v>338</v>
      </c>
      <c r="D15" s="241" t="str">
        <f>IF('Saisie de données'!$D$16='Menu déroulant'!$B$20,D54,D34)</f>
        <v>e-</v>
      </c>
      <c r="E15" s="59" t="e" cm="1">
        <f t="array" ref="E15">_xlfn.IFS(OR('Saisie de données'!$D$13='Menu déroulant'!$AA$3,'Saisie de données'!$D$13='Menu déroulant'!$AA$4),'Synthèse résultat'!E72,'Saisie de données'!$D$16='Menu déroulant'!$B$20,E54,'Saisie de données'!$D$16='Menu déroulant'!$B$21,E34)</f>
        <v>#N/A</v>
      </c>
      <c r="F15" s="411" cm="1">
        <f t="array" aca="1" ref="F15" ca="1">IFERROR(_xlfn.IFS(OR('Saisie de données'!$D$13='Menu déroulant'!$AA$3,'Saisie de données'!$D$13='Menu déroulant'!$AA$4),'Synthèse résultat'!F72,'Saisie de données'!$D$16='Menu déroulant'!$B$20,F54,'Saisie de données'!$D$16='Menu déroulant'!$B$21,F34),100000)</f>
        <v>100000</v>
      </c>
      <c r="G15" s="411" cm="1">
        <f t="array" aca="1" ref="G15" ca="1">IFERROR(_xlfn.IFS(OR('Saisie de données'!$D$13='Menu déroulant'!$AA$3,'Saisie de données'!$D$13='Menu déroulant'!$AA$4),'Synthèse résultat'!G72,'Saisie de données'!$D$16='Menu déroulant'!$B$20,G54,'Saisie de données'!$D$16='Menu déroulant'!$B$21,G34),100000)</f>
        <v>100000</v>
      </c>
      <c r="H15" s="411" cm="1">
        <f t="array" aca="1" ref="H15" ca="1">IFERROR(_xlfn.IFS(OR('Saisie de données'!$D$13='Menu déroulant'!$AA$3,'Saisie de données'!$D$13='Menu déroulant'!$AA$4),'Synthèse résultat'!H72,'Saisie de données'!$D$16='Menu déroulant'!$B$20,H54,'Saisie de données'!$D$16='Menu déroulant'!$B$21,H34),100000)</f>
        <v>100000</v>
      </c>
      <c r="I15" s="411" cm="1">
        <f t="array" aca="1" ref="I15" ca="1">IFERROR(_xlfn.IFS(OR('Saisie de données'!$D$13='Menu déroulant'!$AA$3,'Saisie de données'!$D$13='Menu déroulant'!$AA$4),'Synthèse résultat'!I72,'Saisie de données'!$D$16='Menu déroulant'!$B$20,I54,'Saisie de données'!$D$16='Menu déroulant'!$B$21,I34),100000)</f>
        <v>100000</v>
      </c>
      <c r="J15" s="411" cm="1">
        <f t="array" aca="1" ref="J15" ca="1">IFERROR(_xlfn.IFS(OR('Saisie de données'!$D$13='Menu déroulant'!$AA$3,'Saisie de données'!$D$13='Menu déroulant'!$AA$4),'Synthèse résultat'!J72,'Saisie de données'!$D$16='Menu déroulant'!$B$20,J54,'Saisie de données'!$D$16='Menu déroulant'!$B$21,J34),100000)</f>
        <v>100000</v>
      </c>
      <c r="K15" s="411" cm="1">
        <f t="array" aca="1" ref="K15" ca="1">IFERROR(_xlfn.IFS(OR('Saisie de données'!$D$13='Menu déroulant'!$AA$3,'Saisie de données'!$D$13='Menu déroulant'!$AA$4),'Synthèse résultat'!K72,'Saisie de données'!$D$16='Menu déroulant'!$B$20,K54,'Saisie de données'!$D$16='Menu déroulant'!$B$21,K34),100000)</f>
        <v>100000</v>
      </c>
      <c r="L15" s="411" cm="1">
        <f t="array" aca="1" ref="L15" ca="1">IFERROR(_xlfn.IFS(OR('Saisie de données'!$D$13='Menu déroulant'!$AA$3,'Saisie de données'!$D$13='Menu déroulant'!$AA$4),'Synthèse résultat'!L72,'Saisie de données'!$D$16='Menu déroulant'!$B$20,L54,'Saisie de données'!$D$16='Menu déroulant'!$B$21,L34),100000)</f>
        <v>100000</v>
      </c>
      <c r="M15" s="411" cm="1">
        <f t="array" aca="1" ref="M15" ca="1">IFERROR(_xlfn.IFS(OR('Saisie de données'!$D$13='Menu déroulant'!$AA$3,'Saisie de données'!$D$13='Menu déroulant'!$AA$4),'Synthèse résultat'!M72,'Saisie de données'!$D$16='Menu déroulant'!$B$20,M54,'Saisie de données'!$D$16='Menu déroulant'!$B$21,M34),100000)</f>
        <v>100000</v>
      </c>
      <c r="N15" s="411" cm="1">
        <f t="array" aca="1" ref="N15" ca="1">IFERROR(_xlfn.IFS(OR('Saisie de données'!$D$13='Menu déroulant'!$AA$3,'Saisie de données'!$D$13='Menu déroulant'!$AA$4),'Synthèse résultat'!N72,'Saisie de données'!$D$16='Menu déroulant'!$B$20,N54,'Saisie de données'!$D$16='Menu déroulant'!$B$21,N34),100000)</f>
        <v>100000</v>
      </c>
      <c r="O15" s="411" cm="1">
        <f t="array" aca="1" ref="O15" ca="1">IFERROR(_xlfn.IFS(OR('Saisie de données'!$D$13='Menu déroulant'!$AA$3,'Saisie de données'!$D$13='Menu déroulant'!$AA$4),'Synthèse résultat'!O72,'Saisie de données'!$D$16='Menu déroulant'!$B$20,O54,'Saisie de données'!$D$16='Menu déroulant'!$B$21,O34),100000)</f>
        <v>100000</v>
      </c>
      <c r="P15" s="412" cm="1">
        <f t="array" ref="P15">_xlfn.IFS(OR('Saisie de données'!$D$13='Menu déroulant'!$AA$3,'Saisie de données'!$D$13='Menu déroulant'!$AA$4),'Synthèse résultat'!P72,'Saisie de données'!$D$16='Menu déroulant'!$B$20,P54,'Saisie de données'!$D$16='Menu déroulant'!$B$21,P34)</f>
        <v>10</v>
      </c>
      <c r="Q15" s="413" t="e" cm="1">
        <f t="array" ref="Q15">_xlfn.IFS(OR('Saisie de données'!$D$13='Menu déroulant'!$AA$3,'Saisie de données'!$D$13='Menu déroulant'!$AA$4),'Synthèse résultat'!Q72,'Saisie de données'!$D$16='Menu déroulant'!$B$20,Q54,'Saisie de données'!$D$16='Menu déroulant'!$B$21,Q34)</f>
        <v>#N/A</v>
      </c>
      <c r="R15" s="413" t="e" cm="1">
        <f t="array" ref="R15">_xlfn.IFS(OR('Saisie de données'!$D$13='Menu déroulant'!$AA$3,'Saisie de données'!$D$13='Menu déroulant'!$AA$4),'Synthèse résultat'!R72,'Saisie de données'!$D$16='Menu déroulant'!$B$20,R54,'Saisie de données'!$D$16='Menu déroulant'!$B$21,R34)</f>
        <v>#N/A</v>
      </c>
      <c r="S15" s="413" t="e" cm="1">
        <f t="array" ref="S15">_xlfn.IFS(OR('Saisie de données'!$D$13='Menu déroulant'!$AA$3,'Saisie de données'!$D$13='Menu déroulant'!$AA$4),'Synthèse résultat'!S72,'Saisie de données'!$D$16='Menu déroulant'!$B$20,S54,'Saisie de données'!$D$16='Menu déroulant'!$B$21,S34)</f>
        <v>#N/A</v>
      </c>
      <c r="T15" s="413" t="e" cm="1">
        <f t="array" ref="T15">_xlfn.IFS(OR('Saisie de données'!$D$13='Menu déroulant'!$AA$3,'Saisie de données'!$D$13='Menu déroulant'!$AA$4),'Synthèse résultat'!T72,'Saisie de données'!$D$16='Menu déroulant'!$B$20,T54,'Saisie de données'!$D$16='Menu déroulant'!$B$21,T34)</f>
        <v>#N/A</v>
      </c>
      <c r="U15" s="413" t="e" cm="1">
        <f t="array" ref="U15">_xlfn.IFS(OR('Saisie de données'!$D$13='Menu déroulant'!$AA$3,'Saisie de données'!$D$13='Menu déroulant'!$AA$4),'Synthèse résultat'!U72,'Saisie de données'!$D$16='Menu déroulant'!$B$20,U54,'Saisie de données'!$D$16='Menu déroulant'!$B$21,U34)</f>
        <v>#N/A</v>
      </c>
      <c r="V15" s="413" t="e" cm="1">
        <f t="array" ref="V15">_xlfn.IFS(OR('Saisie de données'!$D$13='Menu déroulant'!$AA$3,'Saisie de données'!$D$13='Menu déroulant'!$AA$4),'Synthèse résultat'!V72,'Saisie de données'!$D$16='Menu déroulant'!$B$20,V54,'Saisie de données'!$D$16='Menu déroulant'!$B$21,V34)</f>
        <v>#N/A</v>
      </c>
      <c r="W15" s="413" t="e" cm="1">
        <f t="array" ref="W15">_xlfn.IFS(OR('Saisie de données'!$D$13='Menu déroulant'!$AA$3,'Saisie de données'!$D$13='Menu déroulant'!$AA$4),'Synthèse résultat'!W72,'Saisie de données'!$D$16='Menu déroulant'!$B$20,W54,'Saisie de données'!$D$16='Menu déroulant'!$B$21,W34)</f>
        <v>#N/A</v>
      </c>
      <c r="X15" s="413" t="e" cm="1">
        <f t="array" ref="X15">_xlfn.IFS(OR('Saisie de données'!$D$13='Menu déroulant'!$AA$3,'Saisie de données'!$D$13='Menu déroulant'!$AA$4),'Synthèse résultat'!X72,'Saisie de données'!$D$16='Menu déroulant'!$B$20,X54,'Saisie de données'!$D$16='Menu déroulant'!$B$21,X34)</f>
        <v>#N/A</v>
      </c>
      <c r="Y15" s="413" t="e" cm="1">
        <f t="array" ref="Y15">_xlfn.IFS(OR('Saisie de données'!$D$13='Menu déroulant'!$AA$3,'Saisie de données'!$D$13='Menu déroulant'!$AA$4),'Synthèse résultat'!Y72,'Saisie de données'!$D$16='Menu déroulant'!$B$20,Y54,'Saisie de données'!$D$16='Menu déroulant'!$B$21,Y34)</f>
        <v>#N/A</v>
      </c>
      <c r="Z15" s="414" t="e" cm="1">
        <f t="array" ref="Z15">_xlfn.IFS(OR('Saisie de données'!$D$13='Menu déroulant'!$AA$3,'Saisie de données'!$D$13='Menu déroulant'!$AA$4),'Synthèse résultat'!Z72,'Saisie de données'!$D$16='Menu déroulant'!$B$20,Z54,'Saisie de données'!$D$16='Menu déroulant'!$B$21,Z34)</f>
        <v>#N/A</v>
      </c>
      <c r="AA15" s="440" t="e" cm="1">
        <f t="array" ref="AA15">_xlfn.IFS(OR('Saisie de données'!$D$13='Menu déroulant'!$AA$3,'Saisie de données'!$D$13='Menu déroulant'!$AA$4),'Synthèse résultat'!AA72,'Saisie de données'!$D$16='Menu déroulant'!$B$20,AA54,'Saisie de données'!$D$16='Menu déroulant'!$B$21,AA34)</f>
        <v>#N/A</v>
      </c>
      <c r="AB15" s="413" t="e" cm="1">
        <f t="array" ref="AB15">_xlfn.IFS(OR('Saisie de données'!$D$13='Menu déroulant'!$AA$3,'Saisie de données'!$D$13='Menu déroulant'!$AA$4),'Synthèse résultat'!AB72,'Saisie de données'!$D$16='Menu déroulant'!$B$20,AB54,'Saisie de données'!$D$16='Menu déroulant'!$B$21,AB34)</f>
        <v>#N/A</v>
      </c>
      <c r="AC15" s="413" t="e" cm="1">
        <f t="array" ref="AC15">_xlfn.IFS(OR('Saisie de données'!$D$13='Menu déroulant'!$AA$3,'Saisie de données'!$D$13='Menu déroulant'!$AA$4),'Synthèse résultat'!AC72,'Saisie de données'!$D$16='Menu déroulant'!$B$20,AC54,'Saisie de données'!$D$16='Menu déroulant'!$B$21,AC34)</f>
        <v>#N/A</v>
      </c>
      <c r="AD15" s="413" t="e" cm="1">
        <f t="array" ref="AD15">_xlfn.IFS(OR('Saisie de données'!$D$13='Menu déroulant'!$AA$3,'Saisie de données'!$D$13='Menu déroulant'!$AA$4),'Synthèse résultat'!AD72,'Saisie de données'!$D$16='Menu déroulant'!$B$20,AD54,'Saisie de données'!$D$16='Menu déroulant'!$B$21,AD34)</f>
        <v>#N/A</v>
      </c>
      <c r="AE15" s="413" t="e" cm="1">
        <f t="array" ref="AE15">hbsdhvd</f>
        <v>#NAME?</v>
      </c>
      <c r="AF15" s="413" t="e" cm="1">
        <f t="array" ref="AF15">_xlfn.IFS(OR('Saisie de données'!$D$13='Menu déroulant'!$AA$3,'Saisie de données'!$D$13='Menu déroulant'!$AA$4),'Synthèse résultat'!AF72,'Saisie de données'!$D$16='Menu déroulant'!$B$20,AF54,'Saisie de données'!$D$16='Menu déroulant'!$B$21,AF34)</f>
        <v>#N/A</v>
      </c>
      <c r="AG15" s="413" t="e" cm="1">
        <f t="array" ref="AG15">_xlfn.IFS(OR('Saisie de données'!$D$13='Menu déroulant'!$AA$3,'Saisie de données'!$D$13='Menu déroulant'!$AA$4),'Synthèse résultat'!AG72,'Saisie de données'!$D$16='Menu déroulant'!$B$20,AG54,'Saisie de données'!$D$16='Menu déroulant'!$B$21,AG34)</f>
        <v>#N/A</v>
      </c>
      <c r="AH15" s="413" t="e" cm="1">
        <f t="array" ref="AH15">hbsdhvd</f>
        <v>#NAME?</v>
      </c>
      <c r="AI15" s="413" t="e" cm="1">
        <f t="array" ref="AI15">_xlfn.IFS(OR('Saisie de données'!$D$13='Menu déroulant'!$AA$3,'Saisie de données'!$D$13='Menu déroulant'!$AA$4),'Synthèse résultat'!AI72,'Saisie de données'!$D$16='Menu déroulant'!$B$20,AI54,'Saisie de données'!$D$16='Menu déroulant'!$B$21,AI34)</f>
        <v>#N/A</v>
      </c>
      <c r="AJ15" s="413" t="e" cm="1">
        <f t="array" ref="AJ15">_xlfn.IFS(OR('Saisie de données'!$D$13='Menu déroulant'!$AA$3,'Saisie de données'!$D$13='Menu déroulant'!$AA$4),'Synthèse résultat'!AJ72,'Saisie de données'!$D$16='Menu déroulant'!$B$20,AJ54,'Saisie de données'!$D$16='Menu déroulant'!$B$21,AJ34)</f>
        <v>#N/A</v>
      </c>
      <c r="AK15" s="413" t="e" cm="1">
        <f t="array" ref="AK15">_xlfn.IFS(OR('Saisie de données'!$D$13='Menu déroulant'!$AA$3,'Saisie de données'!$D$13='Menu déroulant'!$AA$4),'Synthèse résultat'!AK72,'Saisie de données'!$D$16='Menu déroulant'!$B$20,AK54,'Saisie de données'!$D$16='Menu déroulant'!$B$21,AK34)</f>
        <v>#N/A</v>
      </c>
      <c r="AL15" s="413" t="e" cm="1">
        <f t="array" ref="AL15">_xlfn.IFS(OR('Saisie de données'!$D$13='Menu déroulant'!$AA$3,'Saisie de données'!$D$13='Menu déroulant'!$AA$4),'Synthèse résultat'!AL72,'Saisie de données'!$D$16='Menu déroulant'!$B$20,AL54,'Saisie de données'!$D$16='Menu déroulant'!$B$21,AL34)</f>
        <v>#N/A</v>
      </c>
      <c r="AM15" s="413" t="e" cm="1">
        <f t="array" ref="AM15">_xlfn.IFS(OR('Saisie de données'!$D$13='Menu déroulant'!$AA$3,'Saisie de données'!$D$13='Menu déroulant'!$AA$4),'Synthèse résultat'!AM72,'Saisie de données'!$D$16='Menu déroulant'!$B$20,AM54,'Saisie de données'!$D$16='Menu déroulant'!$B$21,AM34)</f>
        <v>#N/A</v>
      </c>
      <c r="AN15" s="413" t="e" cm="1">
        <f t="array" ref="AN15">_xlfn.IFS(OR('Saisie de données'!$D$13='Menu déroulant'!$AA$3,'Saisie de données'!$D$13='Menu déroulant'!$AA$4),'Synthèse résultat'!AN72,'Saisie de données'!$D$16='Menu déroulant'!$B$20,AN54,'Saisie de données'!$D$16='Menu déroulant'!$B$21,AN34)</f>
        <v>#N/A</v>
      </c>
      <c r="AO15" s="413" t="e" cm="1">
        <f t="array" ref="AO15">_xlfn.IFS(OR('Saisie de données'!$D$13='Menu déroulant'!$AA$3,'Saisie de données'!$D$13='Menu déroulant'!$AA$4),'Synthèse résultat'!AO72,'Saisie de données'!$D$16='Menu déroulant'!$B$20,AO54,'Saisie de données'!$D$16='Menu déroulant'!$B$21,AO34)</f>
        <v>#N/A</v>
      </c>
      <c r="AP15" s="414" t="e" cm="1">
        <f t="array" ref="AP15">_xlfn.IFS(OR('Saisie de données'!$D$13='Menu déroulant'!$AA$3,'Saisie de données'!$D$13='Menu déroulant'!$AA$4),'Synthèse résultat'!AP72,'Saisie de données'!$D$16='Menu déroulant'!$B$20,AP54,'Saisie de données'!$D$16='Menu déroulant'!$B$21,AP34)</f>
        <v>#N/A</v>
      </c>
      <c r="AQ15" s="433" cm="1">
        <f t="array" ref="AQ15">_xlfn.IFS('Saisie de données'!$D$13='Menu déroulant'!$AA$3,VLOOKUP(MAX(IF('Infos Techniques'!$AM$4:$AM$87&lt;='Synthèse résultat'!$E15,'Infos Techniques'!$AM$4:$AM$87)),'Infos Techniques'!$AM$4:$AO$87,2,0),'Saisie de données'!$D$13='Menu déroulant'!$AA$4,VLOOKUP(MAX(IF('Infos Techniques'!$AM$4:$AM$87&lt;='Synthèse résultat'!$E15,'Infos Techniques'!$AM$4:$AM$87)),'Infos Techniques'!$AM$4:$AO$87,3,0),'Saisie de données'!$D$13='Menu déroulant'!$AA$5,10000000000)</f>
        <v>10000000000</v>
      </c>
      <c r="AR15" s="444">
        <f>IF('Saisie de données'!$AL$71='Menu déroulant'!$AG$50,5,10000000000000)</f>
        <v>10000000000000</v>
      </c>
    </row>
    <row r="16" spans="2:44">
      <c r="B16" s="1601"/>
      <c r="C16" s="1603"/>
      <c r="D16" s="28" t="str">
        <f>IF('Saisie de données'!$D$16='Menu déroulant'!$B$20,D55,D35)</f>
        <v>w-</v>
      </c>
      <c r="E16" s="43" t="e" cm="1">
        <f t="array" ref="E16">_xlfn.IFS(OR('Saisie de données'!$D$13='Menu déroulant'!$AA$3,'Saisie de données'!$D$13='Menu déroulant'!$AA$4),'Synthèse résultat'!E73,'Saisie de données'!$D$16='Menu déroulant'!$B$20,E55,'Saisie de données'!$D$16='Menu déroulant'!$B$21,E35)</f>
        <v>#N/A</v>
      </c>
      <c r="F16" s="415" cm="1">
        <f t="array" aca="1" ref="F16" ca="1">IFERROR(_xlfn.IFS(OR('Saisie de données'!$D$13='Menu déroulant'!$AA$3,'Saisie de données'!$D$13='Menu déroulant'!$AA$4),'Synthèse résultat'!F73,'Saisie de données'!$D$16='Menu déroulant'!$B$20,F55,'Saisie de données'!$D$16='Menu déroulant'!$B$21,F35),100000)</f>
        <v>100000</v>
      </c>
      <c r="G16" s="415" cm="1">
        <f t="array" aca="1" ref="G16" ca="1">IFERROR(_xlfn.IFS(OR('Saisie de données'!$D$13='Menu déroulant'!$AA$3,'Saisie de données'!$D$13='Menu déroulant'!$AA$4),'Synthèse résultat'!G73,'Saisie de données'!$D$16='Menu déroulant'!$B$20,G55,'Saisie de données'!$D$16='Menu déroulant'!$B$21,G35),100000)</f>
        <v>100000</v>
      </c>
      <c r="H16" s="415" cm="1">
        <f t="array" aca="1" ref="H16" ca="1">IFERROR(_xlfn.IFS(OR('Saisie de données'!$D$13='Menu déroulant'!$AA$3,'Saisie de données'!$D$13='Menu déroulant'!$AA$4),'Synthèse résultat'!H73,'Saisie de données'!$D$16='Menu déroulant'!$B$20,H55,'Saisie de données'!$D$16='Menu déroulant'!$B$21,H35),100000)</f>
        <v>100000</v>
      </c>
      <c r="I16" s="415" cm="1">
        <f t="array" aca="1" ref="I16" ca="1">IFERROR(_xlfn.IFS(OR('Saisie de données'!$D$13='Menu déroulant'!$AA$3,'Saisie de données'!$D$13='Menu déroulant'!$AA$4),'Synthèse résultat'!I73,'Saisie de données'!$D$16='Menu déroulant'!$B$20,I55,'Saisie de données'!$D$16='Menu déroulant'!$B$21,I35),100000)</f>
        <v>100000</v>
      </c>
      <c r="J16" s="415" cm="1">
        <f t="array" aca="1" ref="J16" ca="1">IFERROR(_xlfn.IFS(OR('Saisie de données'!$D$13='Menu déroulant'!$AA$3,'Saisie de données'!$D$13='Menu déroulant'!$AA$4),'Synthèse résultat'!J73,'Saisie de données'!$D$16='Menu déroulant'!$B$20,J55,'Saisie de données'!$D$16='Menu déroulant'!$B$21,J35),100000)</f>
        <v>100000</v>
      </c>
      <c r="K16" s="415" cm="1">
        <f t="array" aca="1" ref="K16" ca="1">IFERROR(_xlfn.IFS(OR('Saisie de données'!$D$13='Menu déroulant'!$AA$3,'Saisie de données'!$D$13='Menu déroulant'!$AA$4),'Synthèse résultat'!K73,'Saisie de données'!$D$16='Menu déroulant'!$B$20,K55,'Saisie de données'!$D$16='Menu déroulant'!$B$21,K35),100000)</f>
        <v>100000</v>
      </c>
      <c r="L16" s="415" cm="1">
        <f t="array" aca="1" ref="L16" ca="1">IFERROR(_xlfn.IFS(OR('Saisie de données'!$D$13='Menu déroulant'!$AA$3,'Saisie de données'!$D$13='Menu déroulant'!$AA$4),'Synthèse résultat'!L73,'Saisie de données'!$D$16='Menu déroulant'!$B$20,L55,'Saisie de données'!$D$16='Menu déroulant'!$B$21,L35),100000)</f>
        <v>100000</v>
      </c>
      <c r="M16" s="415" cm="1">
        <f t="array" aca="1" ref="M16" ca="1">IFERROR(_xlfn.IFS(OR('Saisie de données'!$D$13='Menu déroulant'!$AA$3,'Saisie de données'!$D$13='Menu déroulant'!$AA$4),'Synthèse résultat'!M73,'Saisie de données'!$D$16='Menu déroulant'!$B$20,M55,'Saisie de données'!$D$16='Menu déroulant'!$B$21,M35),100000)</f>
        <v>100000</v>
      </c>
      <c r="N16" s="415" cm="1">
        <f t="array" aca="1" ref="N16" ca="1">IFERROR(_xlfn.IFS(OR('Saisie de données'!$D$13='Menu déroulant'!$AA$3,'Saisie de données'!$D$13='Menu déroulant'!$AA$4),'Synthèse résultat'!N73,'Saisie de données'!$D$16='Menu déroulant'!$B$20,N55,'Saisie de données'!$D$16='Menu déroulant'!$B$21,N35),100000)</f>
        <v>100000</v>
      </c>
      <c r="O16" s="415" cm="1">
        <f t="array" aca="1" ref="O16" ca="1">IFERROR(_xlfn.IFS(OR('Saisie de données'!$D$13='Menu déroulant'!$AA$3,'Saisie de données'!$D$13='Menu déroulant'!$AA$4),'Synthèse résultat'!O73,'Saisie de données'!$D$16='Menu déroulant'!$B$20,O55,'Saisie de données'!$D$16='Menu déroulant'!$B$21,O35),100000)</f>
        <v>100000</v>
      </c>
      <c r="P16" s="416" cm="1">
        <f t="array" ref="P16">_xlfn.IFS(OR('Saisie de données'!$D$13='Menu déroulant'!$AA$3,'Saisie de données'!$D$13='Menu déroulant'!$AA$4),'Synthèse résultat'!P73,'Saisie de données'!$D$16='Menu déroulant'!$B$20,P55,'Saisie de données'!$D$16='Menu déroulant'!$B$21,P35)</f>
        <v>10</v>
      </c>
      <c r="Q16" s="326" t="e" cm="1">
        <f t="array" ref="Q16">_xlfn.IFS(OR('Saisie de données'!$D$13='Menu déroulant'!$AA$3,'Saisie de données'!$D$13='Menu déroulant'!$AA$4),'Synthèse résultat'!Q73,'Saisie de données'!$D$16='Menu déroulant'!$B$20,Q55,'Saisie de données'!$D$16='Menu déroulant'!$B$21,Q35)</f>
        <v>#N/A</v>
      </c>
      <c r="R16" s="326" t="e" cm="1">
        <f t="array" ref="R16">_xlfn.IFS(OR('Saisie de données'!$D$13='Menu déroulant'!$AA$3,'Saisie de données'!$D$13='Menu déroulant'!$AA$4),'Synthèse résultat'!R73,'Saisie de données'!$D$16='Menu déroulant'!$B$20,R55,'Saisie de données'!$D$16='Menu déroulant'!$B$21,R35)</f>
        <v>#N/A</v>
      </c>
      <c r="S16" s="326" t="e" cm="1">
        <f t="array" ref="S16">_xlfn.IFS(OR('Saisie de données'!$D$13='Menu déroulant'!$AA$3,'Saisie de données'!$D$13='Menu déroulant'!$AA$4),'Synthèse résultat'!S73,'Saisie de données'!$D$16='Menu déroulant'!$B$20,S55,'Saisie de données'!$D$16='Menu déroulant'!$B$21,S35)</f>
        <v>#N/A</v>
      </c>
      <c r="T16" s="326" t="e" cm="1">
        <f t="array" ref="T16">_xlfn.IFS(OR('Saisie de données'!$D$13='Menu déroulant'!$AA$3,'Saisie de données'!$D$13='Menu déroulant'!$AA$4),'Synthèse résultat'!T73,'Saisie de données'!$D$16='Menu déroulant'!$B$20,T55,'Saisie de données'!$D$16='Menu déroulant'!$B$21,T35)</f>
        <v>#N/A</v>
      </c>
      <c r="U16" s="326" t="e" cm="1">
        <f t="array" ref="U16">_xlfn.IFS(OR('Saisie de données'!$D$13='Menu déroulant'!$AA$3,'Saisie de données'!$D$13='Menu déroulant'!$AA$4),'Synthèse résultat'!U73,'Saisie de données'!$D$16='Menu déroulant'!$B$20,U55,'Saisie de données'!$D$16='Menu déroulant'!$B$21,U35)</f>
        <v>#N/A</v>
      </c>
      <c r="V16" s="326" t="e" cm="1">
        <f t="array" ref="V16">_xlfn.IFS(OR('Saisie de données'!$D$13='Menu déroulant'!$AA$3,'Saisie de données'!$D$13='Menu déroulant'!$AA$4),'Synthèse résultat'!V73,'Saisie de données'!$D$16='Menu déroulant'!$B$20,V55,'Saisie de données'!$D$16='Menu déroulant'!$B$21,V35)</f>
        <v>#N/A</v>
      </c>
      <c r="W16" s="326" t="e" cm="1">
        <f t="array" ref="W16">_xlfn.IFS(OR('Saisie de données'!$D$13='Menu déroulant'!$AA$3,'Saisie de données'!$D$13='Menu déroulant'!$AA$4),'Synthèse résultat'!W73,'Saisie de données'!$D$16='Menu déroulant'!$B$20,W55,'Saisie de données'!$D$16='Menu déroulant'!$B$21,W35)</f>
        <v>#N/A</v>
      </c>
      <c r="X16" s="326" t="e" cm="1">
        <f t="array" ref="X16">_xlfn.IFS(OR('Saisie de données'!$D$13='Menu déroulant'!$AA$3,'Saisie de données'!$D$13='Menu déroulant'!$AA$4),'Synthèse résultat'!X73,'Saisie de données'!$D$16='Menu déroulant'!$B$20,X55,'Saisie de données'!$D$16='Menu déroulant'!$B$21,X35)</f>
        <v>#N/A</v>
      </c>
      <c r="Y16" s="326" t="e" cm="1">
        <f t="array" ref="Y16">_xlfn.IFS(OR('Saisie de données'!$D$13='Menu déroulant'!$AA$3,'Saisie de données'!$D$13='Menu déroulant'!$AA$4),'Synthèse résultat'!Y73,'Saisie de données'!$D$16='Menu déroulant'!$B$20,Y55,'Saisie de données'!$D$16='Menu déroulant'!$B$21,Y35)</f>
        <v>#N/A</v>
      </c>
      <c r="Z16" s="417" t="e" cm="1">
        <f t="array" ref="Z16">_xlfn.IFS(OR('Saisie de données'!$D$13='Menu déroulant'!$AA$3,'Saisie de données'!$D$13='Menu déroulant'!$AA$4),'Synthèse résultat'!Z73,'Saisie de données'!$D$16='Menu déroulant'!$B$20,Z55,'Saisie de données'!$D$16='Menu déroulant'!$B$21,Z35)</f>
        <v>#N/A</v>
      </c>
      <c r="AA16" s="442" t="e" cm="1">
        <f t="array" ref="AA16">_xlfn.IFS(OR('Saisie de données'!$D$13='Menu déroulant'!$AA$3,'Saisie de données'!$D$13='Menu déroulant'!$AA$4),'Synthèse résultat'!AA73,'Saisie de données'!$D$16='Menu déroulant'!$B$20,AA55,'Saisie de données'!$D$16='Menu déroulant'!$B$21,AA35)</f>
        <v>#N/A</v>
      </c>
      <c r="AB16" s="326" t="e" cm="1">
        <f t="array" ref="AB16">_xlfn.IFS(OR('Saisie de données'!$D$13='Menu déroulant'!$AA$3,'Saisie de données'!$D$13='Menu déroulant'!$AA$4),'Synthèse résultat'!AB73,'Saisie de données'!$D$16='Menu déroulant'!$B$20,AB55,'Saisie de données'!$D$16='Menu déroulant'!$B$21,AB35)</f>
        <v>#N/A</v>
      </c>
      <c r="AC16" s="326" t="e" cm="1">
        <f t="array" ref="AC16">_xlfn.IFS(OR('Saisie de données'!$D$13='Menu déroulant'!$AA$3,'Saisie de données'!$D$13='Menu déroulant'!$AA$4),'Synthèse résultat'!AC73,'Saisie de données'!$D$16='Menu déroulant'!$B$20,AC55,'Saisie de données'!$D$16='Menu déroulant'!$B$21,AC35)</f>
        <v>#N/A</v>
      </c>
      <c r="AD16" s="326" t="e" cm="1">
        <f t="array" ref="AD16">_xlfn.IFS(OR('Saisie de données'!$D$13='Menu déroulant'!$AA$3,'Saisie de données'!$D$13='Menu déroulant'!$AA$4),'Synthèse résultat'!AD73,'Saisie de données'!$D$16='Menu déroulant'!$B$20,AD55,'Saisie de données'!$D$16='Menu déroulant'!$B$21,AD35)</f>
        <v>#N/A</v>
      </c>
      <c r="AE16" s="326" t="e" cm="1">
        <f t="array" ref="AE16">hbsdhvd</f>
        <v>#NAME?</v>
      </c>
      <c r="AF16" s="326" t="e" cm="1">
        <f t="array" ref="AF16">_xlfn.IFS(OR('Saisie de données'!$D$13='Menu déroulant'!$AA$3,'Saisie de données'!$D$13='Menu déroulant'!$AA$4),'Synthèse résultat'!AF73,'Saisie de données'!$D$16='Menu déroulant'!$B$20,AF55,'Saisie de données'!$D$16='Menu déroulant'!$B$21,AF35)</f>
        <v>#N/A</v>
      </c>
      <c r="AG16" s="326" t="e" cm="1">
        <f t="array" ref="AG16">_xlfn.IFS(OR('Saisie de données'!$D$13='Menu déroulant'!$AA$3,'Saisie de données'!$D$13='Menu déroulant'!$AA$4),'Synthèse résultat'!AG73,'Saisie de données'!$D$16='Menu déroulant'!$B$20,AG55,'Saisie de données'!$D$16='Menu déroulant'!$B$21,AG35)</f>
        <v>#N/A</v>
      </c>
      <c r="AH16" s="326" t="e" cm="1">
        <f t="array" ref="AH16">hbsdhvd</f>
        <v>#NAME?</v>
      </c>
      <c r="AI16" s="326" t="e" cm="1">
        <f t="array" ref="AI16">_xlfn.IFS(OR('Saisie de données'!$D$13='Menu déroulant'!$AA$3,'Saisie de données'!$D$13='Menu déroulant'!$AA$4),'Synthèse résultat'!AI73,'Saisie de données'!$D$16='Menu déroulant'!$B$20,AI55,'Saisie de données'!$D$16='Menu déroulant'!$B$21,AI35)</f>
        <v>#N/A</v>
      </c>
      <c r="AJ16" s="326" t="e" cm="1">
        <f t="array" ref="AJ16">_xlfn.IFS(OR('Saisie de données'!$D$13='Menu déroulant'!$AA$3,'Saisie de données'!$D$13='Menu déroulant'!$AA$4),'Synthèse résultat'!AJ73,'Saisie de données'!$D$16='Menu déroulant'!$B$20,AJ55,'Saisie de données'!$D$16='Menu déroulant'!$B$21,AJ35)</f>
        <v>#N/A</v>
      </c>
      <c r="AK16" s="326" t="e" cm="1">
        <f t="array" ref="AK16">_xlfn.IFS(OR('Saisie de données'!$D$13='Menu déroulant'!$AA$3,'Saisie de données'!$D$13='Menu déroulant'!$AA$4),'Synthèse résultat'!AK73,'Saisie de données'!$D$16='Menu déroulant'!$B$20,AK55,'Saisie de données'!$D$16='Menu déroulant'!$B$21,AK35)</f>
        <v>#N/A</v>
      </c>
      <c r="AL16" s="326" t="e" cm="1">
        <f t="array" ref="AL16">_xlfn.IFS(OR('Saisie de données'!$D$13='Menu déroulant'!$AA$3,'Saisie de données'!$D$13='Menu déroulant'!$AA$4),'Synthèse résultat'!AL73,'Saisie de données'!$D$16='Menu déroulant'!$B$20,AL55,'Saisie de données'!$D$16='Menu déroulant'!$B$21,AL35)</f>
        <v>#N/A</v>
      </c>
      <c r="AM16" s="326" t="e" cm="1">
        <f t="array" ref="AM16">_xlfn.IFS(OR('Saisie de données'!$D$13='Menu déroulant'!$AA$3,'Saisie de données'!$D$13='Menu déroulant'!$AA$4),'Synthèse résultat'!AM73,'Saisie de données'!$D$16='Menu déroulant'!$B$20,AM55,'Saisie de données'!$D$16='Menu déroulant'!$B$21,AM35)</f>
        <v>#N/A</v>
      </c>
      <c r="AN16" s="326" t="e" cm="1">
        <f t="array" ref="AN16">_xlfn.IFS(OR('Saisie de données'!$D$13='Menu déroulant'!$AA$3,'Saisie de données'!$D$13='Menu déroulant'!$AA$4),'Synthèse résultat'!AN73,'Saisie de données'!$D$16='Menu déroulant'!$B$20,AN55,'Saisie de données'!$D$16='Menu déroulant'!$B$21,AN35)</f>
        <v>#N/A</v>
      </c>
      <c r="AO16" s="326" t="e" cm="1">
        <f t="array" ref="AO16">_xlfn.IFS(OR('Saisie de données'!$D$13='Menu déroulant'!$AA$3,'Saisie de données'!$D$13='Menu déroulant'!$AA$4),'Synthèse résultat'!AO73,'Saisie de données'!$D$16='Menu déroulant'!$B$20,AO55,'Saisie de données'!$D$16='Menu déroulant'!$B$21,AO35)</f>
        <v>#N/A</v>
      </c>
      <c r="AP16" s="417" t="e" cm="1">
        <f t="array" ref="AP16">_xlfn.IFS(OR('Saisie de données'!$D$13='Menu déroulant'!$AA$3,'Saisie de données'!$D$13='Menu déroulant'!$AA$4),'Synthèse résultat'!AP73,'Saisie de données'!$D$16='Menu déroulant'!$B$20,AP55,'Saisie de données'!$D$16='Menu déroulant'!$B$21,AP35)</f>
        <v>#N/A</v>
      </c>
      <c r="AQ16" s="433" cm="1">
        <f t="array" ref="AQ16">_xlfn.IFS('Saisie de données'!$D$13='Menu déroulant'!$AA$3,VLOOKUP(MAX(IF('Infos Techniques'!$AM$4:$AM$87&lt;='Synthèse résultat'!$E16,'Infos Techniques'!$AM$4:$AM$87)),'Infos Techniques'!$AM$4:$AO$87,2,0),'Saisie de données'!$D$13='Menu déroulant'!$AA$4,VLOOKUP(MAX(IF('Infos Techniques'!$AM$4:$AM$87&lt;='Synthèse résultat'!$E16,'Infos Techniques'!$AM$4:$AM$87)),'Infos Techniques'!$AM$4:$AO$87,3,0),'Saisie de données'!$D$13='Menu déroulant'!$AA$5,10000000000)</f>
        <v>10000000000</v>
      </c>
      <c r="AR16" s="444">
        <f>IF('Saisie de données'!$AL$71='Menu déroulant'!$AG$50,5,10000000000000)</f>
        <v>10000000000000</v>
      </c>
    </row>
    <row r="17" spans="1:44">
      <c r="B17" s="1601"/>
      <c r="C17" s="1603" t="s">
        <v>111</v>
      </c>
      <c r="D17" s="28" t="str">
        <f>IF('Saisie de données'!$D$16='Menu déroulant'!$B$20,D56,D36)</f>
        <v>e-</v>
      </c>
      <c r="E17" s="43" t="e" cm="1">
        <f t="array" ref="E17">_xlfn.IFS(OR('Saisie de données'!$D$13='Menu déroulant'!$AA$3,'Saisie de données'!$D$13='Menu déroulant'!$AA$4),'Synthèse résultat'!E74,'Saisie de données'!$D$16='Menu déroulant'!$B$20,E56,'Saisie de données'!$D$16='Menu déroulant'!$B$21,E36)</f>
        <v>#N/A</v>
      </c>
      <c r="F17" s="415" cm="1">
        <f t="array" aca="1" ref="F17" ca="1">IFERROR(_xlfn.IFS(OR('Saisie de données'!$D$13='Menu déroulant'!$AA$3,'Saisie de données'!$D$13='Menu déroulant'!$AA$4),'Synthèse résultat'!F74,'Saisie de données'!$D$16='Menu déroulant'!$B$20,F56,'Saisie de données'!$D$16='Menu déroulant'!$B$21,F36),100000)</f>
        <v>100000</v>
      </c>
      <c r="G17" s="415" cm="1">
        <f t="array" aca="1" ref="G17" ca="1">IFERROR(_xlfn.IFS(OR('Saisie de données'!$D$13='Menu déroulant'!$AA$3,'Saisie de données'!$D$13='Menu déroulant'!$AA$4),'Synthèse résultat'!G74,'Saisie de données'!$D$16='Menu déroulant'!$B$20,G56,'Saisie de données'!$D$16='Menu déroulant'!$B$21,G36),100000)</f>
        <v>100000</v>
      </c>
      <c r="H17" s="415" cm="1">
        <f t="array" aca="1" ref="H17" ca="1">IFERROR(_xlfn.IFS(OR('Saisie de données'!$D$13='Menu déroulant'!$AA$3,'Saisie de données'!$D$13='Menu déroulant'!$AA$4),'Synthèse résultat'!H74,'Saisie de données'!$D$16='Menu déroulant'!$B$20,H56,'Saisie de données'!$D$16='Menu déroulant'!$B$21,H36),100000)</f>
        <v>100000</v>
      </c>
      <c r="I17" s="415" cm="1">
        <f t="array" aca="1" ref="I17" ca="1">IFERROR(_xlfn.IFS(OR('Saisie de données'!$D$13='Menu déroulant'!$AA$3,'Saisie de données'!$D$13='Menu déroulant'!$AA$4),'Synthèse résultat'!I74,'Saisie de données'!$D$16='Menu déroulant'!$B$20,I56,'Saisie de données'!$D$16='Menu déroulant'!$B$21,I36),100000)</f>
        <v>100000</v>
      </c>
      <c r="J17" s="415" cm="1">
        <f t="array" aca="1" ref="J17" ca="1">IFERROR(_xlfn.IFS(OR('Saisie de données'!$D$13='Menu déroulant'!$AA$3,'Saisie de données'!$D$13='Menu déroulant'!$AA$4),'Synthèse résultat'!J74,'Saisie de données'!$D$16='Menu déroulant'!$B$20,J56,'Saisie de données'!$D$16='Menu déroulant'!$B$21,J36),100000)</f>
        <v>100000</v>
      </c>
      <c r="K17" s="415" cm="1">
        <f t="array" aca="1" ref="K17" ca="1">IFERROR(_xlfn.IFS(OR('Saisie de données'!$D$13='Menu déroulant'!$AA$3,'Saisie de données'!$D$13='Menu déroulant'!$AA$4),'Synthèse résultat'!K74,'Saisie de données'!$D$16='Menu déroulant'!$B$20,K56,'Saisie de données'!$D$16='Menu déroulant'!$B$21,K36),100000)</f>
        <v>100000</v>
      </c>
      <c r="L17" s="415" cm="1">
        <f t="array" aca="1" ref="L17" ca="1">IFERROR(_xlfn.IFS(OR('Saisie de données'!$D$13='Menu déroulant'!$AA$3,'Saisie de données'!$D$13='Menu déroulant'!$AA$4),'Synthèse résultat'!L74,'Saisie de données'!$D$16='Menu déroulant'!$B$20,L56,'Saisie de données'!$D$16='Menu déroulant'!$B$21,L36),100000)</f>
        <v>100000</v>
      </c>
      <c r="M17" s="415" cm="1">
        <f t="array" aca="1" ref="M17" ca="1">IFERROR(_xlfn.IFS(OR('Saisie de données'!$D$13='Menu déroulant'!$AA$3,'Saisie de données'!$D$13='Menu déroulant'!$AA$4),'Synthèse résultat'!M74,'Saisie de données'!$D$16='Menu déroulant'!$B$20,M56,'Saisie de données'!$D$16='Menu déroulant'!$B$21,M36),100000)</f>
        <v>100000</v>
      </c>
      <c r="N17" s="415" cm="1">
        <f t="array" aca="1" ref="N17" ca="1">IFERROR(_xlfn.IFS(OR('Saisie de données'!$D$13='Menu déroulant'!$AA$3,'Saisie de données'!$D$13='Menu déroulant'!$AA$4),'Synthèse résultat'!N74,'Saisie de données'!$D$16='Menu déroulant'!$B$20,N56,'Saisie de données'!$D$16='Menu déroulant'!$B$21,N36),100000)</f>
        <v>100000</v>
      </c>
      <c r="O17" s="415" cm="1">
        <f t="array" aca="1" ref="O17" ca="1">IFERROR(_xlfn.IFS(OR('Saisie de données'!$D$13='Menu déroulant'!$AA$3,'Saisie de données'!$D$13='Menu déroulant'!$AA$4),'Synthèse résultat'!O74,'Saisie de données'!$D$16='Menu déroulant'!$B$20,O56,'Saisie de données'!$D$16='Menu déroulant'!$B$21,O36),100000)</f>
        <v>100000</v>
      </c>
      <c r="P17" s="416">
        <v>2</v>
      </c>
      <c r="Q17" s="326" t="e" cm="1">
        <f t="array" aca="1" ref="Q17" ca="1">_xlfn.IFS(OR('Saisie de données'!$D$13='Menu déroulant'!$AA$3,'Saisie de données'!$D$13='Menu déroulant'!$AA$4),'Synthèse résultat'!Q74,'Saisie de données'!$D$16='Menu déroulant'!$B$20,Q56,'Saisie de données'!$D$16='Menu déroulant'!$B$21,Q36)</f>
        <v>#VALUE!</v>
      </c>
      <c r="R17" s="326" t="e" cm="1">
        <f t="array" aca="1" ref="R17" ca="1">_xlfn.IFS(OR('Saisie de données'!$D$13='Menu déroulant'!$AA$3,'Saisie de données'!$D$13='Menu déroulant'!$AA$4),'Synthèse résultat'!R74,'Saisie de données'!$D$16='Menu déroulant'!$B$20,R56,'Saisie de données'!$D$16='Menu déroulant'!$B$21,R36)</f>
        <v>#VALUE!</v>
      </c>
      <c r="S17" s="326" t="e" cm="1">
        <f t="array" aca="1" ref="S17" ca="1">_xlfn.IFS(OR('Saisie de données'!$D$13='Menu déroulant'!$AA$3,'Saisie de données'!$D$13='Menu déroulant'!$AA$4),'Synthèse résultat'!S74,'Saisie de données'!$D$16='Menu déroulant'!$B$20,S56,'Saisie de données'!$D$16='Menu déroulant'!$B$21,S36)</f>
        <v>#VALUE!</v>
      </c>
      <c r="T17" s="326" t="e" cm="1">
        <f t="array" aca="1" ref="T17" ca="1">_xlfn.IFS(OR('Saisie de données'!$D$13='Menu déroulant'!$AA$3,'Saisie de données'!$D$13='Menu déroulant'!$AA$4),'Synthèse résultat'!T74,'Saisie de données'!$D$16='Menu déroulant'!$B$20,T56,'Saisie de données'!$D$16='Menu déroulant'!$B$21,T36)</f>
        <v>#VALUE!</v>
      </c>
      <c r="U17" s="326" t="e" cm="1">
        <f t="array" aca="1" ref="U17" ca="1">_xlfn.IFS(OR('Saisie de données'!$D$13='Menu déroulant'!$AA$3,'Saisie de données'!$D$13='Menu déroulant'!$AA$4),'Synthèse résultat'!U74,'Saisie de données'!$D$16='Menu déroulant'!$B$20,U56,'Saisie de données'!$D$16='Menu déroulant'!$B$21,U36)</f>
        <v>#VALUE!</v>
      </c>
      <c r="V17" s="326" t="e" cm="1">
        <f t="array" aca="1" ref="V17" ca="1">_xlfn.IFS(OR('Saisie de données'!$D$13='Menu déroulant'!$AA$3,'Saisie de données'!$D$13='Menu déroulant'!$AA$4),'Synthèse résultat'!V74,'Saisie de données'!$D$16='Menu déroulant'!$B$20,V56,'Saisie de données'!$D$16='Menu déroulant'!$B$21,V36)</f>
        <v>#VALUE!</v>
      </c>
      <c r="W17" s="326" t="e" cm="1">
        <f t="array" aca="1" ref="W17" ca="1">_xlfn.IFS(OR('Saisie de données'!$D$13='Menu déroulant'!$AA$3,'Saisie de données'!$D$13='Menu déroulant'!$AA$4),'Synthèse résultat'!W74,'Saisie de données'!$D$16='Menu déroulant'!$B$20,W56,'Saisie de données'!$D$16='Menu déroulant'!$B$21,W36)</f>
        <v>#VALUE!</v>
      </c>
      <c r="X17" s="326" t="e" cm="1">
        <f t="array" aca="1" ref="X17" ca="1">_xlfn.IFS(OR('Saisie de données'!$D$13='Menu déroulant'!$AA$3,'Saisie de données'!$D$13='Menu déroulant'!$AA$4),'Synthèse résultat'!X74,'Saisie de données'!$D$16='Menu déroulant'!$B$20,X56,'Saisie de données'!$D$16='Menu déroulant'!$B$21,X36)</f>
        <v>#VALUE!</v>
      </c>
      <c r="Y17" s="326" t="e" cm="1">
        <f t="array" aca="1" ref="Y17" ca="1">_xlfn.IFS(OR('Saisie de données'!$D$13='Menu déroulant'!$AA$3,'Saisie de données'!$D$13='Menu déroulant'!$AA$4),'Synthèse résultat'!Y74,'Saisie de données'!$D$16='Menu déroulant'!$B$20,Y56,'Saisie de données'!$D$16='Menu déroulant'!$B$21,Y36)</f>
        <v>#VALUE!</v>
      </c>
      <c r="Z17" s="417" t="e" cm="1">
        <f t="array" aca="1" ref="Z17" ca="1">_xlfn.IFS(OR('Saisie de données'!$D$13='Menu déroulant'!$AA$3,'Saisie de données'!$D$13='Menu déroulant'!$AA$4),'Synthèse résultat'!Z74,'Saisie de données'!$D$16='Menu déroulant'!$B$20,Z56,'Saisie de données'!$D$16='Menu déroulant'!$B$21,Z36)</f>
        <v>#VALUE!</v>
      </c>
      <c r="AA17" s="442" t="e" cm="1">
        <f t="array" aca="1" ref="AA17" ca="1">_xlfn.IFS(OR('Saisie de données'!$D$13='Menu déroulant'!$AA$3,'Saisie de données'!$D$13='Menu déroulant'!$AA$4),'Synthèse résultat'!AA74,'Saisie de données'!$D$16='Menu déroulant'!$B$20,AA56,'Saisie de données'!$D$16='Menu déroulant'!$B$21,AA36)</f>
        <v>#VALUE!</v>
      </c>
      <c r="AB17" s="326" t="e" cm="1">
        <f t="array" aca="1" ref="AB17" ca="1">_xlfn.IFS(OR('Saisie de données'!$D$13='Menu déroulant'!$AA$3,'Saisie de données'!$D$13='Menu déroulant'!$AA$4),'Synthèse résultat'!AB74,'Saisie de données'!$D$16='Menu déroulant'!$B$20,AB56,'Saisie de données'!$D$16='Menu déroulant'!$B$21,AB36)</f>
        <v>#VALUE!</v>
      </c>
      <c r="AC17" s="326" t="e" cm="1">
        <f t="array" aca="1" ref="AC17" ca="1">_xlfn.IFS(OR('Saisie de données'!$D$13='Menu déroulant'!$AA$3,'Saisie de données'!$D$13='Menu déroulant'!$AA$4),'Synthèse résultat'!AC74,'Saisie de données'!$D$16='Menu déroulant'!$B$20,AC56,'Saisie de données'!$D$16='Menu déroulant'!$B$21,AC36)</f>
        <v>#VALUE!</v>
      </c>
      <c r="AD17" s="326" t="e" cm="1">
        <f t="array" aca="1" ref="AD17" ca="1">_xlfn.IFS(OR('Saisie de données'!$D$13='Menu déroulant'!$AA$3,'Saisie de données'!$D$13='Menu déroulant'!$AA$4),'Synthèse résultat'!AD74,'Saisie de données'!$D$16='Menu déroulant'!$B$20,AD56,'Saisie de données'!$D$16='Menu déroulant'!$B$21,AD36)</f>
        <v>#VALUE!</v>
      </c>
      <c r="AE17" s="326" t="e" cm="1">
        <f t="array" ref="AE17">hbsdhvd</f>
        <v>#NAME?</v>
      </c>
      <c r="AF17" s="326" t="e" cm="1">
        <f t="array" aca="1" ref="AF17" ca="1">_xlfn.IFS(OR('Saisie de données'!$D$13='Menu déroulant'!$AA$3,'Saisie de données'!$D$13='Menu déroulant'!$AA$4),'Synthèse résultat'!AF74,'Saisie de données'!$D$16='Menu déroulant'!$B$20,AF56,'Saisie de données'!$D$16='Menu déroulant'!$B$21,AF36)</f>
        <v>#VALUE!</v>
      </c>
      <c r="AG17" s="326" t="e" cm="1">
        <f t="array" aca="1" ref="AG17" ca="1">_xlfn.IFS(OR('Saisie de données'!$D$13='Menu déroulant'!$AA$3,'Saisie de données'!$D$13='Menu déroulant'!$AA$4),'Synthèse résultat'!AG74,'Saisie de données'!$D$16='Menu déroulant'!$B$20,AG56,'Saisie de données'!$D$16='Menu déroulant'!$B$21,AG36)</f>
        <v>#VALUE!</v>
      </c>
      <c r="AH17" s="326" t="e" cm="1">
        <f t="array" ref="AH17">hbsdhvd</f>
        <v>#NAME?</v>
      </c>
      <c r="AI17" s="326" t="e" cm="1">
        <f t="array" aca="1" ref="AI17" ca="1">_xlfn.IFS(OR('Saisie de données'!$D$13='Menu déroulant'!$AA$3,'Saisie de données'!$D$13='Menu déroulant'!$AA$4),'Synthèse résultat'!AI74,'Saisie de données'!$D$16='Menu déroulant'!$B$20,AI56,'Saisie de données'!$D$16='Menu déroulant'!$B$21,AI36)</f>
        <v>#VALUE!</v>
      </c>
      <c r="AJ17" s="326" t="e" cm="1">
        <f t="array" aca="1" ref="AJ17" ca="1">_xlfn.IFS(OR('Saisie de données'!$D$13='Menu déroulant'!$AA$3,'Saisie de données'!$D$13='Menu déroulant'!$AA$4),'Synthèse résultat'!AJ74,'Saisie de données'!$D$16='Menu déroulant'!$B$20,AJ56,'Saisie de données'!$D$16='Menu déroulant'!$B$21,AJ36)</f>
        <v>#VALUE!</v>
      </c>
      <c r="AK17" s="326" t="e" cm="1">
        <f t="array" aca="1" ref="AK17" ca="1">_xlfn.IFS(OR('Saisie de données'!$D$13='Menu déroulant'!$AA$3,'Saisie de données'!$D$13='Menu déroulant'!$AA$4),'Synthèse résultat'!AK74,'Saisie de données'!$D$16='Menu déroulant'!$B$20,AK56,'Saisie de données'!$D$16='Menu déroulant'!$B$21,AK36)</f>
        <v>#VALUE!</v>
      </c>
      <c r="AL17" s="326" t="e" cm="1">
        <f t="array" aca="1" ref="AL17" ca="1">_xlfn.IFS(OR('Saisie de données'!$D$13='Menu déroulant'!$AA$3,'Saisie de données'!$D$13='Menu déroulant'!$AA$4),'Synthèse résultat'!AL74,'Saisie de données'!$D$16='Menu déroulant'!$B$20,AL56,'Saisie de données'!$D$16='Menu déroulant'!$B$21,AL36)</f>
        <v>#VALUE!</v>
      </c>
      <c r="AM17" s="326" t="e" cm="1">
        <f t="array" aca="1" ref="AM17" ca="1">_xlfn.IFS(OR('Saisie de données'!$D$13='Menu déroulant'!$AA$3,'Saisie de données'!$D$13='Menu déroulant'!$AA$4),'Synthèse résultat'!AM74,'Saisie de données'!$D$16='Menu déroulant'!$B$20,AM56,'Saisie de données'!$D$16='Menu déroulant'!$B$21,AM36)</f>
        <v>#VALUE!</v>
      </c>
      <c r="AN17" s="326" t="e" cm="1">
        <f t="array" aca="1" ref="AN17" ca="1">_xlfn.IFS(OR('Saisie de données'!$D$13='Menu déroulant'!$AA$3,'Saisie de données'!$D$13='Menu déroulant'!$AA$4),'Synthèse résultat'!AN74,'Saisie de données'!$D$16='Menu déroulant'!$B$20,AN56,'Saisie de données'!$D$16='Menu déroulant'!$B$21,AN36)</f>
        <v>#VALUE!</v>
      </c>
      <c r="AO17" s="326" t="e" cm="1">
        <f t="array" aca="1" ref="AO17" ca="1">_xlfn.IFS(OR('Saisie de données'!$D$13='Menu déroulant'!$AA$3,'Saisie de données'!$D$13='Menu déroulant'!$AA$4),'Synthèse résultat'!AO74,'Saisie de données'!$D$16='Menu déroulant'!$B$20,AO56,'Saisie de données'!$D$16='Menu déroulant'!$B$21,AO36)</f>
        <v>#VALUE!</v>
      </c>
      <c r="AP17" s="417" t="e" cm="1">
        <f t="array" aca="1" ref="AP17" ca="1">_xlfn.IFS(OR('Saisie de données'!$D$13='Menu déroulant'!$AA$3,'Saisie de données'!$D$13='Menu déroulant'!$AA$4),'Synthèse résultat'!AP74,'Saisie de données'!$D$16='Menu déroulant'!$B$20,AP56,'Saisie de données'!$D$16='Menu déroulant'!$B$21,AP36)</f>
        <v>#VALUE!</v>
      </c>
      <c r="AQ17" s="433" cm="1">
        <f t="array" ref="AQ17">_xlfn.IFS('Saisie de données'!$D$13='Menu déroulant'!$AA$3,VLOOKUP(MAX(IF('Infos Techniques'!$AM$4:$AM$87&lt;='Synthèse résultat'!$E17,'Infos Techniques'!$AM$4:$AM$87)),'Infos Techniques'!$AM$4:$AO$87,2,0),'Saisie de données'!$D$13='Menu déroulant'!$AA$4,VLOOKUP(MAX(IF('Infos Techniques'!$AM$4:$AM$87&lt;='Synthèse résultat'!$E17,'Infos Techniques'!$AM$4:$AM$87)),'Infos Techniques'!$AM$4:$AO$87,3,0),'Saisie de données'!$D$13='Menu déroulant'!$AA$5,10000000000)</f>
        <v>10000000000</v>
      </c>
      <c r="AR17" s="444">
        <f>IF('Saisie de données'!$AL$71='Menu déroulant'!$AG$50,5,10000000000000)</f>
        <v>10000000000000</v>
      </c>
    </row>
    <row r="18" spans="1:44" ht="15" thickBot="1">
      <c r="B18" s="1607"/>
      <c r="C18" s="1608"/>
      <c r="D18" s="50" t="str">
        <f>IF('Saisie de données'!$D$16='Menu déroulant'!$B$20,D57,D37)</f>
        <v>w-</v>
      </c>
      <c r="E18" s="60" t="e" cm="1">
        <f t="array" ref="E18">_xlfn.IFS(OR('Saisie de données'!$D$13='Menu déroulant'!$AA$3,'Saisie de données'!$D$13='Menu déroulant'!$AA$4),'Synthèse résultat'!E75,'Saisie de données'!$D$16='Menu déroulant'!$B$20,E57,'Saisie de données'!$D$16='Menu déroulant'!$B$21,E37)</f>
        <v>#N/A</v>
      </c>
      <c r="F18" s="421" cm="1">
        <f t="array" aca="1" ref="F18" ca="1">IFERROR(_xlfn.IFS(OR('Saisie de données'!$D$13='Menu déroulant'!$AA$3,'Saisie de données'!$D$13='Menu déroulant'!$AA$4),'Synthèse résultat'!F75,'Saisie de données'!$D$16='Menu déroulant'!$B$20,F57,'Saisie de données'!$D$16='Menu déroulant'!$B$21,F37),100000)</f>
        <v>100000</v>
      </c>
      <c r="G18" s="421" cm="1">
        <f t="array" aca="1" ref="G18" ca="1">IFERROR(_xlfn.IFS(OR('Saisie de données'!$D$13='Menu déroulant'!$AA$3,'Saisie de données'!$D$13='Menu déroulant'!$AA$4),'Synthèse résultat'!G75,'Saisie de données'!$D$16='Menu déroulant'!$B$20,G57,'Saisie de données'!$D$16='Menu déroulant'!$B$21,G37),100000)</f>
        <v>100000</v>
      </c>
      <c r="H18" s="415" cm="1">
        <f t="array" aca="1" ref="H18" ca="1">IFERROR(_xlfn.IFS(OR('Saisie de données'!$D$13='Menu déroulant'!$AA$3,'Saisie de données'!$D$13='Menu déroulant'!$AA$4),'Synthèse résultat'!H75,'Saisie de données'!$D$16='Menu déroulant'!$B$20,H57,'Saisie de données'!$D$16='Menu déroulant'!$B$21,H37),100000)</f>
        <v>100000</v>
      </c>
      <c r="I18" s="415" cm="1">
        <f t="array" aca="1" ref="I18" ca="1">IFERROR(_xlfn.IFS(OR('Saisie de données'!$D$13='Menu déroulant'!$AA$3,'Saisie de données'!$D$13='Menu déroulant'!$AA$4),'Synthèse résultat'!I75,'Saisie de données'!$D$16='Menu déroulant'!$B$20,I57,'Saisie de données'!$D$16='Menu déroulant'!$B$21,I37),100000)</f>
        <v>100000</v>
      </c>
      <c r="J18" s="415" cm="1">
        <f t="array" aca="1" ref="J18" ca="1">IFERROR(_xlfn.IFS(OR('Saisie de données'!$D$13='Menu déroulant'!$AA$3,'Saisie de données'!$D$13='Menu déroulant'!$AA$4),'Synthèse résultat'!J75,'Saisie de données'!$D$16='Menu déroulant'!$B$20,J57,'Saisie de données'!$D$16='Menu déroulant'!$B$21,J37),100000)</f>
        <v>100000</v>
      </c>
      <c r="K18" s="415" cm="1">
        <f t="array" aca="1" ref="K18" ca="1">IFERROR(_xlfn.IFS(OR('Saisie de données'!$D$13='Menu déroulant'!$AA$3,'Saisie de données'!$D$13='Menu déroulant'!$AA$4),'Synthèse résultat'!K75,'Saisie de données'!$D$16='Menu déroulant'!$B$20,K57,'Saisie de données'!$D$16='Menu déroulant'!$B$21,K37),100000)</f>
        <v>100000</v>
      </c>
      <c r="L18" s="415" cm="1">
        <f t="array" aca="1" ref="L18" ca="1">IFERROR(_xlfn.IFS(OR('Saisie de données'!$D$13='Menu déroulant'!$AA$3,'Saisie de données'!$D$13='Menu déroulant'!$AA$4),'Synthèse résultat'!L75,'Saisie de données'!$D$16='Menu déroulant'!$B$20,L57,'Saisie de données'!$D$16='Menu déroulant'!$B$21,L37),100000)</f>
        <v>100000</v>
      </c>
      <c r="M18" s="415" cm="1">
        <f t="array" aca="1" ref="M18" ca="1">IFERROR(_xlfn.IFS(OR('Saisie de données'!$D$13='Menu déroulant'!$AA$3,'Saisie de données'!$D$13='Menu déroulant'!$AA$4),'Synthèse résultat'!M75,'Saisie de données'!$D$16='Menu déroulant'!$B$20,M57,'Saisie de données'!$D$16='Menu déroulant'!$B$21,M37),100000)</f>
        <v>100000</v>
      </c>
      <c r="N18" s="415" cm="1">
        <f t="array" aca="1" ref="N18" ca="1">IFERROR(_xlfn.IFS(OR('Saisie de données'!$D$13='Menu déroulant'!$AA$3,'Saisie de données'!$D$13='Menu déroulant'!$AA$4),'Synthèse résultat'!N75,'Saisie de données'!$D$16='Menu déroulant'!$B$20,N57,'Saisie de données'!$D$16='Menu déroulant'!$B$21,N37),100000)</f>
        <v>100000</v>
      </c>
      <c r="O18" s="453" cm="1">
        <f t="array" aca="1" ref="O18" ca="1">IFERROR(_xlfn.IFS(OR('Saisie de données'!$D$13='Menu déroulant'!$AA$3,'Saisie de données'!$D$13='Menu déroulant'!$AA$4),'Synthèse résultat'!O75,'Saisie de données'!$D$16='Menu déroulant'!$B$20,O57,'Saisie de données'!$D$16='Menu déroulant'!$B$21,O37),100000)</f>
        <v>100000</v>
      </c>
      <c r="P18" s="418">
        <v>2</v>
      </c>
      <c r="Q18" s="419" t="e" cm="1">
        <f t="array" aca="1" ref="Q18" ca="1">_xlfn.IFS(OR('Saisie de données'!$D$13='Menu déroulant'!$AA$3,'Saisie de données'!$D$13='Menu déroulant'!$AA$4),'Synthèse résultat'!Q75,'Saisie de données'!$D$16='Menu déroulant'!$B$20,Q57,'Saisie de données'!$D$16='Menu déroulant'!$B$21,Q37)</f>
        <v>#VALUE!</v>
      </c>
      <c r="R18" s="419" t="e" cm="1">
        <f t="array" aca="1" ref="R18" ca="1">_xlfn.IFS(OR('Saisie de données'!$D$13='Menu déroulant'!$AA$3,'Saisie de données'!$D$13='Menu déroulant'!$AA$4),'Synthèse résultat'!R75,'Saisie de données'!$D$16='Menu déroulant'!$B$20,R57,'Saisie de données'!$D$16='Menu déroulant'!$B$21,R37)</f>
        <v>#VALUE!</v>
      </c>
      <c r="S18" s="419" t="e" cm="1">
        <f t="array" aca="1" ref="S18" ca="1">_xlfn.IFS(OR('Saisie de données'!$D$13='Menu déroulant'!$AA$3,'Saisie de données'!$D$13='Menu déroulant'!$AA$4),'Synthèse résultat'!S75,'Saisie de données'!$D$16='Menu déroulant'!$B$20,S57,'Saisie de données'!$D$16='Menu déroulant'!$B$21,S37)</f>
        <v>#VALUE!</v>
      </c>
      <c r="T18" s="419" t="e" cm="1">
        <f t="array" aca="1" ref="T18" ca="1">_xlfn.IFS(OR('Saisie de données'!$D$13='Menu déroulant'!$AA$3,'Saisie de données'!$D$13='Menu déroulant'!$AA$4),'Synthèse résultat'!T75,'Saisie de données'!$D$16='Menu déroulant'!$B$20,T57,'Saisie de données'!$D$16='Menu déroulant'!$B$21,T37)</f>
        <v>#VALUE!</v>
      </c>
      <c r="U18" s="419" t="e" cm="1">
        <f t="array" aca="1" ref="U18" ca="1">_xlfn.IFS(OR('Saisie de données'!$D$13='Menu déroulant'!$AA$3,'Saisie de données'!$D$13='Menu déroulant'!$AA$4),'Synthèse résultat'!U75,'Saisie de données'!$D$16='Menu déroulant'!$B$20,U57,'Saisie de données'!$D$16='Menu déroulant'!$B$21,U37)</f>
        <v>#VALUE!</v>
      </c>
      <c r="V18" s="419" t="e" cm="1">
        <f t="array" aca="1" ref="V18" ca="1">_xlfn.IFS(OR('Saisie de données'!$D$13='Menu déroulant'!$AA$3,'Saisie de données'!$D$13='Menu déroulant'!$AA$4),'Synthèse résultat'!V75,'Saisie de données'!$D$16='Menu déroulant'!$B$20,V57,'Saisie de données'!$D$16='Menu déroulant'!$B$21,V37)</f>
        <v>#VALUE!</v>
      </c>
      <c r="W18" s="419" t="e" cm="1">
        <f t="array" aca="1" ref="W18" ca="1">_xlfn.IFS(OR('Saisie de données'!$D$13='Menu déroulant'!$AA$3,'Saisie de données'!$D$13='Menu déroulant'!$AA$4),'Synthèse résultat'!W75,'Saisie de données'!$D$16='Menu déroulant'!$B$20,W57,'Saisie de données'!$D$16='Menu déroulant'!$B$21,W37)</f>
        <v>#VALUE!</v>
      </c>
      <c r="X18" s="419" t="e" cm="1">
        <f t="array" aca="1" ref="X18" ca="1">_xlfn.IFS(OR('Saisie de données'!$D$13='Menu déroulant'!$AA$3,'Saisie de données'!$D$13='Menu déroulant'!$AA$4),'Synthèse résultat'!X75,'Saisie de données'!$D$16='Menu déroulant'!$B$20,X57,'Saisie de données'!$D$16='Menu déroulant'!$B$21,X37)</f>
        <v>#VALUE!</v>
      </c>
      <c r="Y18" s="419" t="e" cm="1">
        <f t="array" aca="1" ref="Y18" ca="1">_xlfn.IFS(OR('Saisie de données'!$D$13='Menu déroulant'!$AA$3,'Saisie de données'!$D$13='Menu déroulant'!$AA$4),'Synthèse résultat'!Y75,'Saisie de données'!$D$16='Menu déroulant'!$B$20,Y57,'Saisie de données'!$D$16='Menu déroulant'!$B$21,Y37)</f>
        <v>#VALUE!</v>
      </c>
      <c r="Z18" s="420" t="e" cm="1">
        <f t="array" aca="1" ref="Z18" ca="1">_xlfn.IFS(OR('Saisie de données'!$D$13='Menu déroulant'!$AA$3,'Saisie de données'!$D$13='Menu déroulant'!$AA$4),'Synthèse résultat'!Z75,'Saisie de données'!$D$16='Menu déroulant'!$B$20,Z57,'Saisie de données'!$D$16='Menu déroulant'!$B$21,Z37)</f>
        <v>#VALUE!</v>
      </c>
      <c r="AA18" s="443" t="e" cm="1">
        <f t="array" aca="1" ref="AA18" ca="1">_xlfn.IFS(OR('Saisie de données'!$D$13='Menu déroulant'!$AA$3,'Saisie de données'!$D$13='Menu déroulant'!$AA$4),'Synthèse résultat'!AA75,'Saisie de données'!$D$16='Menu déroulant'!$B$20,AA57,'Saisie de données'!$D$16='Menu déroulant'!$B$21,AA37)</f>
        <v>#VALUE!</v>
      </c>
      <c r="AB18" s="419" t="e" cm="1">
        <f t="array" aca="1" ref="AB18" ca="1">_xlfn.IFS(OR('Saisie de données'!$D$13='Menu déroulant'!$AA$3,'Saisie de données'!$D$13='Menu déroulant'!$AA$4),'Synthèse résultat'!AB75,'Saisie de données'!$D$16='Menu déroulant'!$B$20,AB57,'Saisie de données'!$D$16='Menu déroulant'!$B$21,AB37)</f>
        <v>#VALUE!</v>
      </c>
      <c r="AC18" s="326" t="e" cm="1">
        <f t="array" aca="1" ref="AC18" ca="1">_xlfn.IFS(OR('Saisie de données'!$D$13='Menu déroulant'!$AA$3,'Saisie de données'!$D$13='Menu déroulant'!$AA$4),'Synthèse résultat'!AC75,'Saisie de données'!$D$16='Menu déroulant'!$B$20,AC57,'Saisie de données'!$D$16='Menu déroulant'!$B$21,AC37)</f>
        <v>#VALUE!</v>
      </c>
      <c r="AD18" s="326" t="e" cm="1">
        <f t="array" aca="1" ref="AD18" ca="1">_xlfn.IFS(OR('Saisie de données'!$D$13='Menu déroulant'!$AA$3,'Saisie de données'!$D$13='Menu déroulant'!$AA$4),'Synthèse résultat'!AD75,'Saisie de données'!$D$16='Menu déroulant'!$B$20,AD57,'Saisie de données'!$D$16='Menu déroulant'!$B$21,AD37)</f>
        <v>#VALUE!</v>
      </c>
      <c r="AE18" s="326" t="e" cm="1">
        <f t="array" ref="AE18">hbsdhvd</f>
        <v>#NAME?</v>
      </c>
      <c r="AF18" s="326" t="e" cm="1">
        <f t="array" aca="1" ref="AF18" ca="1">_xlfn.IFS(OR('Saisie de données'!$D$13='Menu déroulant'!$AA$3,'Saisie de données'!$D$13='Menu déroulant'!$AA$4),'Synthèse résultat'!AF75,'Saisie de données'!$D$16='Menu déroulant'!$B$20,AF57,'Saisie de données'!$D$16='Menu déroulant'!$B$21,AF37)</f>
        <v>#VALUE!</v>
      </c>
      <c r="AG18" s="326" t="e" cm="1">
        <f t="array" aca="1" ref="AG18" ca="1">_xlfn.IFS(OR('Saisie de données'!$D$13='Menu déroulant'!$AA$3,'Saisie de données'!$D$13='Menu déroulant'!$AA$4),'Synthèse résultat'!AG75,'Saisie de données'!$D$16='Menu déroulant'!$B$20,AG57,'Saisie de données'!$D$16='Menu déroulant'!$B$21,AG37)</f>
        <v>#VALUE!</v>
      </c>
      <c r="AH18" s="326" t="e" cm="1">
        <f t="array" ref="AH18">hbsdhvd</f>
        <v>#NAME?</v>
      </c>
      <c r="AI18" s="419" t="e" cm="1">
        <f t="array" aca="1" ref="AI18" ca="1">_xlfn.IFS(OR('Saisie de données'!$D$13='Menu déroulant'!$AA$3,'Saisie de données'!$D$13='Menu déroulant'!$AA$4),'Synthèse résultat'!AI75,'Saisie de données'!$D$16='Menu déroulant'!$B$20,AI57,'Saisie de données'!$D$16='Menu déroulant'!$B$21,AI37)</f>
        <v>#VALUE!</v>
      </c>
      <c r="AJ18" s="419" t="e" cm="1">
        <f t="array" aca="1" ref="AJ18" ca="1">_xlfn.IFS(OR('Saisie de données'!$D$13='Menu déroulant'!$AA$3,'Saisie de données'!$D$13='Menu déroulant'!$AA$4),'Synthèse résultat'!AJ75,'Saisie de données'!$D$16='Menu déroulant'!$B$20,AJ57,'Saisie de données'!$D$16='Menu déroulant'!$B$21,AJ37)</f>
        <v>#VALUE!</v>
      </c>
      <c r="AK18" s="326" t="e" cm="1">
        <f t="array" aca="1" ref="AK18" ca="1">_xlfn.IFS(OR('Saisie de données'!$D$13='Menu déroulant'!$AA$3,'Saisie de données'!$D$13='Menu déroulant'!$AA$4),'Synthèse résultat'!AK75,'Saisie de données'!$D$16='Menu déroulant'!$B$20,AK57,'Saisie de données'!$D$16='Menu déroulant'!$B$21,AK37)</f>
        <v>#VALUE!</v>
      </c>
      <c r="AL18" s="326" t="e" cm="1">
        <f t="array" aca="1" ref="AL18" ca="1">_xlfn.IFS(OR('Saisie de données'!$D$13='Menu déroulant'!$AA$3,'Saisie de données'!$D$13='Menu déroulant'!$AA$4),'Synthèse résultat'!AL75,'Saisie de données'!$D$16='Menu déroulant'!$B$20,AL57,'Saisie de données'!$D$16='Menu déroulant'!$B$21,AL37)</f>
        <v>#VALUE!</v>
      </c>
      <c r="AM18" s="326" t="e" cm="1">
        <f t="array" aca="1" ref="AM18" ca="1">_xlfn.IFS(OR('Saisie de données'!$D$13='Menu déroulant'!$AA$3,'Saisie de données'!$D$13='Menu déroulant'!$AA$4),'Synthèse résultat'!AM75,'Saisie de données'!$D$16='Menu déroulant'!$B$20,AM57,'Saisie de données'!$D$16='Menu déroulant'!$B$21,AM37)</f>
        <v>#VALUE!</v>
      </c>
      <c r="AN18" s="326" t="e" cm="1">
        <f t="array" aca="1" ref="AN18" ca="1">_xlfn.IFS(OR('Saisie de données'!$D$13='Menu déroulant'!$AA$3,'Saisie de données'!$D$13='Menu déroulant'!$AA$4),'Synthèse résultat'!AN75,'Saisie de données'!$D$16='Menu déroulant'!$B$20,AN57,'Saisie de données'!$D$16='Menu déroulant'!$B$21,AN37)</f>
        <v>#VALUE!</v>
      </c>
      <c r="AO18" s="326" t="e" cm="1">
        <f t="array" aca="1" ref="AO18" ca="1">_xlfn.IFS(OR('Saisie de données'!$D$13='Menu déroulant'!$AA$3,'Saisie de données'!$D$13='Menu déroulant'!$AA$4),'Synthèse résultat'!AO75,'Saisie de données'!$D$16='Menu déroulant'!$B$20,AO57,'Saisie de données'!$D$16='Menu déroulant'!$B$21,AO37)</f>
        <v>#VALUE!</v>
      </c>
      <c r="AP18" s="417" t="e" cm="1">
        <f t="array" aca="1" ref="AP18" ca="1">_xlfn.IFS(OR('Saisie de données'!$D$13='Menu déroulant'!$AA$3,'Saisie de données'!$D$13='Menu déroulant'!$AA$4),'Synthèse résultat'!AP75,'Saisie de données'!$D$16='Menu déroulant'!$B$20,AP57,'Saisie de données'!$D$16='Menu déroulant'!$B$21,AP37)</f>
        <v>#VALUE!</v>
      </c>
      <c r="AQ18" s="433" cm="1">
        <f t="array" ref="AQ18">_xlfn.IFS('Saisie de données'!$D$13='Menu déroulant'!$AA$3,VLOOKUP(MAX(IF('Infos Techniques'!$AM$4:$AM$87&lt;='Synthèse résultat'!$E18,'Infos Techniques'!$AM$4:$AM$87)),'Infos Techniques'!$AM$4:$AO$87,2,0),'Saisie de données'!$D$13='Menu déroulant'!$AA$4,VLOOKUP(MAX(IF('Infos Techniques'!$AM$4:$AM$87&lt;='Synthèse résultat'!$E18,'Infos Techniques'!$AM$4:$AM$87)),'Infos Techniques'!$AM$4:$AO$87,3,0),'Saisie de données'!$D$13='Menu déroulant'!$AA$5,10000000000)</f>
        <v>10000000000</v>
      </c>
      <c r="AR18" s="444">
        <f>IF('Saisie de données'!$AL$71='Menu déroulant'!$AG$50,5,10000000000000)</f>
        <v>10000000000000</v>
      </c>
    </row>
    <row r="19" spans="1:44">
      <c r="B19" s="1600" t="s">
        <v>55</v>
      </c>
      <c r="C19" s="1111" t="s">
        <v>338</v>
      </c>
      <c r="D19" s="241" t="str">
        <f>IF('Saisie de données'!$D$16='Menu déroulant'!$B$20,D58,D38)</f>
        <v>e-</v>
      </c>
      <c r="E19" s="59" t="e" cm="1">
        <f t="array" ref="E19">_xlfn.IFS(OR('Saisie de données'!$D$13='Menu déroulant'!$AA$3,'Saisie de données'!$D$13='Menu déroulant'!$AA$4),'Synthèse résultat'!E76,'Saisie de données'!$D$16='Menu déroulant'!$B$20,E58,'Saisie de données'!$D$16='Menu déroulant'!$B$21,E38)</f>
        <v>#N/A</v>
      </c>
      <c r="F19" s="411" cm="1">
        <f t="array" aca="1" ref="F19" ca="1">IFERROR(_xlfn.IFS(OR('Saisie de données'!$D$13='Menu déroulant'!$AA$3,'Saisie de données'!$D$13='Menu déroulant'!$AA$4),'Synthèse résultat'!F76,'Saisie de données'!$D$16='Menu déroulant'!$B$20,F58,'Saisie de données'!$D$16='Menu déroulant'!$B$21,F38),100000)</f>
        <v>100000</v>
      </c>
      <c r="G19" s="411" cm="1">
        <f t="array" aca="1" ref="G19" ca="1">IFERROR(_xlfn.IFS(OR('Saisie de données'!$D$13='Menu déroulant'!$AA$3,'Saisie de données'!$D$13='Menu déroulant'!$AA$4),'Synthèse résultat'!G76,'Saisie de données'!$D$16='Menu déroulant'!$B$20,G58,'Saisie de données'!$D$16='Menu déroulant'!$B$21,G38),100000)</f>
        <v>100000</v>
      </c>
      <c r="H19" s="411" cm="1">
        <f t="array" aca="1" ref="H19" ca="1">IFERROR(_xlfn.IFS(OR('Saisie de données'!$D$13='Menu déroulant'!$AA$3,'Saisie de données'!$D$13='Menu déroulant'!$AA$4),'Synthèse résultat'!H76,'Saisie de données'!$D$16='Menu déroulant'!$B$20,H58,'Saisie de données'!$D$16='Menu déroulant'!$B$21,H38),100000)</f>
        <v>100000</v>
      </c>
      <c r="I19" s="411" cm="1">
        <f t="array" aca="1" ref="I19" ca="1">IFERROR(_xlfn.IFS(OR('Saisie de données'!$D$13='Menu déroulant'!$AA$3,'Saisie de données'!$D$13='Menu déroulant'!$AA$4),'Synthèse résultat'!I76,'Saisie de données'!$D$16='Menu déroulant'!$B$20,I58,'Saisie de données'!$D$16='Menu déroulant'!$B$21,I38),100000)</f>
        <v>100000</v>
      </c>
      <c r="J19" s="411" cm="1">
        <f t="array" aca="1" ref="J19" ca="1">IFERROR(_xlfn.IFS(OR('Saisie de données'!$D$13='Menu déroulant'!$AA$3,'Saisie de données'!$D$13='Menu déroulant'!$AA$4),'Synthèse résultat'!J76,'Saisie de données'!$D$16='Menu déroulant'!$B$20,J58,'Saisie de données'!$D$16='Menu déroulant'!$B$21,J38),100000)</f>
        <v>100000</v>
      </c>
      <c r="K19" s="411" cm="1">
        <f t="array" aca="1" ref="K19" ca="1">IFERROR(_xlfn.IFS(OR('Saisie de données'!$D$13='Menu déroulant'!$AA$3,'Saisie de données'!$D$13='Menu déroulant'!$AA$4),'Synthèse résultat'!K76,'Saisie de données'!$D$16='Menu déroulant'!$B$20,K58,'Saisie de données'!$D$16='Menu déroulant'!$B$21,K38),100000)</f>
        <v>100000</v>
      </c>
      <c r="L19" s="411" cm="1">
        <f t="array" aca="1" ref="L19" ca="1">IFERROR(_xlfn.IFS(OR('Saisie de données'!$D$13='Menu déroulant'!$AA$3,'Saisie de données'!$D$13='Menu déroulant'!$AA$4),'Synthèse résultat'!L76,'Saisie de données'!$D$16='Menu déroulant'!$B$20,L58,'Saisie de données'!$D$16='Menu déroulant'!$B$21,L38),100000)</f>
        <v>100000</v>
      </c>
      <c r="M19" s="411" cm="1">
        <f t="array" aca="1" ref="M19" ca="1">IFERROR(_xlfn.IFS(OR('Saisie de données'!$D$13='Menu déroulant'!$AA$3,'Saisie de données'!$D$13='Menu déroulant'!$AA$4),'Synthèse résultat'!M76,'Saisie de données'!$D$16='Menu déroulant'!$B$20,M58,'Saisie de données'!$D$16='Menu déroulant'!$B$21,M38),100000)</f>
        <v>100000</v>
      </c>
      <c r="N19" s="411" cm="1">
        <f t="array" aca="1" ref="N19" ca="1">IFERROR(_xlfn.IFS(OR('Saisie de données'!$D$13='Menu déroulant'!$AA$3,'Saisie de données'!$D$13='Menu déroulant'!$AA$4),'Synthèse résultat'!N76,'Saisie de données'!$D$16='Menu déroulant'!$B$20,N58,'Saisie de données'!$D$16='Menu déroulant'!$B$21,N38),100000)</f>
        <v>100000</v>
      </c>
      <c r="O19" s="411" cm="1">
        <f t="array" aca="1" ref="O19" ca="1">IFERROR(_xlfn.IFS(OR('Saisie de données'!$D$13='Menu déroulant'!$AA$3,'Saisie de données'!$D$13='Menu déroulant'!$AA$4),'Synthèse résultat'!O76,'Saisie de données'!$D$16='Menu déroulant'!$B$20,O58,'Saisie de données'!$D$16='Menu déroulant'!$B$21,O38),100000)</f>
        <v>100000</v>
      </c>
      <c r="P19" s="412" cm="1">
        <f t="array" ref="P19">_xlfn.IFS(OR('Saisie de données'!$D$13='Menu déroulant'!$AA$3,'Saisie de données'!$D$13='Menu déroulant'!$AA$4),'Synthèse résultat'!P76,'Saisie de données'!$D$16='Menu déroulant'!$B$20,P58,'Saisie de données'!$D$16='Menu déroulant'!$B$21,P38)</f>
        <v>11.76923076923077</v>
      </c>
      <c r="Q19" s="413" t="e" cm="1">
        <f t="array" ref="Q19">_xlfn.IFS(OR('Saisie de données'!$D$13='Menu déroulant'!$AA$3,'Saisie de données'!$D$13='Menu déroulant'!$AA$4),'Synthèse résultat'!Q76,'Saisie de données'!$D$16='Menu déroulant'!$B$20,Q58,'Saisie de données'!$D$16='Menu déroulant'!$B$21,Q38)</f>
        <v>#N/A</v>
      </c>
      <c r="R19" s="413" t="e" cm="1">
        <f t="array" ref="R19">_xlfn.IFS(OR('Saisie de données'!$D$13='Menu déroulant'!$AA$3,'Saisie de données'!$D$13='Menu déroulant'!$AA$4),'Synthèse résultat'!R76,'Saisie de données'!$D$16='Menu déroulant'!$B$20,R58,'Saisie de données'!$D$16='Menu déroulant'!$B$21,R38)</f>
        <v>#N/A</v>
      </c>
      <c r="S19" s="413" t="e" cm="1">
        <f t="array" ref="S19">_xlfn.IFS(OR('Saisie de données'!$D$13='Menu déroulant'!$AA$3,'Saisie de données'!$D$13='Menu déroulant'!$AA$4),'Synthèse résultat'!S76,'Saisie de données'!$D$16='Menu déroulant'!$B$20,S58,'Saisie de données'!$D$16='Menu déroulant'!$B$21,S38)</f>
        <v>#N/A</v>
      </c>
      <c r="T19" s="413" t="e" cm="1">
        <f t="array" ref="T19">_xlfn.IFS(OR('Saisie de données'!$D$13='Menu déroulant'!$AA$3,'Saisie de données'!$D$13='Menu déroulant'!$AA$4),'Synthèse résultat'!T76,'Saisie de données'!$D$16='Menu déroulant'!$B$20,T58,'Saisie de données'!$D$16='Menu déroulant'!$B$21,T38)</f>
        <v>#N/A</v>
      </c>
      <c r="U19" s="413" t="e" cm="1">
        <f t="array" ref="U19">_xlfn.IFS(OR('Saisie de données'!$D$13='Menu déroulant'!$AA$3,'Saisie de données'!$D$13='Menu déroulant'!$AA$4),'Synthèse résultat'!U76,'Saisie de données'!$D$16='Menu déroulant'!$B$20,U58,'Saisie de données'!$D$16='Menu déroulant'!$B$21,U38)</f>
        <v>#N/A</v>
      </c>
      <c r="V19" s="413" t="e" cm="1">
        <f t="array" ref="V19">_xlfn.IFS(OR('Saisie de données'!$D$13='Menu déroulant'!$AA$3,'Saisie de données'!$D$13='Menu déroulant'!$AA$4),'Synthèse résultat'!V76,'Saisie de données'!$D$16='Menu déroulant'!$B$20,V58,'Saisie de données'!$D$16='Menu déroulant'!$B$21,V38)</f>
        <v>#N/A</v>
      </c>
      <c r="W19" s="413" t="e" cm="1">
        <f t="array" ref="W19">_xlfn.IFS(OR('Saisie de données'!$D$13='Menu déroulant'!$AA$3,'Saisie de données'!$D$13='Menu déroulant'!$AA$4),'Synthèse résultat'!W76,'Saisie de données'!$D$16='Menu déroulant'!$B$20,W58,'Saisie de données'!$D$16='Menu déroulant'!$B$21,W38)</f>
        <v>#N/A</v>
      </c>
      <c r="X19" s="413" t="e" cm="1">
        <f t="array" ref="X19">_xlfn.IFS(OR('Saisie de données'!$D$13='Menu déroulant'!$AA$3,'Saisie de données'!$D$13='Menu déroulant'!$AA$4),'Synthèse résultat'!X76,'Saisie de données'!$D$16='Menu déroulant'!$B$20,X58,'Saisie de données'!$D$16='Menu déroulant'!$B$21,X38)</f>
        <v>#N/A</v>
      </c>
      <c r="Y19" s="413" t="e" cm="1">
        <f t="array" ref="Y19">_xlfn.IFS(OR('Saisie de données'!$D$13='Menu déroulant'!$AA$3,'Saisie de données'!$D$13='Menu déroulant'!$AA$4),'Synthèse résultat'!Y76,'Saisie de données'!$D$16='Menu déroulant'!$B$20,Y58,'Saisie de données'!$D$16='Menu déroulant'!$B$21,Y38)</f>
        <v>#N/A</v>
      </c>
      <c r="Z19" s="414" t="e" cm="1">
        <f t="array" ref="Z19">_xlfn.IFS(OR('Saisie de données'!$D$13='Menu déroulant'!$AA$3,'Saisie de données'!$D$13='Menu déroulant'!$AA$4),'Synthèse résultat'!Z76,'Saisie de données'!$D$16='Menu déroulant'!$B$20,Z58,'Saisie de données'!$D$16='Menu déroulant'!$B$21,Z38)</f>
        <v>#N/A</v>
      </c>
      <c r="AA19" s="440" t="e" cm="1">
        <f t="array" ref="AA19">_xlfn.IFS(OR('Saisie de données'!$D$13='Menu déroulant'!$AA$3,'Saisie de données'!$D$13='Menu déroulant'!$AA$4),'Synthèse résultat'!AA76,'Saisie de données'!$D$16='Menu déroulant'!$B$20,AA58,'Saisie de données'!$D$16='Menu déroulant'!$B$21,AA38)</f>
        <v>#N/A</v>
      </c>
      <c r="AB19" s="413" t="e" cm="1">
        <f t="array" ref="AB19">_xlfn.IFS(OR('Saisie de données'!$D$13='Menu déroulant'!$AA$3,'Saisie de données'!$D$13='Menu déroulant'!$AA$4),'Synthèse résultat'!AB76,'Saisie de données'!$D$16='Menu déroulant'!$B$20,AB58,'Saisie de données'!$D$16='Menu déroulant'!$B$21,AB38)</f>
        <v>#N/A</v>
      </c>
      <c r="AC19" s="413" t="e" cm="1">
        <f t="array" ref="AC19">_xlfn.IFS(OR('Saisie de données'!$D$13='Menu déroulant'!$AA$3,'Saisie de données'!$D$13='Menu déroulant'!$AA$4),'Synthèse résultat'!AC76,'Saisie de données'!$D$16='Menu déroulant'!$B$20,AC58,'Saisie de données'!$D$16='Menu déroulant'!$B$21,AC38)</f>
        <v>#N/A</v>
      </c>
      <c r="AD19" s="413" t="e" cm="1">
        <f t="array" ref="AD19">_xlfn.IFS(OR('Saisie de données'!$D$13='Menu déroulant'!$AA$3,'Saisie de données'!$D$13='Menu déroulant'!$AA$4),'Synthèse résultat'!AD76,'Saisie de données'!$D$16='Menu déroulant'!$B$20,AD58,'Saisie de données'!$D$16='Menu déroulant'!$B$21,AD38)</f>
        <v>#N/A</v>
      </c>
      <c r="AE19" s="413" t="e" cm="1">
        <f t="array" ref="AE19">hbsdhvd</f>
        <v>#NAME?</v>
      </c>
      <c r="AF19" s="413" t="e" cm="1">
        <f t="array" ref="AF19">_xlfn.IFS(OR('Saisie de données'!$D$13='Menu déroulant'!$AA$3,'Saisie de données'!$D$13='Menu déroulant'!$AA$4),'Synthèse résultat'!AF76,'Saisie de données'!$D$16='Menu déroulant'!$B$20,AF58,'Saisie de données'!$D$16='Menu déroulant'!$B$21,AF38)</f>
        <v>#N/A</v>
      </c>
      <c r="AG19" s="413" t="e" cm="1">
        <f t="array" ref="AG19">_xlfn.IFS(OR('Saisie de données'!$D$13='Menu déroulant'!$AA$3,'Saisie de données'!$D$13='Menu déroulant'!$AA$4),'Synthèse résultat'!AG76,'Saisie de données'!$D$16='Menu déroulant'!$B$20,AG58,'Saisie de données'!$D$16='Menu déroulant'!$B$21,AG38)</f>
        <v>#N/A</v>
      </c>
      <c r="AH19" s="413" t="e" cm="1">
        <f t="array" ref="AH19">hbsdhvd</f>
        <v>#NAME?</v>
      </c>
      <c r="AI19" s="413" t="e" cm="1">
        <f t="array" ref="AI19">_xlfn.IFS(OR('Saisie de données'!$D$13='Menu déroulant'!$AA$3,'Saisie de données'!$D$13='Menu déroulant'!$AA$4),'Synthèse résultat'!AI76,'Saisie de données'!$D$16='Menu déroulant'!$B$20,AI58,'Saisie de données'!$D$16='Menu déroulant'!$B$21,AI38)</f>
        <v>#N/A</v>
      </c>
      <c r="AJ19" s="413" t="e" cm="1">
        <f t="array" ref="AJ19">_xlfn.IFS(OR('Saisie de données'!$D$13='Menu déroulant'!$AA$3,'Saisie de données'!$D$13='Menu déroulant'!$AA$4),'Synthèse résultat'!AJ76,'Saisie de données'!$D$16='Menu déroulant'!$B$20,AJ58,'Saisie de données'!$D$16='Menu déroulant'!$B$21,AJ38)</f>
        <v>#N/A</v>
      </c>
      <c r="AK19" s="413" t="e" cm="1">
        <f t="array" ref="AK19">_xlfn.IFS(OR('Saisie de données'!$D$13='Menu déroulant'!$AA$3,'Saisie de données'!$D$13='Menu déroulant'!$AA$4),'Synthèse résultat'!AK76,'Saisie de données'!$D$16='Menu déroulant'!$B$20,AK58,'Saisie de données'!$D$16='Menu déroulant'!$B$21,AK38)</f>
        <v>#N/A</v>
      </c>
      <c r="AL19" s="413" t="e" cm="1">
        <f t="array" ref="AL19">_xlfn.IFS(OR('Saisie de données'!$D$13='Menu déroulant'!$AA$3,'Saisie de données'!$D$13='Menu déroulant'!$AA$4),'Synthèse résultat'!AL76,'Saisie de données'!$D$16='Menu déroulant'!$B$20,AL58,'Saisie de données'!$D$16='Menu déroulant'!$B$21,AL38)</f>
        <v>#N/A</v>
      </c>
      <c r="AM19" s="413" t="e" cm="1">
        <f t="array" ref="AM19">_xlfn.IFS(OR('Saisie de données'!$D$13='Menu déroulant'!$AA$3,'Saisie de données'!$D$13='Menu déroulant'!$AA$4),'Synthèse résultat'!AM76,'Saisie de données'!$D$16='Menu déroulant'!$B$20,AM58,'Saisie de données'!$D$16='Menu déroulant'!$B$21,AM38)</f>
        <v>#N/A</v>
      </c>
      <c r="AN19" s="413" t="e" cm="1">
        <f t="array" ref="AN19">_xlfn.IFS(OR('Saisie de données'!$D$13='Menu déroulant'!$AA$3,'Saisie de données'!$D$13='Menu déroulant'!$AA$4),'Synthèse résultat'!AN76,'Saisie de données'!$D$16='Menu déroulant'!$B$20,AN58,'Saisie de données'!$D$16='Menu déroulant'!$B$21,AN38)</f>
        <v>#N/A</v>
      </c>
      <c r="AO19" s="413" t="e" cm="1">
        <f t="array" ref="AO19">_xlfn.IFS(OR('Saisie de données'!$D$13='Menu déroulant'!$AA$3,'Saisie de données'!$D$13='Menu déroulant'!$AA$4),'Synthèse résultat'!AO76,'Saisie de données'!$D$16='Menu déroulant'!$B$20,AO58,'Saisie de données'!$D$16='Menu déroulant'!$B$21,AO38)</f>
        <v>#N/A</v>
      </c>
      <c r="AP19" s="414" t="e" cm="1">
        <f t="array" ref="AP19">_xlfn.IFS(OR('Saisie de données'!$D$13='Menu déroulant'!$AA$3,'Saisie de données'!$D$13='Menu déroulant'!$AA$4),'Synthèse résultat'!AP76,'Saisie de données'!$D$16='Menu déroulant'!$B$20,AP58,'Saisie de données'!$D$16='Menu déroulant'!$B$21,AP38)</f>
        <v>#N/A</v>
      </c>
      <c r="AQ19" s="433" cm="1">
        <f t="array" ref="AQ19">_xlfn.IFS('Saisie de données'!$D$13='Menu déroulant'!$AA$3,VLOOKUP(MAX(IF('Infos Techniques'!$AM$4:$AM$87&lt;='Synthèse résultat'!$E19,'Infos Techniques'!$AM$4:$AM$87)),'Infos Techniques'!$AM$4:$AO$87,2,0),'Saisie de données'!$D$13='Menu déroulant'!$AA$4,VLOOKUP(MAX(IF('Infos Techniques'!$AM$4:$AM$87&lt;='Synthèse résultat'!$E19,'Infos Techniques'!$AM$4:$AM$87)),'Infos Techniques'!$AM$4:$AO$87,3,0),'Saisie de données'!$D$13='Menu déroulant'!$AA$5,10000000000)</f>
        <v>10000000000</v>
      </c>
      <c r="AR19" s="444">
        <f>IF('Saisie de données'!$AL$72='Menu déroulant'!$AG$50,5,10000000000000)</f>
        <v>10000000000000</v>
      </c>
    </row>
    <row r="20" spans="1:44">
      <c r="B20" s="1601"/>
      <c r="C20" s="1603"/>
      <c r="D20" s="28" t="str">
        <f>IF('Saisie de données'!$D$16='Menu déroulant'!$B$20,D59,D39)</f>
        <v>w-</v>
      </c>
      <c r="E20" s="43" t="e" cm="1">
        <f t="array" ref="E20">_xlfn.IFS(OR('Saisie de données'!$D$13='Menu déroulant'!$AA$3,'Saisie de données'!$D$13='Menu déroulant'!$AA$4),'Synthèse résultat'!E77,'Saisie de données'!$D$16='Menu déroulant'!$B$20,E59,'Saisie de données'!$D$16='Menu déroulant'!$B$21,E39)</f>
        <v>#N/A</v>
      </c>
      <c r="F20" s="415" cm="1">
        <f t="array" aca="1" ref="F20" ca="1">IFERROR(_xlfn.IFS(OR('Saisie de données'!$D$13='Menu déroulant'!$AA$3,'Saisie de données'!$D$13='Menu déroulant'!$AA$4),'Synthèse résultat'!F77,'Saisie de données'!$D$16='Menu déroulant'!$B$20,F59,'Saisie de données'!$D$16='Menu déroulant'!$B$21,F39),100000)</f>
        <v>100000</v>
      </c>
      <c r="G20" s="415" cm="1">
        <f t="array" aca="1" ref="G20" ca="1">IFERROR(_xlfn.IFS(OR('Saisie de données'!$D$13='Menu déroulant'!$AA$3,'Saisie de données'!$D$13='Menu déroulant'!$AA$4),'Synthèse résultat'!G77,'Saisie de données'!$D$16='Menu déroulant'!$B$20,G59,'Saisie de données'!$D$16='Menu déroulant'!$B$21,G39),100000)</f>
        <v>100000</v>
      </c>
      <c r="H20" s="415" cm="1">
        <f t="array" aca="1" ref="H20" ca="1">IFERROR(_xlfn.IFS(OR('Saisie de données'!$D$13='Menu déroulant'!$AA$3,'Saisie de données'!$D$13='Menu déroulant'!$AA$4),'Synthèse résultat'!H77,'Saisie de données'!$D$16='Menu déroulant'!$B$20,H59,'Saisie de données'!$D$16='Menu déroulant'!$B$21,H39),100000)</f>
        <v>100000</v>
      </c>
      <c r="I20" s="415" cm="1">
        <f t="array" aca="1" ref="I20" ca="1">IFERROR(_xlfn.IFS(OR('Saisie de données'!$D$13='Menu déroulant'!$AA$3,'Saisie de données'!$D$13='Menu déroulant'!$AA$4),'Synthèse résultat'!I77,'Saisie de données'!$D$16='Menu déroulant'!$B$20,I59,'Saisie de données'!$D$16='Menu déroulant'!$B$21,I39),100000)</f>
        <v>100000</v>
      </c>
      <c r="J20" s="415" cm="1">
        <f t="array" aca="1" ref="J20" ca="1">IFERROR(_xlfn.IFS(OR('Saisie de données'!$D$13='Menu déroulant'!$AA$3,'Saisie de données'!$D$13='Menu déroulant'!$AA$4),'Synthèse résultat'!J77,'Saisie de données'!$D$16='Menu déroulant'!$B$20,J59,'Saisie de données'!$D$16='Menu déroulant'!$B$21,J39),100000)</f>
        <v>100000</v>
      </c>
      <c r="K20" s="415" cm="1">
        <f t="array" aca="1" ref="K20" ca="1">IFERROR(_xlfn.IFS(OR('Saisie de données'!$D$13='Menu déroulant'!$AA$3,'Saisie de données'!$D$13='Menu déroulant'!$AA$4),'Synthèse résultat'!K77,'Saisie de données'!$D$16='Menu déroulant'!$B$20,K59,'Saisie de données'!$D$16='Menu déroulant'!$B$21,K39),100000)</f>
        <v>100000</v>
      </c>
      <c r="L20" s="415" cm="1">
        <f t="array" aca="1" ref="L20" ca="1">IFERROR(_xlfn.IFS(OR('Saisie de données'!$D$13='Menu déroulant'!$AA$3,'Saisie de données'!$D$13='Menu déroulant'!$AA$4),'Synthèse résultat'!L77,'Saisie de données'!$D$16='Menu déroulant'!$B$20,L59,'Saisie de données'!$D$16='Menu déroulant'!$B$21,L39),100000)</f>
        <v>100000</v>
      </c>
      <c r="M20" s="415" cm="1">
        <f t="array" aca="1" ref="M20" ca="1">IFERROR(_xlfn.IFS(OR('Saisie de données'!$D$13='Menu déroulant'!$AA$3,'Saisie de données'!$D$13='Menu déroulant'!$AA$4),'Synthèse résultat'!M77,'Saisie de données'!$D$16='Menu déroulant'!$B$20,M59,'Saisie de données'!$D$16='Menu déroulant'!$B$21,M39),100000)</f>
        <v>100000</v>
      </c>
      <c r="N20" s="415" cm="1">
        <f t="array" aca="1" ref="N20" ca="1">IFERROR(_xlfn.IFS(OR('Saisie de données'!$D$13='Menu déroulant'!$AA$3,'Saisie de données'!$D$13='Menu déroulant'!$AA$4),'Synthèse résultat'!N77,'Saisie de données'!$D$16='Menu déroulant'!$B$20,N59,'Saisie de données'!$D$16='Menu déroulant'!$B$21,N39),100000)</f>
        <v>100000</v>
      </c>
      <c r="O20" s="415" cm="1">
        <f t="array" aca="1" ref="O20" ca="1">IFERROR(_xlfn.IFS(OR('Saisie de données'!$D$13='Menu déroulant'!$AA$3,'Saisie de données'!$D$13='Menu déroulant'!$AA$4),'Synthèse résultat'!O77,'Saisie de données'!$D$16='Menu déroulant'!$B$20,O59,'Saisie de données'!$D$16='Menu déroulant'!$B$21,O39),100000)</f>
        <v>100000</v>
      </c>
      <c r="P20" s="416" cm="1">
        <f t="array" ref="P20">_xlfn.IFS(OR('Saisie de données'!$D$13='Menu déroulant'!$AA$3,'Saisie de données'!$D$13='Menu déroulant'!$AA$4),'Synthèse résultat'!P77,'Saisie de données'!$D$16='Menu déroulant'!$B$20,P59,'Saisie de données'!$D$16='Menu déroulant'!$B$21,P39)</f>
        <v>11.76923076923077</v>
      </c>
      <c r="Q20" s="326" t="e" cm="1">
        <f t="array" ref="Q20">_xlfn.IFS(OR('Saisie de données'!$D$13='Menu déroulant'!$AA$3,'Saisie de données'!$D$13='Menu déroulant'!$AA$4),'Synthèse résultat'!Q77,'Saisie de données'!$D$16='Menu déroulant'!$B$20,Q59,'Saisie de données'!$D$16='Menu déroulant'!$B$21,Q39)</f>
        <v>#N/A</v>
      </c>
      <c r="R20" s="326" t="e" cm="1">
        <f t="array" ref="R20">_xlfn.IFS(OR('Saisie de données'!$D$13='Menu déroulant'!$AA$3,'Saisie de données'!$D$13='Menu déroulant'!$AA$4),'Synthèse résultat'!R77,'Saisie de données'!$D$16='Menu déroulant'!$B$20,R59,'Saisie de données'!$D$16='Menu déroulant'!$B$21,R39)</f>
        <v>#N/A</v>
      </c>
      <c r="S20" s="326" t="e" cm="1">
        <f t="array" ref="S20">_xlfn.IFS(OR('Saisie de données'!$D$13='Menu déroulant'!$AA$3,'Saisie de données'!$D$13='Menu déroulant'!$AA$4),'Synthèse résultat'!S77,'Saisie de données'!$D$16='Menu déroulant'!$B$20,S59,'Saisie de données'!$D$16='Menu déroulant'!$B$21,S39)</f>
        <v>#N/A</v>
      </c>
      <c r="T20" s="326" t="e" cm="1">
        <f t="array" ref="T20">_xlfn.IFS(OR('Saisie de données'!$D$13='Menu déroulant'!$AA$3,'Saisie de données'!$D$13='Menu déroulant'!$AA$4),'Synthèse résultat'!T77,'Saisie de données'!$D$16='Menu déroulant'!$B$20,T59,'Saisie de données'!$D$16='Menu déroulant'!$B$21,T39)</f>
        <v>#N/A</v>
      </c>
      <c r="U20" s="326" t="e" cm="1">
        <f t="array" ref="U20">_xlfn.IFS(OR('Saisie de données'!$D$13='Menu déroulant'!$AA$3,'Saisie de données'!$D$13='Menu déroulant'!$AA$4),'Synthèse résultat'!U77,'Saisie de données'!$D$16='Menu déroulant'!$B$20,U59,'Saisie de données'!$D$16='Menu déroulant'!$B$21,U39)</f>
        <v>#N/A</v>
      </c>
      <c r="V20" s="326" t="e" cm="1">
        <f t="array" ref="V20">_xlfn.IFS(OR('Saisie de données'!$D$13='Menu déroulant'!$AA$3,'Saisie de données'!$D$13='Menu déroulant'!$AA$4),'Synthèse résultat'!V77,'Saisie de données'!$D$16='Menu déroulant'!$B$20,V59,'Saisie de données'!$D$16='Menu déroulant'!$B$21,V39)</f>
        <v>#N/A</v>
      </c>
      <c r="W20" s="326" t="e" cm="1">
        <f t="array" ref="W20">_xlfn.IFS(OR('Saisie de données'!$D$13='Menu déroulant'!$AA$3,'Saisie de données'!$D$13='Menu déroulant'!$AA$4),'Synthèse résultat'!W77,'Saisie de données'!$D$16='Menu déroulant'!$B$20,W59,'Saisie de données'!$D$16='Menu déroulant'!$B$21,W39)</f>
        <v>#N/A</v>
      </c>
      <c r="X20" s="326" t="e" cm="1">
        <f t="array" ref="X20">_xlfn.IFS(OR('Saisie de données'!$D$13='Menu déroulant'!$AA$3,'Saisie de données'!$D$13='Menu déroulant'!$AA$4),'Synthèse résultat'!X77,'Saisie de données'!$D$16='Menu déroulant'!$B$20,X59,'Saisie de données'!$D$16='Menu déroulant'!$B$21,X39)</f>
        <v>#N/A</v>
      </c>
      <c r="Y20" s="326" t="e" cm="1">
        <f t="array" ref="Y20">_xlfn.IFS(OR('Saisie de données'!$D$13='Menu déroulant'!$AA$3,'Saisie de données'!$D$13='Menu déroulant'!$AA$4),'Synthèse résultat'!Y77,'Saisie de données'!$D$16='Menu déroulant'!$B$20,Y59,'Saisie de données'!$D$16='Menu déroulant'!$B$21,Y39)</f>
        <v>#N/A</v>
      </c>
      <c r="Z20" s="417" t="e" cm="1">
        <f t="array" ref="Z20">_xlfn.IFS(OR('Saisie de données'!$D$13='Menu déroulant'!$AA$3,'Saisie de données'!$D$13='Menu déroulant'!$AA$4),'Synthèse résultat'!Z77,'Saisie de données'!$D$16='Menu déroulant'!$B$20,Z59,'Saisie de données'!$D$16='Menu déroulant'!$B$21,Z39)</f>
        <v>#N/A</v>
      </c>
      <c r="AA20" s="442" t="e" cm="1">
        <f t="array" ref="AA20">_xlfn.IFS(OR('Saisie de données'!$D$13='Menu déroulant'!$AA$3,'Saisie de données'!$D$13='Menu déroulant'!$AA$4),'Synthèse résultat'!AA77,'Saisie de données'!$D$16='Menu déroulant'!$B$20,AA59,'Saisie de données'!$D$16='Menu déroulant'!$B$21,AA39)</f>
        <v>#N/A</v>
      </c>
      <c r="AB20" s="326" t="e" cm="1">
        <f t="array" ref="AB20">_xlfn.IFS(OR('Saisie de données'!$D$13='Menu déroulant'!$AA$3,'Saisie de données'!$D$13='Menu déroulant'!$AA$4),'Synthèse résultat'!AB77,'Saisie de données'!$D$16='Menu déroulant'!$B$20,AB59,'Saisie de données'!$D$16='Menu déroulant'!$B$21,AB39)</f>
        <v>#N/A</v>
      </c>
      <c r="AC20" s="326" t="e" cm="1">
        <f t="array" ref="AC20">_xlfn.IFS(OR('Saisie de données'!$D$13='Menu déroulant'!$AA$3,'Saisie de données'!$D$13='Menu déroulant'!$AA$4),'Synthèse résultat'!AC77,'Saisie de données'!$D$16='Menu déroulant'!$B$20,AC59,'Saisie de données'!$D$16='Menu déroulant'!$B$21,AC39)</f>
        <v>#N/A</v>
      </c>
      <c r="AD20" s="326" t="e" cm="1">
        <f t="array" ref="AD20">_xlfn.IFS(OR('Saisie de données'!$D$13='Menu déroulant'!$AA$3,'Saisie de données'!$D$13='Menu déroulant'!$AA$4),'Synthèse résultat'!AD77,'Saisie de données'!$D$16='Menu déroulant'!$B$20,AD59,'Saisie de données'!$D$16='Menu déroulant'!$B$21,AD39)</f>
        <v>#N/A</v>
      </c>
      <c r="AE20" s="326" t="e" cm="1">
        <f t="array" ref="AE20">hbsdhvd</f>
        <v>#NAME?</v>
      </c>
      <c r="AF20" s="326" t="e" cm="1">
        <f t="array" ref="AF20">_xlfn.IFS(OR('Saisie de données'!$D$13='Menu déroulant'!$AA$3,'Saisie de données'!$D$13='Menu déroulant'!$AA$4),'Synthèse résultat'!AF77,'Saisie de données'!$D$16='Menu déroulant'!$B$20,AF59,'Saisie de données'!$D$16='Menu déroulant'!$B$21,AF39)</f>
        <v>#N/A</v>
      </c>
      <c r="AG20" s="326" t="e" cm="1">
        <f t="array" ref="AG20">_xlfn.IFS(OR('Saisie de données'!$D$13='Menu déroulant'!$AA$3,'Saisie de données'!$D$13='Menu déroulant'!$AA$4),'Synthèse résultat'!AG77,'Saisie de données'!$D$16='Menu déroulant'!$B$20,AG59,'Saisie de données'!$D$16='Menu déroulant'!$B$21,AG39)</f>
        <v>#N/A</v>
      </c>
      <c r="AH20" s="326" t="e" cm="1">
        <f t="array" ref="AH20">hbsdhvd</f>
        <v>#NAME?</v>
      </c>
      <c r="AI20" s="326" t="e" cm="1">
        <f t="array" ref="AI20">_xlfn.IFS(OR('Saisie de données'!$D$13='Menu déroulant'!$AA$3,'Saisie de données'!$D$13='Menu déroulant'!$AA$4),'Synthèse résultat'!AI77,'Saisie de données'!$D$16='Menu déroulant'!$B$20,AI59,'Saisie de données'!$D$16='Menu déroulant'!$B$21,AI39)</f>
        <v>#N/A</v>
      </c>
      <c r="AJ20" s="326" t="e" cm="1">
        <f t="array" ref="AJ20">_xlfn.IFS(OR('Saisie de données'!$D$13='Menu déroulant'!$AA$3,'Saisie de données'!$D$13='Menu déroulant'!$AA$4),'Synthèse résultat'!AJ77,'Saisie de données'!$D$16='Menu déroulant'!$B$20,AJ59,'Saisie de données'!$D$16='Menu déroulant'!$B$21,AJ39)</f>
        <v>#N/A</v>
      </c>
      <c r="AK20" s="326" t="e" cm="1">
        <f t="array" ref="AK20">_xlfn.IFS(OR('Saisie de données'!$D$13='Menu déroulant'!$AA$3,'Saisie de données'!$D$13='Menu déroulant'!$AA$4),'Synthèse résultat'!AK77,'Saisie de données'!$D$16='Menu déroulant'!$B$20,AK59,'Saisie de données'!$D$16='Menu déroulant'!$B$21,AK39)</f>
        <v>#N/A</v>
      </c>
      <c r="AL20" s="326" t="e" cm="1">
        <f t="array" ref="AL20">_xlfn.IFS(OR('Saisie de données'!$D$13='Menu déroulant'!$AA$3,'Saisie de données'!$D$13='Menu déroulant'!$AA$4),'Synthèse résultat'!AL77,'Saisie de données'!$D$16='Menu déroulant'!$B$20,AL59,'Saisie de données'!$D$16='Menu déroulant'!$B$21,AL39)</f>
        <v>#N/A</v>
      </c>
      <c r="AM20" s="326" t="e" cm="1">
        <f t="array" ref="AM20">_xlfn.IFS(OR('Saisie de données'!$D$13='Menu déroulant'!$AA$3,'Saisie de données'!$D$13='Menu déroulant'!$AA$4),'Synthèse résultat'!AM77,'Saisie de données'!$D$16='Menu déroulant'!$B$20,AM59,'Saisie de données'!$D$16='Menu déroulant'!$B$21,AM39)</f>
        <v>#N/A</v>
      </c>
      <c r="AN20" s="326" t="e" cm="1">
        <f t="array" ref="AN20">_xlfn.IFS(OR('Saisie de données'!$D$13='Menu déroulant'!$AA$3,'Saisie de données'!$D$13='Menu déroulant'!$AA$4),'Synthèse résultat'!AN77,'Saisie de données'!$D$16='Menu déroulant'!$B$20,AN59,'Saisie de données'!$D$16='Menu déroulant'!$B$21,AN39)</f>
        <v>#N/A</v>
      </c>
      <c r="AO20" s="326" t="e" cm="1">
        <f t="array" ref="AO20">_xlfn.IFS(OR('Saisie de données'!$D$13='Menu déroulant'!$AA$3,'Saisie de données'!$D$13='Menu déroulant'!$AA$4),'Synthèse résultat'!AO77,'Saisie de données'!$D$16='Menu déroulant'!$B$20,AO59,'Saisie de données'!$D$16='Menu déroulant'!$B$21,AO39)</f>
        <v>#N/A</v>
      </c>
      <c r="AP20" s="417" t="e" cm="1">
        <f t="array" ref="AP20">_xlfn.IFS(OR('Saisie de données'!$D$13='Menu déroulant'!$AA$3,'Saisie de données'!$D$13='Menu déroulant'!$AA$4),'Synthèse résultat'!AP77,'Saisie de données'!$D$16='Menu déroulant'!$B$20,AP59,'Saisie de données'!$D$16='Menu déroulant'!$B$21,AP39)</f>
        <v>#N/A</v>
      </c>
      <c r="AQ20" s="433" cm="1">
        <f t="array" ref="AQ20">_xlfn.IFS('Saisie de données'!$D$13='Menu déroulant'!$AA$3,VLOOKUP(MAX(IF('Infos Techniques'!$AM$4:$AM$87&lt;='Synthèse résultat'!$E20,'Infos Techniques'!$AM$4:$AM$87)),'Infos Techniques'!$AM$4:$AO$87,2,0),'Saisie de données'!$D$13='Menu déroulant'!$AA$4,VLOOKUP(MAX(IF('Infos Techniques'!$AM$4:$AM$87&lt;='Synthèse résultat'!$E20,'Infos Techniques'!$AM$4:$AM$87)),'Infos Techniques'!$AM$4:$AO$87,3,0),'Saisie de données'!$D$13='Menu déroulant'!$AA$5,10000000000)</f>
        <v>10000000000</v>
      </c>
      <c r="AR20" s="444">
        <f>IF('Saisie de données'!$AL$72='Menu déroulant'!$AG$50,5,10000000000000)</f>
        <v>10000000000000</v>
      </c>
    </row>
    <row r="21" spans="1:44">
      <c r="B21" s="1601"/>
      <c r="C21" s="1603" t="s">
        <v>111</v>
      </c>
      <c r="D21" s="28" t="str">
        <f>IF('Saisie de données'!$D$16='Menu déroulant'!$B$20,D60,D40)</f>
        <v>e-</v>
      </c>
      <c r="E21" s="43" t="e" cm="1">
        <f t="array" ref="E21">_xlfn.IFS(OR('Saisie de données'!$D$13='Menu déroulant'!$AA$3,'Saisie de données'!$D$13='Menu déroulant'!$AA$4),'Synthèse résultat'!E78,'Saisie de données'!$D$16='Menu déroulant'!$B$20,E60,'Saisie de données'!$D$16='Menu déroulant'!$B$21,E40)</f>
        <v>#N/A</v>
      </c>
      <c r="F21" s="415" cm="1">
        <f t="array" aca="1" ref="F21" ca="1">IFERROR(_xlfn.IFS(OR('Saisie de données'!$D$13='Menu déroulant'!$AA$3,'Saisie de données'!$D$13='Menu déroulant'!$AA$4),'Synthèse résultat'!F78,'Saisie de données'!$D$16='Menu déroulant'!$B$20,F60,'Saisie de données'!$D$16='Menu déroulant'!$B$21,F40),100000)</f>
        <v>100000</v>
      </c>
      <c r="G21" s="415" cm="1">
        <f t="array" aca="1" ref="G21" ca="1">IFERROR(_xlfn.IFS(OR('Saisie de données'!$D$13='Menu déroulant'!$AA$3,'Saisie de données'!$D$13='Menu déroulant'!$AA$4),'Synthèse résultat'!G78,'Saisie de données'!$D$16='Menu déroulant'!$B$20,G60,'Saisie de données'!$D$16='Menu déroulant'!$B$21,G40),100000)</f>
        <v>100000</v>
      </c>
      <c r="H21" s="415" cm="1">
        <f t="array" aca="1" ref="H21" ca="1">IFERROR(_xlfn.IFS(OR('Saisie de données'!$D$13='Menu déroulant'!$AA$3,'Saisie de données'!$D$13='Menu déroulant'!$AA$4),'Synthèse résultat'!H78,'Saisie de données'!$D$16='Menu déroulant'!$B$20,H60,'Saisie de données'!$D$16='Menu déroulant'!$B$21,H40),100000)</f>
        <v>100000</v>
      </c>
      <c r="I21" s="415" cm="1">
        <f t="array" aca="1" ref="I21" ca="1">IFERROR(_xlfn.IFS(OR('Saisie de données'!$D$13='Menu déroulant'!$AA$3,'Saisie de données'!$D$13='Menu déroulant'!$AA$4),'Synthèse résultat'!I78,'Saisie de données'!$D$16='Menu déroulant'!$B$20,I60,'Saisie de données'!$D$16='Menu déroulant'!$B$21,I40),100000)</f>
        <v>100000</v>
      </c>
      <c r="J21" s="415" cm="1">
        <f t="array" aca="1" ref="J21" ca="1">IFERROR(_xlfn.IFS(OR('Saisie de données'!$D$13='Menu déroulant'!$AA$3,'Saisie de données'!$D$13='Menu déroulant'!$AA$4),'Synthèse résultat'!J78,'Saisie de données'!$D$16='Menu déroulant'!$B$20,J60,'Saisie de données'!$D$16='Menu déroulant'!$B$21,J40),100000)</f>
        <v>100000</v>
      </c>
      <c r="K21" s="415" cm="1">
        <f t="array" aca="1" ref="K21" ca="1">IFERROR(_xlfn.IFS(OR('Saisie de données'!$D$13='Menu déroulant'!$AA$3,'Saisie de données'!$D$13='Menu déroulant'!$AA$4),'Synthèse résultat'!K78,'Saisie de données'!$D$16='Menu déroulant'!$B$20,K60,'Saisie de données'!$D$16='Menu déroulant'!$B$21,K40),100000)</f>
        <v>100000</v>
      </c>
      <c r="L21" s="415" cm="1">
        <f t="array" aca="1" ref="L21" ca="1">IFERROR(_xlfn.IFS(OR('Saisie de données'!$D$13='Menu déroulant'!$AA$3,'Saisie de données'!$D$13='Menu déroulant'!$AA$4),'Synthèse résultat'!L78,'Saisie de données'!$D$16='Menu déroulant'!$B$20,L60,'Saisie de données'!$D$16='Menu déroulant'!$B$21,L40),100000)</f>
        <v>100000</v>
      </c>
      <c r="M21" s="415" cm="1">
        <f t="array" aca="1" ref="M21" ca="1">IFERROR(_xlfn.IFS(OR('Saisie de données'!$D$13='Menu déroulant'!$AA$3,'Saisie de données'!$D$13='Menu déroulant'!$AA$4),'Synthèse résultat'!M78,'Saisie de données'!$D$16='Menu déroulant'!$B$20,M60,'Saisie de données'!$D$16='Menu déroulant'!$B$21,M40),100000)</f>
        <v>100000</v>
      </c>
      <c r="N21" s="415" cm="1">
        <f t="array" aca="1" ref="N21" ca="1">IFERROR(_xlfn.IFS(OR('Saisie de données'!$D$13='Menu déroulant'!$AA$3,'Saisie de données'!$D$13='Menu déroulant'!$AA$4),'Synthèse résultat'!N78,'Saisie de données'!$D$16='Menu déroulant'!$B$20,N60,'Saisie de données'!$D$16='Menu déroulant'!$B$21,N40),100000)</f>
        <v>100000</v>
      </c>
      <c r="O21" s="415" cm="1">
        <f t="array" aca="1" ref="O21" ca="1">IFERROR(_xlfn.IFS(OR('Saisie de données'!$D$13='Menu déroulant'!$AA$3,'Saisie de données'!$D$13='Menu déroulant'!$AA$4),'Synthèse résultat'!O78,'Saisie de données'!$D$16='Menu déroulant'!$B$20,O60,'Saisie de données'!$D$16='Menu déroulant'!$B$21,O40),100000)</f>
        <v>100000</v>
      </c>
      <c r="P21" s="416">
        <v>2</v>
      </c>
      <c r="Q21" s="326" t="e" cm="1">
        <f t="array" aca="1" ref="Q21" ca="1">_xlfn.IFS(OR('Saisie de données'!$D$13='Menu déroulant'!$AA$3,'Saisie de données'!$D$13='Menu déroulant'!$AA$4),'Synthèse résultat'!Q78,'Saisie de données'!$D$16='Menu déroulant'!$B$20,Q60,'Saisie de données'!$D$16='Menu déroulant'!$B$21,Q40)</f>
        <v>#VALUE!</v>
      </c>
      <c r="R21" s="326" t="e" cm="1">
        <f t="array" aca="1" ref="R21" ca="1">_xlfn.IFS(OR('Saisie de données'!$D$13='Menu déroulant'!$AA$3,'Saisie de données'!$D$13='Menu déroulant'!$AA$4),'Synthèse résultat'!R78,'Saisie de données'!$D$16='Menu déroulant'!$B$20,R60,'Saisie de données'!$D$16='Menu déroulant'!$B$21,R40)</f>
        <v>#VALUE!</v>
      </c>
      <c r="S21" s="326" t="e" cm="1">
        <f t="array" aca="1" ref="S21" ca="1">_xlfn.IFS(OR('Saisie de données'!$D$13='Menu déroulant'!$AA$3,'Saisie de données'!$D$13='Menu déroulant'!$AA$4),'Synthèse résultat'!S78,'Saisie de données'!$D$16='Menu déroulant'!$B$20,S60,'Saisie de données'!$D$16='Menu déroulant'!$B$21,S40)</f>
        <v>#VALUE!</v>
      </c>
      <c r="T21" s="326" t="e" cm="1">
        <f t="array" aca="1" ref="T21" ca="1">_xlfn.IFS(OR('Saisie de données'!$D$13='Menu déroulant'!$AA$3,'Saisie de données'!$D$13='Menu déroulant'!$AA$4),'Synthèse résultat'!T78,'Saisie de données'!$D$16='Menu déroulant'!$B$20,T60,'Saisie de données'!$D$16='Menu déroulant'!$B$21,T40)</f>
        <v>#VALUE!</v>
      </c>
      <c r="U21" s="326" t="e" cm="1">
        <f t="array" aca="1" ref="U21" ca="1">_xlfn.IFS(OR('Saisie de données'!$D$13='Menu déroulant'!$AA$3,'Saisie de données'!$D$13='Menu déroulant'!$AA$4),'Synthèse résultat'!U78,'Saisie de données'!$D$16='Menu déroulant'!$B$20,U60,'Saisie de données'!$D$16='Menu déroulant'!$B$21,U40)</f>
        <v>#VALUE!</v>
      </c>
      <c r="V21" s="326" t="e" cm="1">
        <f t="array" aca="1" ref="V21" ca="1">_xlfn.IFS(OR('Saisie de données'!$D$13='Menu déroulant'!$AA$3,'Saisie de données'!$D$13='Menu déroulant'!$AA$4),'Synthèse résultat'!V78,'Saisie de données'!$D$16='Menu déroulant'!$B$20,V60,'Saisie de données'!$D$16='Menu déroulant'!$B$21,V40)</f>
        <v>#VALUE!</v>
      </c>
      <c r="W21" s="326" t="e" cm="1">
        <f t="array" aca="1" ref="W21" ca="1">_xlfn.IFS(OR('Saisie de données'!$D$13='Menu déroulant'!$AA$3,'Saisie de données'!$D$13='Menu déroulant'!$AA$4),'Synthèse résultat'!W78,'Saisie de données'!$D$16='Menu déroulant'!$B$20,W60,'Saisie de données'!$D$16='Menu déroulant'!$B$21,W40)</f>
        <v>#VALUE!</v>
      </c>
      <c r="X21" s="326" t="e" cm="1">
        <f t="array" aca="1" ref="X21" ca="1">_xlfn.IFS(OR('Saisie de données'!$D$13='Menu déroulant'!$AA$3,'Saisie de données'!$D$13='Menu déroulant'!$AA$4),'Synthèse résultat'!X78,'Saisie de données'!$D$16='Menu déroulant'!$B$20,X60,'Saisie de données'!$D$16='Menu déroulant'!$B$21,X40)</f>
        <v>#VALUE!</v>
      </c>
      <c r="Y21" s="326" t="e" cm="1">
        <f t="array" aca="1" ref="Y21" ca="1">_xlfn.IFS(OR('Saisie de données'!$D$13='Menu déroulant'!$AA$3,'Saisie de données'!$D$13='Menu déroulant'!$AA$4),'Synthèse résultat'!Y78,'Saisie de données'!$D$16='Menu déroulant'!$B$20,Y60,'Saisie de données'!$D$16='Menu déroulant'!$B$21,Y40)</f>
        <v>#VALUE!</v>
      </c>
      <c r="Z21" s="417" t="e" cm="1">
        <f t="array" aca="1" ref="Z21" ca="1">_xlfn.IFS(OR('Saisie de données'!$D$13='Menu déroulant'!$AA$3,'Saisie de données'!$D$13='Menu déroulant'!$AA$4),'Synthèse résultat'!Z78,'Saisie de données'!$D$16='Menu déroulant'!$B$20,Z60,'Saisie de données'!$D$16='Menu déroulant'!$B$21,Z40)</f>
        <v>#VALUE!</v>
      </c>
      <c r="AA21" s="442" t="e" cm="1">
        <f t="array" aca="1" ref="AA21" ca="1">_xlfn.IFS(OR('Saisie de données'!$D$13='Menu déroulant'!$AA$3,'Saisie de données'!$D$13='Menu déroulant'!$AA$4),'Synthèse résultat'!AA78,'Saisie de données'!$D$16='Menu déroulant'!$B$20,AA60,'Saisie de données'!$D$16='Menu déroulant'!$B$21,AA40)</f>
        <v>#VALUE!</v>
      </c>
      <c r="AB21" s="326" t="e" cm="1">
        <f t="array" aca="1" ref="AB21" ca="1">_xlfn.IFS(OR('Saisie de données'!$D$13='Menu déroulant'!$AA$3,'Saisie de données'!$D$13='Menu déroulant'!$AA$4),'Synthèse résultat'!AB78,'Saisie de données'!$D$16='Menu déroulant'!$B$20,AB60,'Saisie de données'!$D$16='Menu déroulant'!$B$21,AB40)</f>
        <v>#VALUE!</v>
      </c>
      <c r="AC21" s="326" t="e" cm="1">
        <f t="array" aca="1" ref="AC21" ca="1">_xlfn.IFS(OR('Saisie de données'!$D$13='Menu déroulant'!$AA$3,'Saisie de données'!$D$13='Menu déroulant'!$AA$4),'Synthèse résultat'!AC78,'Saisie de données'!$D$16='Menu déroulant'!$B$20,AC60,'Saisie de données'!$D$16='Menu déroulant'!$B$21,AC40)</f>
        <v>#VALUE!</v>
      </c>
      <c r="AD21" s="326" t="e" cm="1">
        <f t="array" aca="1" ref="AD21" ca="1">_xlfn.IFS(OR('Saisie de données'!$D$13='Menu déroulant'!$AA$3,'Saisie de données'!$D$13='Menu déroulant'!$AA$4),'Synthèse résultat'!AD78,'Saisie de données'!$D$16='Menu déroulant'!$B$20,AD60,'Saisie de données'!$D$16='Menu déroulant'!$B$21,AD40)</f>
        <v>#VALUE!</v>
      </c>
      <c r="AE21" s="326" t="e" cm="1">
        <f t="array" ref="AE21">hbsdhvd</f>
        <v>#NAME?</v>
      </c>
      <c r="AF21" s="326" t="e" cm="1">
        <f t="array" aca="1" ref="AF21" ca="1">_xlfn.IFS(OR('Saisie de données'!$D$13='Menu déroulant'!$AA$3,'Saisie de données'!$D$13='Menu déroulant'!$AA$4),'Synthèse résultat'!AF78,'Saisie de données'!$D$16='Menu déroulant'!$B$20,AF60,'Saisie de données'!$D$16='Menu déroulant'!$B$21,AF40)</f>
        <v>#VALUE!</v>
      </c>
      <c r="AG21" s="326" t="e" cm="1">
        <f t="array" aca="1" ref="AG21" ca="1">_xlfn.IFS(OR('Saisie de données'!$D$13='Menu déroulant'!$AA$3,'Saisie de données'!$D$13='Menu déroulant'!$AA$4),'Synthèse résultat'!AG78,'Saisie de données'!$D$16='Menu déroulant'!$B$20,AG60,'Saisie de données'!$D$16='Menu déroulant'!$B$21,AG40)</f>
        <v>#VALUE!</v>
      </c>
      <c r="AH21" s="326" t="e" cm="1">
        <f t="array" ref="AH21">hbsdhvd</f>
        <v>#NAME?</v>
      </c>
      <c r="AI21" s="326" t="e" cm="1">
        <f t="array" aca="1" ref="AI21" ca="1">_xlfn.IFS(OR('Saisie de données'!$D$13='Menu déroulant'!$AA$3,'Saisie de données'!$D$13='Menu déroulant'!$AA$4),'Synthèse résultat'!AI78,'Saisie de données'!$D$16='Menu déroulant'!$B$20,AI60,'Saisie de données'!$D$16='Menu déroulant'!$B$21,AI40)</f>
        <v>#VALUE!</v>
      </c>
      <c r="AJ21" s="326" t="e" cm="1">
        <f t="array" aca="1" ref="AJ21" ca="1">_xlfn.IFS(OR('Saisie de données'!$D$13='Menu déroulant'!$AA$3,'Saisie de données'!$D$13='Menu déroulant'!$AA$4),'Synthèse résultat'!AJ78,'Saisie de données'!$D$16='Menu déroulant'!$B$20,AJ60,'Saisie de données'!$D$16='Menu déroulant'!$B$21,AJ40)</f>
        <v>#VALUE!</v>
      </c>
      <c r="AK21" s="326" t="e" cm="1">
        <f t="array" aca="1" ref="AK21" ca="1">_xlfn.IFS(OR('Saisie de données'!$D$13='Menu déroulant'!$AA$3,'Saisie de données'!$D$13='Menu déroulant'!$AA$4),'Synthèse résultat'!AK78,'Saisie de données'!$D$16='Menu déroulant'!$B$20,AK60,'Saisie de données'!$D$16='Menu déroulant'!$B$21,AK40)</f>
        <v>#VALUE!</v>
      </c>
      <c r="AL21" s="326" t="e" cm="1">
        <f t="array" aca="1" ref="AL21" ca="1">_xlfn.IFS(OR('Saisie de données'!$D$13='Menu déroulant'!$AA$3,'Saisie de données'!$D$13='Menu déroulant'!$AA$4),'Synthèse résultat'!AL78,'Saisie de données'!$D$16='Menu déroulant'!$B$20,AL60,'Saisie de données'!$D$16='Menu déroulant'!$B$21,AL40)</f>
        <v>#VALUE!</v>
      </c>
      <c r="AM21" s="326" t="e" cm="1">
        <f t="array" aca="1" ref="AM21" ca="1">_xlfn.IFS(OR('Saisie de données'!$D$13='Menu déroulant'!$AA$3,'Saisie de données'!$D$13='Menu déroulant'!$AA$4),'Synthèse résultat'!AM78,'Saisie de données'!$D$16='Menu déroulant'!$B$20,AM60,'Saisie de données'!$D$16='Menu déroulant'!$B$21,AM40)</f>
        <v>#VALUE!</v>
      </c>
      <c r="AN21" s="326" t="e" cm="1">
        <f t="array" aca="1" ref="AN21" ca="1">_xlfn.IFS(OR('Saisie de données'!$D$13='Menu déroulant'!$AA$3,'Saisie de données'!$D$13='Menu déroulant'!$AA$4),'Synthèse résultat'!AN78,'Saisie de données'!$D$16='Menu déroulant'!$B$20,AN60,'Saisie de données'!$D$16='Menu déroulant'!$B$21,AN40)</f>
        <v>#VALUE!</v>
      </c>
      <c r="AO21" s="326" t="e" cm="1">
        <f t="array" aca="1" ref="AO21" ca="1">_xlfn.IFS(OR('Saisie de données'!$D$13='Menu déroulant'!$AA$3,'Saisie de données'!$D$13='Menu déroulant'!$AA$4),'Synthèse résultat'!AO78,'Saisie de données'!$D$16='Menu déroulant'!$B$20,AO60,'Saisie de données'!$D$16='Menu déroulant'!$B$21,AO40)</f>
        <v>#VALUE!</v>
      </c>
      <c r="AP21" s="417" t="e" cm="1">
        <f t="array" aca="1" ref="AP21" ca="1">_xlfn.IFS(OR('Saisie de données'!$D$13='Menu déroulant'!$AA$3,'Saisie de données'!$D$13='Menu déroulant'!$AA$4),'Synthèse résultat'!AP78,'Saisie de données'!$D$16='Menu déroulant'!$B$20,AP60,'Saisie de données'!$D$16='Menu déroulant'!$B$21,AP40)</f>
        <v>#VALUE!</v>
      </c>
      <c r="AQ21" s="433" cm="1">
        <f t="array" ref="AQ21">_xlfn.IFS('Saisie de données'!$D$13='Menu déroulant'!$AA$3,VLOOKUP(MAX(IF('Infos Techniques'!$AM$4:$AM$87&lt;='Synthèse résultat'!$E21,'Infos Techniques'!$AM$4:$AM$87)),'Infos Techniques'!$AM$4:$AO$87,2,0),'Saisie de données'!$D$13='Menu déroulant'!$AA$4,VLOOKUP(MAX(IF('Infos Techniques'!$AM$4:$AM$87&lt;='Synthèse résultat'!$E21,'Infos Techniques'!$AM$4:$AM$87)),'Infos Techniques'!$AM$4:$AO$87,3,0),'Saisie de données'!$D$13='Menu déroulant'!$AA$5,10000000000)</f>
        <v>10000000000</v>
      </c>
      <c r="AR21" s="444">
        <f>IF('Saisie de données'!$AL$72='Menu déroulant'!$AG$50,5,10000000000000)</f>
        <v>10000000000000</v>
      </c>
    </row>
    <row r="22" spans="1:44" ht="15" thickBot="1">
      <c r="B22" s="1602"/>
      <c r="C22" s="1604"/>
      <c r="D22" s="44" t="str">
        <f>IF('Saisie de données'!$D$16='Menu déroulant'!$B$20,D61,D41)</f>
        <v>w-</v>
      </c>
      <c r="E22" s="45" t="e" cm="1">
        <f t="array" ref="E22">_xlfn.IFS(OR('Saisie de données'!$D$13='Menu déroulant'!$AA$3,'Saisie de données'!$D$13='Menu déroulant'!$AA$4),'Synthèse résultat'!E79,'Saisie de données'!$D$16='Menu déroulant'!$B$20,E61,'Saisie de données'!$D$16='Menu déroulant'!$B$21,E41)</f>
        <v>#N/A</v>
      </c>
      <c r="F22" s="676" cm="1">
        <f t="array" aca="1" ref="F22" ca="1">IFERROR(_xlfn.IFS(OR('Saisie de données'!$D$13='Menu déroulant'!$AA$3,'Saisie de données'!$D$13='Menu déroulant'!$AA$4),'Synthèse résultat'!F79,'Saisie de données'!$D$16='Menu déroulant'!$B$20,F61,'Saisie de données'!$D$16='Menu déroulant'!$B$21,F41),100000)</f>
        <v>100000</v>
      </c>
      <c r="G22" s="676" cm="1">
        <f t="array" aca="1" ref="G22" ca="1">IFERROR(_xlfn.IFS(OR('Saisie de données'!$D$13='Menu déroulant'!$AA$3,'Saisie de données'!$D$13='Menu déroulant'!$AA$4),'Synthèse résultat'!G79,'Saisie de données'!$D$16='Menu déroulant'!$B$20,G61,'Saisie de données'!$D$16='Menu déroulant'!$B$21,G41),100000)</f>
        <v>100000</v>
      </c>
      <c r="H22" s="676" cm="1">
        <f t="array" aca="1" ref="H22" ca="1">IFERROR(_xlfn.IFS(OR('Saisie de données'!$D$13='Menu déroulant'!$AA$3,'Saisie de données'!$D$13='Menu déroulant'!$AA$4),'Synthèse résultat'!H79,'Saisie de données'!$D$16='Menu déroulant'!$B$20,H61,'Saisie de données'!$D$16='Menu déroulant'!$B$21,H41),100000)</f>
        <v>100000</v>
      </c>
      <c r="I22" s="676" cm="1">
        <f t="array" aca="1" ref="I22" ca="1">IFERROR(_xlfn.IFS(OR('Saisie de données'!$D$13='Menu déroulant'!$AA$3,'Saisie de données'!$D$13='Menu déroulant'!$AA$4),'Synthèse résultat'!I79,'Saisie de données'!$D$16='Menu déroulant'!$B$20,I61,'Saisie de données'!$D$16='Menu déroulant'!$B$21,I41),100000)</f>
        <v>100000</v>
      </c>
      <c r="J22" s="676" cm="1">
        <f t="array" aca="1" ref="J22" ca="1">IFERROR(_xlfn.IFS(OR('Saisie de données'!$D$13='Menu déroulant'!$AA$3,'Saisie de données'!$D$13='Menu déroulant'!$AA$4),'Synthèse résultat'!J79,'Saisie de données'!$D$16='Menu déroulant'!$B$20,J61,'Saisie de données'!$D$16='Menu déroulant'!$B$21,J41),100000)</f>
        <v>100000</v>
      </c>
      <c r="K22" s="676" cm="1">
        <f t="array" aca="1" ref="K22" ca="1">IFERROR(_xlfn.IFS(OR('Saisie de données'!$D$13='Menu déroulant'!$AA$3,'Saisie de données'!$D$13='Menu déroulant'!$AA$4),'Synthèse résultat'!K79,'Saisie de données'!$D$16='Menu déroulant'!$B$20,K61,'Saisie de données'!$D$16='Menu déroulant'!$B$21,K41),100000)</f>
        <v>100000</v>
      </c>
      <c r="L22" s="676" cm="1">
        <f t="array" aca="1" ref="L22" ca="1">IFERROR(_xlfn.IFS(OR('Saisie de données'!$D$13='Menu déroulant'!$AA$3,'Saisie de données'!$D$13='Menu déroulant'!$AA$4),'Synthèse résultat'!L79,'Saisie de données'!$D$16='Menu déroulant'!$B$20,L61,'Saisie de données'!$D$16='Menu déroulant'!$B$21,L41),100000)</f>
        <v>100000</v>
      </c>
      <c r="M22" s="676" cm="1">
        <f t="array" aca="1" ref="M22" ca="1">IFERROR(_xlfn.IFS(OR('Saisie de données'!$D$13='Menu déroulant'!$AA$3,'Saisie de données'!$D$13='Menu déroulant'!$AA$4),'Synthèse résultat'!M79,'Saisie de données'!$D$16='Menu déroulant'!$B$20,M61,'Saisie de données'!$D$16='Menu déroulant'!$B$21,M41),100000)</f>
        <v>100000</v>
      </c>
      <c r="N22" s="676" cm="1">
        <f t="array" aca="1" ref="N22" ca="1">IFERROR(_xlfn.IFS(OR('Saisie de données'!$D$13='Menu déroulant'!$AA$3,'Saisie de données'!$D$13='Menu déroulant'!$AA$4),'Synthèse résultat'!N79,'Saisie de données'!$D$16='Menu déroulant'!$B$20,N61,'Saisie de données'!$D$16='Menu déroulant'!$B$21,N41),100000)</f>
        <v>100000</v>
      </c>
      <c r="O22" s="676" cm="1">
        <f t="array" aca="1" ref="O22" ca="1">IFERROR(_xlfn.IFS(OR('Saisie de données'!$D$13='Menu déroulant'!$AA$3,'Saisie de données'!$D$13='Menu déroulant'!$AA$4),'Synthèse résultat'!O79,'Saisie de données'!$D$16='Menu déroulant'!$B$20,O61,'Saisie de données'!$D$16='Menu déroulant'!$B$21,O41),100000)</f>
        <v>100000</v>
      </c>
      <c r="P22" s="677">
        <v>2</v>
      </c>
      <c r="Q22" s="678" t="e" cm="1">
        <f t="array" aca="1" ref="Q22" ca="1">_xlfn.IFS(OR('Saisie de données'!$D$13='Menu déroulant'!$AA$3,'Saisie de données'!$D$13='Menu déroulant'!$AA$4),'Synthèse résultat'!Q79,'Saisie de données'!$D$16='Menu déroulant'!$B$20,Q61,'Saisie de données'!$D$16='Menu déroulant'!$B$21,Q41)</f>
        <v>#VALUE!</v>
      </c>
      <c r="R22" s="678" t="e" cm="1">
        <f t="array" aca="1" ref="R22" ca="1">_xlfn.IFS(OR('Saisie de données'!$D$13='Menu déroulant'!$AA$3,'Saisie de données'!$D$13='Menu déroulant'!$AA$4),'Synthèse résultat'!R79,'Saisie de données'!$D$16='Menu déroulant'!$B$20,R61,'Saisie de données'!$D$16='Menu déroulant'!$B$21,R41)</f>
        <v>#VALUE!</v>
      </c>
      <c r="S22" s="678" t="e" cm="1">
        <f t="array" aca="1" ref="S22" ca="1">_xlfn.IFS(OR('Saisie de données'!$D$13='Menu déroulant'!$AA$3,'Saisie de données'!$D$13='Menu déroulant'!$AA$4),'Synthèse résultat'!S79,'Saisie de données'!$D$16='Menu déroulant'!$B$20,S61,'Saisie de données'!$D$16='Menu déroulant'!$B$21,S41)</f>
        <v>#VALUE!</v>
      </c>
      <c r="T22" s="678" t="e" cm="1">
        <f t="array" aca="1" ref="T22" ca="1">_xlfn.IFS(OR('Saisie de données'!$D$13='Menu déroulant'!$AA$3,'Saisie de données'!$D$13='Menu déroulant'!$AA$4),'Synthèse résultat'!T79,'Saisie de données'!$D$16='Menu déroulant'!$B$20,T61,'Saisie de données'!$D$16='Menu déroulant'!$B$21,T41)</f>
        <v>#VALUE!</v>
      </c>
      <c r="U22" s="678" t="e" cm="1">
        <f t="array" aca="1" ref="U22" ca="1">_xlfn.IFS(OR('Saisie de données'!$D$13='Menu déroulant'!$AA$3,'Saisie de données'!$D$13='Menu déroulant'!$AA$4),'Synthèse résultat'!U79,'Saisie de données'!$D$16='Menu déroulant'!$B$20,U61,'Saisie de données'!$D$16='Menu déroulant'!$B$21,U41)</f>
        <v>#VALUE!</v>
      </c>
      <c r="V22" s="678" t="e" cm="1">
        <f t="array" aca="1" ref="V22" ca="1">_xlfn.IFS(OR('Saisie de données'!$D$13='Menu déroulant'!$AA$3,'Saisie de données'!$D$13='Menu déroulant'!$AA$4),'Synthèse résultat'!V79,'Saisie de données'!$D$16='Menu déroulant'!$B$20,V61,'Saisie de données'!$D$16='Menu déroulant'!$B$21,V41)</f>
        <v>#VALUE!</v>
      </c>
      <c r="W22" s="678" t="e" cm="1">
        <f t="array" aca="1" ref="W22" ca="1">_xlfn.IFS(OR('Saisie de données'!$D$13='Menu déroulant'!$AA$3,'Saisie de données'!$D$13='Menu déroulant'!$AA$4),'Synthèse résultat'!W79,'Saisie de données'!$D$16='Menu déroulant'!$B$20,W61,'Saisie de données'!$D$16='Menu déroulant'!$B$21,W41)</f>
        <v>#VALUE!</v>
      </c>
      <c r="X22" s="678" t="e" cm="1">
        <f t="array" aca="1" ref="X22" ca="1">_xlfn.IFS(OR('Saisie de données'!$D$13='Menu déroulant'!$AA$3,'Saisie de données'!$D$13='Menu déroulant'!$AA$4),'Synthèse résultat'!X79,'Saisie de données'!$D$16='Menu déroulant'!$B$20,X61,'Saisie de données'!$D$16='Menu déroulant'!$B$21,X41)</f>
        <v>#VALUE!</v>
      </c>
      <c r="Y22" s="678" t="e" cm="1">
        <f t="array" aca="1" ref="Y22" ca="1">_xlfn.IFS(OR('Saisie de données'!$D$13='Menu déroulant'!$AA$3,'Saisie de données'!$D$13='Menu déroulant'!$AA$4),'Synthèse résultat'!Y79,'Saisie de données'!$D$16='Menu déroulant'!$B$20,Y61,'Saisie de données'!$D$16='Menu déroulant'!$B$21,Y41)</f>
        <v>#VALUE!</v>
      </c>
      <c r="Z22" s="679" t="e" cm="1">
        <f t="array" aca="1" ref="Z22" ca="1">_xlfn.IFS(OR('Saisie de données'!$D$13='Menu déroulant'!$AA$3,'Saisie de données'!$D$13='Menu déroulant'!$AA$4),'Synthèse résultat'!Z79,'Saisie de données'!$D$16='Menu déroulant'!$B$20,Z61,'Saisie de données'!$D$16='Menu déroulant'!$B$21,Z41)</f>
        <v>#VALUE!</v>
      </c>
      <c r="AA22" s="680" t="e" cm="1">
        <f t="array" aca="1" ref="AA22" ca="1">_xlfn.IFS(OR('Saisie de données'!$D$13='Menu déroulant'!$AA$3,'Saisie de données'!$D$13='Menu déroulant'!$AA$4),'Synthèse résultat'!AA79,'Saisie de données'!$D$16='Menu déroulant'!$B$20,AA61,'Saisie de données'!$D$16='Menu déroulant'!$B$21,AA41)</f>
        <v>#VALUE!</v>
      </c>
      <c r="AB22" s="678" t="e" cm="1">
        <f t="array" aca="1" ref="AB22" ca="1">_xlfn.IFS(OR('Saisie de données'!$D$13='Menu déroulant'!$AA$3,'Saisie de données'!$D$13='Menu déroulant'!$AA$4),'Synthèse résultat'!AB79,'Saisie de données'!$D$16='Menu déroulant'!$B$20,AB61,'Saisie de données'!$D$16='Menu déroulant'!$B$21,AB41)</f>
        <v>#VALUE!</v>
      </c>
      <c r="AC22" s="678" t="e" cm="1">
        <f t="array" aca="1" ref="AC22" ca="1">_xlfn.IFS(OR('Saisie de données'!$D$13='Menu déroulant'!$AA$3,'Saisie de données'!$D$13='Menu déroulant'!$AA$4),'Synthèse résultat'!AC79,'Saisie de données'!$D$16='Menu déroulant'!$B$20,AC61,'Saisie de données'!$D$16='Menu déroulant'!$B$21,AC41)</f>
        <v>#VALUE!</v>
      </c>
      <c r="AD22" s="678" t="e" cm="1">
        <f t="array" aca="1" ref="AD22" ca="1">_xlfn.IFS(OR('Saisie de données'!$D$13='Menu déroulant'!$AA$3,'Saisie de données'!$D$13='Menu déroulant'!$AA$4),'Synthèse résultat'!AD79,'Saisie de données'!$D$16='Menu déroulant'!$B$20,AD61,'Saisie de données'!$D$16='Menu déroulant'!$B$21,AD41)</f>
        <v>#VALUE!</v>
      </c>
      <c r="AE22" s="678" t="e" cm="1">
        <f t="array" ref="AE22">hbsdhvd</f>
        <v>#NAME?</v>
      </c>
      <c r="AF22" s="678" t="e" cm="1">
        <f t="array" aca="1" ref="AF22" ca="1">_xlfn.IFS(OR('Saisie de données'!$D$13='Menu déroulant'!$AA$3,'Saisie de données'!$D$13='Menu déroulant'!$AA$4),'Synthèse résultat'!AF79,'Saisie de données'!$D$16='Menu déroulant'!$B$20,AF61,'Saisie de données'!$D$16='Menu déroulant'!$B$21,AF41)</f>
        <v>#VALUE!</v>
      </c>
      <c r="AG22" s="678" t="e" cm="1">
        <f t="array" aca="1" ref="AG22" ca="1">_xlfn.IFS(OR('Saisie de données'!$D$13='Menu déroulant'!$AA$3,'Saisie de données'!$D$13='Menu déroulant'!$AA$4),'Synthèse résultat'!AG79,'Saisie de données'!$D$16='Menu déroulant'!$B$20,AG61,'Saisie de données'!$D$16='Menu déroulant'!$B$21,AG41)</f>
        <v>#VALUE!</v>
      </c>
      <c r="AH22" s="678" t="e" cm="1">
        <f t="array" ref="AH22">hbsdhvd</f>
        <v>#NAME?</v>
      </c>
      <c r="AI22" s="678" t="e" cm="1">
        <f t="array" aca="1" ref="AI22" ca="1">_xlfn.IFS(OR('Saisie de données'!$D$13='Menu déroulant'!$AA$3,'Saisie de données'!$D$13='Menu déroulant'!$AA$4),'Synthèse résultat'!AI79,'Saisie de données'!$D$16='Menu déroulant'!$B$20,AI61,'Saisie de données'!$D$16='Menu déroulant'!$B$21,AI41)</f>
        <v>#VALUE!</v>
      </c>
      <c r="AJ22" s="678" t="e" cm="1">
        <f t="array" aca="1" ref="AJ22" ca="1">_xlfn.IFS(OR('Saisie de données'!$D$13='Menu déroulant'!$AA$3,'Saisie de données'!$D$13='Menu déroulant'!$AA$4),'Synthèse résultat'!AJ79,'Saisie de données'!$D$16='Menu déroulant'!$B$20,AJ61,'Saisie de données'!$D$16='Menu déroulant'!$B$21,AJ41)</f>
        <v>#VALUE!</v>
      </c>
      <c r="AK22" s="678" t="e" cm="1">
        <f t="array" aca="1" ref="AK22" ca="1">_xlfn.IFS(OR('Saisie de données'!$D$13='Menu déroulant'!$AA$3,'Saisie de données'!$D$13='Menu déroulant'!$AA$4),'Synthèse résultat'!AK79,'Saisie de données'!$D$16='Menu déroulant'!$B$20,AK61,'Saisie de données'!$D$16='Menu déroulant'!$B$21,AK41)</f>
        <v>#VALUE!</v>
      </c>
      <c r="AL22" s="678" t="e" cm="1">
        <f t="array" aca="1" ref="AL22" ca="1">_xlfn.IFS(OR('Saisie de données'!$D$13='Menu déroulant'!$AA$3,'Saisie de données'!$D$13='Menu déroulant'!$AA$4),'Synthèse résultat'!AL79,'Saisie de données'!$D$16='Menu déroulant'!$B$20,AL61,'Saisie de données'!$D$16='Menu déroulant'!$B$21,AL41)</f>
        <v>#VALUE!</v>
      </c>
      <c r="AM22" s="678" t="e" cm="1">
        <f t="array" aca="1" ref="AM22" ca="1">_xlfn.IFS(OR('Saisie de données'!$D$13='Menu déroulant'!$AA$3,'Saisie de données'!$D$13='Menu déroulant'!$AA$4),'Synthèse résultat'!AM79,'Saisie de données'!$D$16='Menu déroulant'!$B$20,AM61,'Saisie de données'!$D$16='Menu déroulant'!$B$21,AM41)</f>
        <v>#VALUE!</v>
      </c>
      <c r="AN22" s="678" t="e" cm="1">
        <f t="array" aca="1" ref="AN22" ca="1">_xlfn.IFS(OR('Saisie de données'!$D$13='Menu déroulant'!$AA$3,'Saisie de données'!$D$13='Menu déroulant'!$AA$4),'Synthèse résultat'!AN79,'Saisie de données'!$D$16='Menu déroulant'!$B$20,AN61,'Saisie de données'!$D$16='Menu déroulant'!$B$21,AN41)</f>
        <v>#VALUE!</v>
      </c>
      <c r="AO22" s="678" t="e" cm="1">
        <f t="array" aca="1" ref="AO22" ca="1">_xlfn.IFS(OR('Saisie de données'!$D$13='Menu déroulant'!$AA$3,'Saisie de données'!$D$13='Menu déroulant'!$AA$4),'Synthèse résultat'!AO79,'Saisie de données'!$D$16='Menu déroulant'!$B$20,AO61,'Saisie de données'!$D$16='Menu déroulant'!$B$21,AO41)</f>
        <v>#VALUE!</v>
      </c>
      <c r="AP22" s="679" t="e" cm="1">
        <f t="array" aca="1" ref="AP22" ca="1">_xlfn.IFS(OR('Saisie de données'!$D$13='Menu déroulant'!$AA$3,'Saisie de données'!$D$13='Menu déroulant'!$AA$4),'Synthèse résultat'!AP79,'Saisie de données'!$D$16='Menu déroulant'!$B$20,AP61,'Saisie de données'!$D$16='Menu déroulant'!$B$21,AP41)</f>
        <v>#VALUE!</v>
      </c>
      <c r="AQ22" s="433" cm="1">
        <f t="array" ref="AQ22">_xlfn.IFS('Saisie de données'!$D$13='Menu déroulant'!$AA$3,VLOOKUP(MAX(IF('Infos Techniques'!$AM$4:$AM$87&lt;='Synthèse résultat'!$E22,'Infos Techniques'!$AM$4:$AM$87)),'Infos Techniques'!$AM$4:$AO$87,2,0),'Saisie de données'!$D$13='Menu déroulant'!$AA$4,VLOOKUP(MAX(IF('Infos Techniques'!$AM$4:$AM$87&lt;='Synthèse résultat'!$E22,'Infos Techniques'!$AM$4:$AM$87)),'Infos Techniques'!$AM$4:$AO$87,3,0),'Saisie de données'!$D$13='Menu déroulant'!$AA$5,10000000000)</f>
        <v>10000000000</v>
      </c>
      <c r="AR22" s="444">
        <f>IF('Saisie de données'!$AL$72='Menu déroulant'!$AG$50,5,10000000000000)</f>
        <v>10000000000000</v>
      </c>
    </row>
    <row r="23" spans="1:44" ht="15" thickTop="1"/>
    <row r="24" spans="1:44" ht="15" thickBot="1">
      <c r="A24" s="35"/>
      <c r="B24" s="35"/>
      <c r="C24" s="35"/>
      <c r="D24" s="35"/>
      <c r="E24" s="35"/>
      <c r="F24" s="35"/>
      <c r="G24" s="35"/>
      <c r="H24" s="35"/>
      <c r="I24" s="35"/>
      <c r="J24" s="35"/>
      <c r="K24" s="35"/>
      <c r="L24" s="35"/>
      <c r="M24" s="35"/>
      <c r="N24" s="35"/>
      <c r="O24" s="35"/>
      <c r="P24" s="35"/>
      <c r="Q24" s="35"/>
      <c r="R24" s="35"/>
      <c r="S24" s="35"/>
      <c r="T24" s="35"/>
      <c r="U24" s="35"/>
      <c r="V24" s="553"/>
      <c r="W24" s="35"/>
      <c r="X24" s="35"/>
      <c r="Y24" s="35"/>
      <c r="Z24" s="35"/>
      <c r="AA24" s="35"/>
      <c r="AB24" s="35"/>
      <c r="AC24" s="35"/>
      <c r="AD24" s="35"/>
      <c r="AE24" s="35"/>
      <c r="AF24" s="35"/>
      <c r="AG24" s="35"/>
      <c r="AH24" s="35"/>
      <c r="AI24" s="35"/>
      <c r="AJ24" s="35"/>
      <c r="AK24" s="35"/>
      <c r="AL24" s="35"/>
      <c r="AM24" s="35"/>
      <c r="AN24" s="35"/>
      <c r="AO24" s="35"/>
      <c r="AP24" s="35"/>
      <c r="AQ24" s="35"/>
      <c r="AR24" s="35"/>
    </row>
    <row r="25" spans="1:44" ht="15" thickTop="1">
      <c r="I25" s="466"/>
    </row>
    <row r="26" spans="1:44" ht="18.600000000000001" thickBot="1">
      <c r="B26" s="816" t="s">
        <v>339</v>
      </c>
      <c r="C26" s="67"/>
      <c r="D26" s="67"/>
      <c r="E26" s="35"/>
      <c r="F26" s="35"/>
      <c r="G26" s="68"/>
      <c r="H26" s="68"/>
      <c r="I26" s="68"/>
      <c r="J26" s="68"/>
      <c r="K26" s="68"/>
      <c r="L26" s="68"/>
      <c r="M26" s="68"/>
      <c r="N26" s="68"/>
      <c r="O26" s="68"/>
      <c r="P26" s="35"/>
      <c r="Q26" s="67"/>
      <c r="R26" s="67"/>
      <c r="S26" s="67"/>
      <c r="T26" s="67"/>
      <c r="U26" s="67"/>
      <c r="V26" s="67"/>
      <c r="W26" s="67"/>
      <c r="X26" s="67"/>
      <c r="Y26" s="67"/>
      <c r="Z26" s="67"/>
    </row>
    <row r="27" spans="1:44" ht="14.45" customHeight="1" thickTop="1">
      <c r="B27" s="1605" t="s">
        <v>313</v>
      </c>
      <c r="C27" s="1606"/>
      <c r="D27" s="1606"/>
      <c r="E27" s="1606" t="s">
        <v>314</v>
      </c>
      <c r="F27" s="1584" t="s">
        <v>340</v>
      </c>
      <c r="G27" s="1585"/>
      <c r="H27" s="1585"/>
      <c r="I27" s="1585"/>
      <c r="J27" s="1585"/>
      <c r="K27" s="1585"/>
      <c r="L27" s="1585"/>
      <c r="M27" s="1585"/>
      <c r="N27" s="1585"/>
      <c r="O27" s="1586"/>
      <c r="P27" s="1609" t="s">
        <v>163</v>
      </c>
      <c r="Q27" s="1611"/>
      <c r="R27" s="1611"/>
      <c r="S27" s="1611"/>
      <c r="T27" s="1611"/>
      <c r="U27" s="1611"/>
      <c r="V27" s="1611"/>
      <c r="W27" s="1611"/>
      <c r="X27" s="1611"/>
      <c r="Y27" s="1611"/>
      <c r="Z27" s="1612"/>
      <c r="AA27" s="1617" t="s">
        <v>341</v>
      </c>
      <c r="AB27" s="1593"/>
      <c r="AC27" s="1593"/>
      <c r="AD27" s="1593"/>
      <c r="AE27" s="1593"/>
      <c r="AF27" s="1593"/>
      <c r="AG27" s="1593"/>
      <c r="AH27" s="1593"/>
      <c r="AI27" s="1593"/>
      <c r="AJ27" s="1593"/>
      <c r="AK27" s="1593"/>
      <c r="AL27" s="1593"/>
      <c r="AM27" s="1593"/>
      <c r="AN27" s="1593"/>
      <c r="AO27" s="1593"/>
      <c r="AP27" s="1594"/>
      <c r="AQ27" s="129"/>
      <c r="AR27" s="129"/>
    </row>
    <row r="28" spans="1:44" ht="14.45" customHeight="1">
      <c r="B28" s="1601"/>
      <c r="C28" s="1603"/>
      <c r="D28" s="1603"/>
      <c r="E28" s="1603"/>
      <c r="F28" s="1587"/>
      <c r="G28" s="1588"/>
      <c r="H28" s="1588"/>
      <c r="I28" s="1588"/>
      <c r="J28" s="1588"/>
      <c r="K28" s="1588"/>
      <c r="L28" s="1588"/>
      <c r="M28" s="1588"/>
      <c r="N28" s="1588"/>
      <c r="O28" s="1589"/>
      <c r="P28" s="1610"/>
      <c r="Q28" s="1613" t="s">
        <v>321</v>
      </c>
      <c r="R28" s="1613"/>
      <c r="S28" s="1613"/>
      <c r="T28" s="1613"/>
      <c r="U28" s="1613"/>
      <c r="V28" s="1613" t="s">
        <v>322</v>
      </c>
      <c r="W28" s="1613"/>
      <c r="X28" s="1613"/>
      <c r="Y28" s="1613"/>
      <c r="Z28" s="1614"/>
      <c r="AA28" s="1618" t="s">
        <v>113</v>
      </c>
      <c r="AB28" s="1619"/>
      <c r="AC28" s="1619"/>
      <c r="AD28" s="1619"/>
      <c r="AE28" s="1619"/>
      <c r="AF28" s="1619"/>
      <c r="AG28" s="1619"/>
      <c r="AH28" s="1620"/>
      <c r="AI28" s="1621" t="s">
        <v>114</v>
      </c>
      <c r="AJ28" s="1619"/>
      <c r="AK28" s="1619"/>
      <c r="AL28" s="1619"/>
      <c r="AM28" s="1619"/>
      <c r="AN28" s="1619"/>
      <c r="AO28" s="1619"/>
      <c r="AP28" s="1622"/>
      <c r="AQ28" s="129"/>
      <c r="AR28" s="129"/>
    </row>
    <row r="29" spans="1:44" ht="15" thickBot="1">
      <c r="B29" s="1607"/>
      <c r="C29" s="1608"/>
      <c r="D29" s="1608"/>
      <c r="E29" s="1608"/>
      <c r="F29" s="242" t="s">
        <v>323</v>
      </c>
      <c r="G29" s="242" t="s">
        <v>324</v>
      </c>
      <c r="H29" s="242" t="s">
        <v>325</v>
      </c>
      <c r="I29" s="242" t="s">
        <v>326</v>
      </c>
      <c r="J29" s="242" t="s">
        <v>327</v>
      </c>
      <c r="K29" s="242" t="s">
        <v>328</v>
      </c>
      <c r="L29" s="242" t="s">
        <v>329</v>
      </c>
      <c r="M29" s="242" t="s">
        <v>330</v>
      </c>
      <c r="N29" s="242" t="s">
        <v>331</v>
      </c>
      <c r="O29" s="242" t="s">
        <v>332</v>
      </c>
      <c r="P29" s="243" t="s">
        <v>333</v>
      </c>
      <c r="Q29" s="244">
        <v>0.1875</v>
      </c>
      <c r="R29" s="244" t="s">
        <v>334</v>
      </c>
      <c r="S29" s="244" t="s">
        <v>335</v>
      </c>
      <c r="T29" s="244" t="s">
        <v>336</v>
      </c>
      <c r="U29" s="244" t="s">
        <v>337</v>
      </c>
      <c r="V29" s="244">
        <v>0.1875</v>
      </c>
      <c r="W29" s="244" t="s">
        <v>334</v>
      </c>
      <c r="X29" s="244" t="s">
        <v>335</v>
      </c>
      <c r="Y29" s="244" t="s">
        <v>336</v>
      </c>
      <c r="Z29" s="245" t="s">
        <v>337</v>
      </c>
      <c r="AA29" s="436" t="s">
        <v>323</v>
      </c>
      <c r="AB29" s="437" t="s">
        <v>324</v>
      </c>
      <c r="AC29" s="437" t="s">
        <v>325</v>
      </c>
      <c r="AD29" s="437" t="s">
        <v>326</v>
      </c>
      <c r="AE29" s="437" t="s">
        <v>327</v>
      </c>
      <c r="AF29" s="437" t="s">
        <v>329</v>
      </c>
      <c r="AG29" s="437" t="s">
        <v>330</v>
      </c>
      <c r="AH29" s="438" t="s">
        <v>331</v>
      </c>
      <c r="AI29" s="437" t="s">
        <v>323</v>
      </c>
      <c r="AJ29" s="437" t="s">
        <v>324</v>
      </c>
      <c r="AK29" s="437" t="s">
        <v>325</v>
      </c>
      <c r="AL29" s="437" t="s">
        <v>326</v>
      </c>
      <c r="AM29" s="437" t="s">
        <v>327</v>
      </c>
      <c r="AN29" s="437" t="s">
        <v>329</v>
      </c>
      <c r="AO29" s="437" t="s">
        <v>330</v>
      </c>
      <c r="AP29" s="439" t="s">
        <v>331</v>
      </c>
      <c r="AQ29" s="129"/>
      <c r="AR29" s="129"/>
    </row>
    <row r="30" spans="1:44">
      <c r="A30" s="179"/>
      <c r="B30" s="1600" t="s">
        <v>48</v>
      </c>
      <c r="C30" s="1111" t="s">
        <v>338</v>
      </c>
      <c r="D30" s="241" t="s">
        <v>342</v>
      </c>
      <c r="E30" s="59" t="e">
        <f>IF(ISBLANK('Saisie de données'!$E$31),'Charges de vent'!D32*20.885*1.4,'Saisie de données'!$E$31)</f>
        <v>#N/A</v>
      </c>
      <c r="F30" s="411" t="e" cm="1">
        <f t="array" aca="1" ref="F30" ca="1">IF('Saisie de données'!$K$60='Menu déroulant'!$AA$34,VLOOKUP(MAX(IF(INDIRECT("Norex2_"&amp;'Saisie de données'!$H$60&amp;"_"&amp;'Saisie de données'!$I$60&amp;"_S")&lt;='Synthèse résultat'!$E30,INDIRECT("Norex2_"&amp;'Saisie de données'!$H$60&amp;"_"&amp;'Saisie de données'!$I$60&amp;"_S"))),'Courbe Déflexion'!O$5:$X$285,10,0)*VLOOKUP('Saisie de données'!$F$38,'Menu déroulant'!$AA$22:$AD$24,4,0),VLOOKUP(MAX(IF(INDIRECT("Norex2_"&amp;'Saisie de données'!$H$60&amp;"_"&amp;'Saisie de données'!$I$60&amp;"_M")&lt;='Synthèse résultat'!$E30,INDIRECT("Norex2_"&amp;'Saisie de données'!$H$60&amp;"_"&amp;'Saisie de données'!$I$60&amp;"_M"))),'Courbe Déflexion'!$DW$5:$EF$217,10,0)*VLOOKUP('Saisie de données'!$F$38,'Menu déroulant'!$AA$22:$AD$24,4,0))</f>
        <v>#N/A</v>
      </c>
      <c r="G30" s="411" t="e" cm="1">
        <f t="array" aca="1" ref="G30" ca="1">IF('Saisie de données'!$K$60='Menu déroulant'!$AA$34,VLOOKUP(MAX(IF(INDIRECT("Norex3_"&amp;'Saisie de données'!$H$60&amp;"_"&amp;'Saisie de données'!$I$60&amp;"_S")&lt;='Synthèse résultat'!$E30,INDIRECT("Norex3_"&amp;'Saisie de données'!$H$60&amp;"_"&amp;'Saisie de données'!$I$60&amp;"_S"))),'Courbe Déflexion'!$Z$5:$AI$329,10,0)*VLOOKUP('Saisie de données'!$F$38,'Menu déroulant'!$AA$22:$AD$24,4,0),VLOOKUP(MAX(IF(INDIRECT("Norex3_"&amp;'Saisie de données'!$H$60&amp;"_"&amp;'Saisie de données'!$I$60&amp;"_M")&lt;='Synthèse résultat'!$E30,INDIRECT("Norex3_"&amp;'Saisie de données'!$H$60&amp;"_"&amp;'Saisie de données'!$I$60&amp;"_M"))),'Courbe Déflexion'!$EH$5:$EQ$309,10,0)*VLOOKUP('Saisie de données'!$F$38,'Menu déroulant'!$AA$22:$AD$24,4,0))</f>
        <v>#N/A</v>
      </c>
      <c r="H30" s="411" t="e" cm="1">
        <f t="array" aca="1" ref="H30" ca="1">IF('Saisie de données'!$K$60='Menu déroulant'!$AA$34,VLOOKUP(MAX(IF(INDIRECT("Norex4_"&amp;'Saisie de données'!$H$60&amp;"_"&amp;'Saisie de données'!$I$60&amp;"_S")&lt;='Synthèse résultat'!$E30,INDIRECT("Norex4_"&amp;'Saisie de données'!$H$60&amp;"_"&amp;'Saisie de données'!$I$60&amp;"_S"))),'Courbe Déflexion'!$AK$5:$AT$306,10,0)*VLOOKUP('Saisie de données'!$F$38,'Menu déroulant'!$AA$22:$AD$24,4,0),VLOOKUP(MAX(IF(INDIRECT("Norex4_"&amp;'Saisie de données'!$H$60&amp;"_"&amp;'Saisie de données'!$I$60&amp;"_M")&lt;='Synthèse résultat'!$E30,INDIRECT("Norex4_"&amp;'Saisie de données'!$H$60&amp;"_"&amp;'Saisie de données'!$I$60&amp;"_M"))),'Courbe Déflexion'!$ES$5:$FB$285,10,0)*VLOOKUP('Saisie de données'!$F$38,'Menu déroulant'!$AA$22:$AD$24,4,0))</f>
        <v>#N/A</v>
      </c>
      <c r="I30" s="411" t="e" cm="1">
        <f t="array" aca="1" ref="I30" ca="1">IF('Saisie de données'!$K$60='Menu déroulant'!$AA$34,VLOOKUP(MAX(IF(INDIRECT("Norex5_"&amp;'Saisie de données'!$H$60&amp;"_"&amp;'Saisie de données'!$I$60&amp;"_S")&lt;='Synthèse résultat'!$E30,INDIRECT("Norex5_"&amp;'Saisie de données'!$H$60&amp;"_"&amp;'Saisie de données'!$I$60&amp;"_S"))),'Courbe Déflexion'!$AV$5:$BE$306,10,0)*VLOOKUP('Saisie de données'!$F$38,'Menu déroulant'!$AA$22:$AD$24,4,0),VLOOKUP(MAX(IF(INDIRECT("Norex5_"&amp;'Saisie de données'!$H$60&amp;"_"&amp;'Saisie de données'!$I$60&amp;"_M")&lt;='Synthèse résultat'!$E30,INDIRECT("Norex5_"&amp;'Saisie de données'!$H$60&amp;"_"&amp;'Saisie de données'!$I$60&amp;"_M"))),'Courbe Déflexion'!$FD$5:$FM$285,10,0)*VLOOKUP('Saisie de données'!$F$38,'Menu déroulant'!$AA$22:$AD$24,4,0))</f>
        <v>#N/A</v>
      </c>
      <c r="J30" s="411" t="e" cm="1">
        <f t="array" aca="1" ref="J30" ca="1">IF('Saisie de données'!$K$60='Menu déroulant'!$AA$34,VLOOKUP(MAX(IF(INDIRECT("Norex6_"&amp;'Saisie de données'!$H$60&amp;"_"&amp;'Saisie de données'!$I$60&amp;"_S")&lt;='Synthèse résultat'!$E30,INDIRECT("Norex6_"&amp;'Saisie de données'!$H$60&amp;"_"&amp;'Saisie de données'!$I$60&amp;"_S"))),'Courbe Déflexion'!$BG$5:$BP$306,10,0)*VLOOKUP('Saisie de données'!$F$38,'Menu déroulant'!$AA$22:$AD$24,4,0),VLOOKUP(MAX(IF(INDIRECT("Norex6_"&amp;'Saisie de données'!$H$60&amp;"_"&amp;'Saisie de données'!$I$60&amp;"_M")&lt;='Synthèse résultat'!$E30,INDIRECT("Norex6_"&amp;'Saisie de données'!$H$60&amp;"_"&amp;'Saisie de données'!$I$60&amp;"_M"))),'Courbe Déflexion'!$FO$5:$FX$286,10,0)*VLOOKUP('Saisie de données'!$F$38,'Menu déroulant'!$AA$22:$AD$24,4,0))</f>
        <v>#N/A</v>
      </c>
      <c r="K30" s="411" t="e" cm="1">
        <f t="array" aca="1" ref="K30" ca="1">IF('Saisie de données'!$K$60='Menu déroulant'!$AA$34,VLOOKUP(MAX(IF(INDIRECT("Norex8_"&amp;'Saisie de données'!$H$60&amp;"_"&amp;'Saisie de données'!$I$60&amp;"_S")&lt;='Synthèse résultat'!$E30,INDIRECT("Norex8_"&amp;'Saisie de données'!$H$60&amp;"_"&amp;'Saisie de données'!$I$60&amp;"_S"))),'Courbe Déflexion'!$BR$5:$CA$306,10,0)*VLOOKUP('Saisie de données'!$F$38,'Menu déroulant'!$AA$22:$AD$24,4,0),VLOOKUP(MAX(IF(INDIRECT("Norex8_"&amp;'Saisie de données'!$H$60&amp;"_"&amp;'Saisie de données'!$I$60&amp;"_M")&lt;='Synthèse résultat'!$E30,INDIRECT("Norex8_"&amp;'Saisie de données'!$H$60&amp;"_"&amp;'Saisie de données'!$I$60&amp;"_M"))),'Courbe Déflexion'!$FZ$5:$GI$286,10,0)*VLOOKUP('Saisie de données'!$F$38,'Menu déroulant'!$AA$22:$AD$24,4,0))</f>
        <v>#N/A</v>
      </c>
      <c r="L30" s="411" t="e" cm="1">
        <f t="array" aca="1" ref="L30" ca="1">IF('Saisie de données'!$K$60='Menu déroulant'!$AA$34,VLOOKUP(MAX(IF(INDIRECT("Noroc4_"&amp;'Saisie de données'!$H$60&amp;"_"&amp;'Saisie de données'!$I$60&amp;"_S")&lt;='Synthèse résultat'!$E30,INDIRECT("Noroc4_"&amp;'Saisie de données'!$H$60&amp;"_"&amp;'Saisie de données'!$I$60&amp;"_S"))),'Courbe Déflexion'!$CC$5:$CL$306,10,0)*VLOOKUP('Saisie de données'!$F$38,'Menu déroulant'!$AA$22:$AD$24,4,0),VLOOKUP(MAX(IF(INDIRECT("Noroc4_"&amp;'Saisie de données'!$H$60&amp;"_"&amp;'Saisie de données'!$I$60&amp;"_M")&lt;='Synthèse résultat'!$E30,INDIRECT("Noroc4_"&amp;'Saisie de données'!$H$60&amp;"_"&amp;'Saisie de données'!$I$60&amp;"_M"))),'Courbe Déflexion'!$GK$5:$GT$286,10,0)*VLOOKUP('Saisie de données'!$F$38,'Menu déroulant'!$AA$22:$AD$24,4,0))</f>
        <v>#N/A</v>
      </c>
      <c r="M30" s="411" t="e" cm="1">
        <f t="array" aca="1" ref="M30" ca="1">IF('Saisie de données'!$K$60='Menu déroulant'!$AA$34,VLOOKUP(MAX(IF(INDIRECT("Noroc5_"&amp;'Saisie de données'!$H$60&amp;"_"&amp;'Saisie de données'!$I$60&amp;"_S")&lt;='Synthèse résultat'!$E30,INDIRECT("Noroc5_"&amp;'Saisie de données'!$H$60&amp;"_"&amp;'Saisie de données'!$I$60&amp;"_S"))),'Courbe Déflexion'!$CN$5:$CW$306,10,0)*VLOOKUP('Saisie de données'!$F$38,'Menu déroulant'!$AA$22:$AD$24,4,0),VLOOKUP(MAX(IF(INDIRECT("Noroc5_"&amp;'Saisie de données'!$H$60&amp;"_"&amp;'Saisie de données'!$I$60&amp;"_M")&lt;='Synthèse résultat'!$E30,INDIRECT("Noroc5_"&amp;'Saisie de données'!$H$60&amp;"_"&amp;'Saisie de données'!$I$60&amp;"_M"))),'Courbe Déflexion'!$GV$5:$HE$286,10,0)*VLOOKUP('Saisie de données'!$F$38,'Menu déroulant'!$AA$22:$AD$24,4,0))</f>
        <v>#N/A</v>
      </c>
      <c r="N30" s="411" t="e" cm="1">
        <f t="array" aca="1" ref="N30" ca="1">IF('Saisie de données'!$K$60='Menu déroulant'!$AA$34,VLOOKUP(MAX(IF(INDIRECT("Noroc6_"&amp;'Saisie de données'!$H$60&amp;"_"&amp;'Saisie de données'!$I$60&amp;"_S")&lt;='Synthèse résultat'!$E30,INDIRECT("Noroc6_"&amp;'Saisie de données'!$H$60&amp;"_"&amp;'Saisie de données'!$I$60&amp;"_S"))),'Courbe Déflexion'!$CY$5:$DH$306,10,0)*VLOOKUP('Saisie de données'!$F$38,'Menu déroulant'!$AA$22:$AD$24,4,0),VLOOKUP(MAX(IF(INDIRECT("Noroc6_"&amp;'Saisie de données'!$H$60&amp;"_"&amp;'Saisie de données'!$I$60&amp;"_M")&lt;='Synthèse résultat'!$E30,INDIRECT("Noroc6_"&amp;'Saisie de données'!$H$60&amp;"_"&amp;'Saisie de données'!$I$60&amp;"_M"))),'Courbe Déflexion'!$HG$5:$HP$286,10,0)*VLOOKUP('Saisie de données'!$F$38,'Menu déroulant'!$AA$22:$AD$24,4,0))</f>
        <v>#N/A</v>
      </c>
      <c r="O30" s="411" t="e" cm="1">
        <f t="array" aca="1" ref="O30" ca="1">IF('Saisie de données'!$K$60='Menu déroulant'!$AA$34,VLOOKUP(MAX(IF(INDIRECT("Noroc8_"&amp;'Saisie de données'!$H$60&amp;"_"&amp;'Saisie de données'!$I$60&amp;"_S")&lt;='Synthèse résultat'!$E30,INDIRECT("Noroc8_"&amp;'Saisie de données'!$H$60&amp;"_"&amp;'Saisie de données'!$I$60&amp;"_S"))),'Courbe Déflexion'!$DJ$5:$DS$306,10,0)*VLOOKUP('Saisie de données'!$F$38,'Menu déroulant'!$AA$22:$AD$24,4,0),VLOOKUP(MAX(IF(INDIRECT("Noroc8_"&amp;'Saisie de données'!$H$60&amp;"_"&amp;'Saisie de données'!$I$60&amp;"_M")&lt;='Synthèse résultat'!$E30,INDIRECT("Noroc8_"&amp;'Saisie de données'!$H$60&amp;"_"&amp;'Saisie de données'!$I$60&amp;"_M"))),'Courbe Déflexion'!$HR$5:$IA$286,10,0)*VLOOKUP('Saisie de données'!$F$38,'Menu déroulant'!$AA$22:$AD$24,4,0))</f>
        <v>#N/A</v>
      </c>
      <c r="P30" s="412">
        <f>VLOOKUP('Saisie de données'!$J$60,'Infos Techniques'!$U$15:$AF$43,12,0)*VLOOKUP('Saisie de données'!$F$38,'Menu déroulant'!$AA$22:$AD$24,4,0)</f>
        <v>10</v>
      </c>
      <c r="Q30" s="413" t="e">
        <f>IF('Saisie de données'!$C$60='Menu déroulant'!$AA$31,VLOOKUP(Q$29,'Infos Techniques'!$B$7:$H$12,2,0)/($E30*'Saisie de données'!$F$60/12),VLOOKUP(Q$29,'Infos Techniques'!$B$7:$H$12,5,0)/($E30*'Saisie de données'!$F$60/12))*VLOOKUP('Saisie de données'!$F$38,'Menu déroulant'!$AA$22:$AD$24,4,0)</f>
        <v>#N/A</v>
      </c>
      <c r="R30" s="413" t="e">
        <f>IF('Saisie de données'!$C$60='Menu déroulant'!$AA$31,VLOOKUP(R$29,'Infos Techniques'!$B$7:$H$12,2,0)/($E30*'Saisie de données'!$F$60/12),VLOOKUP(R$29,'Infos Techniques'!$B$7:$H$12,5,0)/($E30*'Saisie de données'!$F$60/12))*VLOOKUP('Saisie de données'!$F$38,'Menu déroulant'!$AA$22:$AD$24,4,0)</f>
        <v>#N/A</v>
      </c>
      <c r="S30" s="413" t="e">
        <f>IF('Saisie de données'!$C$60='Menu déroulant'!$AA$31,VLOOKUP(S$29,'Infos Techniques'!$B$7:$H$12,2,0)/($E30*'Saisie de données'!$F$60/12),VLOOKUP(S$29,'Infos Techniques'!$B$7:$H$12,5,0)/($E30*'Saisie de données'!$F$60/12))*VLOOKUP('Saisie de données'!$F$38,'Menu déroulant'!$AA$22:$AD$24,4,0)</f>
        <v>#N/A</v>
      </c>
      <c r="T30" s="413" t="e">
        <f>IF('Saisie de données'!$C$60='Menu déroulant'!$AA$31,VLOOKUP(T$29,'Infos Techniques'!$B$7:$H$12,2,0)/($E30*'Saisie de données'!$F$60/12),VLOOKUP(T$29,'Infos Techniques'!$B$7:$H$12,5,0)/($E30*'Saisie de données'!$F$60/12))*VLOOKUP('Saisie de données'!$F$38,'Menu déroulant'!$AA$22:$AD$24,4,0)</f>
        <v>#N/A</v>
      </c>
      <c r="U30" s="413" t="e">
        <f>IF('Saisie de données'!$C$60='Menu déroulant'!$AA$31,VLOOKUP(U$29,'Infos Techniques'!$B$7:$H$12,2,0)/($E30*'Saisie de données'!$F$60/12),VLOOKUP(U$29,'Infos Techniques'!$B$7:$H$12,5,0)/($E30*'Saisie de données'!$F$60/12))*VLOOKUP('Saisie de données'!$F$38,'Menu déroulant'!$AA$22:$AD$24,4,0)</f>
        <v>#N/A</v>
      </c>
      <c r="V30" s="413" t="e">
        <f>IF('Saisie de données'!$C$60='Menu déroulant'!$AA$31,VLOOKUP(V$29,'Infos Techniques'!$B$7:$H$12,4,0)/($E30*'Saisie de données'!$F$60/12),VLOOKUP(V$29,'Infos Techniques'!$B$7:$H$12,7,0)/($E30*'Saisie de données'!$F$60/12))*VLOOKUP('Saisie de données'!$F$38,'Menu déroulant'!$AA$22:$AD$24,4,0)</f>
        <v>#N/A</v>
      </c>
      <c r="W30" s="413" t="e">
        <f>IF('Saisie de données'!$C$60='Menu déroulant'!$AA$31,VLOOKUP(W$29,'Infos Techniques'!$B$7:$H$12,4,0)/($E30*'Saisie de données'!$F$60/12),VLOOKUP(W$29,'Infos Techniques'!$B$7:$H$12,7,0)/($E30*'Saisie de données'!$F$60/12))*VLOOKUP('Saisie de données'!$F$38,'Menu déroulant'!$AA$22:$AD$24,4,0)</f>
        <v>#N/A</v>
      </c>
      <c r="X30" s="413" t="e">
        <f>IF('Saisie de données'!$C$60='Menu déroulant'!$AA$31,VLOOKUP(X$29,'Infos Techniques'!$B$7:$H$12,4,0)/($E30*'Saisie de données'!$F$60/12),VLOOKUP(X$29,'Infos Techniques'!$B$7:$H$12,7,0)/($E30*'Saisie de données'!$F$60/12))*VLOOKUP('Saisie de données'!$F$38,'Menu déroulant'!$AA$22:$AD$24,4,0)</f>
        <v>#N/A</v>
      </c>
      <c r="Y30" s="413" t="e">
        <f>IF('Saisie de données'!$C$60='Menu déroulant'!$AA$31,VLOOKUP(Y$29,'Infos Techniques'!$B$7:$H$12,4,0)/($E30*'Saisie de données'!$F$60/12),VLOOKUP(Y$29,'Infos Techniques'!$B$7:$H$12,7,0)/($E30*'Saisie de données'!$F$60/12))*VLOOKUP('Saisie de données'!$F$38,'Menu déroulant'!$AA$22:$AD$24,4,0)</f>
        <v>#N/A</v>
      </c>
      <c r="Z30" s="413" t="e">
        <f>IF('Saisie de données'!$C$60='Menu déroulant'!$AA$31,VLOOKUP(Z$29,'Infos Techniques'!$B$7:$H$12,4,0)/($E30*'Saisie de données'!$F$60/12),VLOOKUP(Z$29,'Infos Techniques'!$B$7:$H$12,7,0)/($E30*'Saisie de données'!$F$60/12))*VLOOKUP('Saisie de données'!$F$38,'Menu déroulant'!$AA$22:$AD$24,4,0)</f>
        <v>#N/A</v>
      </c>
      <c r="AA30" s="440" t="e">
        <f>VLOOKUP(AA$29,'Infos Techniques'!$I$5:$K$12,2,0)/($E30*'Saisie de données'!$F$60/12)*VLOOKUP('Saisie de données'!$F$38,'Menu déroulant'!$AA$22:$AD$24,4,0)</f>
        <v>#N/A</v>
      </c>
      <c r="AB30" s="413" t="e">
        <f>VLOOKUP(AB$29,'Infos Techniques'!$I$5:$K$12,2,0)/($E30*'Saisie de données'!$F$60/12)*VLOOKUP('Saisie de données'!$F$38,'Menu déroulant'!$AA$22:$AD$24,4,0)</f>
        <v>#N/A</v>
      </c>
      <c r="AC30" s="413" t="e">
        <f>VLOOKUP(AC$29,'Infos Techniques'!$I$5:$K$12,2,0)/($E30*'Saisie de données'!$F$60/12)*VLOOKUP('Saisie de données'!$F$38,'Menu déroulant'!$AA$22:$AD$24,4,0)</f>
        <v>#N/A</v>
      </c>
      <c r="AD30" s="413" t="e">
        <f>VLOOKUP(AD$29,'Infos Techniques'!$I$5:$K$12,2,0)/($E30*'Saisie de données'!$F$60/12)*VLOOKUP('Saisie de données'!$F$38,'Menu déroulant'!$AA$22:$AD$24,4,0)</f>
        <v>#N/A</v>
      </c>
      <c r="AE30" s="413">
        <v>0</v>
      </c>
      <c r="AF30" s="413" t="e">
        <f>VLOOKUP(AF$29,'Infos Techniques'!$I$5:$K$12,2,0)/($E30*'Saisie de données'!$F$60/12)*VLOOKUP('Saisie de données'!$F$38,'Menu déroulant'!$AA$22:$AD$24,4,0)</f>
        <v>#N/A</v>
      </c>
      <c r="AG30" s="413" t="e">
        <f>VLOOKUP(AG$29,'Infos Techniques'!$I$5:$K$12,2,0)/($E30*'Saisie de données'!$F$60/12)*VLOOKUP('Saisie de données'!$F$38,'Menu déroulant'!$AA$22:$AD$24,4,0)</f>
        <v>#N/A</v>
      </c>
      <c r="AH30" s="413">
        <v>0</v>
      </c>
      <c r="AI30" s="441" t="e">
        <f>VLOOKUP(AI$29,'Infos Techniques'!$I$5:$K$12,3,0)/($E30*'Saisie de données'!$F$60/12)*VLOOKUP('Saisie de données'!$F$38,'Menu déroulant'!$AA$22:$AD$24,4,0)</f>
        <v>#N/A</v>
      </c>
      <c r="AJ30" s="441" t="e">
        <f>VLOOKUP(AJ$29,'Infos Techniques'!$I$5:$K$12,3,0)/($E30*'Saisie de données'!$F$60/12)*VLOOKUP('Saisie de données'!$F$38,'Menu déroulant'!$AA$22:$AD$24,4,0)</f>
        <v>#N/A</v>
      </c>
      <c r="AK30" s="441" t="e">
        <f>VLOOKUP(AK$29,'Infos Techniques'!$I$5:$K$12,3,0)/($E30*'Saisie de données'!$F$60/12)*VLOOKUP('Saisie de données'!$F$38,'Menu déroulant'!$AA$22:$AD$24,4,0)</f>
        <v>#N/A</v>
      </c>
      <c r="AL30" s="441" t="e">
        <f>VLOOKUP(AL$29,'Infos Techniques'!$I$5:$K$12,3,0)/($E30*'Saisie de données'!$F$60/12)*VLOOKUP('Saisie de données'!$F$38,'Menu déroulant'!$AA$22:$AD$24,4,0)</f>
        <v>#N/A</v>
      </c>
      <c r="AM30" s="441" t="e">
        <f>VLOOKUP(AM$29,'Infos Techniques'!$I$5:$K$12,3,0)/($E30*'Saisie de données'!$F$60/12)*VLOOKUP('Saisie de données'!$F$38,'Menu déroulant'!$AA$22:$AD$24,4,0)</f>
        <v>#N/A</v>
      </c>
      <c r="AN30" s="441" t="e">
        <f>VLOOKUP(AN$29,'Infos Techniques'!$I$5:$K$12,3,0)/($E30*'Saisie de données'!$F$60/12)*VLOOKUP('Saisie de données'!$F$38,'Menu déroulant'!$AA$22:$AD$24,4,0)</f>
        <v>#N/A</v>
      </c>
      <c r="AO30" s="441" t="e">
        <f>VLOOKUP(AO$29,'Infos Techniques'!$I$5:$K$12,3,0)/($E30*'Saisie de données'!$F$60/12)*VLOOKUP('Saisie de données'!$F$38,'Menu déroulant'!$AA$22:$AD$24,4,0)</f>
        <v>#N/A</v>
      </c>
      <c r="AP30" s="414" t="e">
        <f>VLOOKUP(AP$29,'Infos Techniques'!$I$5:$K$12,3,0)/($E30*'Saisie de données'!$F$60/12)*VLOOKUP('Saisie de données'!$F$38,'Menu déroulant'!$AA$22:$AD$24,4,0)</f>
        <v>#N/A</v>
      </c>
    </row>
    <row r="31" spans="1:44">
      <c r="A31" s="179"/>
      <c r="B31" s="1601"/>
      <c r="C31" s="1603"/>
      <c r="D31" s="28" t="s">
        <v>343</v>
      </c>
      <c r="E31" s="43" t="e">
        <f>IF(ISBLANK('Saisie de données'!$E$30),'Charges de vent'!E32*20.885*1.4,'Saisie de données'!$E$30)</f>
        <v>#N/A</v>
      </c>
      <c r="F31" s="415" t="e" cm="1">
        <f t="array" aca="1" ref="F31" ca="1">IF('Saisie de données'!$K$60='Menu déroulant'!$AA$34,VLOOKUP(MAX(IF(INDIRECT("Norex2_"&amp;'Saisie de données'!$H$60&amp;"_"&amp;'Saisie de données'!$I$60&amp;"_S")&lt;='Synthèse résultat'!$E31,INDIRECT("Norex2_"&amp;'Saisie de données'!$H$60&amp;"_"&amp;'Saisie de données'!$I$60&amp;"_S"))),'Courbe Déflexion'!O$5:$X$285,10,0)*VLOOKUP('Saisie de données'!$F$38,'Menu déroulant'!$AA$22:$AD$24,4,0),VLOOKUP(MAX(IF(INDIRECT("Norex2_"&amp;'Saisie de données'!$H$60&amp;"_"&amp;'Saisie de données'!$I$60&amp;"_M")&lt;='Synthèse résultat'!$E31,INDIRECT("Norex2_"&amp;'Saisie de données'!$H$60&amp;"_"&amp;'Saisie de données'!$I$60&amp;"_M"))),'Courbe Déflexion'!$DW$5:$EF$217,10,0)*VLOOKUP('Saisie de données'!$F$38,'Menu déroulant'!$AA$22:$AD$24,4,0))</f>
        <v>#N/A</v>
      </c>
      <c r="G31" s="415" t="e" cm="1">
        <f t="array" aca="1" ref="G31" ca="1">IF('Saisie de données'!$K$60='Menu déroulant'!$AA$34,VLOOKUP(MAX(IF(INDIRECT("Norex3_"&amp;'Saisie de données'!$H$60&amp;"_"&amp;'Saisie de données'!$I$60&amp;"_S")&lt;='Synthèse résultat'!$E31,INDIRECT("Norex3_"&amp;'Saisie de données'!$H$60&amp;"_"&amp;'Saisie de données'!$I$60&amp;"_S"))),'Courbe Déflexion'!$Z$5:$AI$329,10,0)*VLOOKUP('Saisie de données'!$F$38,'Menu déroulant'!$AA$22:$AD$24,4,0),VLOOKUP(MAX(IF(INDIRECT("Norex3_"&amp;'Saisie de données'!$H$60&amp;"_"&amp;'Saisie de données'!$I$60&amp;"_M")&lt;='Synthèse résultat'!$E31,INDIRECT("Norex3_"&amp;'Saisie de données'!$H$60&amp;"_"&amp;'Saisie de données'!$I$60&amp;"_M"))),'Courbe Déflexion'!$EH$5:$EQ$309,10,0)*VLOOKUP('Saisie de données'!$F$38,'Menu déroulant'!$AA$22:$AD$24,4,0))</f>
        <v>#N/A</v>
      </c>
      <c r="H31" s="415" t="e" cm="1">
        <f t="array" aca="1" ref="H31" ca="1">IF('Saisie de données'!$K$60='Menu déroulant'!$AA$34,VLOOKUP(MAX(IF(INDIRECT("Norex4_"&amp;'Saisie de données'!$H$60&amp;"_"&amp;'Saisie de données'!$I$60&amp;"_S")&lt;='Synthèse résultat'!$E31,INDIRECT("Norex4_"&amp;'Saisie de données'!$H$60&amp;"_"&amp;'Saisie de données'!$I$60&amp;"_S"))),'Courbe Déflexion'!$AK$5:$AT$306,10,0)*VLOOKUP('Saisie de données'!$F$38,'Menu déroulant'!$AA$22:$AD$24,4,0),VLOOKUP(MAX(IF(INDIRECT("Norex4_"&amp;'Saisie de données'!$H$60&amp;"_"&amp;'Saisie de données'!$I$60&amp;"_M")&lt;='Synthèse résultat'!$E31,INDIRECT("Norex4_"&amp;'Saisie de données'!$H$60&amp;"_"&amp;'Saisie de données'!$I$60&amp;"_M"))),'Courbe Déflexion'!$ES$5:$FB$285,10,0)*VLOOKUP('Saisie de données'!$F$38,'Menu déroulant'!$AA$22:$AD$24,4,0))</f>
        <v>#N/A</v>
      </c>
      <c r="I31" s="415" t="e" cm="1">
        <f t="array" aca="1" ref="I31" ca="1">IF('Saisie de données'!$K$60='Menu déroulant'!$AA$34,VLOOKUP(MAX(IF(INDIRECT("Norex5_"&amp;'Saisie de données'!$H$60&amp;"_"&amp;'Saisie de données'!$I$60&amp;"_S")&lt;='Synthèse résultat'!$E31,INDIRECT("Norex5_"&amp;'Saisie de données'!$H$60&amp;"_"&amp;'Saisie de données'!$I$60&amp;"_S"))),'Courbe Déflexion'!$AV$5:$BE$306,10,0)*VLOOKUP('Saisie de données'!$F$38,'Menu déroulant'!$AA$22:$AD$24,4,0),VLOOKUP(MAX(IF(INDIRECT("Norex5_"&amp;'Saisie de données'!$H$60&amp;"_"&amp;'Saisie de données'!$I$60&amp;"_M")&lt;='Synthèse résultat'!$E31,INDIRECT("Norex5_"&amp;'Saisie de données'!$H$60&amp;"_"&amp;'Saisie de données'!$I$60&amp;"_M"))),'Courbe Déflexion'!$FD$5:$FM$285,10,0)*VLOOKUP('Saisie de données'!$F$38,'Menu déroulant'!$AA$22:$AD$24,4,0))</f>
        <v>#N/A</v>
      </c>
      <c r="J31" s="415" t="e" cm="1">
        <f t="array" aca="1" ref="J31" ca="1">IF('Saisie de données'!$K$60='Menu déroulant'!$AA$34,VLOOKUP(MAX(IF(INDIRECT("Norex6_"&amp;'Saisie de données'!$H$60&amp;"_"&amp;'Saisie de données'!$I$60&amp;"_S")&lt;='Synthèse résultat'!$E31,INDIRECT("Norex6_"&amp;'Saisie de données'!$H$60&amp;"_"&amp;'Saisie de données'!$I$60&amp;"_S"))),'Courbe Déflexion'!$BG$5:$BP$306,10,0)*VLOOKUP('Saisie de données'!$F$38,'Menu déroulant'!$AA$22:$AD$24,4,0),VLOOKUP(MAX(IF(INDIRECT("Norex6_"&amp;'Saisie de données'!$H$60&amp;"_"&amp;'Saisie de données'!$I$60&amp;"_M")&lt;='Synthèse résultat'!$E31,INDIRECT("Norex6_"&amp;'Saisie de données'!$H$60&amp;"_"&amp;'Saisie de données'!$I$60&amp;"_M"))),'Courbe Déflexion'!$FO$5:$FX$286,10,0)*VLOOKUP('Saisie de données'!$F$38,'Menu déroulant'!$AA$22:$AD$24,4,0))</f>
        <v>#N/A</v>
      </c>
      <c r="K31" s="415" t="e" cm="1">
        <f t="array" aca="1" ref="K31" ca="1">IF('Saisie de données'!$K$60='Menu déroulant'!$AA$34,VLOOKUP(MAX(IF(INDIRECT("Norex8_"&amp;'Saisie de données'!$H$60&amp;"_"&amp;'Saisie de données'!$I$60&amp;"_S")&lt;='Synthèse résultat'!$E31,INDIRECT("Norex8_"&amp;'Saisie de données'!$H$60&amp;"_"&amp;'Saisie de données'!$I$60&amp;"_S"))),'Courbe Déflexion'!$BR$5:$CA$306,10,0)*VLOOKUP('Saisie de données'!$F$38,'Menu déroulant'!$AA$22:$AD$24,4,0),VLOOKUP(MAX(IF(INDIRECT("Norex8_"&amp;'Saisie de données'!$H$60&amp;"_"&amp;'Saisie de données'!$I$60&amp;"_M")&lt;='Synthèse résultat'!$E31,INDIRECT("Norex8_"&amp;'Saisie de données'!$H$60&amp;"_"&amp;'Saisie de données'!$I$60&amp;"_M"))),'Courbe Déflexion'!$FZ$5:$GI$286,10,0)*VLOOKUP('Saisie de données'!$F$38,'Menu déroulant'!$AA$22:$AD$24,4,0))</f>
        <v>#N/A</v>
      </c>
      <c r="L31" s="415" t="e" cm="1">
        <f t="array" aca="1" ref="L31" ca="1">IF('Saisie de données'!$K$60='Menu déroulant'!$AA$34,VLOOKUP(MAX(IF(INDIRECT("Noroc4_"&amp;'Saisie de données'!$H$60&amp;"_"&amp;'Saisie de données'!$I$60&amp;"_S")&lt;='Synthèse résultat'!$E31,INDIRECT("Noroc4_"&amp;'Saisie de données'!$H$60&amp;"_"&amp;'Saisie de données'!$I$60&amp;"_S"))),'Courbe Déflexion'!$CC$5:$CL$306,10,0)*VLOOKUP('Saisie de données'!$F$38,'Menu déroulant'!$AA$22:$AD$24,4,0),VLOOKUP(MAX(IF(INDIRECT("Noroc4_"&amp;'Saisie de données'!$H$60&amp;"_"&amp;'Saisie de données'!$I$60&amp;"_M")&lt;='Synthèse résultat'!$E31,INDIRECT("Noroc4_"&amp;'Saisie de données'!$H$60&amp;"_"&amp;'Saisie de données'!$I$60&amp;"_M"))),'Courbe Déflexion'!$GK$5:$GT$286,10,0)*VLOOKUP('Saisie de données'!$F$38,'Menu déroulant'!$AA$22:$AD$24,4,0))</f>
        <v>#N/A</v>
      </c>
      <c r="M31" s="415" t="e" cm="1">
        <f t="array" aca="1" ref="M31" ca="1">IF('Saisie de données'!$K$60='Menu déroulant'!$AA$34,VLOOKUP(MAX(IF(INDIRECT("Noroc5_"&amp;'Saisie de données'!$H$60&amp;"_"&amp;'Saisie de données'!$I$60&amp;"_S")&lt;='Synthèse résultat'!$E31,INDIRECT("Noroc5_"&amp;'Saisie de données'!$H$60&amp;"_"&amp;'Saisie de données'!$I$60&amp;"_S"))),'Courbe Déflexion'!$CN$5:$CW$306,10,0)*VLOOKUP('Saisie de données'!$F$38,'Menu déroulant'!$AA$22:$AD$24,4,0),VLOOKUP(MAX(IF(INDIRECT("Noroc5_"&amp;'Saisie de données'!$H$60&amp;"_"&amp;'Saisie de données'!$I$60&amp;"_M")&lt;='Synthèse résultat'!$E31,INDIRECT("Noroc5_"&amp;'Saisie de données'!$H$60&amp;"_"&amp;'Saisie de données'!$I$60&amp;"_M"))),'Courbe Déflexion'!$GV$5:$HE$286,10,0)*VLOOKUP('Saisie de données'!$F$38,'Menu déroulant'!$AA$22:$AD$24,4,0))</f>
        <v>#N/A</v>
      </c>
      <c r="N31" s="415" t="e" cm="1">
        <f t="array" aca="1" ref="N31" ca="1">IF('Saisie de données'!$K$60='Menu déroulant'!$AA$34,VLOOKUP(MAX(IF(INDIRECT("Noroc6_"&amp;'Saisie de données'!$H$60&amp;"_"&amp;'Saisie de données'!$I$60&amp;"_S")&lt;='Synthèse résultat'!$E31,INDIRECT("Noroc6_"&amp;'Saisie de données'!$H$60&amp;"_"&amp;'Saisie de données'!$I$60&amp;"_S"))),'Courbe Déflexion'!$CY$5:$DH$306,10,0)*VLOOKUP('Saisie de données'!$F$38,'Menu déroulant'!$AA$22:$AD$24,4,0),VLOOKUP(MAX(IF(INDIRECT("Noroc6_"&amp;'Saisie de données'!$H$60&amp;"_"&amp;'Saisie de données'!$I$60&amp;"_M")&lt;='Synthèse résultat'!$E31,INDIRECT("Noroc6_"&amp;'Saisie de données'!$H$60&amp;"_"&amp;'Saisie de données'!$I$60&amp;"_M"))),'Courbe Déflexion'!$HG$5:$HP$286,10,0)*VLOOKUP('Saisie de données'!$F$38,'Menu déroulant'!$AA$22:$AD$24,4,0))</f>
        <v>#N/A</v>
      </c>
      <c r="O31" s="415" t="e" cm="1">
        <f t="array" aca="1" ref="O31" ca="1">IF('Saisie de données'!$K$60='Menu déroulant'!$AA$34,VLOOKUP(MAX(IF(INDIRECT("Noroc8_"&amp;'Saisie de données'!$H$60&amp;"_"&amp;'Saisie de données'!$I$60&amp;"_S")&lt;='Synthèse résultat'!$E31,INDIRECT("Noroc8_"&amp;'Saisie de données'!$H$60&amp;"_"&amp;'Saisie de données'!$I$60&amp;"_S"))),'Courbe Déflexion'!$DJ$5:$DS$306,10,0)*VLOOKUP('Saisie de données'!$F$38,'Menu déroulant'!$AA$22:$AD$24,4,0),VLOOKUP(MAX(IF(INDIRECT("Noroc8_"&amp;'Saisie de données'!$H$60&amp;"_"&amp;'Saisie de données'!$I$60&amp;"_M")&lt;='Synthèse résultat'!$E31,INDIRECT("Noroc8_"&amp;'Saisie de données'!$H$60&amp;"_"&amp;'Saisie de données'!$I$60&amp;"_M"))),'Courbe Déflexion'!$HR$5:$IA$286,10,0)*VLOOKUP('Saisie de données'!$F$38,'Menu déroulant'!$AA$22:$AD$24,4,0))</f>
        <v>#N/A</v>
      </c>
      <c r="P31" s="416">
        <f>VLOOKUP('Saisie de données'!$J$60,'Infos Techniques'!$U$15:$AF$43,12,0)*VLOOKUP('Saisie de données'!$F$38,'Menu déroulant'!$AA$22:$AD$24,4,0)</f>
        <v>10</v>
      </c>
      <c r="Q31" s="326" t="e">
        <f>IF('Saisie de données'!$C$60='Menu déroulant'!$AA$31,VLOOKUP(Q$29,'Infos Techniques'!$B$7:$H$12,2,0)/($E31*'Saisie de données'!$F$60/12),VLOOKUP(Q$29,'Infos Techniques'!$B$7:$H$12,5,0)/($E31*'Saisie de données'!$F$60/12))*VLOOKUP('Saisie de données'!$F$38,'Menu déroulant'!$AA$22:$AD$24,4,0)</f>
        <v>#N/A</v>
      </c>
      <c r="R31" s="326" t="e">
        <f>IF('Saisie de données'!$C$60='Menu déroulant'!$AA$31,VLOOKUP(R$29,'Infos Techniques'!$B$7:$H$12,2,0)/($E31*'Saisie de données'!$F$60/12),VLOOKUP(R$29,'Infos Techniques'!$B$7:$H$12,5,0)/($E31*'Saisie de données'!$F$60/12))*VLOOKUP('Saisie de données'!$F$38,'Menu déroulant'!$AA$22:$AD$24,4,0)</f>
        <v>#N/A</v>
      </c>
      <c r="S31" s="326" t="e">
        <f>IF('Saisie de données'!$C$60='Menu déroulant'!$AA$31,VLOOKUP(S$29,'Infos Techniques'!$B$7:$H$12,2,0)/($E31*'Saisie de données'!$F$60/12),VLOOKUP(S$29,'Infos Techniques'!$B$7:$H$12,5,0)/($E31*'Saisie de données'!$F$60/12))*VLOOKUP('Saisie de données'!$F$38,'Menu déroulant'!$AA$22:$AD$24,4,0)</f>
        <v>#N/A</v>
      </c>
      <c r="T31" s="326" t="e">
        <f>IF('Saisie de données'!$C$60='Menu déroulant'!$AA$31,VLOOKUP(T$29,'Infos Techniques'!$B$7:$H$12,2,0)/($E31*'Saisie de données'!$F$60/12),VLOOKUP(T$29,'Infos Techniques'!$B$7:$H$12,5,0)/($E31*'Saisie de données'!$F$60/12))*VLOOKUP('Saisie de données'!$F$38,'Menu déroulant'!$AA$22:$AD$24,4,0)</f>
        <v>#N/A</v>
      </c>
      <c r="U31" s="326" t="e">
        <f>IF('Saisie de données'!$C$60='Menu déroulant'!$AA$31,VLOOKUP(U$29,'Infos Techniques'!$B$7:$H$12,2,0)/($E31*'Saisie de données'!$F$60/12),VLOOKUP(U$29,'Infos Techniques'!$B$7:$H$12,5,0)/($E31*'Saisie de données'!$F$60/12))*VLOOKUP('Saisie de données'!$F$38,'Menu déroulant'!$AA$22:$AD$24,4,0)</f>
        <v>#N/A</v>
      </c>
      <c r="V31" s="326" t="e">
        <f>IF('Saisie de données'!$C$60='Menu déroulant'!$AA$31,VLOOKUP(V$29,'Infos Techniques'!$B$7:$H$12,4,0)/($E31*'Saisie de données'!$F$60/12),VLOOKUP(V$29,'Infos Techniques'!$B$7:$H$12,7,0)/($E31*'Saisie de données'!$F$60/12))*VLOOKUP('Saisie de données'!$F$38,'Menu déroulant'!$AA$22:$AD$24,4,0)</f>
        <v>#N/A</v>
      </c>
      <c r="W31" s="326" t="e">
        <f>IF('Saisie de données'!$C$60='Menu déroulant'!$AA$31,VLOOKUP(W$29,'Infos Techniques'!$B$7:$H$12,4,0)/($E31*'Saisie de données'!$F$60/12),VLOOKUP(W$29,'Infos Techniques'!$B$7:$H$12,7,0)/($E31*'Saisie de données'!$F$60/12))*VLOOKUP('Saisie de données'!$F$38,'Menu déroulant'!$AA$22:$AD$24,4,0)</f>
        <v>#N/A</v>
      </c>
      <c r="X31" s="326" t="e">
        <f>IF('Saisie de données'!$C$60='Menu déroulant'!$AA$31,VLOOKUP(X$29,'Infos Techniques'!$B$7:$H$12,4,0)/($E31*'Saisie de données'!$F$60/12),VLOOKUP(X$29,'Infos Techniques'!$B$7:$H$12,7,0)/($E31*'Saisie de données'!$F$60/12))*VLOOKUP('Saisie de données'!$F$38,'Menu déroulant'!$AA$22:$AD$24,4,0)</f>
        <v>#N/A</v>
      </c>
      <c r="Y31" s="326" t="e">
        <f>IF('Saisie de données'!$C$60='Menu déroulant'!$AA$31,VLOOKUP(Y$29,'Infos Techniques'!$B$7:$H$12,4,0)/($E31*'Saisie de données'!$F$60/12),VLOOKUP(Y$29,'Infos Techniques'!$B$7:$H$12,7,0)/($E31*'Saisie de données'!$F$60/12))*VLOOKUP('Saisie de données'!$F$38,'Menu déroulant'!$AA$22:$AD$24,4,0)</f>
        <v>#N/A</v>
      </c>
      <c r="Z31" s="417" t="e">
        <f>IF('Saisie de données'!$C$60='Menu déroulant'!$AA$31,VLOOKUP(Z$29,'Infos Techniques'!$B$7:$H$12,4,0)/($E31*'Saisie de données'!$F$60/12),VLOOKUP(Z$29,'Infos Techniques'!$B$7:$H$12,7,0)/($E31*'Saisie de données'!$F$60/12))*VLOOKUP('Saisie de données'!$F$38,'Menu déroulant'!$AA$22:$AD$24,4,0)</f>
        <v>#N/A</v>
      </c>
      <c r="AA31" s="442" t="e">
        <f>VLOOKUP(AA$29,'Infos Techniques'!$I$5:$K$12,2,0)/($E31*'Saisie de données'!$F$60/12)*VLOOKUP('Saisie de données'!$F$38,'Menu déroulant'!$AA$22:$AD$24,4,0)</f>
        <v>#N/A</v>
      </c>
      <c r="AB31" s="326" t="e">
        <f>VLOOKUP(AB$29,'Infos Techniques'!$I$5:$K$12,2,0)/($E31*'Saisie de données'!$F$60/12)*VLOOKUP('Saisie de données'!$F$38,'Menu déroulant'!$AA$22:$AD$24,4,0)</f>
        <v>#N/A</v>
      </c>
      <c r="AC31" s="326" t="e">
        <f>VLOOKUP(AC$29,'Infos Techniques'!$I$5:$K$12,2,0)/($E31*'Saisie de données'!$F$60/12)*VLOOKUP('Saisie de données'!$F$38,'Menu déroulant'!$AA$22:$AD$24,4,0)</f>
        <v>#N/A</v>
      </c>
      <c r="AD31" s="326" t="e">
        <f>VLOOKUP(AD$29,'Infos Techniques'!$I$5:$K$12,2,0)/($E31*'Saisie de données'!$F$60/12)*VLOOKUP('Saisie de données'!$F$38,'Menu déroulant'!$AA$22:$AD$24,4,0)</f>
        <v>#N/A</v>
      </c>
      <c r="AE31" s="326">
        <v>0</v>
      </c>
      <c r="AF31" s="326" t="e">
        <f>VLOOKUP(AF$29,'Infos Techniques'!$I$5:$K$12,2,0)/($E31*'Saisie de données'!$F$60/12)*VLOOKUP('Saisie de données'!$F$38,'Menu déroulant'!$AA$22:$AD$24,4,0)</f>
        <v>#N/A</v>
      </c>
      <c r="AG31" s="326" t="e">
        <f>VLOOKUP(AG$29,'Infos Techniques'!$I$5:$K$12,2,0)/($E31*'Saisie de données'!$F$60/12)*VLOOKUP('Saisie de données'!$F$38,'Menu déroulant'!$AA$22:$AD$24,4,0)</f>
        <v>#N/A</v>
      </c>
      <c r="AH31" s="326">
        <v>0</v>
      </c>
      <c r="AI31" s="326" t="e">
        <f>VLOOKUP(AI$29,'Infos Techniques'!$I$5:$K$12,3,0)/($E31*'Saisie de données'!$F$60/12)*VLOOKUP('Saisie de données'!$F$38,'Menu déroulant'!$AA$22:$AD$24,4,0)</f>
        <v>#N/A</v>
      </c>
      <c r="AJ31" s="326" t="e">
        <f>VLOOKUP(AJ$29,'Infos Techniques'!$I$5:$K$12,3,0)/($E31*'Saisie de données'!$F$60/12)*VLOOKUP('Saisie de données'!$F$38,'Menu déroulant'!$AA$22:$AD$24,4,0)</f>
        <v>#N/A</v>
      </c>
      <c r="AK31" s="326" t="e">
        <f>VLOOKUP(AK$29,'Infos Techniques'!$I$5:$K$12,3,0)/($E31*'Saisie de données'!$F$60/12)*VLOOKUP('Saisie de données'!$F$38,'Menu déroulant'!$AA$22:$AD$24,4,0)</f>
        <v>#N/A</v>
      </c>
      <c r="AL31" s="326" t="e">
        <f>VLOOKUP(AL$29,'Infos Techniques'!$I$5:$K$12,3,0)/($E31*'Saisie de données'!$F$60/12)*VLOOKUP('Saisie de données'!$F$38,'Menu déroulant'!$AA$22:$AD$24,4,0)</f>
        <v>#N/A</v>
      </c>
      <c r="AM31" s="326" t="e">
        <f>VLOOKUP(AM$29,'Infos Techniques'!$I$5:$K$12,3,0)/($E31*'Saisie de données'!$F$60/12)*VLOOKUP('Saisie de données'!$F$38,'Menu déroulant'!$AA$22:$AD$24,4,0)</f>
        <v>#N/A</v>
      </c>
      <c r="AN31" s="326" t="e">
        <f>VLOOKUP(AN$29,'Infos Techniques'!$I$5:$K$12,3,0)/($E31*'Saisie de données'!$F$60/12)*VLOOKUP('Saisie de données'!$F$38,'Menu déroulant'!$AA$22:$AD$24,4,0)</f>
        <v>#N/A</v>
      </c>
      <c r="AO31" s="326" t="e">
        <f>VLOOKUP(AO$29,'Infos Techniques'!$I$5:$K$12,3,0)/($E31*'Saisie de données'!$F$60/12)*VLOOKUP('Saisie de données'!$F$38,'Menu déroulant'!$AA$22:$AD$24,4,0)</f>
        <v>#N/A</v>
      </c>
      <c r="AP31" s="417" t="e">
        <f>VLOOKUP(AP$29,'Infos Techniques'!$I$5:$K$12,3,0)/($E31*'Saisie de données'!$F$60/12)*VLOOKUP('Saisie de données'!$F$38,'Menu déroulant'!$AA$22:$AD$24,4,0)</f>
        <v>#N/A</v>
      </c>
    </row>
    <row r="32" spans="1:44">
      <c r="A32" s="179"/>
      <c r="B32" s="1601"/>
      <c r="C32" s="1603" t="s">
        <v>111</v>
      </c>
      <c r="D32" s="28" t="s">
        <v>342</v>
      </c>
      <c r="E32" s="43" t="e">
        <f>IF(ISBLANK('Saisie de données'!$E$31),'Charges de vent'!D33*20.885*1.4,0)</f>
        <v>#N/A</v>
      </c>
      <c r="F32" s="415" t="e" cm="1">
        <f t="array" aca="1" ref="F32" ca="1">VLOOKUP(MAX(IF(INDIRECT("Norex2_"&amp;'Saisie de données'!$H$60&amp;"_"&amp;'Saisie de données'!$I$60&amp;"_S")&lt;='Synthèse résultat'!$E32,INDIRECT("Norex2_"&amp;'Saisie de données'!$H$60&amp;"_"&amp;'Saisie de données'!$I$60&amp;"_S"))),'Courbe Déflexion'!O$5:$X$285,10,0)*0.3798*VLOOKUP('Saisie de données'!$F$38,'Menu déroulant'!$AA$22:$AD$24,4,0)</f>
        <v>#N/A</v>
      </c>
      <c r="G32" s="415" t="e" cm="1">
        <f t="array" aca="1" ref="G32" ca="1">VLOOKUP(MAX(IF(INDIRECT("Norex3_"&amp;'Saisie de données'!$H$60&amp;"_"&amp;'Saisie de données'!$I$60&amp;"_S")&lt;='Synthèse résultat'!$E32,INDIRECT("Norex3_"&amp;'Saisie de données'!$H$60&amp;"_"&amp;'Saisie de données'!$I$60&amp;"_S"))),'Courbe Déflexion'!Z$5:$AI$285,10,0)*0.3798*VLOOKUP('Saisie de données'!$F$38,'Menu déroulant'!$AA$22:$AD$24,4,0)</f>
        <v>#N/A</v>
      </c>
      <c r="H32" s="415" t="e" cm="1">
        <f t="array" aca="1" ref="H32" ca="1">VLOOKUP(MAX(IF(INDIRECT("Norex4_"&amp;'Saisie de données'!$H$60&amp;"_"&amp;'Saisie de données'!$I$60&amp;"_S")&lt;='Synthèse résultat'!$E32,INDIRECT("Norex4_"&amp;'Saisie de données'!$H$60&amp;"_"&amp;'Saisie de données'!$I$60&amp;"_S"))),'Courbe Déflexion'!$AK$5:$AT$306,10,0)*0.3798*VLOOKUP('Saisie de données'!$F$38,'Menu déroulant'!$AA$22:$AD$24,4,0)</f>
        <v>#N/A</v>
      </c>
      <c r="I32" s="415" t="e" cm="1">
        <f t="array" aca="1" ref="I32" ca="1">VLOOKUP(MAX(IF(INDIRECT("Norex5_"&amp;'Saisie de données'!$H$60&amp;"_"&amp;'Saisie de données'!$I$60&amp;"_S")&lt;='Synthèse résultat'!$E32,INDIRECT("Norex5_"&amp;'Saisie de données'!$H$60&amp;"_"&amp;'Saisie de données'!$I$60&amp;"_S"))),'Courbe Déflexion'!$AV$5:$BE$306,10,0)*0.3798*VLOOKUP('Saisie de données'!$F$38,'Menu déroulant'!$AA$22:$AD$24,4,0)</f>
        <v>#N/A</v>
      </c>
      <c r="J32" s="415" t="e" cm="1">
        <f t="array" aca="1" ref="J32" ca="1">VLOOKUP(MAX(IF(INDIRECT("Norex6_"&amp;'Saisie de données'!$H$60&amp;"_"&amp;'Saisie de données'!$I$60&amp;"_S")&lt;='Synthèse résultat'!$E32,INDIRECT("Norex6_"&amp;'Saisie de données'!$H$60&amp;"_"&amp;'Saisie de données'!$I$60&amp;"_S"))),'Courbe Déflexion'!$BG$5:$BP$306,10,0)*0.3798*VLOOKUP('Saisie de données'!$F$38,'Menu déroulant'!$AA$22:$AD$24,4,0)</f>
        <v>#N/A</v>
      </c>
      <c r="K32" s="415" t="e" cm="1">
        <f t="array" aca="1" ref="K32" ca="1">VLOOKUP(MAX(IF(INDIRECT("Norex8_"&amp;'Saisie de données'!$H$60&amp;"_"&amp;'Saisie de données'!$I$60&amp;"_S")&lt;='Synthèse résultat'!$E32,INDIRECT("Norex8_"&amp;'Saisie de données'!$H$60&amp;"_"&amp;'Saisie de données'!$I$60&amp;"_S"))),'Courbe Déflexion'!$BR$5:$CA$306,10,0)*0.3798*VLOOKUP('Saisie de données'!$F$38,'Menu déroulant'!$AA$22:$AD$24,4,0)</f>
        <v>#N/A</v>
      </c>
      <c r="L32" s="415" t="e" cm="1">
        <f t="array" aca="1" ref="L32" ca="1">VLOOKUP(MAX(IF(INDIRECT("Noroc4_"&amp;'Saisie de données'!$H$60&amp;"_"&amp;'Saisie de données'!$I$60&amp;"_S")&lt;='Synthèse résultat'!$E32,INDIRECT("Noroc4_"&amp;'Saisie de données'!$H$60&amp;"_"&amp;'Saisie de données'!$I$60&amp;"_S"))),'Courbe Déflexion'!$CC$5:$CL$306,10,0)*0.3798*VLOOKUP('Saisie de données'!$F$38,'Menu déroulant'!$AA$22:$AD$24,4,0)</f>
        <v>#N/A</v>
      </c>
      <c r="M32" s="415" t="e" cm="1">
        <f t="array" aca="1" ref="M32" ca="1">VLOOKUP(MAX(IF(INDIRECT("Noroc5_"&amp;'Saisie de données'!$H$60&amp;"_"&amp;'Saisie de données'!$I$60&amp;"_S")&lt;='Synthèse résultat'!$E32,INDIRECT("Noroc5_"&amp;'Saisie de données'!$H$60&amp;"_"&amp;'Saisie de données'!$I$60&amp;"_S"))),'Courbe Déflexion'!$CN$5:$CW$306,10,0)*0.3798*VLOOKUP('Saisie de données'!$F$38,'Menu déroulant'!$AA$22:$AD$24,4,0)</f>
        <v>#N/A</v>
      </c>
      <c r="N32" s="415" t="e" cm="1">
        <f t="array" aca="1" ref="N32" ca="1">VLOOKUP(MAX(IF(INDIRECT("Noroc6_"&amp;'Saisie de données'!$H$60&amp;"_"&amp;'Saisie de données'!$I$60&amp;"_S")&lt;='Synthèse résultat'!$E32,INDIRECT("Noroc6_"&amp;'Saisie de données'!$H$60&amp;"_"&amp;'Saisie de données'!$I$60&amp;"_S"))),'Courbe Déflexion'!$CY$5:$DH$306,10,0)*0.3798*VLOOKUP('Saisie de données'!$F$38,'Menu déroulant'!$AA$22:$AD$24,4,0)</f>
        <v>#N/A</v>
      </c>
      <c r="O32" s="415" t="e" cm="1">
        <f t="array" aca="1" ref="O32" ca="1">VLOOKUP(MAX(IF(INDIRECT("Noroc8_"&amp;'Saisie de données'!$H$60&amp;"_"&amp;'Saisie de données'!$I$60&amp;"_S")&lt;='Synthèse résultat'!$E32,INDIRECT("Noroc8_"&amp;'Saisie de données'!$H$60&amp;"_"&amp;'Saisie de données'!$I$60&amp;"_S"))),'Courbe Déflexion'!$DJ$5:$DS$306,10,0)*0.3798*VLOOKUP('Saisie de données'!$F$38,'Menu déroulant'!$AA$22:$AD$24,4,0)</f>
        <v>#N/A</v>
      </c>
      <c r="P32" s="416">
        <f>VLOOKUP('Saisie de données'!$J$60,'Infos Techniques'!$U$15:$AF$43,12,0)*VLOOKUP('Saisie de données'!$F$38,'Menu déroulant'!$AA$22:$AD$24,4,0)</f>
        <v>10</v>
      </c>
      <c r="Q32" s="326" t="e">
        <f ca="1">IF('Saisie de données'!$C$60='Menu déroulant'!$AA$31,(VLOOKUP(Q$29,'Infos Techniques'!$B$7:$H$12,2,0)/('Saisie de données'!$F$60/12)-(Francais10p!$I$58/2*E30))/E32,(VLOOKUP(Q$29,'Infos Techniques'!$B$7:$H$12,5,0)/('Saisie de données'!$F$60/12)-(Francais10p!$I$58/2*E30))/E32)*VLOOKUP('Saisie de données'!$F$38,'Menu déroulant'!$AA$22:$AD$24,4,0)</f>
        <v>#VALUE!</v>
      </c>
      <c r="R32" s="326" t="e">
        <f ca="1">IF('Saisie de données'!$C$60='Menu déroulant'!$AA$31,(VLOOKUP(R$29,'Infos Techniques'!$B$7:$H$12,2,0)/('Saisie de données'!$F$60/12)-(Francais10p!$I$58/2*E30))/E32,(VLOOKUP(R$29,'Infos Techniques'!$B$7:$H$12,5,0)/('Saisie de données'!$F$60/12)-(Francais10p!$I$58/2*E30))/E32)*VLOOKUP('Saisie de données'!$F$38,'Menu déroulant'!$AA$22:$AD$24,4,0)</f>
        <v>#VALUE!</v>
      </c>
      <c r="S32" s="326" t="e">
        <f ca="1">IF('Saisie de données'!$C$60='Menu déroulant'!$AA$31,(VLOOKUP(S$29,'Infos Techniques'!$B$7:$H$12,2,0)/('Saisie de données'!$F$60/12)-(Francais10p!$I$59/2*E30))/E32,(VLOOKUP(S$29,'Infos Techniques'!$B$7:$H$12,5,0)/('Saisie de données'!$F$60/12)-(Francais10p!$I$59/2*E30))/E32)*VLOOKUP('Saisie de données'!$F$38,'Menu déroulant'!$AA$22:$AD$24,4,0)</f>
        <v>#VALUE!</v>
      </c>
      <c r="T32" s="326" t="e">
        <f ca="1">IF('Saisie de données'!$C$60='Menu déroulant'!$AA$31,(VLOOKUP(T$29,'Infos Techniques'!$B$7:$H$12,2,0)/('Saisie de données'!$F$60/12)-(Francais10p!$I$60/2*E30))/E32,(VLOOKUP(T$29,'Infos Techniques'!$B$7:$H$12,5,0)/('Saisie de données'!$F$60/12)-(Francais10p!$I$60/2*E30))/E32)*VLOOKUP('Saisie de données'!$F$38,'Menu déroulant'!$AA$22:$AD$24,4,0)</f>
        <v>#VALUE!</v>
      </c>
      <c r="U32" s="326" t="e">
        <f ca="1">IF('Saisie de données'!$C$60='Menu déroulant'!$AA$31,(VLOOKUP(U$29,'Infos Techniques'!$B$7:$H$12,2,0)/('Saisie de données'!$F$60/12)-(Francais10p!$I$61/2*E30))/E32,(VLOOKUP(U$29,'Infos Techniques'!$B$7:$H$12,5,0)/('Saisie de données'!$F$60/12)-(Francais10p!$I$61/2*E30))/E32)*VLOOKUP('Saisie de données'!$F$38,'Menu déroulant'!$AA$22:$AD$24,4,0)</f>
        <v>#VALUE!</v>
      </c>
      <c r="V32" s="326" t="e">
        <f ca="1">IF('Saisie de données'!$C$60='Menu déroulant'!$AA$31,(VLOOKUP(V$29,'Infos Techniques'!$B$7:$H$12,4,0)/('Saisie de données'!$F$60/12)-(Francais10p!$K$58/2*E30))/E32,(VLOOKUP(V$29,'Infos Techniques'!$B$7:$H$12,7,0)/('Saisie de données'!$F$60/12)-(Francais10p!$K$58/2*E30))/E32)*VLOOKUP('Saisie de données'!$F$38,'Menu déroulant'!$AA$22:$AD$24,4,0)</f>
        <v>#VALUE!</v>
      </c>
      <c r="W32" s="326" t="e">
        <f ca="1">IF('Saisie de données'!$C$60='Menu déroulant'!$AA$31,(VLOOKUP(W$29,'Infos Techniques'!$B$7:$H$12,4,0)/('Saisie de données'!$F$60/12)-(Francais10p!$K$58/2*E30))/E32,(VLOOKUP(W$29,'Infos Techniques'!$B$7:$H$12,7,0)/('Saisie de données'!$F$60/12)-(Francais10p!$K$58/2*E30))/E32)*VLOOKUP('Saisie de données'!$F$38,'Menu déroulant'!$AA$22:$AD$24,4,0)</f>
        <v>#VALUE!</v>
      </c>
      <c r="X32" s="326" t="e">
        <f ca="1">IF('Saisie de données'!$C$60='Menu déroulant'!$AA$31,(VLOOKUP(X$29,'Infos Techniques'!$B$7:$H$12,4,0)/('Saisie de données'!$F$60/12)-(Francais10p!$K$59/2*E30))/E32,(VLOOKUP(X$29,'Infos Techniques'!$B$7:$H$12,7,0)/('Saisie de données'!$F$60/12)-(Francais10p!$K$59/2*E30))/E32)*VLOOKUP('Saisie de données'!$F$38,'Menu déroulant'!$AA$22:$AD$24,4,0)</f>
        <v>#VALUE!</v>
      </c>
      <c r="Y32" s="326" t="e">
        <f ca="1">IF('Saisie de données'!$C$60='Menu déroulant'!$AA$31,(VLOOKUP(Y$29,'Infos Techniques'!$B$7:$H$12,4,0)/('Saisie de données'!$F$60/12)-(Francais10p!$K$60/2*E30))/E32,(VLOOKUP(Y$29,'Infos Techniques'!$B$7:$H$12,7,0)/('Saisie de données'!$F$60/12)-(Francais10p!$K$60/2*E30))/E32)*VLOOKUP('Saisie de données'!$F$38,'Menu déroulant'!$AA$22:$AD$24,4,0)</f>
        <v>#VALUE!</v>
      </c>
      <c r="Z32" s="417" t="e">
        <f ca="1">IF('Saisie de données'!$C$60='Menu déroulant'!$AA$31,(VLOOKUP(Z$29,'Infos Techniques'!$B$7:$H$12,4,0)/('Saisie de données'!$F$60/12)-(Francais10p!$K$61/2*E30))/E32,(VLOOKUP(Z$29,'Infos Techniques'!$B$7:$H$12,7,0)/('Saisie de données'!$F$60/12)-(Francais10p!$K$61/2*E30))/E32)*VLOOKUP('Saisie de données'!$F$38,'Menu déroulant'!$AA$22:$AD$24,4,0)</f>
        <v>#VALUE!</v>
      </c>
      <c r="AA32" s="442" t="e">
        <f ca="1">(((VLOOKUP(AA$29,'Infos Techniques'!$I$5:$K$12,2,0)/('Saisie de données'!$F$60/12))-(Francais10p!$I$75/2*$E30))/$E32)*VLOOKUP('Saisie de données'!$F$38,'Menu déroulant'!$AA$22:$AD$24,4,0)</f>
        <v>#VALUE!</v>
      </c>
      <c r="AB32" s="326" t="e">
        <f ca="1">(((VLOOKUP(AB$29,'Infos Techniques'!$I$5:$K$12,2,0)/('Saisie de données'!$F$60/12))-(Francais10p!$I$75/2*$E30))/$E32)*VLOOKUP('Saisie de données'!$F$38,'Menu déroulant'!$AA$22:$AD$24,4,0)</f>
        <v>#VALUE!</v>
      </c>
      <c r="AC32" s="326" t="e">
        <f ca="1">(((VLOOKUP(AC$29,'Infos Techniques'!$I$5:$K$12,2,0)/('Saisie de données'!$F$60/12))-(Francais10p!$I$75/2*$E30))/$E32)*VLOOKUP('Saisie de données'!$F$38,'Menu déroulant'!$AA$22:$AD$24,4,0)</f>
        <v>#VALUE!</v>
      </c>
      <c r="AD32" s="326" t="e">
        <f ca="1">(((VLOOKUP(AD$29,'Infos Techniques'!$I$5:$K$12,2,0)/('Saisie de données'!$F$60/12))-(Francais10p!$I$75/2*$E30))/$E32)*VLOOKUP('Saisie de données'!$F$38,'Menu déroulant'!$AA$22:$AD$24,4,0)</f>
        <v>#VALUE!</v>
      </c>
      <c r="AE32" s="326">
        <v>0</v>
      </c>
      <c r="AF32" s="326" t="e">
        <f ca="1">(((VLOOKUP(AF$29,'Infos Techniques'!$I$5:$K$12,2,0)/('Saisie de données'!$F$60/12))-(Francais10p!$I$75/2*$E30))/$E32)*VLOOKUP('Saisie de données'!$F$38,'Menu déroulant'!$AA$22:$AD$24,4,0)</f>
        <v>#VALUE!</v>
      </c>
      <c r="AG32" s="326" t="e">
        <f ca="1">(((VLOOKUP(AG$29,'Infos Techniques'!$I$5:$K$12,2,0)/('Saisie de données'!$F$60/12))-(Francais10p!$I$75/2*$E30))/$E32)*VLOOKUP('Saisie de données'!$F$38,'Menu déroulant'!$AA$22:$AD$24,4,0)</f>
        <v>#VALUE!</v>
      </c>
      <c r="AH32" s="747">
        <v>0</v>
      </c>
      <c r="AI32" s="326" t="e">
        <f ca="1">(((VLOOKUP(AI$29,'Infos Techniques'!$I$5:$K$12,3,0)/('Saisie de données'!$F$60/12))-(Francais10p!$K$75/2*$E30))/$E32)*VLOOKUP('Saisie de données'!$F$38,'Menu déroulant'!$AA$22:$AD$24,4,0)</f>
        <v>#VALUE!</v>
      </c>
      <c r="AJ32" s="326" t="e">
        <f ca="1">(((VLOOKUP(AJ$29,'Infos Techniques'!$I$5:$K$12,3,0)/('Saisie de données'!$F$60/12))-(Francais10p!$K$75/2*$E30))/$E32)*VLOOKUP('Saisie de données'!$F$38,'Menu déroulant'!$AA$22:$AD$24,4,0)</f>
        <v>#VALUE!</v>
      </c>
      <c r="AK32" s="326" t="e">
        <f ca="1">(((VLOOKUP(AK$29,'Infos Techniques'!$I$5:$K$12,3,0)/('Saisie de données'!$F$60/12))-(Francais10p!$K$75/2*$E30))/$E32)*VLOOKUP('Saisie de données'!$F$38,'Menu déroulant'!$AA$22:$AD$24,4,0)</f>
        <v>#VALUE!</v>
      </c>
      <c r="AL32" s="326" t="e">
        <f ca="1">(((VLOOKUP(AL$29,'Infos Techniques'!$I$5:$K$12,3,0)/('Saisie de données'!$F$60/12))-(Francais10p!$K$75/2*$E30))/$E32)*VLOOKUP('Saisie de données'!$F$38,'Menu déroulant'!$AA$22:$AD$24,4,0)</f>
        <v>#VALUE!</v>
      </c>
      <c r="AM32" s="326" t="e">
        <f ca="1">(((VLOOKUP(AM$29,'Infos Techniques'!$I$5:$K$12,3,0)/('Saisie de données'!$F$60/12))-(Francais10p!$K$75/2*$E30))/$E32)*VLOOKUP('Saisie de données'!$F$38,'Menu déroulant'!$AA$22:$AD$24,4,0)</f>
        <v>#VALUE!</v>
      </c>
      <c r="AN32" s="326" t="e">
        <f ca="1">(((VLOOKUP(AN$29,'Infos Techniques'!$I$5:$K$12,3,0)/('Saisie de données'!$F$60/12))-(Francais10p!$K$75/2*$E30))/$E32)*VLOOKUP('Saisie de données'!$F$38,'Menu déroulant'!$AA$22:$AD$24,4,0)</f>
        <v>#VALUE!</v>
      </c>
      <c r="AO32" s="326" t="e">
        <f ca="1">(((VLOOKUP(AO$29,'Infos Techniques'!$I$5:$K$12,3,0)/('Saisie de données'!$F$60/12))-(Francais10p!$K$75/2*$E30))/$E32)*VLOOKUP('Saisie de données'!$F$38,'Menu déroulant'!$AA$22:$AD$24,4,0)</f>
        <v>#VALUE!</v>
      </c>
      <c r="AP32" s="417" t="e">
        <f ca="1">(((VLOOKUP(AP$29,'Infos Techniques'!$I$5:$K$12,3,0)/('Saisie de données'!$F$60/12))-(Francais10p!$K$75/2*$E30))/$E32)*VLOOKUP('Saisie de données'!$F$38,'Menu déroulant'!$AA$22:$AD$24,4,0)</f>
        <v>#VALUE!</v>
      </c>
    </row>
    <row r="33" spans="1:44" ht="15" thickBot="1">
      <c r="A33" s="179"/>
      <c r="B33" s="1607"/>
      <c r="C33" s="1608"/>
      <c r="D33" s="50" t="s">
        <v>343</v>
      </c>
      <c r="E33" s="60" t="e">
        <f>IF(ISBLANK('Saisie de données'!$E$30),'Charges de vent'!E33*20.885*1.4,0)</f>
        <v>#N/A</v>
      </c>
      <c r="F33" s="415" t="e" cm="1">
        <f t="array" aca="1" ref="F33" ca="1">VLOOKUP(MAX(IF(INDIRECT("Norex2_"&amp;'Saisie de données'!$H$60&amp;"_"&amp;'Saisie de données'!$I$60&amp;"_S")&lt;='Synthèse résultat'!$E33,INDIRECT("Norex2_"&amp;'Saisie de données'!$H$60&amp;"_"&amp;'Saisie de données'!$I$60&amp;"_S"))),'Courbe Déflexion'!O$5:$X$285,10,0)*0.3798*VLOOKUP('Saisie de données'!$F$38,'Menu déroulant'!$AA$22:$AD$24,4,0)</f>
        <v>#N/A</v>
      </c>
      <c r="G33" s="415" t="e" cm="1">
        <f t="array" aca="1" ref="G33" ca="1">VLOOKUP(MAX(IF(INDIRECT("Norex3_"&amp;'Saisie de données'!$H$60&amp;"_"&amp;'Saisie de données'!$I$60&amp;"_S")&lt;='Synthèse résultat'!$E33,INDIRECT("Norex3_"&amp;'Saisie de données'!$H$60&amp;"_"&amp;'Saisie de données'!$I$60&amp;"_S"))),'Courbe Déflexion'!Z$5:$AI$285,10,0)*0.3798*VLOOKUP('Saisie de données'!$F$38,'Menu déroulant'!$AA$22:$AD$24,4,0)</f>
        <v>#N/A</v>
      </c>
      <c r="H33" s="415" t="e" cm="1">
        <f t="array" aca="1" ref="H33" ca="1">VLOOKUP(MAX(IF(INDIRECT("Norex4_"&amp;'Saisie de données'!$H$60&amp;"_"&amp;'Saisie de données'!$I$60&amp;"_S")&lt;='Synthèse résultat'!$E33,INDIRECT("Norex4_"&amp;'Saisie de données'!$H$60&amp;"_"&amp;'Saisie de données'!$I$60&amp;"_S"))),'Courbe Déflexion'!$AK$5:$AT$306,10,0)*0.3798*VLOOKUP('Saisie de données'!$F$38,'Menu déroulant'!$AA$22:$AD$24,4,0)</f>
        <v>#N/A</v>
      </c>
      <c r="I33" s="415" t="e" cm="1">
        <f t="array" aca="1" ref="I33" ca="1">VLOOKUP(MAX(IF(INDIRECT("Norex5_"&amp;'Saisie de données'!$H$60&amp;"_"&amp;'Saisie de données'!$I$60&amp;"_S")&lt;='Synthèse résultat'!$E33,INDIRECT("Norex5_"&amp;'Saisie de données'!$H$60&amp;"_"&amp;'Saisie de données'!$I$60&amp;"_S"))),'Courbe Déflexion'!$AV$5:$BE$306,10,0)*0.3798*VLOOKUP('Saisie de données'!$F$38,'Menu déroulant'!$AA$22:$AD$24,4,0)</f>
        <v>#N/A</v>
      </c>
      <c r="J33" s="415" t="e" cm="1">
        <f t="array" aca="1" ref="J33" ca="1">VLOOKUP(MAX(IF(INDIRECT("Norex6_"&amp;'Saisie de données'!$H$60&amp;"_"&amp;'Saisie de données'!$I$60&amp;"_S")&lt;='Synthèse résultat'!$E33,INDIRECT("Norex6_"&amp;'Saisie de données'!$H$60&amp;"_"&amp;'Saisie de données'!$I$60&amp;"_S"))),'Courbe Déflexion'!$BG$5:$BP$306,10,0)*0.3798*VLOOKUP('Saisie de données'!$F$38,'Menu déroulant'!$AA$22:$AD$24,4,0)</f>
        <v>#N/A</v>
      </c>
      <c r="K33" s="415" t="e" cm="1">
        <f t="array" aca="1" ref="K33" ca="1">VLOOKUP(MAX(IF(INDIRECT("Norex8_"&amp;'Saisie de données'!$H$60&amp;"_"&amp;'Saisie de données'!$I$60&amp;"_S")&lt;='Synthèse résultat'!$E33,INDIRECT("Norex8_"&amp;'Saisie de données'!$H$60&amp;"_"&amp;'Saisie de données'!$I$60&amp;"_S"))),'Courbe Déflexion'!$BR$5:$CA$306,10,0)*0.3798*VLOOKUP('Saisie de données'!$F$38,'Menu déroulant'!$AA$22:$AD$24,4,0)</f>
        <v>#N/A</v>
      </c>
      <c r="L33" s="415" t="e" cm="1">
        <f t="array" aca="1" ref="L33" ca="1">VLOOKUP(MAX(IF(INDIRECT("Noroc4_"&amp;'Saisie de données'!$H$60&amp;"_"&amp;'Saisie de données'!$I$60&amp;"_S")&lt;='Synthèse résultat'!$E33,INDIRECT("Noroc4_"&amp;'Saisie de données'!$H$60&amp;"_"&amp;'Saisie de données'!$I$60&amp;"_S"))),'Courbe Déflexion'!$CC$5:$CL$306,10,0)*0.3798*VLOOKUP('Saisie de données'!$F$38,'Menu déroulant'!$AA$22:$AD$24,4,0)</f>
        <v>#N/A</v>
      </c>
      <c r="M33" s="415" t="e" cm="1">
        <f t="array" aca="1" ref="M33" ca="1">VLOOKUP(MAX(IF(INDIRECT("Noroc5_"&amp;'Saisie de données'!$H$60&amp;"_"&amp;'Saisie de données'!$I$60&amp;"_S")&lt;='Synthèse résultat'!$E33,INDIRECT("Noroc5_"&amp;'Saisie de données'!$H$60&amp;"_"&amp;'Saisie de données'!$I$60&amp;"_S"))),'Courbe Déflexion'!$CN$5:$CW$306,10,0)*0.3798*VLOOKUP('Saisie de données'!$F$38,'Menu déroulant'!$AA$22:$AD$24,4,0)</f>
        <v>#N/A</v>
      </c>
      <c r="N33" s="415" t="e" cm="1">
        <f t="array" aca="1" ref="N33" ca="1">VLOOKUP(MAX(IF(INDIRECT("Noroc6_"&amp;'Saisie de données'!$H$60&amp;"_"&amp;'Saisie de données'!$I$60&amp;"_S")&lt;='Synthèse résultat'!$E33,INDIRECT("Noroc6_"&amp;'Saisie de données'!$H$60&amp;"_"&amp;'Saisie de données'!$I$60&amp;"_S"))),'Courbe Déflexion'!$CY$5:$DH$306,10,0)*0.3798*VLOOKUP('Saisie de données'!$F$38,'Menu déroulant'!$AA$22:$AD$24,4,0)</f>
        <v>#N/A</v>
      </c>
      <c r="O33" s="453" t="e" cm="1">
        <f t="array" aca="1" ref="O33" ca="1">VLOOKUP(MAX(IF(INDIRECT("Noroc8_"&amp;'Saisie de données'!$H$60&amp;"_"&amp;'Saisie de données'!$I$60&amp;"_S")&lt;='Synthèse résultat'!$E33,INDIRECT("Noroc8_"&amp;'Saisie de données'!$H$60&amp;"_"&amp;'Saisie de données'!$I$60&amp;"_S"))),'Courbe Déflexion'!$DJ$5:$DS$306,10,0)*0.3798*VLOOKUP('Saisie de données'!$F$38,'Menu déroulant'!$AA$22:$AD$24,4,0)</f>
        <v>#N/A</v>
      </c>
      <c r="P33" s="418">
        <f>VLOOKUP('Saisie de données'!$J$60,'Infos Techniques'!$U$15:$AF$43,12,0)*VLOOKUP('Saisie de données'!$F$38,'Menu déroulant'!$AA$22:$AD$24,4,0)</f>
        <v>10</v>
      </c>
      <c r="Q33" s="419" t="e">
        <f ca="1">IF('Saisie de données'!$C$60='Menu déroulant'!$AA$31,(VLOOKUP(Q$29,'Infos Techniques'!$B$7:$H$12,2,0)/('Saisie de données'!$F$60/12)-(Francais10p!$J$58/2*E31))/E33,(VLOOKUP(Q$29,'Infos Techniques'!$B$7:$H$12,5,0)/('Saisie de données'!$F$60/12)-(Francais10p!$J$58/2*E31))/E33)*VLOOKUP('Saisie de données'!$F$38,'Menu déroulant'!$AA$22:$AD$24,4,0)</f>
        <v>#VALUE!</v>
      </c>
      <c r="R33" s="419" t="e">
        <f ca="1">IF('Saisie de données'!$C$60='Menu déroulant'!$AA$31,(VLOOKUP(R$29,'Infos Techniques'!$B$7:$H$12,2,0)/('Saisie de données'!$F$60/12)-(Francais10p!$J$58/2*E31))/E33,(VLOOKUP(R$29,'Infos Techniques'!$B$7:$H$12,5,0)/('Saisie de données'!$F$60/12)-(Francais10p!$J$58/2*E31))/E33)*VLOOKUP('Saisie de données'!$F$38,'Menu déroulant'!$AA$22:$AD$24,4,0)</f>
        <v>#VALUE!</v>
      </c>
      <c r="S33" s="419" t="e">
        <f ca="1">IF('Saisie de données'!$C$60='Menu déroulant'!$AA$31,(VLOOKUP(S$29,'Infos Techniques'!$B$7:$H$12,2,0)/('Saisie de données'!$F$60/12)-(Francais10p!$J$59/2*E31))/E33,(VLOOKUP(S$29,'Infos Techniques'!$B$7:$H$12,5,0)/('Saisie de données'!$F$60/12)-(Francais10p!$J$59/2*E31))/E33)*VLOOKUP('Saisie de données'!$F$38,'Menu déroulant'!$AA$22:$AD$24,4,0)</f>
        <v>#VALUE!</v>
      </c>
      <c r="T33" s="419" t="e">
        <f ca="1">IF('Saisie de données'!$C$60='Menu déroulant'!$AA$31,(VLOOKUP(T$29,'Infos Techniques'!$B$7:$H$12,2,0)/('Saisie de données'!$F$60/12)-(Francais10p!$J$60/2*E31))/E33,(VLOOKUP(T$29,'Infos Techniques'!$B$7:$H$12,5,0)/('Saisie de données'!$F$60/12)-(Francais10p!$J$60/2*E31))/E33)*VLOOKUP('Saisie de données'!$F$38,'Menu déroulant'!$AA$22:$AD$24,4,0)</f>
        <v>#VALUE!</v>
      </c>
      <c r="U33" s="419" t="e">
        <f ca="1">IF('Saisie de données'!$C$60='Menu déroulant'!$AA$31,(VLOOKUP(U$29,'Infos Techniques'!$B$7:$H$12,2,0)/('Saisie de données'!$F$60/12)-(Francais10p!$J$61/2*E31))/E33,(VLOOKUP(U$29,'Infos Techniques'!$B$7:$H$12,5,0)/('Saisie de données'!$F$60/12)-(Francais10p!$J$61/2*E31))/E33)*VLOOKUP('Saisie de données'!$F$38,'Menu déroulant'!$AA$22:$AD$24,4,0)</f>
        <v>#VALUE!</v>
      </c>
      <c r="V33" s="326" t="e">
        <f ca="1">IF('Saisie de données'!$C$60='Menu déroulant'!$AA$31,(VLOOKUP(V$29,'Infos Techniques'!$B$7:$H$12,4,0)/('Saisie de données'!$F$60/12)-(Francais10p!$L$58/2*E31))/E33,(VLOOKUP(V$29,'Infos Techniques'!$B$7:$H$12,7,0)/('Saisie de données'!$F$60/12)-(Francais10p!$L$58/2*E31))/E33)*VLOOKUP('Saisie de données'!$F$38,'Menu déroulant'!$AA$22:$AD$24,4,0)</f>
        <v>#VALUE!</v>
      </c>
      <c r="W33" s="419" t="e">
        <f ca="1">IF('Saisie de données'!$C$60='Menu déroulant'!$AA$31,(VLOOKUP(W$29,'Infos Techniques'!$B$7:$H$12,4,0)/('Saisie de données'!$F$60/12)-(Francais10p!$L$58/2*E31))/E33,(VLOOKUP(W$29,'Infos Techniques'!$B$7:$H$12,7,0)/('Saisie de données'!$F$60/12)-(Francais10p!$L$58/2*E31))/E33)*VLOOKUP('Saisie de données'!$F$38,'Menu déroulant'!$AA$22:$AD$24,4,0)</f>
        <v>#VALUE!</v>
      </c>
      <c r="X33" s="419" t="e">
        <f ca="1">IF('Saisie de données'!$C$60='Menu déroulant'!$AA$31,(VLOOKUP(X$29,'Infos Techniques'!$B$7:$H$12,4,0)/('Saisie de données'!$F$60/12)-(Francais10p!$L$59/2*E31))/E33,(VLOOKUP(X$29,'Infos Techniques'!$B$7:$H$12,7,0)/('Saisie de données'!$F$60/12)-(Francais10p!$L$59/2*E31))/E33)*VLOOKUP('Saisie de données'!$F$38,'Menu déroulant'!$AA$22:$AD$24,4,0)</f>
        <v>#VALUE!</v>
      </c>
      <c r="Y33" s="419" t="e">
        <f ca="1">IF('Saisie de données'!$C$60='Menu déroulant'!$AA$31,(VLOOKUP(Y$29,'Infos Techniques'!$B$7:$H$12,4,0)/('Saisie de données'!$F$60/12)-(Francais10p!$L$60/2*E31))/E33,(VLOOKUP(Y$29,'Infos Techniques'!$B$7:$H$12,7,0)/('Saisie de données'!$F$60/12)-(Francais10p!$L$60/2*E31))/E33)*VLOOKUP('Saisie de données'!$F$38,'Menu déroulant'!$AA$22:$AD$24,4,0)</f>
        <v>#VALUE!</v>
      </c>
      <c r="Z33" s="420" t="e">
        <f ca="1">IF('Saisie de données'!$C$60='Menu déroulant'!$AA$31,(VLOOKUP(Z$29,'Infos Techniques'!$B$7:$H$12,4,0)/('Saisie de données'!$F$60/12)-(Francais10p!$L$61/2*E31))/E33,(VLOOKUP(Z$29,'Infos Techniques'!$B$7:$H$12,7,0)/('Saisie de données'!$F$60/12)-(Francais10p!$L$61/2*E31))/E33)*VLOOKUP('Saisie de données'!$F$38,'Menu déroulant'!$AA$22:$AD$24,4,0)</f>
        <v>#VALUE!</v>
      </c>
      <c r="AA33" s="443" t="e">
        <f ca="1">(((VLOOKUP(AA$29,'Infos Techniques'!$I$5:$K$12,2,0)/('Saisie de données'!$F$60/12))-(Francais10p!$J$75/2*$E31))/$E33)*VLOOKUP('Saisie de données'!$F$38,'Menu déroulant'!$AA$22:$AD$24,4,0)</f>
        <v>#VALUE!</v>
      </c>
      <c r="AB33" s="419" t="e">
        <f ca="1">(((VLOOKUP(AB$29,'Infos Techniques'!$I$5:$K$12,2,0)/('Saisie de données'!$F$60/12))-(Francais10p!$J$75/2*$E31))/$E33)*VLOOKUP('Saisie de données'!$F$38,'Menu déroulant'!$AA$22:$AD$24,4,0)</f>
        <v>#VALUE!</v>
      </c>
      <c r="AC33" s="419" t="e">
        <f ca="1">(((VLOOKUP(AC$29,'Infos Techniques'!$I$5:$K$12,2,0)/('Saisie de données'!$F$60/12))-(Francais10p!$J$75/2*$E31))/$E33)*VLOOKUP('Saisie de données'!$F$38,'Menu déroulant'!$AA$22:$AD$24,4,0)</f>
        <v>#VALUE!</v>
      </c>
      <c r="AD33" s="419" t="e">
        <f ca="1">(((VLOOKUP(AD$29,'Infos Techniques'!$I$5:$K$12,2,0)/('Saisie de données'!$F$60/12))-(Francais10p!$J$75/2*$E31))/$E33)*VLOOKUP('Saisie de données'!$F$38,'Menu déroulant'!$AA$22:$AD$24,4,0)</f>
        <v>#VALUE!</v>
      </c>
      <c r="AE33" s="326">
        <v>0</v>
      </c>
      <c r="AF33" s="419" t="e">
        <f ca="1">(((VLOOKUP(AF$29,'Infos Techniques'!$I$5:$K$12,2,0)/('Saisie de données'!$F$60/12))-(Francais10p!$J$75/2*$E31))/$E33)*VLOOKUP('Saisie de données'!$F$38,'Menu déroulant'!$AA$22:$AD$24,4,0)</f>
        <v>#VALUE!</v>
      </c>
      <c r="AG33" s="419" t="e">
        <f ca="1">(((VLOOKUP(AG$29,'Infos Techniques'!$I$5:$K$12,2,0)/('Saisie de données'!$F$60/12))-(Francais10p!$J$75/2*$E31))/$E33)*VLOOKUP('Saisie de données'!$F$38,'Menu déroulant'!$AA$22:$AD$24,4,0)</f>
        <v>#VALUE!</v>
      </c>
      <c r="AH33" s="747">
        <v>0</v>
      </c>
      <c r="AI33" s="419" t="e">
        <f ca="1">(((VLOOKUP(AI$29,'Infos Techniques'!$I$5:$K$12,3,0)/('Saisie de données'!$F$60/12))-(Francais10p!$L$75/2*$E31))/$E33)*VLOOKUP('Saisie de données'!$F$38,'Menu déroulant'!$AA$22:$AD$24,4,0)</f>
        <v>#VALUE!</v>
      </c>
      <c r="AJ33" s="419" t="e">
        <f ca="1">(((VLOOKUP(AJ$29,'Infos Techniques'!$I$5:$K$12,3,0)/('Saisie de données'!$F$60/12))-(Francais10p!$L$75/2*$E31))/$E33)*VLOOKUP('Saisie de données'!$F$38,'Menu déroulant'!$AA$22:$AD$24,4,0)</f>
        <v>#VALUE!</v>
      </c>
      <c r="AK33" s="419" t="e">
        <f ca="1">(((VLOOKUP(AK$29,'Infos Techniques'!$I$5:$K$12,3,0)/('Saisie de données'!$F$60/12))-(Francais10p!$L$75/2*$E31))/$E33)*VLOOKUP('Saisie de données'!$F$38,'Menu déroulant'!$AA$22:$AD$24,4,0)</f>
        <v>#VALUE!</v>
      </c>
      <c r="AL33" s="419" t="e">
        <f ca="1">(((VLOOKUP(AL$29,'Infos Techniques'!$I$5:$K$12,3,0)/('Saisie de données'!$F$60/12))-(Francais10p!$L$75/2*$E31))/$E33)*VLOOKUP('Saisie de données'!$F$38,'Menu déroulant'!$AA$22:$AD$24,4,0)</f>
        <v>#VALUE!</v>
      </c>
      <c r="AM33" s="419" t="e">
        <f ca="1">(((VLOOKUP(AM$29,'Infos Techniques'!$I$5:$K$12,3,0)/('Saisie de données'!$F$60/12))-(Francais10p!$L$75/2*$E31))/$E33)*VLOOKUP('Saisie de données'!$F$38,'Menu déroulant'!$AA$22:$AD$24,4,0)</f>
        <v>#VALUE!</v>
      </c>
      <c r="AN33" s="419" t="e">
        <f ca="1">(((VLOOKUP(AN$29,'Infos Techniques'!$I$5:$K$12,3,0)/('Saisie de données'!$F$60/12))-(Francais10p!$L$75/2*$E31))/$E33)*VLOOKUP('Saisie de données'!$F$38,'Menu déroulant'!$AA$22:$AD$24,4,0)</f>
        <v>#VALUE!</v>
      </c>
      <c r="AO33" s="419" t="e">
        <f ca="1">(((VLOOKUP(AO$29,'Infos Techniques'!$I$5:$K$12,3,0)/('Saisie de données'!$F$60/12))-(Francais10p!$L$75/2*$E31))/$E33)*VLOOKUP('Saisie de données'!$F$38,'Menu déroulant'!$AA$22:$AD$24,4,0)</f>
        <v>#VALUE!</v>
      </c>
      <c r="AP33" s="420" t="e">
        <f ca="1">(((VLOOKUP(AP$29,'Infos Techniques'!$I$5:$K$12,3,0)/('Saisie de données'!$F$60/12))-(Francais10p!$L$75/2*$E31))/$E33)*VLOOKUP('Saisie de données'!$F$38,'Menu déroulant'!$AA$22:$AD$24,4,0)</f>
        <v>#VALUE!</v>
      </c>
    </row>
    <row r="34" spans="1:44">
      <c r="A34" s="179"/>
      <c r="B34" s="1600" t="s">
        <v>54</v>
      </c>
      <c r="C34" s="1111" t="s">
        <v>338</v>
      </c>
      <c r="D34" s="241" t="s">
        <v>342</v>
      </c>
      <c r="E34" s="59" t="e">
        <f>IF(ISBLANK('Saisie de données'!$E$31),'Charges de vent'!D36*20.885*1.4,'Saisie de données'!$E$31)</f>
        <v>#N/A</v>
      </c>
      <c r="F34" s="411" t="e" cm="1">
        <f t="array" aca="1" ref="F34" ca="1">IF('Saisie de données'!$K$61='Menu déroulant'!$AA$34,VLOOKUP(MAX(IF(INDIRECT("Norex2_"&amp;'Saisie de données'!$H$61&amp;"_"&amp;'Saisie de données'!$I$61&amp;"_S")&lt;='Synthèse résultat'!$E34,INDIRECT("Norex2_"&amp;'Saisie de données'!$H$61&amp;"_"&amp;'Saisie de données'!$I$61&amp;"_S"))),'Courbe Déflexion'!O$5:$X$285,10,0)*VLOOKUP('Saisie de données'!$F$38,'Menu déroulant'!$AA$22:$AD$24,4,0),VLOOKUP(MAX(IF(INDIRECT("Norex2_"&amp;'Saisie de données'!$H$61&amp;"_"&amp;'Saisie de données'!$I$61&amp;"_M")&lt;='Synthèse résultat'!$E34,INDIRECT("Norex2_"&amp;'Saisie de données'!$H$61&amp;"_"&amp;'Saisie de données'!$I$61&amp;"_M"))),'Courbe Déflexion'!$DW$5:$EF$217,10,0)*VLOOKUP('Saisie de données'!$F$38,'Menu déroulant'!$AA$22:$AD$24,4,0))</f>
        <v>#N/A</v>
      </c>
      <c r="G34" s="411" t="e" cm="1">
        <f t="array" aca="1" ref="G34" ca="1">IF('Saisie de données'!$K$60='Menu déroulant'!$AA$34,VLOOKUP(MAX(IF(INDIRECT("Norex3_"&amp;'Saisie de données'!$H$61&amp;"_"&amp;'Saisie de données'!$I$61&amp;"_S")&lt;='Synthèse résultat'!$E34,INDIRECT("Norex3_"&amp;'Saisie de données'!$H$61&amp;"_"&amp;'Saisie de données'!$I$61&amp;"_S"))),'Courbe Déflexion'!$Z$5:$AI$329,10,0)*VLOOKUP('Saisie de données'!$F$38,'Menu déroulant'!$AA$22:$AD$24,4,0),VLOOKUP(MAX(IF(INDIRECT("Norex3_"&amp;'Saisie de données'!$H$61&amp;"_"&amp;'Saisie de données'!$I$61&amp;"_M")&lt;='Synthèse résultat'!$E34,INDIRECT("Norex3_"&amp;'Saisie de données'!$H$61&amp;"_"&amp;'Saisie de données'!$I$61&amp;"_M"))),'Courbe Déflexion'!$EH$5:$EQ$309,10,0)*VLOOKUP('Saisie de données'!$F$38,'Menu déroulant'!$AA$22:$AD$24,4,0))</f>
        <v>#N/A</v>
      </c>
      <c r="H34" s="411" t="e" cm="1">
        <f t="array" aca="1" ref="H34" ca="1">IF('Saisie de données'!$K$60='Menu déroulant'!$AA$34,VLOOKUP(MAX(IF(INDIRECT("Norex4_"&amp;'Saisie de données'!$H$61&amp;"_"&amp;'Saisie de données'!$I$61&amp;"_S")&lt;='Synthèse résultat'!$E34,INDIRECT("Norex4_"&amp;'Saisie de données'!$H$61&amp;"_"&amp;'Saisie de données'!$I$61&amp;"_S"))),'Courbe Déflexion'!$AK$5:$AT$306,10,0)*VLOOKUP('Saisie de données'!$F$38,'Menu déroulant'!$AA$22:$AD$24,4,0),VLOOKUP(MAX(IF(INDIRECT("Norex4_"&amp;'Saisie de données'!$H$61&amp;"_"&amp;'Saisie de données'!$I$61&amp;"_M")&lt;='Synthèse résultat'!$E34,INDIRECT("Norex4_"&amp;'Saisie de données'!$H$61&amp;"_"&amp;'Saisie de données'!$I$61&amp;"_M"))),'Courbe Déflexion'!$ES$5:$FB$285,10,0)*VLOOKUP('Saisie de données'!$F$38,'Menu déroulant'!$AA$22:$AD$24,4,0))</f>
        <v>#N/A</v>
      </c>
      <c r="I34" s="411" t="e" cm="1">
        <f t="array" aca="1" ref="I34" ca="1">IF('Saisie de données'!$K$60='Menu déroulant'!$AA$34,VLOOKUP(MAX(IF(INDIRECT("Norex5_"&amp;'Saisie de données'!$H$61&amp;"_"&amp;'Saisie de données'!$I$61&amp;"_S")&lt;='Synthèse résultat'!$E34,INDIRECT("Norex5_"&amp;'Saisie de données'!$H$61&amp;"_"&amp;'Saisie de données'!$I$61&amp;"_S"))),'Courbe Déflexion'!$AV$5:$BE$306,10,0)*VLOOKUP('Saisie de données'!$F$38,'Menu déroulant'!$AA$22:$AD$24,4,0),VLOOKUP(MAX(IF(INDIRECT("Norex5_"&amp;'Saisie de données'!$H$61&amp;"_"&amp;'Saisie de données'!$I$61&amp;"_M")&lt;='Synthèse résultat'!$E34,INDIRECT("Norex5_"&amp;'Saisie de données'!$H$61&amp;"_"&amp;'Saisie de données'!$I$61&amp;"_M"))),'Courbe Déflexion'!$FD$5:$FM$285,10,0)*VLOOKUP('Saisie de données'!$F$38,'Menu déroulant'!$AA$22:$AD$24,4,0))</f>
        <v>#N/A</v>
      </c>
      <c r="J34" s="411" t="e" cm="1">
        <f t="array" aca="1" ref="J34" ca="1">IF('Saisie de données'!$K$60='Menu déroulant'!$AA$34,VLOOKUP(MAX(IF(INDIRECT("Norex6_"&amp;'Saisie de données'!$H$61&amp;"_"&amp;'Saisie de données'!$I$61&amp;"_S")&lt;='Synthèse résultat'!$E34,INDIRECT("Norex6_"&amp;'Saisie de données'!$H$61&amp;"_"&amp;'Saisie de données'!$I$61&amp;"_S"))),'Courbe Déflexion'!$BG$5:$BP$306,10,0)*VLOOKUP('Saisie de données'!$F$38,'Menu déroulant'!$AA$22:$AD$24,4,0),VLOOKUP(MAX(IF(INDIRECT("Norex6_"&amp;'Saisie de données'!$H$61&amp;"_"&amp;'Saisie de données'!$I$61&amp;"_M")&lt;='Synthèse résultat'!$E34,INDIRECT("Norex6_"&amp;'Saisie de données'!$H$61&amp;"_"&amp;'Saisie de données'!$I$61&amp;"_M"))),'Courbe Déflexion'!$FO$5:$FX$286,10,0)*VLOOKUP('Saisie de données'!$F$38,'Menu déroulant'!$AA$22:$AD$24,4,0))</f>
        <v>#N/A</v>
      </c>
      <c r="K34" s="411" t="e" cm="1">
        <f t="array" aca="1" ref="K34" ca="1">IF('Saisie de données'!$K$60='Menu déroulant'!$AA$34,VLOOKUP(MAX(IF(INDIRECT("Norex8_"&amp;'Saisie de données'!$H$61&amp;"_"&amp;'Saisie de données'!$I$61&amp;"_S")&lt;='Synthèse résultat'!$E34,INDIRECT("Norex8_"&amp;'Saisie de données'!$H$61&amp;"_"&amp;'Saisie de données'!$I$61&amp;"_S"))),'Courbe Déflexion'!$BR$5:$CA$306,10,0)*VLOOKUP('Saisie de données'!$F$38,'Menu déroulant'!$AA$22:$AD$24,4,0),VLOOKUP(MAX(IF(INDIRECT("Norex8_"&amp;'Saisie de données'!$H$61&amp;"_"&amp;'Saisie de données'!$I$61&amp;"_M")&lt;='Synthèse résultat'!$E34,INDIRECT("Norex8_"&amp;'Saisie de données'!$H$61&amp;"_"&amp;'Saisie de données'!$I$61&amp;"_M"))),'Courbe Déflexion'!$FZ$5:$GI$286,10,0)*VLOOKUP('Saisie de données'!$F$38,'Menu déroulant'!$AA$22:$AD$24,4,0))</f>
        <v>#N/A</v>
      </c>
      <c r="L34" s="411" t="e" cm="1">
        <f t="array" aca="1" ref="L34" ca="1">IF('Saisie de données'!$K$60='Menu déroulant'!$AA$34,VLOOKUP(MAX(IF(INDIRECT("Noroc4_"&amp;'Saisie de données'!$H$61&amp;"_"&amp;'Saisie de données'!$I$61&amp;"_S")&lt;='Synthèse résultat'!$E34,INDIRECT("Noroc4_"&amp;'Saisie de données'!$H$61&amp;"_"&amp;'Saisie de données'!$I$61&amp;"_S"))),'Courbe Déflexion'!$CC$5:$CL$306,10,0)*VLOOKUP('Saisie de données'!$F$38,'Menu déroulant'!$AA$22:$AD$24,4,0),VLOOKUP(MAX(IF(INDIRECT("Noroc4_"&amp;'Saisie de données'!$H$61&amp;"_"&amp;'Saisie de données'!$I$61&amp;"_M")&lt;='Synthèse résultat'!$E34,INDIRECT("Noroc4_"&amp;'Saisie de données'!$H$61&amp;"_"&amp;'Saisie de données'!$I$61&amp;"_M"))),'Courbe Déflexion'!$GK$5:$GT$286,10,0)*VLOOKUP('Saisie de données'!$F$38,'Menu déroulant'!$AA$22:$AD$24,4,0))</f>
        <v>#N/A</v>
      </c>
      <c r="M34" s="411" t="e" cm="1">
        <f t="array" aca="1" ref="M34" ca="1">IF('Saisie de données'!$K$60='Menu déroulant'!$AA$34,VLOOKUP(MAX(IF(INDIRECT("Noroc5_"&amp;'Saisie de données'!$H$61&amp;"_"&amp;'Saisie de données'!$I$61&amp;"_S")&lt;='Synthèse résultat'!$E34,INDIRECT("Noroc5_"&amp;'Saisie de données'!$H$61&amp;"_"&amp;'Saisie de données'!$I$61&amp;"_S"))),'Courbe Déflexion'!$CN$5:$CW$306,10,0)*VLOOKUP('Saisie de données'!$F$38,'Menu déroulant'!$AA$22:$AD$24,4,0),VLOOKUP(MAX(IF(INDIRECT("Noroc5_"&amp;'Saisie de données'!$H$61&amp;"_"&amp;'Saisie de données'!$I$61&amp;"_M")&lt;='Synthèse résultat'!$E34,INDIRECT("Noroc5_"&amp;'Saisie de données'!$H$61&amp;"_"&amp;'Saisie de données'!$I$61&amp;"_M"))),'Courbe Déflexion'!$GV$5:$HE$286,10,0)*VLOOKUP('Saisie de données'!$F$38,'Menu déroulant'!$AA$22:$AD$24,4,0))</f>
        <v>#N/A</v>
      </c>
      <c r="N34" s="411" t="e" cm="1">
        <f t="array" aca="1" ref="N34" ca="1">IF('Saisie de données'!$K$60='Menu déroulant'!$AA$34,VLOOKUP(MAX(IF(INDIRECT("Noroc6_"&amp;'Saisie de données'!$H$61&amp;"_"&amp;'Saisie de données'!$I$61&amp;"_S")&lt;='Synthèse résultat'!$E34,INDIRECT("Noroc6_"&amp;'Saisie de données'!$H$61&amp;"_"&amp;'Saisie de données'!$I$61&amp;"_S"))),'Courbe Déflexion'!$CY$5:$DH$306,10,0)*VLOOKUP('Saisie de données'!$F$38,'Menu déroulant'!$AA$22:$AD$24,4,0),VLOOKUP(MAX(IF(INDIRECT("Noroc6_"&amp;'Saisie de données'!$H$61&amp;"_"&amp;'Saisie de données'!$I$61&amp;"_M")&lt;='Synthèse résultat'!$E34,INDIRECT("Noroc6_"&amp;'Saisie de données'!$H$61&amp;"_"&amp;'Saisie de données'!$I$61&amp;"_M"))),'Courbe Déflexion'!$HG$5:$HP$286,10,0)*VLOOKUP('Saisie de données'!$F$38,'Menu déroulant'!$AA$22:$AD$24,4,0))</f>
        <v>#N/A</v>
      </c>
      <c r="O34" s="411" t="e" cm="1">
        <f t="array" aca="1" ref="O34" ca="1">IF('Saisie de données'!$K$60='Menu déroulant'!$AA$34,VLOOKUP(MAX(IF(INDIRECT("Noroc8_"&amp;'Saisie de données'!$H$61&amp;"_"&amp;'Saisie de données'!$I$61&amp;"_S")&lt;='Synthèse résultat'!$E34,INDIRECT("Noroc8_"&amp;'Saisie de données'!$H$61&amp;"_"&amp;'Saisie de données'!$I$61&amp;"_S"))),'Courbe Déflexion'!$DJ$5:$DS$306,10,0)*VLOOKUP('Saisie de données'!$F$38,'Menu déroulant'!$AA$22:$AD$24,4,0),VLOOKUP(MAX(IF(INDIRECT("Noroc8_"&amp;'Saisie de données'!$H$61&amp;"_"&amp;'Saisie de données'!$I$61&amp;"_M")&lt;='Synthèse résultat'!$E34,INDIRECT("Noroc8_"&amp;'Saisie de données'!$H$61&amp;"_"&amp;'Saisie de données'!$I$61&amp;"_M"))),'Courbe Déflexion'!$HR$5:$IA$286,10,0)*VLOOKUP('Saisie de données'!$F$38,'Menu déroulant'!$AA$22:$AD$24,4,0))</f>
        <v>#N/A</v>
      </c>
      <c r="P34" s="412">
        <f>VLOOKUP('Saisie de données'!$J$61,'Infos Techniques'!$U$15:$AF$43,12,0)*VLOOKUP('Saisie de données'!$F$38,'Menu déroulant'!$AA$22:$AD$24,4,0)</f>
        <v>10</v>
      </c>
      <c r="Q34" s="413" t="e">
        <f>IF('Saisie de données'!$C$61='Menu déroulant'!$AA$31,VLOOKUP(Q$29,'Infos Techniques'!$B$7:$H$12,2,0)/($E34*'Saisie de données'!$F$61/12),VLOOKUP(Q$29,'Infos Techniques'!$B$7:$H$12,5,0)/($E34*'Saisie de données'!$F$61/12))*VLOOKUP('Saisie de données'!$F$38,'Menu déroulant'!$AA$22:$AD$24,4,0)</f>
        <v>#N/A</v>
      </c>
      <c r="R34" s="413" t="e">
        <f>IF('Saisie de données'!$C$61='Menu déroulant'!$AA$31,VLOOKUP(R$29,'Infos Techniques'!$B$7:$H$12,2,0)/($E34*'Saisie de données'!$F$61/12),VLOOKUP(R$29,'Infos Techniques'!$B$7:$H$12,5,0)/($E34*'Saisie de données'!$F$61/12))*VLOOKUP('Saisie de données'!$F$38,'Menu déroulant'!$AA$22:$AD$24,4,0)</f>
        <v>#N/A</v>
      </c>
      <c r="S34" s="413" t="e">
        <f>IF('Saisie de données'!$C$61='Menu déroulant'!$AA$31,VLOOKUP(S$29,'Infos Techniques'!$B$7:$H$12,2,0)/($E34*'Saisie de données'!$F$61/12),VLOOKUP(S$29,'Infos Techniques'!$B$7:$H$12,5,0)/($E34*'Saisie de données'!$F$61/12))*VLOOKUP('Saisie de données'!$F$38,'Menu déroulant'!$AA$22:$AD$24,4,0)</f>
        <v>#N/A</v>
      </c>
      <c r="T34" s="413" t="e">
        <f>IF('Saisie de données'!$C$61='Menu déroulant'!$AA$31,VLOOKUP(T$29,'Infos Techniques'!$B$7:$H$12,2,0)/($E34*'Saisie de données'!$F$61/12),VLOOKUP(T$29,'Infos Techniques'!$B$7:$H$12,5,0)/($E34*'Saisie de données'!$F$61/12))*VLOOKUP('Saisie de données'!$F$38,'Menu déroulant'!$AA$22:$AD$24,4,0)</f>
        <v>#N/A</v>
      </c>
      <c r="U34" s="413" t="e">
        <f>IF('Saisie de données'!$C$61='Menu déroulant'!$AA$31,VLOOKUP(U$29,'Infos Techniques'!$B$7:$H$12,2,0)/($E34*'Saisie de données'!$F$61/12),VLOOKUP(U$29,'Infos Techniques'!$B$7:$H$12,5,0)/($E34*'Saisie de données'!$F$61/12))*VLOOKUP('Saisie de données'!$F$38,'Menu déroulant'!$AA$22:$AD$24,4,0)</f>
        <v>#N/A</v>
      </c>
      <c r="V34" s="413" t="e">
        <f>IF('Saisie de données'!$C$61='Menu déroulant'!$AA$31,VLOOKUP(V$29,'Infos Techniques'!$B$7:$H$12,4,0)/($E34*'Saisie de données'!$F$61/12),VLOOKUP(V$29,'Infos Techniques'!$B$7:$H$12,7,0)/($E34*'Saisie de données'!$F$61/12))*VLOOKUP('Saisie de données'!$F$38,'Menu déroulant'!$AA$22:$AD$24,4,0)</f>
        <v>#N/A</v>
      </c>
      <c r="W34" s="413" t="e">
        <f>IF('Saisie de données'!$C$61='Menu déroulant'!$AA$31,VLOOKUP(W$29,'Infos Techniques'!$B$7:$H$12,4,0)/($E34*'Saisie de données'!$F$61/12),VLOOKUP(W$29,'Infos Techniques'!$B$7:$H$12,7,0)/($E34*'Saisie de données'!$F$61/12))*VLOOKUP('Saisie de données'!$F$38,'Menu déroulant'!$AA$22:$AD$24,4,0)</f>
        <v>#N/A</v>
      </c>
      <c r="X34" s="413" t="e">
        <f>IF('Saisie de données'!$C$61='Menu déroulant'!$AA$31,VLOOKUP(X$29,'Infos Techniques'!$B$7:$H$12,4,0)/($E34*'Saisie de données'!$F$61/12),VLOOKUP(X$29,'Infos Techniques'!$B$7:$H$12,7,0)/($E34*'Saisie de données'!$F$61/12))*VLOOKUP('Saisie de données'!$F$38,'Menu déroulant'!$AA$22:$AD$24,4,0)</f>
        <v>#N/A</v>
      </c>
      <c r="Y34" s="413" t="e">
        <f>IF('Saisie de données'!$C$61='Menu déroulant'!$AA$31,VLOOKUP(Y$29,'Infos Techniques'!$B$7:$H$12,4,0)/($E34*'Saisie de données'!$F$61/12),VLOOKUP(Y$29,'Infos Techniques'!$B$7:$H$12,7,0)/($E34*'Saisie de données'!$F$61/12))*VLOOKUP('Saisie de données'!$F$38,'Menu déroulant'!$AA$22:$AD$24,4,0)</f>
        <v>#N/A</v>
      </c>
      <c r="Z34" s="413" t="e">
        <f>IF('Saisie de données'!$C$61='Menu déroulant'!$AA$31,VLOOKUP(Z$29,'Infos Techniques'!$B$7:$H$12,4,0)/($E34*'Saisie de données'!$F$61/12),VLOOKUP(Z$29,'Infos Techniques'!$B$7:$H$12,7,0)/($E34*'Saisie de données'!$F$61/12))*VLOOKUP('Saisie de données'!$F$38,'Menu déroulant'!$AA$22:$AD$24,4,0)</f>
        <v>#N/A</v>
      </c>
      <c r="AA34" s="440" t="e">
        <f>VLOOKUP(AA$29,'Infos Techniques'!$I$5:$K$12,2,0)/($E34*'Saisie de données'!$F$61/12)*VLOOKUP('Saisie de données'!$F$38,'Menu déroulant'!$AA$22:$AD$24,4,0)</f>
        <v>#N/A</v>
      </c>
      <c r="AB34" s="413" t="e">
        <f>VLOOKUP(AB$29,'Infos Techniques'!$I$5:$K$12,2,0)/($E34*'Saisie de données'!$F$61/12)*VLOOKUP('Saisie de données'!$F$38,'Menu déroulant'!$AA$22:$AD$24,4,0)</f>
        <v>#N/A</v>
      </c>
      <c r="AC34" s="413" t="e">
        <f>VLOOKUP(AC$29,'Infos Techniques'!$I$5:$K$12,2,0)/($E34*'Saisie de données'!$F$61/12)*VLOOKUP('Saisie de données'!$F$38,'Menu déroulant'!$AA$22:$AD$24,4,0)</f>
        <v>#N/A</v>
      </c>
      <c r="AD34" s="413" t="e">
        <f>VLOOKUP(AD$29,'Infos Techniques'!$I$5:$K$12,2,0)/($E34*'Saisie de données'!$F$61/12)*VLOOKUP('Saisie de données'!$F$38,'Menu déroulant'!$AA$22:$AD$24,4,0)</f>
        <v>#N/A</v>
      </c>
      <c r="AE34" s="413">
        <v>0</v>
      </c>
      <c r="AF34" s="413" t="e">
        <f>VLOOKUP(AF$29,'Infos Techniques'!$I$5:$K$12,2,0)/($E34*'Saisie de données'!$F$61/12)*VLOOKUP('Saisie de données'!$F$38,'Menu déroulant'!$AA$22:$AD$24,4,0)</f>
        <v>#N/A</v>
      </c>
      <c r="AG34" s="413" t="e">
        <f>VLOOKUP(AG$29,'Infos Techniques'!$I$5:$K$12,2,0)/($E34*'Saisie de données'!$F$61/12)*VLOOKUP('Saisie de données'!$F$38,'Menu déroulant'!$AA$22:$AD$24,4,0)</f>
        <v>#N/A</v>
      </c>
      <c r="AH34" s="413">
        <v>0</v>
      </c>
      <c r="AI34" s="413" t="e">
        <f>VLOOKUP(AI$29,'Infos Techniques'!$I$5:$K$12,3,0)/($E34*'Saisie de données'!$F$61/12)*VLOOKUP('Saisie de données'!$F$38,'Menu déroulant'!$AA$22:$AD$24,4,0)</f>
        <v>#N/A</v>
      </c>
      <c r="AJ34" s="413" t="e">
        <f>VLOOKUP(AJ$29,'Infos Techniques'!$I$5:$K$12,3,0)/($E34*'Saisie de données'!$F$61/12)*VLOOKUP('Saisie de données'!$F$38,'Menu déroulant'!$AA$22:$AD$24,4,0)</f>
        <v>#N/A</v>
      </c>
      <c r="AK34" s="413" t="e">
        <f>VLOOKUP(AK$29,'Infos Techniques'!$I$5:$K$12,3,0)/($E34*'Saisie de données'!$F$61/12)*VLOOKUP('Saisie de données'!$F$38,'Menu déroulant'!$AA$22:$AD$24,4,0)</f>
        <v>#N/A</v>
      </c>
      <c r="AL34" s="413" t="e">
        <f>VLOOKUP(AL$29,'Infos Techniques'!$I$5:$K$12,3,0)/($E34*'Saisie de données'!$F$61/12)*VLOOKUP('Saisie de données'!$F$38,'Menu déroulant'!$AA$22:$AD$24,4,0)</f>
        <v>#N/A</v>
      </c>
      <c r="AM34" s="413" t="e">
        <f>VLOOKUP(AM$29,'Infos Techniques'!$I$5:$K$12,3,0)/($E34*'Saisie de données'!$F$61/12)*VLOOKUP('Saisie de données'!$F$38,'Menu déroulant'!$AA$22:$AD$24,4,0)</f>
        <v>#N/A</v>
      </c>
      <c r="AN34" s="413" t="e">
        <f>VLOOKUP(AN$29,'Infos Techniques'!$I$5:$K$12,3,0)/($E34*'Saisie de données'!$F$61/12)*VLOOKUP('Saisie de données'!$F$38,'Menu déroulant'!$AA$22:$AD$24,4,0)</f>
        <v>#N/A</v>
      </c>
      <c r="AO34" s="413" t="e">
        <f>VLOOKUP(AO$29,'Infos Techniques'!$I$5:$K$12,3,0)/($E34*'Saisie de données'!$F$61/12)*VLOOKUP('Saisie de données'!$F$38,'Menu déroulant'!$AA$22:$AD$24,4,0)</f>
        <v>#N/A</v>
      </c>
      <c r="AP34" s="414" t="e">
        <f>VLOOKUP(AP$29,'Infos Techniques'!$I$5:$K$12,3,0)/($E34*'Saisie de données'!$F$61/12)*VLOOKUP('Saisie de données'!$F$38,'Menu déroulant'!$AA$22:$AD$24,4,0)</f>
        <v>#N/A</v>
      </c>
    </row>
    <row r="35" spans="1:44">
      <c r="A35" s="179"/>
      <c r="B35" s="1601"/>
      <c r="C35" s="1603"/>
      <c r="D35" s="28" t="s">
        <v>343</v>
      </c>
      <c r="E35" s="43" t="e">
        <f>IF(ISBLANK('Saisie de données'!$E$30),'Charges de vent'!E36*20.885*1.4,'Saisie de données'!$E$30)</f>
        <v>#N/A</v>
      </c>
      <c r="F35" s="415" t="e" cm="1">
        <f t="array" aca="1" ref="F35" ca="1">IF('Saisie de données'!$K$61='Menu déroulant'!$AA$34,VLOOKUP(MAX(IF(INDIRECT("Norex2_"&amp;'Saisie de données'!$H$61&amp;"_"&amp;'Saisie de données'!$I$61&amp;"_S")&lt;='Synthèse résultat'!$E35,INDIRECT("Norex2_"&amp;'Saisie de données'!$H$61&amp;"_"&amp;'Saisie de données'!$I$61&amp;"_S"))),'Courbe Déflexion'!O$5:$X$285,10,0)*VLOOKUP('Saisie de données'!$F$38,'Menu déroulant'!$AA$22:$AD$24,4,0),VLOOKUP(MAX(IF(INDIRECT("Norex2_"&amp;'Saisie de données'!$H$61&amp;"_"&amp;'Saisie de données'!$I$61&amp;"_M")&lt;='Synthèse résultat'!$E35,INDIRECT("Norex2_"&amp;'Saisie de données'!$H$61&amp;"_"&amp;'Saisie de données'!$I$61&amp;"_M"))),'Courbe Déflexion'!$DW$5:$EF$217,10,0)*VLOOKUP('Saisie de données'!$F$38,'Menu déroulant'!$AA$22:$AD$24,4,0))</f>
        <v>#N/A</v>
      </c>
      <c r="G35" s="415" t="e" cm="1">
        <f t="array" aca="1" ref="G35" ca="1">IF('Saisie de données'!$K$60='Menu déroulant'!$AA$34,VLOOKUP(MAX(IF(INDIRECT("Norex3_"&amp;'Saisie de données'!$H$61&amp;"_"&amp;'Saisie de données'!$I$61&amp;"_S")&lt;='Synthèse résultat'!$E35,INDIRECT("Norex3_"&amp;'Saisie de données'!$H$61&amp;"_"&amp;'Saisie de données'!$I$61&amp;"_S"))),'Courbe Déflexion'!$Z$5:$AI$329,10,0)*VLOOKUP('Saisie de données'!$F$38,'Menu déroulant'!$AA$22:$AD$24,4,0),VLOOKUP(MAX(IF(INDIRECT("Norex3_"&amp;'Saisie de données'!$H$61&amp;"_"&amp;'Saisie de données'!$I$61&amp;"_M")&lt;='Synthèse résultat'!$E35,INDIRECT("Norex3_"&amp;'Saisie de données'!$H$61&amp;"_"&amp;'Saisie de données'!$I$61&amp;"_M"))),'Courbe Déflexion'!$EH$5:$EQ$309,10,0)*VLOOKUP('Saisie de données'!$F$38,'Menu déroulant'!$AA$22:$AD$24,4,0))</f>
        <v>#N/A</v>
      </c>
      <c r="H35" s="415" t="e" cm="1">
        <f t="array" aca="1" ref="H35" ca="1">IF('Saisie de données'!$K$60='Menu déroulant'!$AA$34,VLOOKUP(MAX(IF(INDIRECT("Norex4_"&amp;'Saisie de données'!$H$61&amp;"_"&amp;'Saisie de données'!$I$61&amp;"_S")&lt;='Synthèse résultat'!$E35,INDIRECT("Norex4_"&amp;'Saisie de données'!$H$61&amp;"_"&amp;'Saisie de données'!$I$61&amp;"_S"))),'Courbe Déflexion'!$AK$5:$AT$306,10,0)*VLOOKUP('Saisie de données'!$F$38,'Menu déroulant'!$AA$22:$AD$24,4,0),VLOOKUP(MAX(IF(INDIRECT("Norex4_"&amp;'Saisie de données'!$H$61&amp;"_"&amp;'Saisie de données'!$I$61&amp;"_M")&lt;='Synthèse résultat'!$E35,INDIRECT("Norex4_"&amp;'Saisie de données'!$H$61&amp;"_"&amp;'Saisie de données'!$I$61&amp;"_M"))),'Courbe Déflexion'!$ES$5:$FB$285,10,0)*VLOOKUP('Saisie de données'!$F$38,'Menu déroulant'!$AA$22:$AD$24,4,0))</f>
        <v>#N/A</v>
      </c>
      <c r="I35" s="415" t="e" cm="1">
        <f t="array" aca="1" ref="I35" ca="1">IF('Saisie de données'!$K$60='Menu déroulant'!$AA$34,VLOOKUP(MAX(IF(INDIRECT("Norex5_"&amp;'Saisie de données'!$H$61&amp;"_"&amp;'Saisie de données'!$I$61&amp;"_S")&lt;='Synthèse résultat'!$E35,INDIRECT("Norex5_"&amp;'Saisie de données'!$H$61&amp;"_"&amp;'Saisie de données'!$I$61&amp;"_S"))),'Courbe Déflexion'!$AV$5:$BE$306,10,0)*VLOOKUP('Saisie de données'!$F$38,'Menu déroulant'!$AA$22:$AD$24,4,0),VLOOKUP(MAX(IF(INDIRECT("Norex5_"&amp;'Saisie de données'!$H$61&amp;"_"&amp;'Saisie de données'!$I$61&amp;"_M")&lt;='Synthèse résultat'!$E35,INDIRECT("Norex5_"&amp;'Saisie de données'!$H$61&amp;"_"&amp;'Saisie de données'!$I$61&amp;"_M"))),'Courbe Déflexion'!$FD$5:$FM$285,10,0)*VLOOKUP('Saisie de données'!$F$38,'Menu déroulant'!$AA$22:$AD$24,4,0))</f>
        <v>#N/A</v>
      </c>
      <c r="J35" s="415" t="e" cm="1">
        <f t="array" aca="1" ref="J35" ca="1">IF('Saisie de données'!$K$60='Menu déroulant'!$AA$34,VLOOKUP(MAX(IF(INDIRECT("Norex6_"&amp;'Saisie de données'!$H$61&amp;"_"&amp;'Saisie de données'!$I$61&amp;"_S")&lt;='Synthèse résultat'!$E35,INDIRECT("Norex6_"&amp;'Saisie de données'!$H$61&amp;"_"&amp;'Saisie de données'!$I$61&amp;"_S"))),'Courbe Déflexion'!$BG$5:$BP$306,10,0)*VLOOKUP('Saisie de données'!$F$38,'Menu déroulant'!$AA$22:$AD$24,4,0),VLOOKUP(MAX(IF(INDIRECT("Norex6_"&amp;'Saisie de données'!$H$61&amp;"_"&amp;'Saisie de données'!$I$61&amp;"_M")&lt;='Synthèse résultat'!$E35,INDIRECT("Norex6_"&amp;'Saisie de données'!$H$61&amp;"_"&amp;'Saisie de données'!$I$61&amp;"_M"))),'Courbe Déflexion'!$FO$5:$FX$286,10,0)*VLOOKUP('Saisie de données'!$F$38,'Menu déroulant'!$AA$22:$AD$24,4,0))</f>
        <v>#N/A</v>
      </c>
      <c r="K35" s="415" t="e" cm="1">
        <f t="array" aca="1" ref="K35" ca="1">IF('Saisie de données'!$K$60='Menu déroulant'!$AA$34,VLOOKUP(MAX(IF(INDIRECT("Norex8_"&amp;'Saisie de données'!$H$61&amp;"_"&amp;'Saisie de données'!$I$61&amp;"_S")&lt;='Synthèse résultat'!$E35,INDIRECT("Norex8_"&amp;'Saisie de données'!$H$61&amp;"_"&amp;'Saisie de données'!$I$61&amp;"_S"))),'Courbe Déflexion'!$BR$5:$CA$306,10,0)*VLOOKUP('Saisie de données'!$F$38,'Menu déroulant'!$AA$22:$AD$24,4,0),VLOOKUP(MAX(IF(INDIRECT("Norex8_"&amp;'Saisie de données'!$H$61&amp;"_"&amp;'Saisie de données'!$I$61&amp;"_M")&lt;='Synthèse résultat'!$E35,INDIRECT("Norex8_"&amp;'Saisie de données'!$H$61&amp;"_"&amp;'Saisie de données'!$I$61&amp;"_M"))),'Courbe Déflexion'!$FZ$5:$GI$286,10,0)*VLOOKUP('Saisie de données'!$F$38,'Menu déroulant'!$AA$22:$AD$24,4,0))</f>
        <v>#N/A</v>
      </c>
      <c r="L35" s="415" t="e" cm="1">
        <f t="array" aca="1" ref="L35" ca="1">IF('Saisie de données'!$K$60='Menu déroulant'!$AA$34,VLOOKUP(MAX(IF(INDIRECT("Noroc4_"&amp;'Saisie de données'!$H$61&amp;"_"&amp;'Saisie de données'!$I$61&amp;"_S")&lt;='Synthèse résultat'!$E35,INDIRECT("Noroc4_"&amp;'Saisie de données'!$H$61&amp;"_"&amp;'Saisie de données'!$I$61&amp;"_S"))),'Courbe Déflexion'!$CC$5:$CL$306,10,0)*VLOOKUP('Saisie de données'!$F$38,'Menu déroulant'!$AA$22:$AD$24,4,0),VLOOKUP(MAX(IF(INDIRECT("Noroc4_"&amp;'Saisie de données'!$H$61&amp;"_"&amp;'Saisie de données'!$I$61&amp;"_M")&lt;='Synthèse résultat'!$E35,INDIRECT("Noroc4_"&amp;'Saisie de données'!$H$61&amp;"_"&amp;'Saisie de données'!$I$61&amp;"_M"))),'Courbe Déflexion'!$GK$5:$GT$286,10,0)*VLOOKUP('Saisie de données'!$F$38,'Menu déroulant'!$AA$22:$AD$24,4,0))</f>
        <v>#N/A</v>
      </c>
      <c r="M35" s="415" t="e" cm="1">
        <f t="array" aca="1" ref="M35" ca="1">IF('Saisie de données'!$K$60='Menu déroulant'!$AA$34,VLOOKUP(MAX(IF(INDIRECT("Noroc5_"&amp;'Saisie de données'!$H$61&amp;"_"&amp;'Saisie de données'!$I$61&amp;"_S")&lt;='Synthèse résultat'!$E35,INDIRECT("Noroc5_"&amp;'Saisie de données'!$H$61&amp;"_"&amp;'Saisie de données'!$I$61&amp;"_S"))),'Courbe Déflexion'!$CN$5:$CW$306,10,0)*VLOOKUP('Saisie de données'!$F$38,'Menu déroulant'!$AA$22:$AD$24,4,0),VLOOKUP(MAX(IF(INDIRECT("Noroc5_"&amp;'Saisie de données'!$H$61&amp;"_"&amp;'Saisie de données'!$I$61&amp;"_M")&lt;='Synthèse résultat'!$E35,INDIRECT("Noroc5_"&amp;'Saisie de données'!$H$61&amp;"_"&amp;'Saisie de données'!$I$61&amp;"_M"))),'Courbe Déflexion'!$GV$5:$HE$286,10,0)*VLOOKUP('Saisie de données'!$F$38,'Menu déroulant'!$AA$22:$AD$24,4,0))</f>
        <v>#N/A</v>
      </c>
      <c r="N35" s="415" t="e" cm="1">
        <f t="array" aca="1" ref="N35" ca="1">IF('Saisie de données'!$K$60='Menu déroulant'!$AA$34,VLOOKUP(MAX(IF(INDIRECT("Noroc6_"&amp;'Saisie de données'!$H$61&amp;"_"&amp;'Saisie de données'!$I$61&amp;"_S")&lt;='Synthèse résultat'!$E35,INDIRECT("Noroc6_"&amp;'Saisie de données'!$H$61&amp;"_"&amp;'Saisie de données'!$I$61&amp;"_S"))),'Courbe Déflexion'!$CY$5:$DH$306,10,0)*VLOOKUP('Saisie de données'!$F$38,'Menu déroulant'!$AA$22:$AD$24,4,0),VLOOKUP(MAX(IF(INDIRECT("Noroc6_"&amp;'Saisie de données'!$H$61&amp;"_"&amp;'Saisie de données'!$I$61&amp;"_M")&lt;='Synthèse résultat'!$E35,INDIRECT("Noroc6_"&amp;'Saisie de données'!$H$61&amp;"_"&amp;'Saisie de données'!$I$61&amp;"_M"))),'Courbe Déflexion'!$HG$5:$HP$286,10,0)*VLOOKUP('Saisie de données'!$F$38,'Menu déroulant'!$AA$22:$AD$24,4,0))</f>
        <v>#N/A</v>
      </c>
      <c r="O35" s="415" t="e" cm="1">
        <f t="array" aca="1" ref="O35" ca="1">IF('Saisie de données'!$K$60='Menu déroulant'!$AA$34,VLOOKUP(MAX(IF(INDIRECT("Noroc8_"&amp;'Saisie de données'!$H$61&amp;"_"&amp;'Saisie de données'!$I$61&amp;"_S")&lt;='Synthèse résultat'!$E35,INDIRECT("Noroc8_"&amp;'Saisie de données'!$H$61&amp;"_"&amp;'Saisie de données'!$I$61&amp;"_S"))),'Courbe Déflexion'!$DJ$5:$DS$306,10,0)*VLOOKUP('Saisie de données'!$F$38,'Menu déroulant'!$AA$22:$AD$24,4,0),VLOOKUP(MAX(IF(INDIRECT("Noroc8_"&amp;'Saisie de données'!$H$61&amp;"_"&amp;'Saisie de données'!$I$61&amp;"_M")&lt;='Synthèse résultat'!$E35,INDIRECT("Noroc8_"&amp;'Saisie de données'!$H$61&amp;"_"&amp;'Saisie de données'!$I$61&amp;"_M"))),'Courbe Déflexion'!$HR$5:$IA$286,10,0)*VLOOKUP('Saisie de données'!$F$38,'Menu déroulant'!$AA$22:$AD$24,4,0))</f>
        <v>#N/A</v>
      </c>
      <c r="P35" s="416">
        <f>VLOOKUP('Saisie de données'!$J$61,'Infos Techniques'!$U$15:$AF$43,12,0)*VLOOKUP('Saisie de données'!$F$38,'Menu déroulant'!$AA$22:$AD$24,4,0)</f>
        <v>10</v>
      </c>
      <c r="Q35" s="326" t="e">
        <f>IF('Saisie de données'!$C$61='Menu déroulant'!$AA$31,VLOOKUP(Q$29,'Infos Techniques'!$B$7:$H$12,2,0)/($E35*'Saisie de données'!$F$61/12),VLOOKUP(Q$29,'Infos Techniques'!$B$7:$H$12,5,0)/($E35*'Saisie de données'!$F$61/12))*VLOOKUP('Saisie de données'!$F$38,'Menu déroulant'!$AA$22:$AD$24,4,0)</f>
        <v>#N/A</v>
      </c>
      <c r="R35" s="326" t="e">
        <f>IF('Saisie de données'!$C$61='Menu déroulant'!$AA$31,VLOOKUP(R$29,'Infos Techniques'!$B$7:$H$12,2,0)/($E35*'Saisie de données'!$F$61/12),VLOOKUP(R$29,'Infos Techniques'!$B$7:$H$12,5,0)/($E35*'Saisie de données'!$F$61/12))*VLOOKUP('Saisie de données'!$F$38,'Menu déroulant'!$AA$22:$AD$24,4,0)</f>
        <v>#N/A</v>
      </c>
      <c r="S35" s="326" t="e">
        <f>IF('Saisie de données'!$C$61='Menu déroulant'!$AA$31,VLOOKUP(S$29,'Infos Techniques'!$B$7:$H$12,2,0)/($E35*'Saisie de données'!$F$61/12),VLOOKUP(S$29,'Infos Techniques'!$B$7:$H$12,5,0)/($E35*'Saisie de données'!$F$61/12))*VLOOKUP('Saisie de données'!$F$38,'Menu déroulant'!$AA$22:$AD$24,4,0)</f>
        <v>#N/A</v>
      </c>
      <c r="T35" s="326" t="e">
        <f>IF('Saisie de données'!$C$61='Menu déroulant'!$AA$31,VLOOKUP(T$29,'Infos Techniques'!$B$7:$H$12,2,0)/($E35*'Saisie de données'!$F$61/12),VLOOKUP(T$29,'Infos Techniques'!$B$7:$H$12,5,0)/($E35*'Saisie de données'!$F$61/12))*VLOOKUP('Saisie de données'!$F$38,'Menu déroulant'!$AA$22:$AD$24,4,0)</f>
        <v>#N/A</v>
      </c>
      <c r="U35" s="326" t="e">
        <f>IF('Saisie de données'!$C$61='Menu déroulant'!$AA$31,VLOOKUP(U$29,'Infos Techniques'!$B$7:$H$12,2,0)/($E35*'Saisie de données'!$F$61/12),VLOOKUP(U$29,'Infos Techniques'!$B$7:$H$12,5,0)/($E35*'Saisie de données'!$F$61/12))*VLOOKUP('Saisie de données'!$F$38,'Menu déroulant'!$AA$22:$AD$24,4,0)</f>
        <v>#N/A</v>
      </c>
      <c r="V35" s="326" t="e">
        <f>IF('Saisie de données'!$C$61='Menu déroulant'!$AA$31,VLOOKUP(V$29,'Infos Techniques'!$B$7:$H$12,4,0)/($E35*'Saisie de données'!$F$61/12),VLOOKUP(V$29,'Infos Techniques'!$B$7:$H$12,7,0)/($E35*'Saisie de données'!$F$61/12))*VLOOKUP('Saisie de données'!$F$38,'Menu déroulant'!$AA$22:$AD$24,4,0)</f>
        <v>#N/A</v>
      </c>
      <c r="W35" s="326" t="e">
        <f>IF('Saisie de données'!$C$61='Menu déroulant'!$AA$31,VLOOKUP(W$29,'Infos Techniques'!$B$7:$H$12,4,0)/($E35*'Saisie de données'!$F$61/12),VLOOKUP(W$29,'Infos Techniques'!$B$7:$H$12,7,0)/($E35*'Saisie de données'!$F$61/12))*VLOOKUP('Saisie de données'!$F$38,'Menu déroulant'!$AA$22:$AD$24,4,0)</f>
        <v>#N/A</v>
      </c>
      <c r="X35" s="326" t="e">
        <f>IF('Saisie de données'!$C$61='Menu déroulant'!$AA$31,VLOOKUP(X$29,'Infos Techniques'!$B$7:$H$12,4,0)/($E35*'Saisie de données'!$F$61/12),VLOOKUP(X$29,'Infos Techniques'!$B$7:$H$12,7,0)/($E35*'Saisie de données'!$F$61/12))*VLOOKUP('Saisie de données'!$F$38,'Menu déroulant'!$AA$22:$AD$24,4,0)</f>
        <v>#N/A</v>
      </c>
      <c r="Y35" s="326" t="e">
        <f>IF('Saisie de données'!$C$61='Menu déroulant'!$AA$31,VLOOKUP(Y$29,'Infos Techniques'!$B$7:$H$12,4,0)/($E35*'Saisie de données'!$F$61/12),VLOOKUP(Y$29,'Infos Techniques'!$B$7:$H$12,7,0)/($E35*'Saisie de données'!$F$61/12))*VLOOKUP('Saisie de données'!$F$38,'Menu déroulant'!$AA$22:$AD$24,4,0)</f>
        <v>#N/A</v>
      </c>
      <c r="Z35" s="417" t="e">
        <f>IF('Saisie de données'!$C$61='Menu déroulant'!$AA$31,VLOOKUP(Z$29,'Infos Techniques'!$B$7:$H$12,4,0)/($E35*'Saisie de données'!$F$61/12),VLOOKUP(Z$29,'Infos Techniques'!$B$7:$H$12,7,0)/($E35*'Saisie de données'!$F$61/12))*VLOOKUP('Saisie de données'!$F$38,'Menu déroulant'!$AA$22:$AD$24,4,0)</f>
        <v>#N/A</v>
      </c>
      <c r="AA35" s="442" t="e">
        <f>VLOOKUP(AA$29,'Infos Techniques'!$I$5:$K$12,2,0)/($E35*'Saisie de données'!$F$61/12)*VLOOKUP('Saisie de données'!$F$38,'Menu déroulant'!$AA$22:$AD$24,4,0)</f>
        <v>#N/A</v>
      </c>
      <c r="AB35" s="326" t="e">
        <f>VLOOKUP(AB$29,'Infos Techniques'!$I$5:$K$12,2,0)/($E35*'Saisie de données'!$F$61/12)*VLOOKUP('Saisie de données'!$F$38,'Menu déroulant'!$AA$22:$AD$24,4,0)</f>
        <v>#N/A</v>
      </c>
      <c r="AC35" s="326" t="e">
        <f>VLOOKUP(AC$29,'Infos Techniques'!$I$5:$K$12,2,0)/($E35*'Saisie de données'!$F$61/12)*VLOOKUP('Saisie de données'!$F$38,'Menu déroulant'!$AA$22:$AD$24,4,0)</f>
        <v>#N/A</v>
      </c>
      <c r="AD35" s="326" t="e">
        <f>VLOOKUP(AD$29,'Infos Techniques'!$I$5:$K$12,2,0)/($E35*'Saisie de données'!$F$61/12)*VLOOKUP('Saisie de données'!$F$38,'Menu déroulant'!$AA$22:$AD$24,4,0)</f>
        <v>#N/A</v>
      </c>
      <c r="AE35" s="326">
        <v>0</v>
      </c>
      <c r="AF35" s="326" t="e">
        <f>VLOOKUP(AF$29,'Infos Techniques'!$I$5:$K$12,2,0)/($E35*'Saisie de données'!$F$61/12)*VLOOKUP('Saisie de données'!$F$38,'Menu déroulant'!$AA$22:$AD$24,4,0)</f>
        <v>#N/A</v>
      </c>
      <c r="AG35" s="326" t="e">
        <f>VLOOKUP(AG$29,'Infos Techniques'!$I$5:$K$12,2,0)/($E35*'Saisie de données'!$F$61/12)*VLOOKUP('Saisie de données'!$F$38,'Menu déroulant'!$AA$22:$AD$24,4,0)</f>
        <v>#N/A</v>
      </c>
      <c r="AH35" s="326">
        <v>0</v>
      </c>
      <c r="AI35" s="326" t="e">
        <f>VLOOKUP(AI$29,'Infos Techniques'!$I$5:$K$12,3,0)/($E35*'Saisie de données'!$F$61/12)*VLOOKUP('Saisie de données'!$F$38,'Menu déroulant'!$AA$22:$AD$24,4,0)</f>
        <v>#N/A</v>
      </c>
      <c r="AJ35" s="326" t="e">
        <f>VLOOKUP(AJ$29,'Infos Techniques'!$I$5:$K$12,3,0)/($E35*'Saisie de données'!$F$61/12)*VLOOKUP('Saisie de données'!$F$38,'Menu déroulant'!$AA$22:$AD$24,4,0)</f>
        <v>#N/A</v>
      </c>
      <c r="AK35" s="326" t="e">
        <f>VLOOKUP(AK$29,'Infos Techniques'!$I$5:$K$12,3,0)/($E35*'Saisie de données'!$F$61/12)*VLOOKUP('Saisie de données'!$F$38,'Menu déroulant'!$AA$22:$AD$24,4,0)</f>
        <v>#N/A</v>
      </c>
      <c r="AL35" s="326" t="e">
        <f>VLOOKUP(AL$29,'Infos Techniques'!$I$5:$K$12,3,0)/($E35*'Saisie de données'!$F$61/12)*VLOOKUP('Saisie de données'!$F$38,'Menu déroulant'!$AA$22:$AD$24,4,0)</f>
        <v>#N/A</v>
      </c>
      <c r="AM35" s="326" t="e">
        <f>VLOOKUP(AM$29,'Infos Techniques'!$I$5:$K$12,3,0)/($E35*'Saisie de données'!$F$61/12)*VLOOKUP('Saisie de données'!$F$38,'Menu déroulant'!$AA$22:$AD$24,4,0)</f>
        <v>#N/A</v>
      </c>
      <c r="AN35" s="326" t="e">
        <f>VLOOKUP(AN$29,'Infos Techniques'!$I$5:$K$12,3,0)/($E35*'Saisie de données'!$F$61/12)*VLOOKUP('Saisie de données'!$F$38,'Menu déroulant'!$AA$22:$AD$24,4,0)</f>
        <v>#N/A</v>
      </c>
      <c r="AO35" s="326" t="e">
        <f>VLOOKUP(AO$29,'Infos Techniques'!$I$5:$K$12,3,0)/($E35*'Saisie de données'!$F$61/12)*VLOOKUP('Saisie de données'!$F$38,'Menu déroulant'!$AA$22:$AD$24,4,0)</f>
        <v>#N/A</v>
      </c>
      <c r="AP35" s="417" t="e">
        <f>VLOOKUP(AP$29,'Infos Techniques'!$I$5:$K$12,3,0)/($E35*'Saisie de données'!$F$61/12)*VLOOKUP('Saisie de données'!$F$38,'Menu déroulant'!$AA$22:$AD$24,4,0)</f>
        <v>#N/A</v>
      </c>
    </row>
    <row r="36" spans="1:44">
      <c r="A36" s="179"/>
      <c r="B36" s="1601"/>
      <c r="C36" s="1603" t="s">
        <v>111</v>
      </c>
      <c r="D36" s="28" t="s">
        <v>342</v>
      </c>
      <c r="E36" s="43" t="e">
        <f>IF(ISBLANK('Saisie de données'!$E$31),'Charges de vent'!D37*20.885*1.4,0)</f>
        <v>#N/A</v>
      </c>
      <c r="F36" s="415" t="e" cm="1">
        <f t="array" aca="1" ref="F36" ca="1">VLOOKUP(MAX(IF(INDIRECT("Norex2_"&amp;'Saisie de données'!$H$61&amp;"_"&amp;'Saisie de données'!$I$61&amp;"_S")&lt;='Synthèse résultat'!$E36,INDIRECT("Norex2_"&amp;'Saisie de données'!$H$61&amp;"_"&amp;'Saisie de données'!$I$61&amp;"_S"))),'Courbe Déflexion'!O$5:$X$285,10,0)*0.3798*VLOOKUP('Saisie de données'!$F$38,'Menu déroulant'!$AA$22:$AD$24,4,0)</f>
        <v>#N/A</v>
      </c>
      <c r="G36" s="415" t="e" cm="1">
        <f t="array" aca="1" ref="G36" ca="1">VLOOKUP(MAX(IF(INDIRECT("Norex3_"&amp;'Saisie de données'!$H$61&amp;"_"&amp;'Saisie de données'!$I$61&amp;"_S")&lt;='Synthèse résultat'!$E36,INDIRECT("Norex3_"&amp;'Saisie de données'!$H$61&amp;"_"&amp;'Saisie de données'!$I$61&amp;"_S"))),'Courbe Déflexion'!Z$5:$AI$285,10,0)*0.3798*VLOOKUP('Saisie de données'!$F$38,'Menu déroulant'!$AA$22:$AD$24,4,0)</f>
        <v>#N/A</v>
      </c>
      <c r="H36" s="415" t="e" cm="1">
        <f t="array" aca="1" ref="H36" ca="1">VLOOKUP(MAX(IF(INDIRECT("Norex4_"&amp;'Saisie de données'!$H$61&amp;"_"&amp;'Saisie de données'!$I$61&amp;"_S")&lt;='Synthèse résultat'!$E36,INDIRECT("Norex4_"&amp;'Saisie de données'!$H$61&amp;"_"&amp;'Saisie de données'!$I$61&amp;"_S"))),'Courbe Déflexion'!$AK$5:$AT$306,10,0)*0.3798*VLOOKUP('Saisie de données'!$F$38,'Menu déroulant'!$AA$22:$AD$24,4,0)</f>
        <v>#N/A</v>
      </c>
      <c r="I36" s="415" t="e" cm="1">
        <f t="array" aca="1" ref="I36" ca="1">VLOOKUP(MAX(IF(INDIRECT("Norex5_"&amp;'Saisie de données'!$H$61&amp;"_"&amp;'Saisie de données'!$I$61&amp;"_S")&lt;='Synthèse résultat'!$E36,INDIRECT("Norex5_"&amp;'Saisie de données'!$H$61&amp;"_"&amp;'Saisie de données'!$I$61&amp;"_S"))),'Courbe Déflexion'!$AV$5:$BE$306,10,0)*0.3798*VLOOKUP('Saisie de données'!$F$38,'Menu déroulant'!$AA$22:$AD$24,4,0)</f>
        <v>#N/A</v>
      </c>
      <c r="J36" s="415" t="e" cm="1">
        <f t="array" aca="1" ref="J36" ca="1">VLOOKUP(MAX(IF(INDIRECT("Norex6_"&amp;'Saisie de données'!$H$61&amp;"_"&amp;'Saisie de données'!$I$61&amp;"_S")&lt;='Synthèse résultat'!$E36,INDIRECT("Norex6_"&amp;'Saisie de données'!$H$61&amp;"_"&amp;'Saisie de données'!$I$61&amp;"_S"))),'Courbe Déflexion'!$BG$5:$BP$306,10,0)*0.3798*VLOOKUP('Saisie de données'!$F$38,'Menu déroulant'!$AA$22:$AD$24,4,0)</f>
        <v>#N/A</v>
      </c>
      <c r="K36" s="415" t="e" cm="1">
        <f t="array" aca="1" ref="K36" ca="1">VLOOKUP(MAX(IF(INDIRECT("Norex8_"&amp;'Saisie de données'!$H$61&amp;"_"&amp;'Saisie de données'!$I$61&amp;"_S")&lt;='Synthèse résultat'!$E36,INDIRECT("Norex8_"&amp;'Saisie de données'!$H$61&amp;"_"&amp;'Saisie de données'!$I$61&amp;"_S"))),'Courbe Déflexion'!$BR$5:$CA$306,10,0)*0.3798*VLOOKUP('Saisie de données'!$F$38,'Menu déroulant'!$AA$22:$AD$24,4,0)</f>
        <v>#N/A</v>
      </c>
      <c r="L36" s="415" t="e" cm="1">
        <f t="array" aca="1" ref="L36" ca="1">VLOOKUP(MAX(IF(INDIRECT("Noroc4_"&amp;'Saisie de données'!$H$61&amp;"_"&amp;'Saisie de données'!$I$61&amp;"_S")&lt;='Synthèse résultat'!$E36,INDIRECT("Noroc4_"&amp;'Saisie de données'!$H$61&amp;"_"&amp;'Saisie de données'!$I$61&amp;"_S"))),'Courbe Déflexion'!$CC$5:$CL$306,10,0)*0.3798*VLOOKUP('Saisie de données'!$F$38,'Menu déroulant'!$AA$22:$AD$24,4,0)</f>
        <v>#N/A</v>
      </c>
      <c r="M36" s="415" t="e" cm="1">
        <f t="array" aca="1" ref="M36" ca="1">VLOOKUP(MAX(IF(INDIRECT("Noroc5_"&amp;'Saisie de données'!$H$60&amp;"_"&amp;'Saisie de données'!$I$60&amp;"_S")&lt;='Synthèse résultat'!$E36,INDIRECT("Noroc5_"&amp;'Saisie de données'!$H$60&amp;"_"&amp;'Saisie de données'!$I$60&amp;"_S"))),'Courbe Déflexion'!$CN$5:$CW$306,10,0)*0.3798*VLOOKUP('Saisie de données'!$F$38,'Menu déroulant'!$AA$22:$AD$24,4,0)</f>
        <v>#N/A</v>
      </c>
      <c r="N36" s="415" t="e" cm="1">
        <f t="array" aca="1" ref="N36" ca="1">VLOOKUP(MAX(IF(INDIRECT("Noroc6_"&amp;'Saisie de données'!$H$61&amp;"_"&amp;'Saisie de données'!$I$61&amp;"_S")&lt;='Synthèse résultat'!$E36,INDIRECT("Noroc6_"&amp;'Saisie de données'!$H$61&amp;"_"&amp;'Saisie de données'!$I$61&amp;"_S"))),'Courbe Déflexion'!$CY$5:$DH$306,10,0)*0.3798*VLOOKUP('Saisie de données'!$F$38,'Menu déroulant'!$AA$22:$AD$24,4,0)</f>
        <v>#N/A</v>
      </c>
      <c r="O36" s="415" t="e" cm="1">
        <f t="array" aca="1" ref="O36" ca="1">VLOOKUP(MAX(IF(INDIRECT("Noroc8_"&amp;'Saisie de données'!$H$61&amp;"_"&amp;'Saisie de données'!$I$61&amp;"_S")&lt;='Synthèse résultat'!$E36,INDIRECT("Noroc8_"&amp;'Saisie de données'!$H$61&amp;"_"&amp;'Saisie de données'!$I$61&amp;"_S"))),'Courbe Déflexion'!$DJ$5:$DS$306,10,0)*0.3798*VLOOKUP('Saisie de données'!$F$38,'Menu déroulant'!$AA$22:$AD$24,4,0)</f>
        <v>#N/A</v>
      </c>
      <c r="P36" s="416">
        <f>VLOOKUP('Saisie de données'!$J$61,'Infos Techniques'!$U$15:$AF$43,12,0)*VLOOKUP('Saisie de données'!$F$38,'Menu déroulant'!$AA$22:$AD$24,4,0)</f>
        <v>10</v>
      </c>
      <c r="Q36" s="326" t="e">
        <f ca="1">IF('Saisie de données'!$C$61='Menu déroulant'!$AA$31,(VLOOKUP(Q$29,'Infos Techniques'!$B$7:$H$12,2,0)/('Saisie de données'!$F$61/12)-(Francais10p!$M$58/2*E34))/E36,(VLOOKUP(Q$29,'Infos Techniques'!$B$7:$H$12,5,0)/('Saisie de données'!$F$61/12)-(Francais10p!$M$58/2*E34))/E36)*VLOOKUP('Saisie de données'!$F$38,'Menu déroulant'!$AA$22:$AD$24,4,0)</f>
        <v>#VALUE!</v>
      </c>
      <c r="R36" s="326" t="e">
        <f ca="1">IF('Saisie de données'!$C$61='Menu déroulant'!$AA$31,(VLOOKUP(R$29,'Infos Techniques'!$B$7:$H$12,2,0)/('Saisie de données'!$F$61/12)-(Francais10p!$M$58/2*E34))/E36,(VLOOKUP(R$29,'Infos Techniques'!$B$7:$H$12,5,0)/('Saisie de données'!$F$61/12)-(Francais10p!$M$58/2*E34))/E36)*VLOOKUP('Saisie de données'!$F$38,'Menu déroulant'!$AA$22:$AD$24,4,0)</f>
        <v>#VALUE!</v>
      </c>
      <c r="S36" s="326" t="e">
        <f ca="1">IF('Saisie de données'!$C$61='Menu déroulant'!$AA$31,(VLOOKUP(S$29,'Infos Techniques'!$B$7:$H$12,2,0)/('Saisie de données'!$F$61/12)-(Francais10p!$M$59/2*E34))/E36,(VLOOKUP(S$29,'Infos Techniques'!$B$7:$H$12,5,0)/('Saisie de données'!$F$61/12)-(Francais10p!$M$59/2*E34))/E36)*VLOOKUP('Saisie de données'!$F$38,'Menu déroulant'!$AA$22:$AD$24,4,0)</f>
        <v>#VALUE!</v>
      </c>
      <c r="T36" s="326" t="e">
        <f ca="1">IF('Saisie de données'!$C$61='Menu déroulant'!$AA$31,(VLOOKUP(T$29,'Infos Techniques'!$B$7:$H$12,2,0)/('Saisie de données'!$F$61/12)-(Francais10p!$M$60/2*E34))/E36,(VLOOKUP(T$29,'Infos Techniques'!$B$7:$H$12,5,0)/('Saisie de données'!$F$61/12)-(Francais10p!$M$60/2*E34))/E36)*VLOOKUP('Saisie de données'!$F$38,'Menu déroulant'!$AA$22:$AD$24,4,0)</f>
        <v>#VALUE!</v>
      </c>
      <c r="U36" s="326" t="e">
        <f ca="1">IF('Saisie de données'!$C$61='Menu déroulant'!$AA$31,(VLOOKUP(U$29,'Infos Techniques'!$B$7:$H$12,2,0)/('Saisie de données'!$F$61/12)-(Francais10p!$M$61/2*E34))/E36,(VLOOKUP(U$29,'Infos Techniques'!$B$7:$H$12,5,0)/('Saisie de données'!$F$61/12)-(Francais10p!$M$61/2*E34))/E36)*VLOOKUP('Saisie de données'!$F$38,'Menu déroulant'!$AA$22:$AD$24,4,0)</f>
        <v>#VALUE!</v>
      </c>
      <c r="V36" s="326" t="e">
        <f ca="1">IF('Saisie de données'!$C$61='Menu déroulant'!$AA$31,(VLOOKUP(V$29,'Infos Techniques'!$B$7:$H$12,4,0)/('Saisie de données'!$F$61/12)-(Francais10p!$O$58/2*E34))/E36,(VLOOKUP(V$29,'Infos Techniques'!$B$7:$H$12,7,0)/('Saisie de données'!$F$61/12)-(Francais10p!$O$58/2*E34))/E36)*VLOOKUP('Saisie de données'!$F$38,'Menu déroulant'!$AA$22:$AD$24,4,0)</f>
        <v>#VALUE!</v>
      </c>
      <c r="W36" s="326" t="e">
        <f ca="1">IF('Saisie de données'!$C$61='Menu déroulant'!$AA$31,(VLOOKUP(W$29,'Infos Techniques'!$B$7:$H$12,4,0)/('Saisie de données'!$F$61/12)-(Francais10p!$O$58/2*E34))/E36,(VLOOKUP(W$29,'Infos Techniques'!$B$7:$H$12,7,0)/('Saisie de données'!$F$61/12)-(Francais10p!$O$58/2*E34))/E36)*VLOOKUP('Saisie de données'!$F$38,'Menu déroulant'!$AA$22:$AD$24,4,0)</f>
        <v>#VALUE!</v>
      </c>
      <c r="X36" s="326" t="e">
        <f ca="1">IF('Saisie de données'!$C$61='Menu déroulant'!$AA$31,(VLOOKUP(X$29,'Infos Techniques'!$B$7:$H$12,4,0)/('Saisie de données'!$F$61/12)-(Francais10p!$O$59/2*E34))/E36,(VLOOKUP(X$29,'Infos Techniques'!$B$7:$H$12,7,0)/('Saisie de données'!$F$61/12)-(Francais10p!$O$59/2*E34))/E36)*VLOOKUP('Saisie de données'!$F$38,'Menu déroulant'!$AA$22:$AD$24,4,0)</f>
        <v>#VALUE!</v>
      </c>
      <c r="Y36" s="326" t="e">
        <f ca="1">IF('Saisie de données'!$C$61='Menu déroulant'!$AA$31,(VLOOKUP(Y$29,'Infos Techniques'!$B$7:$H$12,4,0)/('Saisie de données'!$F$61/12)-(Francais10p!$O$60/2*E34))/E36,(VLOOKUP(Y$29,'Infos Techniques'!$B$7:$H$12,7,0)/('Saisie de données'!$F$61/12)-(Francais10p!$O$60/2*E34))/E36)*VLOOKUP('Saisie de données'!$F$38,'Menu déroulant'!$AA$22:$AD$24,4,0)</f>
        <v>#VALUE!</v>
      </c>
      <c r="Z36" s="417" t="e">
        <f ca="1">IF('Saisie de données'!$C$61='Menu déroulant'!$AA$31,(VLOOKUP(Z$29,'Infos Techniques'!$B$7:$H$12,4,0)/('Saisie de données'!$F$61/12)-(Francais10p!$O$61/2*E34))/E36,(VLOOKUP(Z$29,'Infos Techniques'!$B$7:$H$12,7,0)/('Saisie de données'!$F$61/12)-(Francais10p!$O$61/2*E34))/E36)*VLOOKUP('Saisie de données'!$F$38,'Menu déroulant'!$AA$22:$AD$24,4,0)</f>
        <v>#VALUE!</v>
      </c>
      <c r="AA36" s="748" t="e">
        <f ca="1">(((VLOOKUP(AA$29,'Infos Techniques'!$I$5:$K$12,2,0)/('Saisie de données'!$F$61/12))-(Francais10p!$M$75/2*$E34))/$E36)*VLOOKUP('Saisie de données'!$F$38,'Menu déroulant'!$AA$22:$AD$24,4,0)</f>
        <v>#VALUE!</v>
      </c>
      <c r="AB36" s="326" t="e">
        <f ca="1">(((VLOOKUP(AB$29,'Infos Techniques'!$I$5:$K$12,2,0)/('Saisie de données'!$F$61/12))-(Francais10p!$M$75/2*$E34))/$E36)*VLOOKUP('Saisie de données'!$F$38,'Menu déroulant'!$AA$22:$AD$24,4,0)</f>
        <v>#VALUE!</v>
      </c>
      <c r="AC36" s="326" t="e">
        <f ca="1">(((VLOOKUP(AC$29,'Infos Techniques'!$I$5:$K$12,2,0)/('Saisie de données'!$F$61/12))-(Francais10p!$M$75/2*$E34))/$E36)*VLOOKUP('Saisie de données'!$F$38,'Menu déroulant'!$AA$22:$AD$24,4,0)</f>
        <v>#VALUE!</v>
      </c>
      <c r="AD36" s="326" t="e">
        <f ca="1">(((VLOOKUP(AD$29,'Infos Techniques'!$I$5:$K$12,2,0)/('Saisie de données'!$F$61/12))-(Francais10p!$M$75/2*$E34))/$E36)*VLOOKUP('Saisie de données'!$F$38,'Menu déroulant'!$AA$22:$AD$24,4,0)</f>
        <v>#VALUE!</v>
      </c>
      <c r="AE36" s="326">
        <v>0</v>
      </c>
      <c r="AF36" s="326" t="e">
        <f ca="1">(((VLOOKUP(AF$29,'Infos Techniques'!$I$5:$K$12,2,0)/('Saisie de données'!$F$61/12))-(Francais10p!$M$75/2*$E34))/$E36)*VLOOKUP('Saisie de données'!$F$38,'Menu déroulant'!$AA$22:$AD$24,4,0)</f>
        <v>#VALUE!</v>
      </c>
      <c r="AG36" s="326" t="e">
        <f ca="1">(((VLOOKUP(AG$29,'Infos Techniques'!$I$5:$K$12,2,0)/('Saisie de données'!$F$61/12))-(Francais10p!$M$75/2*$E34))/$E36)*VLOOKUP('Saisie de données'!$F$38,'Menu déroulant'!$AA$22:$AD$24,4,0)</f>
        <v>#VALUE!</v>
      </c>
      <c r="AH36" s="326">
        <v>0</v>
      </c>
      <c r="AI36" s="326" t="e">
        <f ca="1">(((VLOOKUP(AI$29,'Infos Techniques'!$I$5:$K$12,3,0)/('Saisie de données'!$F$61/12))-(Francais10p!$O$75/2*$E34))/$E36)*VLOOKUP('Saisie de données'!$F$38,'Menu déroulant'!$AA$22:$AD$24,4,0)</f>
        <v>#VALUE!</v>
      </c>
      <c r="AJ36" s="326" t="e">
        <f ca="1">(((VLOOKUP(AJ$29,'Infos Techniques'!$I$5:$K$12,3,0)/('Saisie de données'!$F$61/12))-(Francais10p!$O$75/2*$E34))/$E36)*VLOOKUP('Saisie de données'!$F$38,'Menu déroulant'!$AA$22:$AD$24,4,0)</f>
        <v>#VALUE!</v>
      </c>
      <c r="AK36" s="326" t="e">
        <f ca="1">(((VLOOKUP(AK$29,'Infos Techniques'!$I$5:$K$12,3,0)/('Saisie de données'!$F$61/12))-(Francais10p!$O$75/2*$E34))/$E36)*VLOOKUP('Saisie de données'!$F$38,'Menu déroulant'!$AA$22:$AD$24,4,0)</f>
        <v>#VALUE!</v>
      </c>
      <c r="AL36" s="326" t="e">
        <f ca="1">(((VLOOKUP(AL$29,'Infos Techniques'!$I$5:$K$12,3,0)/('Saisie de données'!$F$61/12))-(Francais10p!$O$75/2*$E34))/$E36)*VLOOKUP('Saisie de données'!$F$38,'Menu déroulant'!$AA$22:$AD$24,4,0)</f>
        <v>#VALUE!</v>
      </c>
      <c r="AM36" s="326" t="e">
        <f ca="1">(((VLOOKUP(AM$29,'Infos Techniques'!$I$5:$K$12,3,0)/('Saisie de données'!$F$61/12))-(Francais10p!$O$75/2*$E34))/$E36)*VLOOKUP('Saisie de données'!$F$38,'Menu déroulant'!$AA$22:$AD$24,4,0)</f>
        <v>#VALUE!</v>
      </c>
      <c r="AN36" s="326" t="e">
        <f ca="1">(((VLOOKUP(AN$29,'Infos Techniques'!$I$5:$K$12,3,0)/('Saisie de données'!$F$61/12))-(Francais10p!$O$75/2*$E34))/$E36)*VLOOKUP('Saisie de données'!$F$38,'Menu déroulant'!$AA$22:$AD$24,4,0)</f>
        <v>#VALUE!</v>
      </c>
      <c r="AO36" s="326" t="e">
        <f ca="1">(((VLOOKUP(AO$29,'Infos Techniques'!$I$5:$K$12,3,0)/('Saisie de données'!$F$61/12))-(Francais10p!$O$75/2*$E34))/$E36)*VLOOKUP('Saisie de données'!$F$38,'Menu déroulant'!$AA$22:$AD$24,4,0)</f>
        <v>#VALUE!</v>
      </c>
      <c r="AP36" s="417" t="e">
        <f ca="1">(((VLOOKUP(AP$29,'Infos Techniques'!$I$5:$K$12,3,0)/('Saisie de données'!$F$61/12))-(Francais10p!$O$75/2*$E34))/$E36)*VLOOKUP('Saisie de données'!$F$38,'Menu déroulant'!$AA$22:$AD$24,4,0)</f>
        <v>#VALUE!</v>
      </c>
    </row>
    <row r="37" spans="1:44" ht="15" thickBot="1">
      <c r="A37" s="179"/>
      <c r="B37" s="1607"/>
      <c r="C37" s="1608"/>
      <c r="D37" s="50" t="s">
        <v>343</v>
      </c>
      <c r="E37" s="60" t="e">
        <f>IF(ISBLANK('Saisie de données'!$E$30),'Charges de vent'!E37*20.885*1.4,0)</f>
        <v>#N/A</v>
      </c>
      <c r="F37" s="415" t="e" cm="1">
        <f t="array" aca="1" ref="F37" ca="1">VLOOKUP(MAX(IF(INDIRECT("Norex2_"&amp;'Saisie de données'!$H$61&amp;"_"&amp;'Saisie de données'!$I$61&amp;"_S")&lt;='Synthèse résultat'!$E37,INDIRECT("Norex2_"&amp;'Saisie de données'!$H$61&amp;"_"&amp;'Saisie de données'!$I$61&amp;"_S"))),'Courbe Déflexion'!O$5:$X$285,10,0)*0.3798*VLOOKUP('Saisie de données'!$F$38,'Menu déroulant'!$AA$22:$AD$24,4,0)</f>
        <v>#N/A</v>
      </c>
      <c r="G37" s="415" t="e" cm="1">
        <f t="array" aca="1" ref="G37" ca="1">VLOOKUP(MAX(IF(INDIRECT("Norex3_"&amp;'Saisie de données'!$H$61&amp;"_"&amp;'Saisie de données'!$I$61&amp;"_S")&lt;='Synthèse résultat'!$E37,INDIRECT("Norex3_"&amp;'Saisie de données'!$H$61&amp;"_"&amp;'Saisie de données'!$I$61&amp;"_S"))),'Courbe Déflexion'!Z$5:$AI$285,10,0)*0.3798*VLOOKUP('Saisie de données'!$F$38,'Menu déroulant'!$AA$22:$AD$24,4,0)</f>
        <v>#N/A</v>
      </c>
      <c r="H37" s="415" t="e" cm="1">
        <f t="array" aca="1" ref="H37" ca="1">VLOOKUP(MAX(IF(INDIRECT("Norex4_"&amp;'Saisie de données'!$H$61&amp;"_"&amp;'Saisie de données'!$I$61&amp;"_S")&lt;='Synthèse résultat'!$E37,INDIRECT("Norex4_"&amp;'Saisie de données'!$H$61&amp;"_"&amp;'Saisie de données'!$I$61&amp;"_S"))),'Courbe Déflexion'!$AK$5:$AT$306,10,0)*0.3798*VLOOKUP('Saisie de données'!$F$38,'Menu déroulant'!$AA$22:$AD$24,4,0)</f>
        <v>#N/A</v>
      </c>
      <c r="I37" s="415" t="e" cm="1">
        <f t="array" aca="1" ref="I37" ca="1">VLOOKUP(MAX(IF(INDIRECT("Norex5_"&amp;'Saisie de données'!$H$61&amp;"_"&amp;'Saisie de données'!$I$61&amp;"_S")&lt;='Synthèse résultat'!$E37,INDIRECT("Norex5_"&amp;'Saisie de données'!$H$61&amp;"_"&amp;'Saisie de données'!$I$61&amp;"_S"))),'Courbe Déflexion'!$AV$5:$BE$306,10,0)*0.3798*VLOOKUP('Saisie de données'!$F$38,'Menu déroulant'!$AA$22:$AD$24,4,0)</f>
        <v>#N/A</v>
      </c>
      <c r="J37" s="415" t="e" cm="1">
        <f t="array" aca="1" ref="J37" ca="1">VLOOKUP(MAX(IF(INDIRECT("Norex6_"&amp;'Saisie de données'!$H$61&amp;"_"&amp;'Saisie de données'!$I$61&amp;"_S")&lt;='Synthèse résultat'!$E37,INDIRECT("Norex6_"&amp;'Saisie de données'!$H$61&amp;"_"&amp;'Saisie de données'!$I$61&amp;"_S"))),'Courbe Déflexion'!$BG$5:$BP$306,10,0)*0.3798*VLOOKUP('Saisie de données'!$F$38,'Menu déroulant'!$AA$22:$AD$24,4,0)</f>
        <v>#N/A</v>
      </c>
      <c r="K37" s="415" t="e" cm="1">
        <f t="array" aca="1" ref="K37" ca="1">VLOOKUP(MAX(IF(INDIRECT("Norex8_"&amp;'Saisie de données'!$H$61&amp;"_"&amp;'Saisie de données'!$I$61&amp;"_S")&lt;='Synthèse résultat'!$E37,INDIRECT("Norex8_"&amp;'Saisie de données'!$H$61&amp;"_"&amp;'Saisie de données'!$I$61&amp;"_S"))),'Courbe Déflexion'!$BR$5:$CA$306,10,0)*0.3798*VLOOKUP('Saisie de données'!$F$38,'Menu déroulant'!$AA$22:$AD$24,4,0)</f>
        <v>#N/A</v>
      </c>
      <c r="L37" s="415" t="e" cm="1">
        <f t="array" aca="1" ref="L37" ca="1">VLOOKUP(MAX(IF(INDIRECT("Noroc4_"&amp;'Saisie de données'!$H$61&amp;"_"&amp;'Saisie de données'!$I$61&amp;"_S")&lt;='Synthèse résultat'!$E37,INDIRECT("Noroc4_"&amp;'Saisie de données'!$H$61&amp;"_"&amp;'Saisie de données'!$I$61&amp;"_S"))),'Courbe Déflexion'!$CC$5:$CL$306,10,0)*0.3798*VLOOKUP('Saisie de données'!$F$38,'Menu déroulant'!$AA$22:$AD$24,4,0)</f>
        <v>#N/A</v>
      </c>
      <c r="M37" s="415" t="e" cm="1">
        <f t="array" aca="1" ref="M37" ca="1">VLOOKUP(MAX(IF(INDIRECT("Noroc5_"&amp;'Saisie de données'!$H$60&amp;"_"&amp;'Saisie de données'!$I$60&amp;"_S")&lt;='Synthèse résultat'!$E37,INDIRECT("Noroc5_"&amp;'Saisie de données'!$H$60&amp;"_"&amp;'Saisie de données'!$I$60&amp;"_S"))),'Courbe Déflexion'!$CN$5:$CW$306,10,0)*0.3798*VLOOKUP('Saisie de données'!$F$38,'Menu déroulant'!$AA$22:$AD$24,4,0)</f>
        <v>#N/A</v>
      </c>
      <c r="N37" s="415" t="e" cm="1">
        <f t="array" aca="1" ref="N37" ca="1">VLOOKUP(MAX(IF(INDIRECT("Noroc6_"&amp;'Saisie de données'!$H$61&amp;"_"&amp;'Saisie de données'!$I$61&amp;"_S")&lt;='Synthèse résultat'!$E37,INDIRECT("Noroc6_"&amp;'Saisie de données'!$H$61&amp;"_"&amp;'Saisie de données'!$I$61&amp;"_S"))),'Courbe Déflexion'!$CY$5:$DH$306,10,0)*0.3798*VLOOKUP('Saisie de données'!$F$38,'Menu déroulant'!$AA$22:$AD$24,4,0)</f>
        <v>#N/A</v>
      </c>
      <c r="O37" s="415" t="e" cm="1">
        <f t="array" aca="1" ref="O37" ca="1">VLOOKUP(MAX(IF(INDIRECT("Noroc8_"&amp;'Saisie de données'!$H$61&amp;"_"&amp;'Saisie de données'!$I$61&amp;"_S")&lt;='Synthèse résultat'!$E37,INDIRECT("Noroc8_"&amp;'Saisie de données'!$H$61&amp;"_"&amp;'Saisie de données'!$I$61&amp;"_S"))),'Courbe Déflexion'!$DJ$5:$DS$306,10,0)*0.3798*VLOOKUP('Saisie de données'!$F$38,'Menu déroulant'!$AA$22:$AD$24,4,0)</f>
        <v>#N/A</v>
      </c>
      <c r="P37" s="418">
        <f>VLOOKUP('Saisie de données'!$J$61,'Infos Techniques'!$U$15:$AF$43,12,0)*VLOOKUP('Saisie de données'!$F$38,'Menu déroulant'!$AA$22:$AD$24,4,0)</f>
        <v>10</v>
      </c>
      <c r="Q37" s="326" t="e">
        <f ca="1">IF('Saisie de données'!$C$61='Menu déroulant'!$AA$31,(VLOOKUP(Q$29,'Infos Techniques'!$B$7:$H$12,2,0)/('Saisie de données'!$F$61/12)-(Francais10p!$N$58/2*E35))/E37,(VLOOKUP(Q$29,'Infos Techniques'!$B$7:$H$12,5,0)/('Saisie de données'!$F$61/12)-(Francais10p!$N$58/2*E35))/E37)*VLOOKUP('Saisie de données'!$F$38,'Menu déroulant'!$AA$22:$AD$24,4,0)</f>
        <v>#VALUE!</v>
      </c>
      <c r="R37" s="419" t="e">
        <f ca="1">IF('Saisie de données'!$C$60='Menu déroulant'!$AA$31,(VLOOKUP(R$29,'Infos Techniques'!$B$7:$H$12,2,0)/('Saisie de données'!$F$60/12)-(Francais10p!$J$58/2*E35))/E37,(VLOOKUP(R$29,'Infos Techniques'!$B$7:$H$12,5,0)/('Saisie de données'!$F$60/12)-(Francais10p!$J$58/2*E35))/E37)*VLOOKUP('Saisie de données'!$F$38,'Menu déroulant'!$AA$22:$AD$24,4,0)</f>
        <v>#VALUE!</v>
      </c>
      <c r="S37" s="419" t="e">
        <f ca="1">IF('Saisie de données'!$C$60='Menu déroulant'!$AA$31,(VLOOKUP(S$29,'Infos Techniques'!$B$7:$H$12,2,0)/('Saisie de données'!$F$60/12)-(Francais10p!$J$59/2*E35))/E37,(VLOOKUP(S$29,'Infos Techniques'!$B$7:$H$12,5,0)/('Saisie de données'!$F$60/12)-(Francais10p!$J$59/2*E35))/E37)*VLOOKUP('Saisie de données'!$F$38,'Menu déroulant'!$AA$22:$AD$24,4,0)</f>
        <v>#VALUE!</v>
      </c>
      <c r="T37" s="419" t="e">
        <f ca="1">IF('Saisie de données'!$C$60='Menu déroulant'!$AA$31,(VLOOKUP(T$29,'Infos Techniques'!$B$7:$H$12,2,0)/('Saisie de données'!$F$60/12)-(Francais10p!$J$60/2*E35))/E37,(VLOOKUP(T$29,'Infos Techniques'!$B$7:$H$12,5,0)/('Saisie de données'!$F$60/12)-(Francais10p!$J$60/2*E35))/E37)*VLOOKUP('Saisie de données'!$F$38,'Menu déroulant'!$AA$22:$AD$24,4,0)</f>
        <v>#VALUE!</v>
      </c>
      <c r="U37" s="419" t="e">
        <f ca="1">IF('Saisie de données'!$C$60='Menu déroulant'!$AA$31,(VLOOKUP(U$29,'Infos Techniques'!$B$7:$H$12,2,0)/('Saisie de données'!$F$60/12)-(Francais10p!$J$61/2*E35))/E37,(VLOOKUP(U$29,'Infos Techniques'!$B$7:$H$12,5,0)/('Saisie de données'!$F$60/12)-(Francais10p!$J$61/2*E35))/E37)*VLOOKUP('Saisie de données'!$F$38,'Menu déroulant'!$AA$22:$AD$24,4,0)</f>
        <v>#VALUE!</v>
      </c>
      <c r="V37" s="326" t="e">
        <f ca="1">IF('Saisie de données'!$C$61='Menu déroulant'!$AA$31,(VLOOKUP(V$29,'Infos Techniques'!$B$7:$H$12,4,0)/('Saisie de données'!$F$61/12)-(Francais10p!$Q$58/2*E35))/E37,(VLOOKUP(V$29,'Infos Techniques'!$B$7:$H$12,7,0)/('Saisie de données'!$F$61/12)-(Francais10p!$Q$58/2*E35))/E37)*VLOOKUP('Saisie de données'!$F$38,'Menu déroulant'!$AA$22:$AD$24,4,0)</f>
        <v>#VALUE!</v>
      </c>
      <c r="W37" s="419" t="e">
        <f ca="1">IF('Saisie de données'!$C$61='Menu déroulant'!$AA$31,(VLOOKUP(W$29,'Infos Techniques'!$B$7:$H$12,4,0)/('Saisie de données'!$F$61/12)-(Francais10p!$Q$58/2*E35))/E37,(VLOOKUP(W$29,'Infos Techniques'!$B$7:$H$12,7,0)/('Saisie de données'!$F$61/12)-(Francais10p!$Q$58/2*E35))/E37)*VLOOKUP('Saisie de données'!$F$38,'Menu déroulant'!$AA$22:$AD$24,4,0)</f>
        <v>#VALUE!</v>
      </c>
      <c r="X37" s="419" t="e">
        <f ca="1">IF('Saisie de données'!$C$61='Menu déroulant'!$AA$31,(VLOOKUP(X$29,'Infos Techniques'!$B$7:$H$12,4,0)/('Saisie de données'!$F$61/12)-(Francais10p!$Q$59/2*E35))/E37,(VLOOKUP(X$29,'Infos Techniques'!$B$7:$H$12,7,0)/('Saisie de données'!$F$61/12)-(Francais10p!$Q$59/2*E35))/E37)*VLOOKUP('Saisie de données'!$F$38,'Menu déroulant'!$AA$22:$AD$24,4,0)</f>
        <v>#VALUE!</v>
      </c>
      <c r="Y37" s="419" t="e">
        <f ca="1">IF('Saisie de données'!$C$61='Menu déroulant'!$AA$31,(VLOOKUP(Y$29,'Infos Techniques'!$B$7:$H$12,4,0)/('Saisie de données'!$F$61/12)-(Francais10p!$Q$60/2*E35))/E37,(VLOOKUP(Y$29,'Infos Techniques'!$B$7:$H$12,7,0)/('Saisie de données'!$F$61/12)-(Francais10p!$Q$60/2*E35))/E37)*VLOOKUP('Saisie de données'!$F$38,'Menu déroulant'!$AA$22:$AD$24,4,0)</f>
        <v>#VALUE!</v>
      </c>
      <c r="Z37" s="420" t="e">
        <f ca="1">IF('Saisie de données'!$C$61='Menu déroulant'!$AA$31,(VLOOKUP(Z$29,'Infos Techniques'!$B$7:$H$12,4,0)/('Saisie de données'!$F$61/12)-(Francais10p!$Q$61/2*E35))/E37,(VLOOKUP(Z$29,'Infos Techniques'!$B$7:$H$12,7,0)/('Saisie de données'!$F$61/12)-(Francais10p!$Q$61/2*E35))/E37)*VLOOKUP('Saisie de données'!$F$38,'Menu déroulant'!$AA$22:$AD$24,4,0)</f>
        <v>#VALUE!</v>
      </c>
      <c r="AA37" s="748" t="e">
        <f ca="1">(((VLOOKUP(AA$29,'Infos Techniques'!$I$5:$K$12,2,0)/('Saisie de données'!$F$61/12))-(Francais10p!$N$75/2*$E35))/$E37)*VLOOKUP('Saisie de données'!$F$38,'Menu déroulant'!$AA$22:$AD$24,4,0)</f>
        <v>#VALUE!</v>
      </c>
      <c r="AB37" s="419" t="e">
        <f ca="1">(((VLOOKUP(AB$29,'Infos Techniques'!$I$5:$K$12,2,0)/('Saisie de données'!$F$61/12))-(Francais10p!$N$75/2*$E35))/$E37)*VLOOKUP('Saisie de données'!$F$38,'Menu déroulant'!$AA$22:$AD$24,4,0)</f>
        <v>#VALUE!</v>
      </c>
      <c r="AC37" s="419" t="e">
        <f ca="1">(((VLOOKUP(AC$29,'Infos Techniques'!$I$5:$K$12,2,0)/('Saisie de données'!$F$61/12))-(Francais10p!$N$75/2*$E35))/$E37)*VLOOKUP('Saisie de données'!$F$38,'Menu déroulant'!$AA$22:$AD$24,4,0)</f>
        <v>#VALUE!</v>
      </c>
      <c r="AD37" s="419" t="e">
        <f ca="1">(((VLOOKUP(AD$29,'Infos Techniques'!$I$5:$K$12,2,0)/('Saisie de données'!$F$61/12))-(Francais10p!$N$75/2*$E35))/$E37)*VLOOKUP('Saisie de données'!$F$38,'Menu déroulant'!$AA$22:$AD$24,4,0)</f>
        <v>#VALUE!</v>
      </c>
      <c r="AE37" s="326">
        <v>0</v>
      </c>
      <c r="AF37" s="419" t="e">
        <f ca="1">(((VLOOKUP(AF$29,'Infos Techniques'!$I$5:$K$12,2,0)/('Saisie de données'!$F$61/12))-(Francais10p!$N$75/2*$E35))/$E37)*VLOOKUP('Saisie de données'!$F$38,'Menu déroulant'!$AA$22:$AD$24,4,0)</f>
        <v>#VALUE!</v>
      </c>
      <c r="AG37" s="419" t="e">
        <f ca="1">(((VLOOKUP(AG$29,'Infos Techniques'!$I$5:$K$12,2,0)/('Saisie de données'!$F$61/12))-(Francais10p!$N$75/2*$E35))/$E37)*VLOOKUP('Saisie de données'!$F$38,'Menu déroulant'!$AA$22:$AD$24,4,0)</f>
        <v>#VALUE!</v>
      </c>
      <c r="AH37" s="326">
        <v>0</v>
      </c>
      <c r="AI37" s="419" t="e">
        <f ca="1">(((VLOOKUP(AI$29,'Infos Techniques'!$I$5:$K$12,3,0)/('Saisie de données'!$F$61/12))-(Francais10p!$Q$75/2*$E35))/$E37)*VLOOKUP('Saisie de données'!$F$38,'Menu déroulant'!$AA$22:$AD$24,4,0)</f>
        <v>#VALUE!</v>
      </c>
      <c r="AJ37" s="419" t="e">
        <f ca="1">(((VLOOKUP(AJ$29,'Infos Techniques'!$I$5:$K$12,3,0)/('Saisie de données'!$F$61/12))-(Francais10p!$Q$75/2*$E35))/$E37)*VLOOKUP('Saisie de données'!$F$38,'Menu déroulant'!$AA$22:$AD$24,4,0)</f>
        <v>#VALUE!</v>
      </c>
      <c r="AK37" s="419" t="e">
        <f ca="1">(((VLOOKUP(AK$29,'Infos Techniques'!$I$5:$K$12,3,0)/('Saisie de données'!$F$61/12))-(Francais10p!$Q$75/2*$E35))/$E37)*VLOOKUP('Saisie de données'!$F$38,'Menu déroulant'!$AA$22:$AD$24,4,0)</f>
        <v>#VALUE!</v>
      </c>
      <c r="AL37" s="419" t="e">
        <f ca="1">(((VLOOKUP(AL$29,'Infos Techniques'!$I$5:$K$12,3,0)/('Saisie de données'!$F$61/12))-(Francais10p!$Q$75/2*$E35))/$E37)*VLOOKUP('Saisie de données'!$F$38,'Menu déroulant'!$AA$22:$AD$24,4,0)</f>
        <v>#VALUE!</v>
      </c>
      <c r="AM37" s="419" t="e">
        <f ca="1">(((VLOOKUP(AM$29,'Infos Techniques'!$I$5:$K$12,3,0)/('Saisie de données'!$F$61/12))-(Francais10p!$Q$75/2*$E35))/$E37)*VLOOKUP('Saisie de données'!$F$38,'Menu déroulant'!$AA$22:$AD$24,4,0)</f>
        <v>#VALUE!</v>
      </c>
      <c r="AN37" s="419" t="e">
        <f ca="1">(((VLOOKUP(AN$29,'Infos Techniques'!$I$5:$K$12,3,0)/('Saisie de données'!$F$61/12))-(Francais10p!$Q$75/2*$E35))/$E37)*VLOOKUP('Saisie de données'!$F$38,'Menu déroulant'!$AA$22:$AD$24,4,0)</f>
        <v>#VALUE!</v>
      </c>
      <c r="AO37" s="419" t="e">
        <f ca="1">(((VLOOKUP(AO$29,'Infos Techniques'!$I$5:$K$12,3,0)/('Saisie de données'!$F$61/12))-(Francais10p!$Q$75/2*$E35))/$E37)*VLOOKUP('Saisie de données'!$F$38,'Menu déroulant'!$AA$22:$AD$24,4,0)</f>
        <v>#VALUE!</v>
      </c>
      <c r="AP37" s="420" t="e">
        <f ca="1">(((VLOOKUP(AP$29,'Infos Techniques'!$I$5:$K$12,3,0)/('Saisie de données'!$F$61/12))-(Francais10p!$Q$75/2*$E35))/$E37)*VLOOKUP('Saisie de données'!$F$38,'Menu déroulant'!$AA$22:$AD$24,4,0)</f>
        <v>#VALUE!</v>
      </c>
    </row>
    <row r="38" spans="1:44">
      <c r="A38" s="179"/>
      <c r="B38" s="1600" t="s">
        <v>55</v>
      </c>
      <c r="C38" s="1111" t="s">
        <v>338</v>
      </c>
      <c r="D38" s="241" t="s">
        <v>342</v>
      </c>
      <c r="E38" s="59" t="e">
        <f>IF(ISBLANK('Saisie de données'!$E$31),'Charges de vent'!D40*20.885*1.4,'Saisie de données'!$E$31)</f>
        <v>#N/A</v>
      </c>
      <c r="F38" s="411" t="e" cm="1">
        <f t="array" aca="1" ref="F38" ca="1">IF('Saisie de données'!$K$62='Menu déroulant'!$AA$34,VLOOKUP(MAX(IF(INDIRECT("Norex2_"&amp;'Saisie de données'!$H$62&amp;"_"&amp;'Saisie de données'!$I$62&amp;"_S")&lt;='Synthèse résultat'!$E38,INDIRECT("Norex2_"&amp;'Saisie de données'!$H$62&amp;"_"&amp;'Saisie de données'!$I$62&amp;"_S"))),'Courbe Déflexion'!O$5:$X$285,10,0)*VLOOKUP('Saisie de données'!$F$38,'Menu déroulant'!$AA$22:$AD$24,4,0),VLOOKUP(MAX(IF(INDIRECT("Norex2_"&amp;'Saisie de données'!$H$62&amp;"_"&amp;'Saisie de données'!$I$62&amp;"_M")&lt;='Synthèse résultat'!$E38,INDIRECT("Norex2_"&amp;'Saisie de données'!$H$62&amp;"_"&amp;'Saisie de données'!$I$62&amp;"_M"))),'Courbe Déflexion'!$DW$5:$EF$217,10,0)*VLOOKUP('Saisie de données'!$F$38,'Menu déroulant'!$AA$22:$AD$24,4,0))</f>
        <v>#N/A</v>
      </c>
      <c r="G38" s="411" t="e" cm="1">
        <f t="array" aca="1" ref="G38" ca="1">IF('Saisie de données'!$K$60='Menu déroulant'!$AA$34,VLOOKUP(MAX(IF(INDIRECT("Norex3_"&amp;'Saisie de données'!$H$62&amp;"_"&amp;'Saisie de données'!$I$62&amp;"_S")&lt;='Synthèse résultat'!$E38,INDIRECT("Norex3_"&amp;'Saisie de données'!$H$62&amp;"_"&amp;'Saisie de données'!$I$62&amp;"_S"))),'Courbe Déflexion'!$Z$5:$AI$329,10,0)*VLOOKUP('Saisie de données'!$F$38,'Menu déroulant'!$AA$22:$AD$24,4,0),VLOOKUP(MAX(IF(INDIRECT("Norex3_"&amp;'Saisie de données'!$H$62&amp;"_"&amp;'Saisie de données'!$I$62&amp;"_M")&lt;='Synthèse résultat'!$E38,INDIRECT("Norex3_"&amp;'Saisie de données'!$H$62&amp;"_"&amp;'Saisie de données'!$I$62&amp;"_M"))),'Courbe Déflexion'!$EH$5:$EQ$309,10,0)*VLOOKUP('Saisie de données'!$F$38,'Menu déroulant'!$AA$22:$AD$24,4,0))</f>
        <v>#N/A</v>
      </c>
      <c r="H38" s="411" t="e" cm="1">
        <f t="array" aca="1" ref="H38" ca="1">IF('Saisie de données'!$K$60='Menu déroulant'!$AA$34,VLOOKUP(MAX(IF(INDIRECT("Norex4_"&amp;'Saisie de données'!$H$62&amp;"_"&amp;'Saisie de données'!$I$62&amp;"_S")&lt;='Synthèse résultat'!$E38,INDIRECT("Norex4_"&amp;'Saisie de données'!$H$62&amp;"_"&amp;'Saisie de données'!$I$62&amp;"_S"))),'Courbe Déflexion'!$AK$5:$AT$306,10,0)*VLOOKUP('Saisie de données'!$F$38,'Menu déroulant'!$AA$22:$AD$24,4,0),VLOOKUP(MAX(IF(INDIRECT("Norex4_"&amp;'Saisie de données'!$H$62&amp;"_"&amp;'Saisie de données'!$I$62&amp;"_M")&lt;='Synthèse résultat'!$E38,INDIRECT("Norex4_"&amp;'Saisie de données'!$H$62&amp;"_"&amp;'Saisie de données'!$I$62&amp;"_M"))),'Courbe Déflexion'!$ES$5:$FB$285,10,0)*VLOOKUP('Saisie de données'!$F$38,'Menu déroulant'!$AA$22:$AD$24,4,0))</f>
        <v>#N/A</v>
      </c>
      <c r="I38" s="411" t="e" cm="1">
        <f t="array" aca="1" ref="I38" ca="1">IF('Saisie de données'!$K$60='Menu déroulant'!$AA$34,VLOOKUP(MAX(IF(INDIRECT("Norex5_"&amp;'Saisie de données'!$H$62&amp;"_"&amp;'Saisie de données'!$I$62&amp;"_S")&lt;='Synthèse résultat'!$E38,INDIRECT("Norex5_"&amp;'Saisie de données'!$H$62&amp;"_"&amp;'Saisie de données'!$I$62&amp;"_S"))),'Courbe Déflexion'!$AV$5:$BE$306,10,0)*VLOOKUP('Saisie de données'!$F$38,'Menu déroulant'!$AA$22:$AD$24,4,0),VLOOKUP(MAX(IF(INDIRECT("Norex5_"&amp;'Saisie de données'!$H$62&amp;"_"&amp;'Saisie de données'!$I$62&amp;"_M")&lt;='Synthèse résultat'!$E38,INDIRECT("Norex5_"&amp;'Saisie de données'!$H$62&amp;"_"&amp;'Saisie de données'!$I$62&amp;"_M"))),'Courbe Déflexion'!$FD$5:$FM$285,10,0)*VLOOKUP('Saisie de données'!$F$38,'Menu déroulant'!$AA$22:$AD$24,4,0))</f>
        <v>#N/A</v>
      </c>
      <c r="J38" s="411" t="e" cm="1">
        <f t="array" aca="1" ref="J38" ca="1">IF('Saisie de données'!$K$60='Menu déroulant'!$AA$34,VLOOKUP(MAX(IF(INDIRECT("Norex6_"&amp;'Saisie de données'!$H$62&amp;"_"&amp;'Saisie de données'!$I$62&amp;"_S")&lt;='Synthèse résultat'!$E38,INDIRECT("Norex6_"&amp;'Saisie de données'!$H$62&amp;"_"&amp;'Saisie de données'!$I$62&amp;"_S"))),'Courbe Déflexion'!$BG$5:$BP$306,10,0)*VLOOKUP('Saisie de données'!$F$38,'Menu déroulant'!$AA$22:$AD$24,4,0),VLOOKUP(MAX(IF(INDIRECT("Norex6_"&amp;'Saisie de données'!$H$62&amp;"_"&amp;'Saisie de données'!$I$62&amp;"_M")&lt;='Synthèse résultat'!$E38,INDIRECT("Norex6_"&amp;'Saisie de données'!$H$62&amp;"_"&amp;'Saisie de données'!$I$62&amp;"_M"))),'Courbe Déflexion'!$FO$5:$FX$286,10,0)*VLOOKUP('Saisie de données'!$F$38,'Menu déroulant'!$AA$22:$AD$24,4,0))</f>
        <v>#N/A</v>
      </c>
      <c r="K38" s="411" t="e" cm="1">
        <f t="array" aca="1" ref="K38" ca="1">IF('Saisie de données'!$K$60='Menu déroulant'!$AA$34,VLOOKUP(MAX(IF(INDIRECT("Norex8_"&amp;'Saisie de données'!$H$62&amp;"_"&amp;'Saisie de données'!$I$62&amp;"_S")&lt;='Synthèse résultat'!$E38,INDIRECT("Norex8_"&amp;'Saisie de données'!$H$62&amp;"_"&amp;'Saisie de données'!$I$62&amp;"_S"))),'Courbe Déflexion'!$BR$5:$CA$306,10,0)*VLOOKUP('Saisie de données'!$F$38,'Menu déroulant'!$AA$22:$AD$24,4,0),VLOOKUP(MAX(IF(INDIRECT("Norex8_"&amp;'Saisie de données'!$H$62&amp;"_"&amp;'Saisie de données'!$I$62&amp;"_M")&lt;='Synthèse résultat'!$E38,INDIRECT("Norex8_"&amp;'Saisie de données'!$H$62&amp;"_"&amp;'Saisie de données'!$I$62&amp;"_M"))),'Courbe Déflexion'!$FZ$5:$GI$286,10,0)*VLOOKUP('Saisie de données'!$F$38,'Menu déroulant'!$AA$22:$AD$24,4,0))</f>
        <v>#N/A</v>
      </c>
      <c r="L38" s="411" t="e" cm="1">
        <f t="array" aca="1" ref="L38" ca="1">IF('Saisie de données'!$K$60='Menu déroulant'!$AA$34,VLOOKUP(MAX(IF(INDIRECT("Noroc4_"&amp;'Saisie de données'!$H$62&amp;"_"&amp;'Saisie de données'!$I$62&amp;"_S")&lt;='Synthèse résultat'!$E38,INDIRECT("Noroc4_"&amp;'Saisie de données'!$H$62&amp;"_"&amp;'Saisie de données'!$I$62&amp;"_S"))),'Courbe Déflexion'!$CC$5:$CL$306,10,0)*VLOOKUP('Saisie de données'!$F$38,'Menu déroulant'!$AA$22:$AD$24,4,0),VLOOKUP(MAX(IF(INDIRECT("Noroc4_"&amp;'Saisie de données'!$H$62&amp;"_"&amp;'Saisie de données'!$I$62&amp;"_M")&lt;='Synthèse résultat'!$E38,INDIRECT("Noroc4_"&amp;'Saisie de données'!$H$62&amp;"_"&amp;'Saisie de données'!$I$62&amp;"_M"))),'Courbe Déflexion'!$GK$5:$GT$286,10,0)*VLOOKUP('Saisie de données'!$F$38,'Menu déroulant'!$AA$22:$AD$24,4,0))</f>
        <v>#N/A</v>
      </c>
      <c r="M38" s="411" t="e" cm="1">
        <f t="array" aca="1" ref="M38" ca="1">IF('Saisie de données'!$K$60='Menu déroulant'!$AA$34,VLOOKUP(MAX(IF(INDIRECT("Noroc5_"&amp;'Saisie de données'!$H$62&amp;"_"&amp;'Saisie de données'!$I$62&amp;"_S")&lt;='Synthèse résultat'!$E38,INDIRECT("Noroc5_"&amp;'Saisie de données'!$H$62&amp;"_"&amp;'Saisie de données'!$I$62&amp;"_S"))),'Courbe Déflexion'!$CN$5:$CW$306,10,0)*VLOOKUP('Saisie de données'!$F$38,'Menu déroulant'!$AA$22:$AD$24,4,0),VLOOKUP(MAX(IF(INDIRECT("Noroc5_"&amp;'Saisie de données'!$H$62&amp;"_"&amp;'Saisie de données'!$I$62&amp;"_M")&lt;='Synthèse résultat'!$E38,INDIRECT("Noroc5_"&amp;'Saisie de données'!$H$62&amp;"_"&amp;'Saisie de données'!$I$62&amp;"_M"))),'Courbe Déflexion'!$GV$5:$HE$286,10,0)*VLOOKUP('Saisie de données'!$F$38,'Menu déroulant'!$AA$22:$AD$24,4,0))</f>
        <v>#N/A</v>
      </c>
      <c r="N38" s="411" t="e" cm="1">
        <f t="array" aca="1" ref="N38" ca="1">IF('Saisie de données'!$K$60='Menu déroulant'!$AA$34,VLOOKUP(MAX(IF(INDIRECT("Noroc6_"&amp;'Saisie de données'!$H$62&amp;"_"&amp;'Saisie de données'!$I$62&amp;"_S")&lt;='Synthèse résultat'!$E38,INDIRECT("Noroc6_"&amp;'Saisie de données'!$H$62&amp;"_"&amp;'Saisie de données'!$I$62&amp;"_S"))),'Courbe Déflexion'!$CY$5:$DH$306,10,0)*VLOOKUP('Saisie de données'!$F$38,'Menu déroulant'!$AA$22:$AD$24,4,0),VLOOKUP(MAX(IF(INDIRECT("Noroc6_"&amp;'Saisie de données'!$H$62&amp;"_"&amp;'Saisie de données'!$I$62&amp;"_M")&lt;='Synthèse résultat'!$E38,INDIRECT("Noroc6_"&amp;'Saisie de données'!$H$62&amp;"_"&amp;'Saisie de données'!$I$62&amp;"_M"))),'Courbe Déflexion'!$HG$5:$HP$286,10,0)*VLOOKUP('Saisie de données'!$F$38,'Menu déroulant'!$AA$22:$AD$24,4,0))</f>
        <v>#N/A</v>
      </c>
      <c r="O38" s="411" t="e" cm="1">
        <f t="array" aca="1" ref="O38" ca="1">IF('Saisie de données'!$K$60='Menu déroulant'!$AA$34,VLOOKUP(MAX(IF(INDIRECT("Noroc8_"&amp;'Saisie de données'!$H$62&amp;"_"&amp;'Saisie de données'!$I$62&amp;"_S")&lt;='Synthèse résultat'!$E38,INDIRECT("Noroc8_"&amp;'Saisie de données'!$H$62&amp;"_"&amp;'Saisie de données'!$I$62&amp;"_S"))),'Courbe Déflexion'!$DJ$5:$DS$306,10,0)*VLOOKUP('Saisie de données'!$F$38,'Menu déroulant'!$AA$22:$AD$24,4,0),VLOOKUP(MAX(IF(INDIRECT("Noroc8_"&amp;'Saisie de données'!$H$62&amp;"_"&amp;'Saisie de données'!$I$62&amp;"_M")&lt;='Synthèse résultat'!$E38,INDIRECT("Noroc8_"&amp;'Saisie de données'!$H$62&amp;"_"&amp;'Saisie de données'!$I$62&amp;"_M"))),'Courbe Déflexion'!$HR$5:$IA$286,10,0)*VLOOKUP('Saisie de données'!$F$38,'Menu déroulant'!$AA$22:$AD$24,4,0))</f>
        <v>#N/A</v>
      </c>
      <c r="P38" s="412">
        <f>VLOOKUP('Saisie de données'!$J$62,'Infos Techniques'!$U$15:$AF$43,12,0)*VLOOKUP('Saisie de données'!$F$38,'Menu déroulant'!$AA$22:$AD$24,4,0)</f>
        <v>11.76923076923077</v>
      </c>
      <c r="Q38" s="413" t="e">
        <f>IF('Saisie de données'!$C$62='Menu déroulant'!$AA$31,VLOOKUP(Q$29,'Infos Techniques'!$B$7:$H$12,2,0)/($E38*'Saisie de données'!$F$62/12),VLOOKUP(Q$29,'Infos Techniques'!$B$7:$H$12,5,0)/($E38*'Saisie de données'!$F$62/12))*VLOOKUP('Saisie de données'!$F$38,'Menu déroulant'!$AA$22:$AD$24,4,0)</f>
        <v>#N/A</v>
      </c>
      <c r="R38" s="413" t="e">
        <f>IF('Saisie de données'!$C$62='Menu déroulant'!$AA$31,VLOOKUP(R$29,'Infos Techniques'!$B$7:$H$12,2,0)/($E38*'Saisie de données'!$F$62/12),VLOOKUP(R$29,'Infos Techniques'!$B$7:$H$12,5,0)/($E38*'Saisie de données'!$F$62/12))*VLOOKUP('Saisie de données'!$F$38,'Menu déroulant'!$AA$22:$AD$24,4,0)</f>
        <v>#N/A</v>
      </c>
      <c r="S38" s="413" t="e">
        <f>IF('Saisie de données'!$C$62='Menu déroulant'!$AA$31,VLOOKUP(S$29,'Infos Techniques'!$B$7:$H$12,2,0)/($E38*'Saisie de données'!$F$62/12),VLOOKUP(S$29,'Infos Techniques'!$B$7:$H$12,5,0)/($E38*'Saisie de données'!$F$62/12))*VLOOKUP('Saisie de données'!$F$38,'Menu déroulant'!$AA$22:$AD$24,4,0)</f>
        <v>#N/A</v>
      </c>
      <c r="T38" s="413" t="e">
        <f>IF('Saisie de données'!$C$62='Menu déroulant'!$AA$31,VLOOKUP(T$29,'Infos Techniques'!$B$7:$H$12,2,0)/($E38*'Saisie de données'!$F$62/12),VLOOKUP(T$29,'Infos Techniques'!$B$7:$H$12,5,0)/($E38*'Saisie de données'!$F$62/12))*VLOOKUP('Saisie de données'!$F$38,'Menu déroulant'!$AA$22:$AD$24,4,0)</f>
        <v>#N/A</v>
      </c>
      <c r="U38" s="413" t="e">
        <f>IF('Saisie de données'!$C$62='Menu déroulant'!$AA$31,VLOOKUP(U$29,'Infos Techniques'!$B$7:$H$12,2,0)/($E38*'Saisie de données'!$F$62/12),VLOOKUP(U$29,'Infos Techniques'!$B$7:$H$12,5,0)/($E38*'Saisie de données'!$F$62/12))*VLOOKUP('Saisie de données'!$F$38,'Menu déroulant'!$AA$22:$AD$24,4,0)</f>
        <v>#N/A</v>
      </c>
      <c r="V38" s="413" t="e">
        <f>IF('Saisie de données'!$C$62='Menu déroulant'!$AA$31,VLOOKUP(V$29,'Infos Techniques'!$B$7:$H$12,4,0)/($E38*'Saisie de données'!$F$62/12),VLOOKUP(V$29,'Infos Techniques'!$B$7:$H$12,7,0)/($E38*'Saisie de données'!$F$62/12))*VLOOKUP('Saisie de données'!$F$38,'Menu déroulant'!$AA$22:$AD$24,4,0)</f>
        <v>#N/A</v>
      </c>
      <c r="W38" s="413" t="e">
        <f>IF('Saisie de données'!$C$62='Menu déroulant'!$AA$31,VLOOKUP(W$29,'Infos Techniques'!$B$7:$H$12,4,0)/($E38*'Saisie de données'!$F$62/12),VLOOKUP(W$29,'Infos Techniques'!$B$7:$H$12,7,0)/($E38*'Saisie de données'!$F$62/12))*VLOOKUP('Saisie de données'!$F$38,'Menu déroulant'!$AA$22:$AD$24,4,0)</f>
        <v>#N/A</v>
      </c>
      <c r="X38" s="413" t="e">
        <f>IF('Saisie de données'!$C$62='Menu déroulant'!$AA$31,VLOOKUP(X$29,'Infos Techniques'!$B$7:$H$12,4,0)/($E38*'Saisie de données'!$F$62/12),VLOOKUP(X$29,'Infos Techniques'!$B$7:$H$12,7,0)/($E38*'Saisie de données'!$F$62/12))*VLOOKUP('Saisie de données'!$F$38,'Menu déroulant'!$AA$22:$AD$24,4,0)</f>
        <v>#N/A</v>
      </c>
      <c r="Y38" s="413" t="e">
        <f>IF('Saisie de données'!$C$62='Menu déroulant'!$AA$31,VLOOKUP(Y$29,'Infos Techniques'!$B$7:$H$12,4,0)/($E38*'Saisie de données'!$F$62/12),VLOOKUP(Y$29,'Infos Techniques'!$B$7:$H$12,7,0)/($E38*'Saisie de données'!$F$62/12))*VLOOKUP('Saisie de données'!$F$38,'Menu déroulant'!$AA$22:$AD$24,4,0)</f>
        <v>#N/A</v>
      </c>
      <c r="Z38" s="413" t="e">
        <f>IF('Saisie de données'!$C$62='Menu déroulant'!$AA$31,VLOOKUP(Z$29,'Infos Techniques'!$B$7:$H$12,4,0)/($E38*'Saisie de données'!$F$62/12),VLOOKUP(Z$29,'Infos Techniques'!$B$7:$H$12,7,0)/($E38*'Saisie de données'!$F$62/12))*VLOOKUP('Saisie de données'!$F$38,'Menu déroulant'!$AA$22:$AD$24,4,0)</f>
        <v>#N/A</v>
      </c>
      <c r="AA38" s="440" t="e">
        <f>VLOOKUP(AA$29,'Infos Techniques'!$I$5:$K$12,2,0)/($E38*'Saisie de données'!$F$62/12)*VLOOKUP('Saisie de données'!$F$38,'Menu déroulant'!$AA$22:$AD$24,4,0)</f>
        <v>#N/A</v>
      </c>
      <c r="AB38" s="413" t="e">
        <f>VLOOKUP(AB$29,'Infos Techniques'!$I$5:$K$12,2,0)/($E38*'Saisie de données'!$F$62/12)*VLOOKUP('Saisie de données'!$F$38,'Menu déroulant'!$AA$22:$AD$24,4,0)</f>
        <v>#N/A</v>
      </c>
      <c r="AC38" s="413" t="e">
        <f>VLOOKUP(AC$29,'Infos Techniques'!$I$5:$K$12,2,0)/($E38*'Saisie de données'!$F$62/12)*VLOOKUP('Saisie de données'!$F$38,'Menu déroulant'!$AA$22:$AD$24,4,0)</f>
        <v>#N/A</v>
      </c>
      <c r="AD38" s="413" t="e">
        <f>VLOOKUP(AD$29,'Infos Techniques'!$I$5:$K$12,2,0)/($E38*'Saisie de données'!$F$62/12)*VLOOKUP('Saisie de données'!$F$38,'Menu déroulant'!$AA$22:$AD$24,4,0)</f>
        <v>#N/A</v>
      </c>
      <c r="AE38" s="413">
        <v>0</v>
      </c>
      <c r="AF38" s="413" t="e">
        <f>VLOOKUP(AF$29,'Infos Techniques'!$I$5:$K$12,2,0)/($E38*'Saisie de données'!$F$62/12)*VLOOKUP('Saisie de données'!$F$38,'Menu déroulant'!$AA$22:$AD$24,4,0)</f>
        <v>#N/A</v>
      </c>
      <c r="AG38" s="413" t="e">
        <f>VLOOKUP(AG$29,'Infos Techniques'!$I$5:$K$12,2,0)/($E38*'Saisie de données'!$F$62/12)*VLOOKUP('Saisie de données'!$F$38,'Menu déroulant'!$AA$22:$AD$24,4,0)</f>
        <v>#N/A</v>
      </c>
      <c r="AH38" s="413">
        <v>0</v>
      </c>
      <c r="AI38" s="413" t="e">
        <f>VLOOKUP(AI$29,'Infos Techniques'!$I$5:$K$12,3,0)/($E38*'Saisie de données'!$F$62/12)*VLOOKUP('Saisie de données'!$F$38,'Menu déroulant'!$AA$22:$AD$24,4,0)</f>
        <v>#N/A</v>
      </c>
      <c r="AJ38" s="413" t="e">
        <f>VLOOKUP(AJ$29,'Infos Techniques'!$I$5:$K$12,3,0)/($E38*'Saisie de données'!$F$62/12)*VLOOKUP('Saisie de données'!$F$38,'Menu déroulant'!$AA$22:$AD$24,4,0)</f>
        <v>#N/A</v>
      </c>
      <c r="AK38" s="413" t="e">
        <f>VLOOKUP(AK$29,'Infos Techniques'!$I$5:$K$12,3,0)/($E38*'Saisie de données'!$F$62/12)*VLOOKUP('Saisie de données'!$F$38,'Menu déroulant'!$AA$22:$AD$24,4,0)</f>
        <v>#N/A</v>
      </c>
      <c r="AL38" s="413" t="e">
        <f>VLOOKUP(AL$29,'Infos Techniques'!$I$5:$K$12,3,0)/($E38*'Saisie de données'!$F$62/12)*VLOOKUP('Saisie de données'!$F$38,'Menu déroulant'!$AA$22:$AD$24,4,0)</f>
        <v>#N/A</v>
      </c>
      <c r="AM38" s="413" t="e">
        <f>VLOOKUP(AM$29,'Infos Techniques'!$I$5:$K$12,3,0)/($E38*'Saisie de données'!$F$62/12)*VLOOKUP('Saisie de données'!$F$38,'Menu déroulant'!$AA$22:$AD$24,4,0)</f>
        <v>#N/A</v>
      </c>
      <c r="AN38" s="413" t="e">
        <f>VLOOKUP(AN$29,'Infos Techniques'!$I$5:$K$12,3,0)/($E38*'Saisie de données'!$F$62/12)*VLOOKUP('Saisie de données'!$F$38,'Menu déroulant'!$AA$22:$AD$24,4,0)</f>
        <v>#N/A</v>
      </c>
      <c r="AO38" s="413" t="e">
        <f>VLOOKUP(AO$29,'Infos Techniques'!$I$5:$K$12,3,0)/($E38*'Saisie de données'!$F$62/12)*VLOOKUP('Saisie de données'!$F$38,'Menu déroulant'!$AA$22:$AD$24,4,0)</f>
        <v>#N/A</v>
      </c>
      <c r="AP38" s="414" t="e">
        <f>VLOOKUP(AP$29,'Infos Techniques'!$I$5:$K$12,3,0)/($E38*'Saisie de données'!$F$62/12)*VLOOKUP('Saisie de données'!$F$38,'Menu déroulant'!$AA$22:$AD$24,4,0)</f>
        <v>#N/A</v>
      </c>
    </row>
    <row r="39" spans="1:44">
      <c r="A39" s="179"/>
      <c r="B39" s="1601"/>
      <c r="C39" s="1603"/>
      <c r="D39" s="28" t="s">
        <v>343</v>
      </c>
      <c r="E39" s="43" t="e">
        <f>IF(ISBLANK('Saisie de données'!$E$30),'Charges de vent'!E40*20.885*1.4,'Saisie de données'!$E$30)</f>
        <v>#N/A</v>
      </c>
      <c r="F39" s="415" t="e" cm="1">
        <f t="array" aca="1" ref="F39" ca="1">IF('Saisie de données'!$K$62='Menu déroulant'!$AA$34,VLOOKUP(MAX(IF(INDIRECT("Norex2_"&amp;'Saisie de données'!$H$62&amp;"_"&amp;'Saisie de données'!$I$62&amp;"_S")&lt;='Synthèse résultat'!$E39,INDIRECT("Norex2_"&amp;'Saisie de données'!$H$62&amp;"_"&amp;'Saisie de données'!$I$62&amp;"_S"))),'Courbe Déflexion'!O$5:$X$285,10,0)*VLOOKUP('Saisie de données'!$F$38,'Menu déroulant'!$AA$22:$AD$24,4,0),VLOOKUP(MAX(IF(INDIRECT("Norex2_"&amp;'Saisie de données'!$H$62&amp;"_"&amp;'Saisie de données'!$I$62&amp;"_M")&lt;='Synthèse résultat'!$E39,INDIRECT("Norex2_"&amp;'Saisie de données'!$H$62&amp;"_"&amp;'Saisie de données'!$I$62&amp;"_M"))),'Courbe Déflexion'!$DW$5:$EF$217,10,0)*VLOOKUP('Saisie de données'!$F$38,'Menu déroulant'!$AA$22:$AD$24,4,0))</f>
        <v>#N/A</v>
      </c>
      <c r="G39" s="415" t="e" cm="1">
        <f t="array" aca="1" ref="G39" ca="1">IF('Saisie de données'!$K$60='Menu déroulant'!$AA$34,VLOOKUP(MAX(IF(INDIRECT("Norex3_"&amp;'Saisie de données'!$H$62&amp;"_"&amp;'Saisie de données'!$I$62&amp;"_S")&lt;='Synthèse résultat'!$E39,INDIRECT("Norex3_"&amp;'Saisie de données'!$H$62&amp;"_"&amp;'Saisie de données'!$I$62&amp;"_S"))),'Courbe Déflexion'!$Z$5:$AI$329,10,0)*VLOOKUP('Saisie de données'!$F$38,'Menu déroulant'!$AA$22:$AD$24,4,0),VLOOKUP(MAX(IF(INDIRECT("Norex3_"&amp;'Saisie de données'!$H$62&amp;"_"&amp;'Saisie de données'!$I$62&amp;"_M")&lt;='Synthèse résultat'!$E39,INDIRECT("Norex3_"&amp;'Saisie de données'!$H$62&amp;"_"&amp;'Saisie de données'!$I$62&amp;"_M"))),'Courbe Déflexion'!$EH$5:$EQ$309,10,0)*VLOOKUP('Saisie de données'!$F$38,'Menu déroulant'!$AA$22:$AD$24,4,0))</f>
        <v>#N/A</v>
      </c>
      <c r="H39" s="415" t="e" cm="1">
        <f t="array" aca="1" ref="H39" ca="1">IF('Saisie de données'!$K$60='Menu déroulant'!$AA$34,VLOOKUP(MAX(IF(INDIRECT("Norex4_"&amp;'Saisie de données'!$H$62&amp;"_"&amp;'Saisie de données'!$I$62&amp;"_S")&lt;='Synthèse résultat'!$E39,INDIRECT("Norex4_"&amp;'Saisie de données'!$H$62&amp;"_"&amp;'Saisie de données'!$I$62&amp;"_S"))),'Courbe Déflexion'!$AK$5:$AT$306,10,0)*VLOOKUP('Saisie de données'!$F$38,'Menu déroulant'!$AA$22:$AD$24,4,0),VLOOKUP(MAX(IF(INDIRECT("Norex4_"&amp;'Saisie de données'!$H$62&amp;"_"&amp;'Saisie de données'!$I$62&amp;"_M")&lt;='Synthèse résultat'!$E39,INDIRECT("Norex4_"&amp;'Saisie de données'!$H$62&amp;"_"&amp;'Saisie de données'!$I$62&amp;"_M"))),'Courbe Déflexion'!$ES$5:$FB$285,10,0)*VLOOKUP('Saisie de données'!$F$38,'Menu déroulant'!$AA$22:$AD$24,4,0))</f>
        <v>#N/A</v>
      </c>
      <c r="I39" s="415" t="e" cm="1">
        <f t="array" aca="1" ref="I39" ca="1">IF('Saisie de données'!$K$60='Menu déroulant'!$AA$34,VLOOKUP(MAX(IF(INDIRECT("Norex5_"&amp;'Saisie de données'!$H$62&amp;"_"&amp;'Saisie de données'!$I$62&amp;"_S")&lt;='Synthèse résultat'!$E39,INDIRECT("Norex5_"&amp;'Saisie de données'!$H$62&amp;"_"&amp;'Saisie de données'!$I$62&amp;"_S"))),'Courbe Déflexion'!$AV$5:$BE$306,10,0)*VLOOKUP('Saisie de données'!$F$38,'Menu déroulant'!$AA$22:$AD$24,4,0),VLOOKUP(MAX(IF(INDIRECT("Norex5_"&amp;'Saisie de données'!$H$62&amp;"_"&amp;'Saisie de données'!$I$62&amp;"_M")&lt;='Synthèse résultat'!$E39,INDIRECT("Norex5_"&amp;'Saisie de données'!$H$62&amp;"_"&amp;'Saisie de données'!$I$62&amp;"_M"))),'Courbe Déflexion'!$FD$5:$FM$285,10,0)*VLOOKUP('Saisie de données'!$F$38,'Menu déroulant'!$AA$22:$AD$24,4,0))</f>
        <v>#N/A</v>
      </c>
      <c r="J39" s="415" t="e" cm="1">
        <f t="array" aca="1" ref="J39" ca="1">IF('Saisie de données'!$K$60='Menu déroulant'!$AA$34,VLOOKUP(MAX(IF(INDIRECT("Norex6_"&amp;'Saisie de données'!$H$62&amp;"_"&amp;'Saisie de données'!$I$62&amp;"_S")&lt;='Synthèse résultat'!$E39,INDIRECT("Norex6_"&amp;'Saisie de données'!$H$62&amp;"_"&amp;'Saisie de données'!$I$62&amp;"_S"))),'Courbe Déflexion'!$BG$5:$BP$306,10,0)*VLOOKUP('Saisie de données'!$F$38,'Menu déroulant'!$AA$22:$AD$24,4,0),VLOOKUP(MAX(IF(INDIRECT("Norex6_"&amp;'Saisie de données'!$H$62&amp;"_"&amp;'Saisie de données'!$I$62&amp;"_M")&lt;='Synthèse résultat'!$E39,INDIRECT("Norex6_"&amp;'Saisie de données'!$H$62&amp;"_"&amp;'Saisie de données'!$I$62&amp;"_M"))),'Courbe Déflexion'!$FO$5:$FX$286,10,0)*VLOOKUP('Saisie de données'!$F$38,'Menu déroulant'!$AA$22:$AD$24,4,0))</f>
        <v>#N/A</v>
      </c>
      <c r="K39" s="415" t="e" cm="1">
        <f t="array" aca="1" ref="K39" ca="1">IF('Saisie de données'!$K$60='Menu déroulant'!$AA$34,VLOOKUP(MAX(IF(INDIRECT("Norex8_"&amp;'Saisie de données'!$H$62&amp;"_"&amp;'Saisie de données'!$I$62&amp;"_S")&lt;='Synthèse résultat'!$E39,INDIRECT("Norex8_"&amp;'Saisie de données'!$H$62&amp;"_"&amp;'Saisie de données'!$I$62&amp;"_S"))),'Courbe Déflexion'!$BR$5:$CA$306,10,0)*VLOOKUP('Saisie de données'!$F$38,'Menu déroulant'!$AA$22:$AD$24,4,0),VLOOKUP(MAX(IF(INDIRECT("Norex8_"&amp;'Saisie de données'!$H$62&amp;"_"&amp;'Saisie de données'!$I$62&amp;"_M")&lt;='Synthèse résultat'!$E39,INDIRECT("Norex8_"&amp;'Saisie de données'!$H$62&amp;"_"&amp;'Saisie de données'!$I$62&amp;"_M"))),'Courbe Déflexion'!$FZ$5:$GI$286,10,0)*VLOOKUP('Saisie de données'!$F$38,'Menu déroulant'!$AA$22:$AD$24,4,0))</f>
        <v>#N/A</v>
      </c>
      <c r="L39" s="415" t="e" cm="1">
        <f t="array" aca="1" ref="L39" ca="1">IF('Saisie de données'!$K$60='Menu déroulant'!$AA$34,VLOOKUP(MAX(IF(INDIRECT("Noroc4_"&amp;'Saisie de données'!$H$62&amp;"_"&amp;'Saisie de données'!$I$62&amp;"_S")&lt;='Synthèse résultat'!$E39,INDIRECT("Noroc4_"&amp;'Saisie de données'!$H$62&amp;"_"&amp;'Saisie de données'!$I$62&amp;"_S"))),'Courbe Déflexion'!$CC$5:$CL$306,10,0)*VLOOKUP('Saisie de données'!$F$38,'Menu déroulant'!$AA$22:$AD$24,4,0),VLOOKUP(MAX(IF(INDIRECT("Noroc4_"&amp;'Saisie de données'!$H$62&amp;"_"&amp;'Saisie de données'!$I$62&amp;"_M")&lt;='Synthèse résultat'!$E39,INDIRECT("Noroc4_"&amp;'Saisie de données'!$H$62&amp;"_"&amp;'Saisie de données'!$I$62&amp;"_M"))),'Courbe Déflexion'!$GK$5:$GT$286,10,0)*VLOOKUP('Saisie de données'!$F$38,'Menu déroulant'!$AA$22:$AD$24,4,0))</f>
        <v>#N/A</v>
      </c>
      <c r="M39" s="415" t="e" cm="1">
        <f t="array" aca="1" ref="M39" ca="1">IF('Saisie de données'!$K$60='Menu déroulant'!$AA$34,VLOOKUP(MAX(IF(INDIRECT("Noroc5_"&amp;'Saisie de données'!$H$62&amp;"_"&amp;'Saisie de données'!$I$62&amp;"_S")&lt;='Synthèse résultat'!$E39,INDIRECT("Noroc5_"&amp;'Saisie de données'!$H$62&amp;"_"&amp;'Saisie de données'!$I$62&amp;"_S"))),'Courbe Déflexion'!$CN$5:$CW$306,10,0)*VLOOKUP('Saisie de données'!$F$38,'Menu déroulant'!$AA$22:$AD$24,4,0),VLOOKUP(MAX(IF(INDIRECT("Noroc5_"&amp;'Saisie de données'!$H$62&amp;"_"&amp;'Saisie de données'!$I$62&amp;"_M")&lt;='Synthèse résultat'!$E39,INDIRECT("Noroc5_"&amp;'Saisie de données'!$H$62&amp;"_"&amp;'Saisie de données'!$I$62&amp;"_M"))),'Courbe Déflexion'!$GV$5:$HE$286,10,0)*VLOOKUP('Saisie de données'!$F$38,'Menu déroulant'!$AA$22:$AD$24,4,0))</f>
        <v>#N/A</v>
      </c>
      <c r="N39" s="415" t="e" cm="1">
        <f t="array" aca="1" ref="N39" ca="1">IF('Saisie de données'!$K$60='Menu déroulant'!$AA$34,VLOOKUP(MAX(IF(INDIRECT("Noroc6_"&amp;'Saisie de données'!$H$62&amp;"_"&amp;'Saisie de données'!$I$62&amp;"_S")&lt;='Synthèse résultat'!$E39,INDIRECT("Noroc6_"&amp;'Saisie de données'!$H$62&amp;"_"&amp;'Saisie de données'!$I$62&amp;"_S"))),'Courbe Déflexion'!$CY$5:$DH$306,10,0)*VLOOKUP('Saisie de données'!$F$38,'Menu déroulant'!$AA$22:$AD$24,4,0),VLOOKUP(MAX(IF(INDIRECT("Noroc6_"&amp;'Saisie de données'!$H$62&amp;"_"&amp;'Saisie de données'!$I$62&amp;"_M")&lt;='Synthèse résultat'!$E39,INDIRECT("Noroc6_"&amp;'Saisie de données'!$H$62&amp;"_"&amp;'Saisie de données'!$I$62&amp;"_M"))),'Courbe Déflexion'!$HG$5:$HP$286,10,0)*VLOOKUP('Saisie de données'!$F$38,'Menu déroulant'!$AA$22:$AD$24,4,0))</f>
        <v>#N/A</v>
      </c>
      <c r="O39" s="415" t="e" cm="1">
        <f t="array" aca="1" ref="O39" ca="1">IF('Saisie de données'!$K$60='Menu déroulant'!$AA$34,VLOOKUP(MAX(IF(INDIRECT("Noroc8_"&amp;'Saisie de données'!$H$62&amp;"_"&amp;'Saisie de données'!$I$62&amp;"_S")&lt;='Synthèse résultat'!$E39,INDIRECT("Noroc8_"&amp;'Saisie de données'!$H$62&amp;"_"&amp;'Saisie de données'!$I$62&amp;"_S"))),'Courbe Déflexion'!$DJ$5:$DS$306,10,0)*VLOOKUP('Saisie de données'!$F$38,'Menu déroulant'!$AA$22:$AD$24,4,0),VLOOKUP(MAX(IF(INDIRECT("Noroc8_"&amp;'Saisie de données'!$H$62&amp;"_"&amp;'Saisie de données'!$I$62&amp;"_M")&lt;='Synthèse résultat'!$E39,INDIRECT("Noroc8_"&amp;'Saisie de données'!$H$62&amp;"_"&amp;'Saisie de données'!$I$62&amp;"_M"))),'Courbe Déflexion'!$HR$5:$IA$286,10,0)*VLOOKUP('Saisie de données'!$F$38,'Menu déroulant'!$AA$22:$AD$24,4,0))</f>
        <v>#N/A</v>
      </c>
      <c r="P39" s="416">
        <f>VLOOKUP('Saisie de données'!$J$62,'Infos Techniques'!$U$15:$AF$43,12,0)*VLOOKUP('Saisie de données'!$F$38,'Menu déroulant'!$AA$22:$AD$24,4,0)</f>
        <v>11.76923076923077</v>
      </c>
      <c r="Q39" s="326" t="e">
        <f>IF('Saisie de données'!$C$62='Menu déroulant'!$AA$31,VLOOKUP(Q$29,'Infos Techniques'!$B$7:$H$12,2,0)/($E39*'Saisie de données'!$F$62/12),VLOOKUP(Q$29,'Infos Techniques'!$B$7:$H$12,5,0)/($E39*'Saisie de données'!$F$62/12))*VLOOKUP('Saisie de données'!$F$38,'Menu déroulant'!$AA$22:$AD$24,4,0)</f>
        <v>#N/A</v>
      </c>
      <c r="R39" s="326" t="e">
        <f>IF('Saisie de données'!$C$62='Menu déroulant'!$AA$31,VLOOKUP(R$29,'Infos Techniques'!$B$7:$H$12,2,0)/($E39*'Saisie de données'!$F$62/12),VLOOKUP(R$29,'Infos Techniques'!$B$7:$H$12,5,0)/($E39*'Saisie de données'!$F$62/12))*VLOOKUP('Saisie de données'!$F$38,'Menu déroulant'!$AA$22:$AD$24,4,0)</f>
        <v>#N/A</v>
      </c>
      <c r="S39" s="326" t="e">
        <f>IF('Saisie de données'!$C$62='Menu déroulant'!$AA$31,VLOOKUP(S$29,'Infos Techniques'!$B$7:$H$12,2,0)/($E39*'Saisie de données'!$F$62/12),VLOOKUP(S$29,'Infos Techniques'!$B$7:$H$12,5,0)/($E39*'Saisie de données'!$F$62/12))*VLOOKUP('Saisie de données'!$F$38,'Menu déroulant'!$AA$22:$AD$24,4,0)</f>
        <v>#N/A</v>
      </c>
      <c r="T39" s="326" t="e">
        <f>IF('Saisie de données'!$C$62='Menu déroulant'!$AA$31,VLOOKUP(T$29,'Infos Techniques'!$B$7:$H$12,2,0)/($E39*'Saisie de données'!$F$62/12),VLOOKUP(T$29,'Infos Techniques'!$B$7:$H$12,5,0)/($E39*'Saisie de données'!$F$62/12))*VLOOKUP('Saisie de données'!$F$38,'Menu déroulant'!$AA$22:$AD$24,4,0)</f>
        <v>#N/A</v>
      </c>
      <c r="U39" s="326" t="e">
        <f>IF('Saisie de données'!$C$62='Menu déroulant'!$AA$31,VLOOKUP(U$29,'Infos Techniques'!$B$7:$H$12,2,0)/($E39*'Saisie de données'!$F$62/12),VLOOKUP(U$29,'Infos Techniques'!$B$7:$H$12,5,0)/($E39*'Saisie de données'!$F$62/12))*VLOOKUP('Saisie de données'!$F$38,'Menu déroulant'!$AA$22:$AD$24,4,0)</f>
        <v>#N/A</v>
      </c>
      <c r="V39" s="326" t="e">
        <f>IF('Saisie de données'!$C$62='Menu déroulant'!$AA$31,VLOOKUP(V$29,'Infos Techniques'!$B$7:$H$12,4,0)/($E39*'Saisie de données'!$F$62/12),VLOOKUP(V$29,'Infos Techniques'!$B$7:$H$12,7,0)/($E39*'Saisie de données'!$F$62/12))*VLOOKUP('Saisie de données'!$F$38,'Menu déroulant'!$AA$22:$AD$24,4,0)</f>
        <v>#N/A</v>
      </c>
      <c r="W39" s="326" t="e">
        <f>IF('Saisie de données'!$C$62='Menu déroulant'!$AA$31,VLOOKUP(W$29,'Infos Techniques'!$B$7:$H$12,4,0)/($E39*'Saisie de données'!$F$62/12),VLOOKUP(W$29,'Infos Techniques'!$B$7:$H$12,7,0)/($E39*'Saisie de données'!$F$62/12))*VLOOKUP('Saisie de données'!$F$38,'Menu déroulant'!$AA$22:$AD$24,4,0)</f>
        <v>#N/A</v>
      </c>
      <c r="X39" s="326" t="e">
        <f>IF('Saisie de données'!$C$62='Menu déroulant'!$AA$31,VLOOKUP(X$29,'Infos Techniques'!$B$7:$H$12,4,0)/($E39*'Saisie de données'!$F$62/12),VLOOKUP(X$29,'Infos Techniques'!$B$7:$H$12,7,0)/($E39*'Saisie de données'!$F$62/12))*VLOOKUP('Saisie de données'!$F$38,'Menu déroulant'!$AA$22:$AD$24,4,0)</f>
        <v>#N/A</v>
      </c>
      <c r="Y39" s="326" t="e">
        <f>IF('Saisie de données'!$C$62='Menu déroulant'!$AA$31,VLOOKUP(Y$29,'Infos Techniques'!$B$7:$H$12,4,0)/($E39*'Saisie de données'!$F$62/12),VLOOKUP(Y$29,'Infos Techniques'!$B$7:$H$12,7,0)/($E39*'Saisie de données'!$F$62/12))*VLOOKUP('Saisie de données'!$F$38,'Menu déroulant'!$AA$22:$AD$24,4,0)</f>
        <v>#N/A</v>
      </c>
      <c r="Z39" s="417" t="e">
        <f>IF('Saisie de données'!$C$62='Menu déroulant'!$AA$31,VLOOKUP(Z$29,'Infos Techniques'!$B$7:$H$12,4,0)/($E39*'Saisie de données'!$F$62/12),VLOOKUP(Z$29,'Infos Techniques'!$B$7:$H$12,7,0)/($E39*'Saisie de données'!$F$62/12))*VLOOKUP('Saisie de données'!$F$38,'Menu déroulant'!$AA$22:$AD$24,4,0)</f>
        <v>#N/A</v>
      </c>
      <c r="AA39" s="442" t="e">
        <f>VLOOKUP(AA$29,'Infos Techniques'!$I$5:$K$12,2,0)/($E39*'Saisie de données'!$F$62/12)*VLOOKUP('Saisie de données'!$F$38,'Menu déroulant'!$AA$22:$AD$24,4,0)</f>
        <v>#N/A</v>
      </c>
      <c r="AB39" s="326" t="e">
        <f>VLOOKUP(AB$29,'Infos Techniques'!$I$5:$K$12,2,0)/($E39*'Saisie de données'!$F$62/12)*VLOOKUP('Saisie de données'!$F$38,'Menu déroulant'!$AA$22:$AD$24,4,0)</f>
        <v>#N/A</v>
      </c>
      <c r="AC39" s="326" t="e">
        <f>VLOOKUP(AC$29,'Infos Techniques'!$I$5:$K$12,2,0)/($E39*'Saisie de données'!$F$62/12)*VLOOKUP('Saisie de données'!$F$38,'Menu déroulant'!$AA$22:$AD$24,4,0)</f>
        <v>#N/A</v>
      </c>
      <c r="AD39" s="326" t="e">
        <f>VLOOKUP(AD$29,'Infos Techniques'!$I$5:$K$12,2,0)/($E39*'Saisie de données'!$F$62/12)*VLOOKUP('Saisie de données'!$F$38,'Menu déroulant'!$AA$22:$AD$24,4,0)</f>
        <v>#N/A</v>
      </c>
      <c r="AE39" s="326">
        <v>0</v>
      </c>
      <c r="AF39" s="326" t="e">
        <f>VLOOKUP(AF$29,'Infos Techniques'!$I$5:$K$12,2,0)/($E39*'Saisie de données'!$F$62/12)*VLOOKUP('Saisie de données'!$F$38,'Menu déroulant'!$AA$22:$AD$24,4,0)</f>
        <v>#N/A</v>
      </c>
      <c r="AG39" s="326" t="e">
        <f>VLOOKUP(AG$29,'Infos Techniques'!$I$5:$K$12,2,0)/($E39*'Saisie de données'!$F$62/12)*VLOOKUP('Saisie de données'!$F$38,'Menu déroulant'!$AA$22:$AD$24,4,0)</f>
        <v>#N/A</v>
      </c>
      <c r="AH39" s="326">
        <v>0</v>
      </c>
      <c r="AI39" s="326" t="e">
        <f>VLOOKUP(AI$29,'Infos Techniques'!$I$5:$K$12,3,0)/($E39*'Saisie de données'!$F$62/12)*VLOOKUP('Saisie de données'!$F$38,'Menu déroulant'!$AA$22:$AD$24,4,0)</f>
        <v>#N/A</v>
      </c>
      <c r="AJ39" s="326" t="e">
        <f>VLOOKUP(AJ$29,'Infos Techniques'!$I$5:$K$12,3,0)/($E39*'Saisie de données'!$F$62/12)*VLOOKUP('Saisie de données'!$F$38,'Menu déroulant'!$AA$22:$AD$24,4,0)</f>
        <v>#N/A</v>
      </c>
      <c r="AK39" s="326" t="e">
        <f>VLOOKUP(AK$29,'Infos Techniques'!$I$5:$K$12,3,0)/($E39*'Saisie de données'!$F$62/12)*VLOOKUP('Saisie de données'!$F$38,'Menu déroulant'!$AA$22:$AD$24,4,0)</f>
        <v>#N/A</v>
      </c>
      <c r="AL39" s="326" t="e">
        <f>VLOOKUP(AL$29,'Infos Techniques'!$I$5:$K$12,3,0)/($E39*'Saisie de données'!$F$62/12)*VLOOKUP('Saisie de données'!$F$38,'Menu déroulant'!$AA$22:$AD$24,4,0)</f>
        <v>#N/A</v>
      </c>
      <c r="AM39" s="326" t="e">
        <f>VLOOKUP(AM$29,'Infos Techniques'!$I$5:$K$12,3,0)/($E39*'Saisie de données'!$F$62/12)*VLOOKUP('Saisie de données'!$F$38,'Menu déroulant'!$AA$22:$AD$24,4,0)</f>
        <v>#N/A</v>
      </c>
      <c r="AN39" s="326" t="e">
        <f>VLOOKUP(AN$29,'Infos Techniques'!$I$5:$K$12,3,0)/($E39*'Saisie de données'!$F$62/12)*VLOOKUP('Saisie de données'!$F$38,'Menu déroulant'!$AA$22:$AD$24,4,0)</f>
        <v>#N/A</v>
      </c>
      <c r="AO39" s="326" t="e">
        <f>VLOOKUP(AO$29,'Infos Techniques'!$I$5:$K$12,3,0)/($E39*'Saisie de données'!$F$62/12)*VLOOKUP('Saisie de données'!$F$38,'Menu déroulant'!$AA$22:$AD$24,4,0)</f>
        <v>#N/A</v>
      </c>
      <c r="AP39" s="417" t="e">
        <f>VLOOKUP(AP$29,'Infos Techniques'!$I$5:$K$12,3,0)/($E39*'Saisie de données'!$F$62/12)*VLOOKUP('Saisie de données'!$F$38,'Menu déroulant'!$AA$22:$AD$24,4,0)</f>
        <v>#N/A</v>
      </c>
    </row>
    <row r="40" spans="1:44">
      <c r="A40" s="179"/>
      <c r="B40" s="1601"/>
      <c r="C40" s="1603" t="s">
        <v>111</v>
      </c>
      <c r="D40" s="28" t="s">
        <v>342</v>
      </c>
      <c r="E40" s="43" t="e">
        <f>IF(ISBLANK('Saisie de données'!$E$31),'Charges de vent'!D41*20.885*1.4,0)</f>
        <v>#N/A</v>
      </c>
      <c r="F40" s="415" t="e" cm="1">
        <f t="array" aca="1" ref="F40" ca="1">VLOOKUP(MAX(IF(INDIRECT("Norex2_"&amp;'Saisie de données'!$H$62&amp;"_"&amp;'Saisie de données'!$I$62&amp;"_S")&lt;='Synthèse résultat'!$E40,INDIRECT("Norex2_"&amp;'Saisie de données'!$H$62&amp;"_"&amp;'Saisie de données'!$I$62&amp;"_S"))),'Courbe Déflexion'!O$5:$X$285,10,0)*0.3798*VLOOKUP('Saisie de données'!$F$38,'Menu déroulant'!$AA$22:$AD$24,4,0)</f>
        <v>#N/A</v>
      </c>
      <c r="G40" s="415" t="e" cm="1">
        <f t="array" aca="1" ref="G40" ca="1">VLOOKUP(MAX(IF(INDIRECT("Norex3_"&amp;'Saisie de données'!$H$62&amp;"_"&amp;'Saisie de données'!$I$62&amp;"_S")&lt;='Synthèse résultat'!$E40,INDIRECT("Norex3_"&amp;'Saisie de données'!$H$62&amp;"_"&amp;'Saisie de données'!$I$62&amp;"_S"))),'Courbe Déflexion'!Z$5:$AI$285,10,0)*0.3798*VLOOKUP('Saisie de données'!$F$38,'Menu déroulant'!$AA$22:$AD$24,4,0)</f>
        <v>#N/A</v>
      </c>
      <c r="H40" s="415" t="e" cm="1">
        <f t="array" aca="1" ref="H40" ca="1">VLOOKUP(MAX(IF(INDIRECT("Norex4_"&amp;'Saisie de données'!$H$62&amp;"_"&amp;'Saisie de données'!$I$62&amp;"_S")&lt;='Synthèse résultat'!$E40,INDIRECT("Norex4_"&amp;'Saisie de données'!$H$62&amp;"_"&amp;'Saisie de données'!$I$62&amp;"_S"))),'Courbe Déflexion'!$AK$5:$AT$306,10,0)*0.3798*VLOOKUP('Saisie de données'!$F$38,'Menu déroulant'!$AA$22:$AD$24,4,0)</f>
        <v>#N/A</v>
      </c>
      <c r="I40" s="415" t="e" cm="1">
        <f t="array" aca="1" ref="I40" ca="1">VLOOKUP(MAX(IF(INDIRECT("Norex5_"&amp;'Saisie de données'!$H$62&amp;"_"&amp;'Saisie de données'!$I$62&amp;"_S")&lt;='Synthèse résultat'!$E40,INDIRECT("Norex5_"&amp;'Saisie de données'!$H$62&amp;"_"&amp;'Saisie de données'!$I$62&amp;"_S"))),'Courbe Déflexion'!$AV$5:$BE$306,10,0)*0.3798*VLOOKUP('Saisie de données'!$F$38,'Menu déroulant'!$AA$22:$AD$24,4,0)</f>
        <v>#N/A</v>
      </c>
      <c r="J40" s="415" t="e" cm="1">
        <f t="array" aca="1" ref="J40" ca="1">VLOOKUP(MAX(IF(INDIRECT("Norex6_"&amp;'Saisie de données'!$H$62&amp;"_"&amp;'Saisie de données'!$I$62&amp;"_S")&lt;='Synthèse résultat'!$E40,INDIRECT("Norex6_"&amp;'Saisie de données'!$H$62&amp;"_"&amp;'Saisie de données'!$I$62&amp;"_S"))),'Courbe Déflexion'!$BG$5:$BP$306,10,0)*0.3798*VLOOKUP('Saisie de données'!$F$38,'Menu déroulant'!$AA$22:$AD$24,4,0)</f>
        <v>#N/A</v>
      </c>
      <c r="K40" s="415" t="e" cm="1">
        <f t="array" aca="1" ref="K40" ca="1">VLOOKUP(MAX(IF(INDIRECT("Norex8_"&amp;'Saisie de données'!$H$62&amp;"_"&amp;'Saisie de données'!$I$62&amp;"_S")&lt;='Synthèse résultat'!$E40,INDIRECT("Norex8_"&amp;'Saisie de données'!$H$62&amp;"_"&amp;'Saisie de données'!$I$62&amp;"_S"))),'Courbe Déflexion'!$BR$5:$CA$306,10,0)*0.3798*VLOOKUP('Saisie de données'!$F$38,'Menu déroulant'!$AA$22:$AD$24,4,0)</f>
        <v>#N/A</v>
      </c>
      <c r="L40" s="415" t="e" cm="1">
        <f t="array" aca="1" ref="L40" ca="1">VLOOKUP(MAX(IF(INDIRECT("Noroc4_"&amp;'Saisie de données'!$H$62&amp;"_"&amp;'Saisie de données'!$I$62&amp;"_S")&lt;='Synthèse résultat'!$E40,INDIRECT("Noroc4_"&amp;'Saisie de données'!$H$62&amp;"_"&amp;'Saisie de données'!$I$62&amp;"_S"))),'Courbe Déflexion'!$CC$5:$CL$306,10,0)*0.3798*VLOOKUP('Saisie de données'!$F$38,'Menu déroulant'!$AA$22:$AD$24,4,0)</f>
        <v>#N/A</v>
      </c>
      <c r="M40" s="415" t="e" cm="1">
        <f t="array" aca="1" ref="M40" ca="1">VLOOKUP(MAX(IF(INDIRECT("Noroc5_"&amp;'Saisie de données'!$H$62&amp;"_"&amp;'Saisie de données'!$I$62&amp;"_S")&lt;='Synthèse résultat'!$E40,INDIRECT("Noroc5_"&amp;'Saisie de données'!$H$62&amp;"_"&amp;'Saisie de données'!$I$62&amp;"_S"))),'Courbe Déflexion'!$CN$5:$CW$306,10,0)*0.3798*VLOOKUP('Saisie de données'!$F$38,'Menu déroulant'!$AA$22:$AD$24,4,0)</f>
        <v>#N/A</v>
      </c>
      <c r="N40" s="415" t="e" cm="1">
        <f t="array" aca="1" ref="N40" ca="1">VLOOKUP(MAX(IF(INDIRECT("Noroc6_"&amp;'Saisie de données'!$H$62&amp;"_"&amp;'Saisie de données'!$I$62&amp;"_S")&lt;='Synthèse résultat'!$E40,INDIRECT("Noroc6_"&amp;'Saisie de données'!$H$62&amp;"_"&amp;'Saisie de données'!$I$62&amp;"_S"))),'Courbe Déflexion'!$CY$5:$DH$306,10,0)*0.3798*VLOOKUP('Saisie de données'!$F$38,'Menu déroulant'!$AA$22:$AD$24,4,0)</f>
        <v>#N/A</v>
      </c>
      <c r="O40" s="415" t="e" cm="1">
        <f t="array" aca="1" ref="O40" ca="1">VLOOKUP(MAX(IF(INDIRECT("Noroc8_"&amp;'Saisie de données'!$H$62&amp;"_"&amp;'Saisie de données'!$I$62&amp;"_S")&lt;='Synthèse résultat'!$E40,INDIRECT("Noroc8_"&amp;'Saisie de données'!$H$62&amp;"_"&amp;'Saisie de données'!$I$62&amp;"_S"))),'Courbe Déflexion'!$DJ$5:$DS$306,10,0)*0.3798*VLOOKUP('Saisie de données'!$F$38,'Menu déroulant'!$AA$22:$AD$24,4,0)</f>
        <v>#N/A</v>
      </c>
      <c r="P40" s="416">
        <f>VLOOKUP('Saisie de données'!$J$62,'Infos Techniques'!$U$15:$AF$43,12,0)*VLOOKUP('Saisie de données'!$F$38,'Menu déroulant'!$AA$22:$AD$24,4,0)</f>
        <v>11.76923076923077</v>
      </c>
      <c r="Q40" s="326" t="e">
        <f ca="1">IF('Saisie de données'!$C$62='Menu déroulant'!$AA$31,(VLOOKUP(Q$29,'Infos Techniques'!$B$7:$H$12,2,0)/('Saisie de données'!$F$62/12)-(Francais10p!$R$58/2*E38))/E40,(VLOOKUP(Q$29,'Infos Techniques'!$B$7:$H$12,5,0)/('Saisie de données'!$F$62/12)-(Francais10p!$R$58/2*E38))/E40)*VLOOKUP('Saisie de données'!$F$38,'Menu déroulant'!$AA$22:$AD$24,4,0)</f>
        <v>#VALUE!</v>
      </c>
      <c r="R40" s="326" t="e">
        <f ca="1">IF('Saisie de données'!$C$62='Menu déroulant'!$AA$31,(VLOOKUP(R$29,'Infos Techniques'!$B$7:$H$12,2,0)/('Saisie de données'!$F$62/12)-(Francais10p!$R$58/2*E38))/E40,(VLOOKUP(R$29,'Infos Techniques'!$B$7:$H$12,5,0)/('Saisie de données'!$F$62/12)-(Francais10p!$R$58/2*E38))/E40)*VLOOKUP('Saisie de données'!$F$38,'Menu déroulant'!$AA$22:$AD$24,4,0)</f>
        <v>#VALUE!</v>
      </c>
      <c r="S40" s="326" t="e">
        <f ca="1">IF('Saisie de données'!$C$62='Menu déroulant'!$AA$31,(VLOOKUP(S$29,'Infos Techniques'!$B$7:$H$12,2,0)/('Saisie de données'!$F$62/12)-(Francais10p!$R$59/2*E38))/E40,(VLOOKUP(S$29,'Infos Techniques'!$B$7:$H$12,5,0)/('Saisie de données'!$F$62/12)-(Francais10p!$R$59/2*E38))/E40)*VLOOKUP('Saisie de données'!$F$38,'Menu déroulant'!$AA$22:$AD$24,4,0)</f>
        <v>#VALUE!</v>
      </c>
      <c r="T40" s="326" t="e">
        <f ca="1">IF('Saisie de données'!$C$62='Menu déroulant'!$AA$31,(VLOOKUP(T$29,'Infos Techniques'!$B$7:$H$12,2,0)/('Saisie de données'!$F$62/12)-(Francais10p!$R$60/2*E38))/E40,(VLOOKUP(T$29,'Infos Techniques'!$B$7:$H$12,5,0)/('Saisie de données'!$F$62/12)-(Francais10p!$R$60/2*E38))/E40)*VLOOKUP('Saisie de données'!$F$38,'Menu déroulant'!$AA$22:$AD$24,4,0)</f>
        <v>#VALUE!</v>
      </c>
      <c r="U40" s="326" t="e">
        <f ca="1">IF('Saisie de données'!$C$62='Menu déroulant'!$AA$31,(VLOOKUP(U$29,'Infos Techniques'!$B$7:$H$12,2,0)/('Saisie de données'!$F$62/12)-(Francais10p!$R$61/2*E38))/E40,(VLOOKUP(U$29,'Infos Techniques'!$B$7:$H$12,5,0)/('Saisie de données'!$F$62/12)-(Francais10p!$R$61/2*E38))/E40)*VLOOKUP('Saisie de données'!$F$38,'Menu déroulant'!$AA$22:$AD$24,4,0)</f>
        <v>#VALUE!</v>
      </c>
      <c r="V40" s="326" t="e">
        <f ca="1">IF('Saisie de données'!$C$62='Menu déroulant'!$AA$31,(VLOOKUP(V$29,'Infos Techniques'!$B$7:$H$12,4,0)/('Saisie de données'!$F$62/12)-(Francais10p!$T$58/2*E38))/E40,(VLOOKUP(V$29,'Infos Techniques'!$B$7:$H$12,7,0)/('Saisie de données'!$F$62/12)-(Francais10p!$T$58/2*E38))/E40)*VLOOKUP('Saisie de données'!$F$38,'Menu déroulant'!$AA$22:$AD$24,4,0)</f>
        <v>#VALUE!</v>
      </c>
      <c r="W40" s="326" t="e">
        <f ca="1">IF('Saisie de données'!$C$62='Menu déroulant'!$AA$31,(VLOOKUP(W$29,'Infos Techniques'!$B$7:$H$12,4,0)/('Saisie de données'!$F$62/12)-(Francais10p!$T$58/2*E38))/E40,(VLOOKUP(W$29,'Infos Techniques'!$B$7:$H$12,7,0)/('Saisie de données'!$F$62/12)-(Francais10p!$T$58/2*E38))/E40)*VLOOKUP('Saisie de données'!$F$38,'Menu déroulant'!$AA$22:$AD$24,4,0)</f>
        <v>#VALUE!</v>
      </c>
      <c r="X40" s="326" t="e">
        <f ca="1">IF('Saisie de données'!$C$62='Menu déroulant'!$AA$31,(VLOOKUP(X$29,'Infos Techniques'!$B$7:$H$12,4,0)/('Saisie de données'!$F$62/12)-(Francais10p!$T$59/2*E38))/E40,(VLOOKUP(X$29,'Infos Techniques'!$B$7:$H$12,7,0)/('Saisie de données'!$F$62/12)-(Francais10p!$T$59/2*E38))/E40)*VLOOKUP('Saisie de données'!$F$38,'Menu déroulant'!$AA$22:$AD$24,4,0)</f>
        <v>#VALUE!</v>
      </c>
      <c r="Y40" s="326" t="e">
        <f ca="1">IF('Saisie de données'!$C$62='Menu déroulant'!$AA$31,(VLOOKUP(Y$29,'Infos Techniques'!$B$7:$H$12,4,0)/('Saisie de données'!$F$62/12)-(Francais10p!$T$60/2*E38))/E40,(VLOOKUP(Y$29,'Infos Techniques'!$B$7:$H$12,7,0)/('Saisie de données'!$F$62/12)-(Francais10p!$T$60/2*E38))/E40)*VLOOKUP('Saisie de données'!$F$38,'Menu déroulant'!$AA$22:$AD$24,4,0)</f>
        <v>#VALUE!</v>
      </c>
      <c r="Z40" s="417" t="e">
        <f ca="1">IF('Saisie de données'!$C$62='Menu déroulant'!$AA$31,(VLOOKUP(Z$29,'Infos Techniques'!$B$7:$H$12,4,0)/('Saisie de données'!$F$62/12)-(Francais10p!$T$61/2*E38))/E40,(VLOOKUP(Z$29,'Infos Techniques'!$B$7:$H$12,7,0)/('Saisie de données'!$F$62/12)-(Francais10p!$T$61/2*E38))/E40)*VLOOKUP('Saisie de données'!$F$38,'Menu déroulant'!$AA$22:$AD$24,4,0)</f>
        <v>#VALUE!</v>
      </c>
      <c r="AA40" s="748" t="e">
        <f ca="1">(((VLOOKUP(AA$29,'Infos Techniques'!$I$5:$K$12,2,0)/('Saisie de données'!$F$62/12))-(Francais10p!$R$75/2*$E38))/$E40)*VLOOKUP('Saisie de données'!$F$38,'Menu déroulant'!$AA$22:$AD$24,4,0)</f>
        <v>#VALUE!</v>
      </c>
      <c r="AB40" s="326" t="e">
        <f ca="1">(((VLOOKUP(AB$29,'Infos Techniques'!$I$5:$K$12,2,0)/('Saisie de données'!$F$62/12))-(Francais10p!$R$75/2*$E38))/$E40)*VLOOKUP('Saisie de données'!$F$38,'Menu déroulant'!$AA$22:$AD$24,4,0)</f>
        <v>#VALUE!</v>
      </c>
      <c r="AC40" s="326" t="e">
        <f ca="1">(((VLOOKUP(AC$29,'Infos Techniques'!$I$5:$K$12,2,0)/('Saisie de données'!$F$62/12))-(Francais10p!$R$75/2*$E38))/$E40)*VLOOKUP('Saisie de données'!$F$38,'Menu déroulant'!$AA$22:$AD$24,4,0)</f>
        <v>#VALUE!</v>
      </c>
      <c r="AD40" s="326" t="e">
        <f ca="1">(((VLOOKUP(AD$29,'Infos Techniques'!$I$5:$K$12,2,0)/('Saisie de données'!$F$62/12))-(Francais10p!$R$75/2*$E38))/$E40)*VLOOKUP('Saisie de données'!$F$38,'Menu déroulant'!$AA$22:$AD$24,4,0)</f>
        <v>#VALUE!</v>
      </c>
      <c r="AE40" s="326">
        <v>0</v>
      </c>
      <c r="AF40" s="326" t="e">
        <f ca="1">(((VLOOKUP(AF$29,'Infos Techniques'!$I$5:$K$12,2,0)/('Saisie de données'!$F$62/12))-(Francais10p!$R$75/2*$E38))/$E40)*VLOOKUP('Saisie de données'!$F$38,'Menu déroulant'!$AA$22:$AD$24,4,0)</f>
        <v>#VALUE!</v>
      </c>
      <c r="AG40" s="326" t="e">
        <f ca="1">(((VLOOKUP(AG$29,'Infos Techniques'!$I$5:$K$12,2,0)/('Saisie de données'!$F$62/12))-(Francais10p!$R$75/2*$E38))/$E40)*VLOOKUP('Saisie de données'!$F$38,'Menu déroulant'!$AA$22:$AD$24,4,0)</f>
        <v>#VALUE!</v>
      </c>
      <c r="AH40" s="326">
        <v>0</v>
      </c>
      <c r="AI40" s="326" t="e">
        <f ca="1">(((VLOOKUP(AI$29,'Infos Techniques'!$I$5:$K$12,3,0)/('Saisie de données'!$F$62/12))-(Francais10p!$T$75/2*$E38))/$E40)*VLOOKUP('Saisie de données'!$F$38,'Menu déroulant'!$AA$22:$AD$24,4,0)</f>
        <v>#VALUE!</v>
      </c>
      <c r="AJ40" s="326" t="e">
        <f ca="1">(((VLOOKUP(AJ$29,'Infos Techniques'!$I$5:$K$12,3,0)/('Saisie de données'!$F$62/12))-(Francais10p!$T$75/2*$E38))/$E40)*VLOOKUP('Saisie de données'!$F$38,'Menu déroulant'!$AA$22:$AD$24,4,0)</f>
        <v>#VALUE!</v>
      </c>
      <c r="AK40" s="326" t="e">
        <f ca="1">(((VLOOKUP(AK$29,'Infos Techniques'!$I$5:$K$12,3,0)/('Saisie de données'!$F$62/12))-(Francais10p!$T$75/2*$E38))/$E40)*VLOOKUP('Saisie de données'!$F$38,'Menu déroulant'!$AA$22:$AD$24,4,0)</f>
        <v>#VALUE!</v>
      </c>
      <c r="AL40" s="326" t="e">
        <f ca="1">(((VLOOKUP(AL$29,'Infos Techniques'!$I$5:$K$12,3,0)/('Saisie de données'!$F$62/12))-(Francais10p!$T$75/2*$E38))/$E40)*VLOOKUP('Saisie de données'!$F$38,'Menu déroulant'!$AA$22:$AD$24,4,0)</f>
        <v>#VALUE!</v>
      </c>
      <c r="AM40" s="326" t="e">
        <f ca="1">(((VLOOKUP(AM$29,'Infos Techniques'!$I$5:$K$12,3,0)/('Saisie de données'!$F$62/12))-(Francais10p!$T$75/2*$E38))/$E40)*VLOOKUP('Saisie de données'!$F$38,'Menu déroulant'!$AA$22:$AD$24,4,0)</f>
        <v>#VALUE!</v>
      </c>
      <c r="AN40" s="326" t="e">
        <f ca="1">(((VLOOKUP(AN$29,'Infos Techniques'!$I$5:$K$12,3,0)/('Saisie de données'!$F$62/12))-(Francais10p!$T$75/2*$E38))/$E40)*VLOOKUP('Saisie de données'!$F$38,'Menu déroulant'!$AA$22:$AD$24,4,0)</f>
        <v>#VALUE!</v>
      </c>
      <c r="AO40" s="326" t="e">
        <f ca="1">(((VLOOKUP(AO$29,'Infos Techniques'!$I$5:$K$12,3,0)/('Saisie de données'!$F$62/12))-(Francais10p!$T$75/2*$E38))/$E40)*VLOOKUP('Saisie de données'!$F$38,'Menu déroulant'!$AA$22:$AD$24,4,0)</f>
        <v>#VALUE!</v>
      </c>
      <c r="AP40" s="417" t="e">
        <f ca="1">(((VLOOKUP(AP$29,'Infos Techniques'!$I$5:$K$12,3,0)/('Saisie de données'!$F$62/12))-(Francais10p!$T$75/2*$E38))/$E40)*VLOOKUP('Saisie de données'!$F$38,'Menu déroulant'!$AA$22:$AD$24,4,0)</f>
        <v>#VALUE!</v>
      </c>
    </row>
    <row r="41" spans="1:44" ht="15" thickBot="1">
      <c r="A41" s="179"/>
      <c r="B41" s="1602"/>
      <c r="C41" s="1604"/>
      <c r="D41" s="44" t="s">
        <v>343</v>
      </c>
      <c r="E41" s="45" t="e">
        <f>IF(ISBLANK('Saisie de données'!$E$30),'Charges de vent'!E41*20.885*1.4,0)</f>
        <v>#N/A</v>
      </c>
      <c r="F41" s="676" t="e" cm="1">
        <f t="array" aca="1" ref="F41" ca="1">VLOOKUP(MAX(IF(INDIRECT("Norex2_"&amp;'Saisie de données'!$H$62&amp;"_"&amp;'Saisie de données'!$I$62&amp;"_S")&lt;='Synthèse résultat'!$E41,INDIRECT("Norex2_"&amp;'Saisie de données'!$H$62&amp;"_"&amp;'Saisie de données'!$I$62&amp;"_S"))),'Courbe Déflexion'!O$5:$X$285,10,0)*0.3798*VLOOKUP('Saisie de données'!$F$38,'Menu déroulant'!$AA$22:$AD$24,4,0)</f>
        <v>#N/A</v>
      </c>
      <c r="G41" s="676" t="e" cm="1">
        <f t="array" aca="1" ref="G41" ca="1">VLOOKUP(MAX(IF(INDIRECT("Norex3_"&amp;'Saisie de données'!$H$62&amp;"_"&amp;'Saisie de données'!$I$62&amp;"_S")&lt;='Synthèse résultat'!$E41,INDIRECT("Norex3_"&amp;'Saisie de données'!$H$62&amp;"_"&amp;'Saisie de données'!$I$62&amp;"_S"))),'Courbe Déflexion'!Z$5:$AI$285,10,0)*0.3798*VLOOKUP('Saisie de données'!$F$38,'Menu déroulant'!$AA$22:$AD$24,4,0)</f>
        <v>#N/A</v>
      </c>
      <c r="H41" s="676" t="e" cm="1">
        <f t="array" aca="1" ref="H41" ca="1">VLOOKUP(MAX(IF(INDIRECT("Norex4_"&amp;'Saisie de données'!$H$62&amp;"_"&amp;'Saisie de données'!$I$62&amp;"_S")&lt;='Synthèse résultat'!$E41,INDIRECT("Norex4_"&amp;'Saisie de données'!$H$62&amp;"_"&amp;'Saisie de données'!$I$62&amp;"_S"))),'Courbe Déflexion'!$AK$5:$AT$306,10,0)*0.3798*VLOOKUP('Saisie de données'!$F$38,'Menu déroulant'!$AA$22:$AD$24,4,0)</f>
        <v>#N/A</v>
      </c>
      <c r="I41" s="676" t="e" cm="1">
        <f t="array" aca="1" ref="I41" ca="1">VLOOKUP(MAX(IF(INDIRECT("Norex5_"&amp;'Saisie de données'!$H$62&amp;"_"&amp;'Saisie de données'!$I$62&amp;"_S")&lt;='Synthèse résultat'!$E41,INDIRECT("Norex5_"&amp;'Saisie de données'!$H$62&amp;"_"&amp;'Saisie de données'!$I$62&amp;"_S"))),'Courbe Déflexion'!$AV$5:$BE$306,10,0)*0.3798*VLOOKUP('Saisie de données'!$F$38,'Menu déroulant'!$AA$22:$AD$24,4,0)</f>
        <v>#N/A</v>
      </c>
      <c r="J41" s="676" t="e" cm="1">
        <f t="array" aca="1" ref="J41" ca="1">VLOOKUP(MAX(IF(INDIRECT("Norex6_"&amp;'Saisie de données'!$H$62&amp;"_"&amp;'Saisie de données'!$I$62&amp;"_S")&lt;='Synthèse résultat'!$E41,INDIRECT("Norex6_"&amp;'Saisie de données'!$H$62&amp;"_"&amp;'Saisie de données'!$I$62&amp;"_S"))),'Courbe Déflexion'!$BG$5:$BP$306,10,0)*0.3798*VLOOKUP('Saisie de données'!$F$38,'Menu déroulant'!$AA$22:$AD$24,4,0)</f>
        <v>#N/A</v>
      </c>
      <c r="K41" s="676" t="e" cm="1">
        <f t="array" aca="1" ref="K41" ca="1">VLOOKUP(MAX(IF(INDIRECT("Norex8_"&amp;'Saisie de données'!$H$62&amp;"_"&amp;'Saisie de données'!$I$62&amp;"_S")&lt;='Synthèse résultat'!$E41,INDIRECT("Norex8_"&amp;'Saisie de données'!$H$62&amp;"_"&amp;'Saisie de données'!$I$62&amp;"_S"))),'Courbe Déflexion'!$BR$5:$CA$306,10,0)*0.3798*VLOOKUP('Saisie de données'!$F$38,'Menu déroulant'!$AA$22:$AD$24,4,0)</f>
        <v>#N/A</v>
      </c>
      <c r="L41" s="676" t="e" cm="1">
        <f t="array" aca="1" ref="L41" ca="1">VLOOKUP(MAX(IF(INDIRECT("Noroc4_"&amp;'Saisie de données'!$H$62&amp;"_"&amp;'Saisie de données'!$I$62&amp;"_S")&lt;='Synthèse résultat'!$E41,INDIRECT("Noroc4_"&amp;'Saisie de données'!$H$62&amp;"_"&amp;'Saisie de données'!$I$62&amp;"_S"))),'Courbe Déflexion'!$CC$5:$CL$306,10,0)*0.3798*VLOOKUP('Saisie de données'!$F$38,'Menu déroulant'!$AA$22:$AD$24,4,0)</f>
        <v>#N/A</v>
      </c>
      <c r="M41" s="676" t="e" cm="1">
        <f t="array" aca="1" ref="M41" ca="1">VLOOKUP(MAX(IF(INDIRECT("Noroc5_"&amp;'Saisie de données'!$H$62&amp;"_"&amp;'Saisie de données'!$I$62&amp;"_S")&lt;='Synthèse résultat'!$E41,INDIRECT("Noroc5_"&amp;'Saisie de données'!$H$62&amp;"_"&amp;'Saisie de données'!$I$62&amp;"_S"))),'Courbe Déflexion'!$CN$5:$CW$306,10,0)*0.3798*VLOOKUP('Saisie de données'!$F$38,'Menu déroulant'!$AA$22:$AD$24,4,0)</f>
        <v>#N/A</v>
      </c>
      <c r="N41" s="676" t="e" cm="1">
        <f t="array" aca="1" ref="N41" ca="1">VLOOKUP(MAX(IF(INDIRECT("Noroc6_"&amp;'Saisie de données'!$H$62&amp;"_"&amp;'Saisie de données'!$I$62&amp;"_S")&lt;='Synthèse résultat'!$E41,INDIRECT("Noroc6_"&amp;'Saisie de données'!$H$62&amp;"_"&amp;'Saisie de données'!$I$62&amp;"_S"))),'Courbe Déflexion'!$CY$5:$DH$306,10,0)*0.3798*VLOOKUP('Saisie de données'!$F$38,'Menu déroulant'!$AA$22:$AD$24,4,0)</f>
        <v>#N/A</v>
      </c>
      <c r="O41" s="676" t="e" cm="1">
        <f t="array" aca="1" ref="O41" ca="1">VLOOKUP(MAX(IF(INDIRECT("Noroc8_"&amp;'Saisie de données'!$H$62&amp;"_"&amp;'Saisie de données'!$I$62&amp;"_S")&lt;='Synthèse résultat'!$E41,INDIRECT("Noroc8_"&amp;'Saisie de données'!$H$62&amp;"_"&amp;'Saisie de données'!$I$62&amp;"_S"))),'Courbe Déflexion'!$DJ$5:$DS$306,10,0)*0.3798*VLOOKUP('Saisie de données'!$F$38,'Menu déroulant'!$AA$22:$AD$24,4,0)</f>
        <v>#N/A</v>
      </c>
      <c r="P41" s="677">
        <f>VLOOKUP('Saisie de données'!$J$62,'Infos Techniques'!$U$15:$AF$43,12,0)*VLOOKUP('Saisie de données'!$F$38,'Menu déroulant'!$AA$22:$AD$24,4,0)</f>
        <v>11.76923076923077</v>
      </c>
      <c r="Q41" s="678" t="e">
        <f ca="1">IF('Saisie de données'!$C$62='Menu déroulant'!$AA$31,(VLOOKUP(Q$29,'Infos Techniques'!$B$7:$H$12,2,0)/('Saisie de données'!$F$62/12)-(Francais10p!$S$58/2*E39))/E41,(VLOOKUP(Q$29,'Infos Techniques'!$B$7:$H$12,5,0)/('Saisie de données'!$F$62/12)-(Francais10p!$S$58/2*E39))/E41)*VLOOKUP('Saisie de données'!$F$38,'Menu déroulant'!$AA$22:$AD$24,4,0)</f>
        <v>#VALUE!</v>
      </c>
      <c r="R41" s="678" t="e">
        <f ca="1">IF('Saisie de données'!$C$62='Menu déroulant'!$AA$31,(VLOOKUP(R$29,'Infos Techniques'!$B$7:$H$12,2,0)/('Saisie de données'!$F$62/12)-(Francais10p!$S$58/2*E39))/E41,(VLOOKUP(R$29,'Infos Techniques'!$B$7:$H$12,5,0)/('Saisie de données'!$F$62/12)-(Francais10p!$S$58/2*E39))/E41)*VLOOKUP('Saisie de données'!$F$38,'Menu déroulant'!$AA$22:$AD$24,4,0)</f>
        <v>#VALUE!</v>
      </c>
      <c r="S41" s="678" t="e">
        <f ca="1">IF('Saisie de données'!$C$62='Menu déroulant'!$AA$31,(VLOOKUP(S$29,'Infos Techniques'!$B$7:$H$12,2,0)/('Saisie de données'!$F$62/12)-(Francais10p!$S$59/2*E39))/E41,(VLOOKUP(S$29,'Infos Techniques'!$B$7:$H$12,5,0)/('Saisie de données'!$F$62/12)-(Francais10p!$S$59/2*E39))/E41)*VLOOKUP('Saisie de données'!$F$38,'Menu déroulant'!$AA$22:$AD$24,4,0)</f>
        <v>#VALUE!</v>
      </c>
      <c r="T41" s="678" t="e">
        <f ca="1">IF('Saisie de données'!$C$62='Menu déroulant'!$AA$31,(VLOOKUP(T$29,'Infos Techniques'!$B$7:$H$12,2,0)/('Saisie de données'!$F$62/12)-(Francais10p!$S$60/2*E39))/E41,(VLOOKUP(T$29,'Infos Techniques'!$B$7:$H$12,5,0)/('Saisie de données'!$F$62/12)-(Francais10p!$S$60/2*E39))/E41)*VLOOKUP('Saisie de données'!$F$38,'Menu déroulant'!$AA$22:$AD$24,4,0)</f>
        <v>#VALUE!</v>
      </c>
      <c r="U41" s="678" t="e">
        <f ca="1">IF('Saisie de données'!$C$62='Menu déroulant'!$AA$31,(VLOOKUP(U$29,'Infos Techniques'!$B$7:$H$12,2,0)/('Saisie de données'!$F$62/12)-(Francais10p!$S$61/2*E39))/E41,(VLOOKUP(U$29,'Infos Techniques'!$B$7:$H$12,5,0)/('Saisie de données'!$F$62/12)-(Francais10p!$S$61/2*E39))/E41)*VLOOKUP('Saisie de données'!$F$38,'Menu déroulant'!$AA$22:$AD$24,4,0)</f>
        <v>#VALUE!</v>
      </c>
      <c r="V41" s="678" t="e">
        <f ca="1">IF('Saisie de données'!$C$62='Menu déroulant'!$AA$31,(VLOOKUP(V$29,'Infos Techniques'!$B$7:$H$12,4,0)/('Saisie de données'!$F$62/12)-(Francais10p!$U$58/2*E39))/E41,(VLOOKUP(V$29,'Infos Techniques'!$B$7:$H$12,7,0)/('Saisie de données'!$F$62/12)-(Francais10p!$U$58/2*E39))/E41)*VLOOKUP('Saisie de données'!$F$38,'Menu déroulant'!$AA$22:$AD$24,4,0)</f>
        <v>#VALUE!</v>
      </c>
      <c r="W41" s="678" t="e">
        <f ca="1">IF('Saisie de données'!$C$62='Menu déroulant'!$AA$31,(VLOOKUP(W$29,'Infos Techniques'!$B$7:$H$12,4,0)/('Saisie de données'!$F$62/12)-(Francais10p!$U$58/2*E39))/E41,(VLOOKUP(W$29,'Infos Techniques'!$B$7:$H$12,7,0)/('Saisie de données'!$F$62/12)-(Francais10p!$U$58/2*E39))/E41)*VLOOKUP('Saisie de données'!$F$38,'Menu déroulant'!$AA$22:$AD$24,4,0)</f>
        <v>#VALUE!</v>
      </c>
      <c r="X41" s="678" t="e">
        <f ca="1">IF('Saisie de données'!$C$62='Menu déroulant'!$AA$31,(VLOOKUP(X$29,'Infos Techniques'!$B$7:$H$12,4,0)/('Saisie de données'!$F$62/12)-(Francais10p!$U$59/2*E39))/E41,(VLOOKUP(X$29,'Infos Techniques'!$B$7:$H$12,7,0)/('Saisie de données'!$F$62/12)-(Francais10p!$U$59/2*E39))/E41)*VLOOKUP('Saisie de données'!$F$38,'Menu déroulant'!$AA$22:$AD$24,4,0)</f>
        <v>#VALUE!</v>
      </c>
      <c r="Y41" s="678" t="e">
        <f ca="1">IF('Saisie de données'!$C$62='Menu déroulant'!$AA$31,(VLOOKUP(Y$29,'Infos Techniques'!$B$7:$H$12,4,0)/('Saisie de données'!$F$62/12)-(Francais10p!$U$60/2*E39))/E41,(VLOOKUP(Y$29,'Infos Techniques'!$B$7:$H$12,7,0)/('Saisie de données'!$F$62/12)-(Francais10p!$U$60/2*E39))/E41)*VLOOKUP('Saisie de données'!$F$38,'Menu déroulant'!$AA$22:$AD$24,4,0)</f>
        <v>#VALUE!</v>
      </c>
      <c r="Z41" s="679" t="e">
        <f ca="1">IF('Saisie de données'!$C$62='Menu déroulant'!$AA$31,(VLOOKUP(Z$29,'Infos Techniques'!$B$7:$H$12,4,0)/('Saisie de données'!$F$62/12)-(Francais10p!$U$61/2*E39))/E41,(VLOOKUP(Z$29,'Infos Techniques'!$B$7:$H$12,7,0)/('Saisie de données'!$F$62/12)-(Francais10p!$U$61/2*E39))/E41)*VLOOKUP('Saisie de données'!$F$38,'Menu déroulant'!$AA$22:$AD$24,4,0)</f>
        <v>#VALUE!</v>
      </c>
      <c r="AA41" s="749" t="e">
        <f ca="1">(((VLOOKUP(AA$29,'Infos Techniques'!$I$5:$K$12,2,0)/('Saisie de données'!$F$62/12))-(Francais10p!$S$75/2*$E39))/$E41)*VLOOKUP('Saisie de données'!$F$38,'Menu déroulant'!$AA$22:$AD$24,4,0)</f>
        <v>#VALUE!</v>
      </c>
      <c r="AB41" s="678" t="e">
        <f ca="1">(((VLOOKUP(AB$29,'Infos Techniques'!$I$5:$K$12,2,0)/('Saisie de données'!$F$62/12))-(Francais10p!$S$75/2*$E39))/$E41)*VLOOKUP('Saisie de données'!$F$38,'Menu déroulant'!$AA$22:$AD$24,4,0)</f>
        <v>#VALUE!</v>
      </c>
      <c r="AC41" s="678" t="e">
        <f ca="1">(((VLOOKUP(AC$29,'Infos Techniques'!$I$5:$K$12,2,0)/('Saisie de données'!$F$62/12))-(Francais10p!$S$75/2*$E39))/$E41)*VLOOKUP('Saisie de données'!$F$38,'Menu déroulant'!$AA$22:$AD$24,4,0)</f>
        <v>#VALUE!</v>
      </c>
      <c r="AD41" s="678" t="e">
        <f ca="1">(((VLOOKUP(AD$29,'Infos Techniques'!$I$5:$K$12,2,0)/('Saisie de données'!$F$62/12))-(Francais10p!$S$75/2*$E39))/$E41)*VLOOKUP('Saisie de données'!$F$38,'Menu déroulant'!$AA$22:$AD$24,4,0)</f>
        <v>#VALUE!</v>
      </c>
      <c r="AE41" s="678">
        <v>0</v>
      </c>
      <c r="AF41" s="678" t="e">
        <f ca="1">(((VLOOKUP(AF$29,'Infos Techniques'!$I$5:$K$12,2,0)/('Saisie de données'!$F$62/12))-(Francais10p!$S$75/2*$E39))/$E41)*VLOOKUP('Saisie de données'!$F$38,'Menu déroulant'!$AA$22:$AD$24,4,0)</f>
        <v>#VALUE!</v>
      </c>
      <c r="AG41" s="678" t="e">
        <f ca="1">(((VLOOKUP(AG$29,'Infos Techniques'!$I$5:$K$12,2,0)/('Saisie de données'!$F$62/12))-(Francais10p!$S$75/2*$E39))/$E41)*VLOOKUP('Saisie de données'!$F$38,'Menu déroulant'!$AA$22:$AD$24,4,0)</f>
        <v>#VALUE!</v>
      </c>
      <c r="AH41" s="678">
        <v>0</v>
      </c>
      <c r="AI41" s="678" t="e">
        <f ca="1">(((VLOOKUP(AI$29,'Infos Techniques'!$I$5:$K$12,3,0)/('Saisie de données'!$F$62/12))-(Francais10p!$U$75/2*$E39))/$E41)*VLOOKUP('Saisie de données'!$F$38,'Menu déroulant'!$AA$22:$AD$24,4,0)</f>
        <v>#VALUE!</v>
      </c>
      <c r="AJ41" s="678" t="e">
        <f ca="1">(((VLOOKUP(AJ$29,'Infos Techniques'!$I$5:$K$12,3,0)/('Saisie de données'!$F$62/12))-(Francais10p!$U$75/2*$E39))/$E41)*VLOOKUP('Saisie de données'!$F$38,'Menu déroulant'!$AA$22:$AD$24,4,0)</f>
        <v>#VALUE!</v>
      </c>
      <c r="AK41" s="678" t="e">
        <f ca="1">(((VLOOKUP(AK$29,'Infos Techniques'!$I$5:$K$12,3,0)/('Saisie de données'!$F$62/12))-(Francais10p!$U$75/2*$E39))/$E41)*VLOOKUP('Saisie de données'!$F$38,'Menu déroulant'!$AA$22:$AD$24,4,0)</f>
        <v>#VALUE!</v>
      </c>
      <c r="AL41" s="678" t="e">
        <f ca="1">(((VLOOKUP(AL$29,'Infos Techniques'!$I$5:$K$12,3,0)/('Saisie de données'!$F$62/12))-(Francais10p!$U$75/2*$E39))/$E41)*VLOOKUP('Saisie de données'!$F$38,'Menu déroulant'!$AA$22:$AD$24,4,0)</f>
        <v>#VALUE!</v>
      </c>
      <c r="AM41" s="678" t="e">
        <f ca="1">(((VLOOKUP(AM$29,'Infos Techniques'!$I$5:$K$12,3,0)/('Saisie de données'!$F$62/12))-(Francais10p!$U$75/2*$E39))/$E41)*VLOOKUP('Saisie de données'!$F$38,'Menu déroulant'!$AA$22:$AD$24,4,0)</f>
        <v>#VALUE!</v>
      </c>
      <c r="AN41" s="678" t="e">
        <f ca="1">(((VLOOKUP(AN$29,'Infos Techniques'!$I$5:$K$12,3,0)/('Saisie de données'!$F$62/12))-(Francais10p!$U$75/2*$E39))/$E41)*VLOOKUP('Saisie de données'!$F$38,'Menu déroulant'!$AA$22:$AD$24,4,0)</f>
        <v>#VALUE!</v>
      </c>
      <c r="AO41" s="678" t="e">
        <f ca="1">(((VLOOKUP(AO$29,'Infos Techniques'!$I$5:$K$12,3,0)/('Saisie de données'!$F$62/12))-(Francais10p!$U$75/2*$E39))/$E41)*VLOOKUP('Saisie de données'!$F$38,'Menu déroulant'!$AA$22:$AD$24,4,0)</f>
        <v>#VALUE!</v>
      </c>
      <c r="AP41" s="679" t="e">
        <f ca="1">(((VLOOKUP(AP$29,'Infos Techniques'!$I$5:$K$12,3,0)/('Saisie de données'!$F$62/12))-(Francais10p!$U$75/2*$E39))/$E41)*VLOOKUP('Saisie de données'!$F$38,'Menu déroulant'!$AA$22:$AD$24,4,0)</f>
        <v>#VALUE!</v>
      </c>
    </row>
    <row r="42" spans="1:44" ht="15" thickTop="1">
      <c r="Q42" s="451"/>
      <c r="R42" s="451"/>
      <c r="S42" s="451"/>
      <c r="T42" s="451"/>
      <c r="U42" s="451"/>
      <c r="V42" s="451"/>
      <c r="W42" s="451"/>
      <c r="X42" s="451"/>
      <c r="Y42" s="451"/>
      <c r="Z42" s="451"/>
    </row>
    <row r="43" spans="1:44">
      <c r="B43" s="42"/>
      <c r="I43" s="313"/>
      <c r="Q43" s="451"/>
      <c r="R43" s="451"/>
      <c r="S43" s="451"/>
      <c r="T43" s="451"/>
      <c r="U43" s="451"/>
      <c r="V43" s="451"/>
      <c r="W43" s="451"/>
      <c r="X43" s="451"/>
      <c r="Y43" s="451"/>
      <c r="Z43" s="451"/>
    </row>
    <row r="44" spans="1:44">
      <c r="E44" s="42"/>
      <c r="I44" s="313"/>
    </row>
    <row r="45" spans="1:44">
      <c r="B45" s="15"/>
      <c r="C45" s="15"/>
      <c r="D45" s="15"/>
      <c r="E45" s="396"/>
      <c r="F45" s="15"/>
      <c r="G45" s="15"/>
      <c r="H45" s="15"/>
      <c r="I45" s="15"/>
      <c r="J45" s="15"/>
      <c r="K45" s="15"/>
      <c r="L45" s="15"/>
      <c r="M45" s="15"/>
      <c r="N45" s="15"/>
      <c r="O45" s="15"/>
      <c r="P45" s="15"/>
      <c r="Q45" s="15"/>
      <c r="R45" s="15"/>
      <c r="S45" s="15"/>
      <c r="T45" s="15"/>
      <c r="U45" s="15"/>
      <c r="V45" s="15"/>
      <c r="W45" s="15"/>
      <c r="X45" s="15"/>
      <c r="Y45" s="15"/>
      <c r="Z45" s="15"/>
    </row>
    <row r="46" spans="1:44" ht="18.600000000000001" thickBot="1">
      <c r="B46" s="816" t="s">
        <v>344</v>
      </c>
      <c r="C46" s="15"/>
      <c r="D46" s="15"/>
      <c r="E46" s="396"/>
      <c r="F46" s="15"/>
      <c r="G46" s="15"/>
      <c r="H46" s="15"/>
      <c r="I46" s="15"/>
      <c r="J46" s="15"/>
      <c r="K46" s="15"/>
      <c r="L46" s="15"/>
      <c r="M46" s="15"/>
      <c r="N46" s="15"/>
      <c r="O46" s="15"/>
      <c r="P46" s="15"/>
    </row>
    <row r="47" spans="1:44" ht="15" thickTop="1">
      <c r="B47" s="1574" t="s">
        <v>313</v>
      </c>
      <c r="C47" s="1575"/>
      <c r="D47" s="1576"/>
      <c r="E47" s="1582" t="s">
        <v>314</v>
      </c>
      <c r="F47" s="1584" t="s">
        <v>340</v>
      </c>
      <c r="G47" s="1585"/>
      <c r="H47" s="1585"/>
      <c r="I47" s="1585"/>
      <c r="J47" s="1585"/>
      <c r="K47" s="1585"/>
      <c r="L47" s="1585"/>
      <c r="M47" s="1585"/>
      <c r="N47" s="1585"/>
      <c r="O47" s="1586"/>
      <c r="P47" s="1590" t="s">
        <v>163</v>
      </c>
      <c r="Q47" s="1592"/>
      <c r="R47" s="1593"/>
      <c r="S47" s="1593"/>
      <c r="T47" s="1593"/>
      <c r="U47" s="1593"/>
      <c r="V47" s="1593"/>
      <c r="W47" s="1593"/>
      <c r="X47" s="1593"/>
      <c r="Y47" s="1593"/>
      <c r="Z47" s="1594"/>
      <c r="AA47" s="1617" t="s">
        <v>341</v>
      </c>
      <c r="AB47" s="1593"/>
      <c r="AC47" s="1593"/>
      <c r="AD47" s="1593"/>
      <c r="AE47" s="1593"/>
      <c r="AF47" s="1593"/>
      <c r="AG47" s="1593"/>
      <c r="AH47" s="1593"/>
      <c r="AI47" s="1593"/>
      <c r="AJ47" s="1593"/>
      <c r="AK47" s="1593"/>
      <c r="AL47" s="1593"/>
      <c r="AM47" s="1593"/>
      <c r="AN47" s="1593"/>
      <c r="AO47" s="1593"/>
      <c r="AP47" s="1594"/>
      <c r="AQ47" s="129"/>
      <c r="AR47" s="129"/>
    </row>
    <row r="48" spans="1:44">
      <c r="B48" s="1577"/>
      <c r="C48" s="1332"/>
      <c r="D48" s="1578"/>
      <c r="E48" s="1583"/>
      <c r="F48" s="1587"/>
      <c r="G48" s="1588"/>
      <c r="H48" s="1588"/>
      <c r="I48" s="1588"/>
      <c r="J48" s="1588"/>
      <c r="K48" s="1588"/>
      <c r="L48" s="1588"/>
      <c r="M48" s="1588"/>
      <c r="N48" s="1588"/>
      <c r="O48" s="1589"/>
      <c r="P48" s="1591"/>
      <c r="Q48" s="1595" t="s">
        <v>321</v>
      </c>
      <c r="R48" s="1596"/>
      <c r="S48" s="1596"/>
      <c r="T48" s="1596"/>
      <c r="U48" s="1597"/>
      <c r="V48" s="1595" t="s">
        <v>322</v>
      </c>
      <c r="W48" s="1596"/>
      <c r="X48" s="1596"/>
      <c r="Y48" s="1596"/>
      <c r="Z48" s="1598"/>
      <c r="AA48" s="1618" t="s">
        <v>113</v>
      </c>
      <c r="AB48" s="1619"/>
      <c r="AC48" s="1619"/>
      <c r="AD48" s="1619"/>
      <c r="AE48" s="1619"/>
      <c r="AF48" s="1619"/>
      <c r="AG48" s="1619"/>
      <c r="AH48" s="1620"/>
      <c r="AI48" s="1621" t="s">
        <v>114</v>
      </c>
      <c r="AJ48" s="1619"/>
      <c r="AK48" s="1619"/>
      <c r="AL48" s="1619"/>
      <c r="AM48" s="1619"/>
      <c r="AN48" s="1619"/>
      <c r="AO48" s="1619"/>
      <c r="AP48" s="1622"/>
      <c r="AQ48" s="129"/>
      <c r="AR48" s="129"/>
    </row>
    <row r="49" spans="2:44" ht="15" thickBot="1">
      <c r="B49" s="1579"/>
      <c r="C49" s="1580"/>
      <c r="D49" s="1581"/>
      <c r="E49" s="1573"/>
      <c r="F49" s="242" t="s">
        <v>323</v>
      </c>
      <c r="G49" s="242" t="s">
        <v>324</v>
      </c>
      <c r="H49" s="242" t="s">
        <v>325</v>
      </c>
      <c r="I49" s="242" t="s">
        <v>326</v>
      </c>
      <c r="J49" s="242" t="s">
        <v>327</v>
      </c>
      <c r="K49" s="242" t="s">
        <v>345</v>
      </c>
      <c r="L49" s="242" t="s">
        <v>329</v>
      </c>
      <c r="M49" s="242" t="s">
        <v>330</v>
      </c>
      <c r="N49" s="242" t="s">
        <v>331</v>
      </c>
      <c r="O49" s="242" t="s">
        <v>332</v>
      </c>
      <c r="P49" s="243" t="s">
        <v>333</v>
      </c>
      <c r="Q49" s="244">
        <v>0.1875</v>
      </c>
      <c r="R49" s="244" t="s">
        <v>334</v>
      </c>
      <c r="S49" s="244" t="s">
        <v>335</v>
      </c>
      <c r="T49" s="244" t="s">
        <v>336</v>
      </c>
      <c r="U49" s="244" t="s">
        <v>337</v>
      </c>
      <c r="V49" s="244">
        <v>0.1875</v>
      </c>
      <c r="W49" s="244" t="s">
        <v>334</v>
      </c>
      <c r="X49" s="244" t="s">
        <v>335</v>
      </c>
      <c r="Y49" s="244" t="s">
        <v>336</v>
      </c>
      <c r="Z49" s="245" t="s">
        <v>337</v>
      </c>
      <c r="AA49" s="436" t="s">
        <v>323</v>
      </c>
      <c r="AB49" s="437" t="s">
        <v>324</v>
      </c>
      <c r="AC49" s="437" t="s">
        <v>325</v>
      </c>
      <c r="AD49" s="437" t="s">
        <v>326</v>
      </c>
      <c r="AE49" s="437" t="s">
        <v>327</v>
      </c>
      <c r="AF49" s="437" t="s">
        <v>329</v>
      </c>
      <c r="AG49" s="437" t="s">
        <v>330</v>
      </c>
      <c r="AH49" s="438" t="s">
        <v>331</v>
      </c>
      <c r="AI49" s="437" t="s">
        <v>323</v>
      </c>
      <c r="AJ49" s="437" t="s">
        <v>324</v>
      </c>
      <c r="AK49" s="437" t="s">
        <v>325</v>
      </c>
      <c r="AL49" s="437" t="s">
        <v>326</v>
      </c>
      <c r="AM49" s="437" t="s">
        <v>327</v>
      </c>
      <c r="AN49" s="437" t="s">
        <v>329</v>
      </c>
      <c r="AO49" s="437" t="s">
        <v>330</v>
      </c>
      <c r="AP49" s="439" t="s">
        <v>331</v>
      </c>
      <c r="AQ49" s="129"/>
      <c r="AR49" s="129"/>
    </row>
    <row r="50" spans="2:44">
      <c r="B50" s="1567" t="s">
        <v>48</v>
      </c>
      <c r="C50" s="1570" t="s">
        <v>338</v>
      </c>
      <c r="D50" s="241" t="s">
        <v>346</v>
      </c>
      <c r="E50" s="59" t="e">
        <f>IF(ISBLANK('Saisie de données'!$E$31),'Charges de ventUSA'!$D32,'Saisie de données'!$E$31)</f>
        <v>#N/A</v>
      </c>
      <c r="F50" s="411" t="e" cm="1">
        <f t="array" aca="1" ref="F50" ca="1">IF('Saisie de données'!$K$60='Menu déroulant'!$AA$34,VLOOKUP(MAX(IF(INDIRECT("Norex2_"&amp;'Saisie de données'!$H$60&amp;"_"&amp;'Saisie de données'!$I$60&amp;"_S")&lt;='Synthèse résultat'!$E50,INDIRECT("Norex2_"&amp;'Saisie de données'!$H$60&amp;"_"&amp;'Saisie de données'!$I$60&amp;"_S"))),'Courbe Déflexion'!O$5:$X$285,10,0)*VLOOKUP('Saisie de données'!$F$38,'Menu déroulant'!$AA$22:$AD$24,4,0),VLOOKUP(MAX(IF(INDIRECT("Norex2_"&amp;'Saisie de données'!$H$60&amp;"_"&amp;'Saisie de données'!$I$60&amp;"_M")&lt;='Synthèse résultat'!$E50,INDIRECT("Norex2_"&amp;'Saisie de données'!$H$60&amp;"_"&amp;'Saisie de données'!$I$60&amp;"_M"))),'Courbe Déflexion'!$DW$5:$EF$217,10,0)*VLOOKUP('Saisie de données'!$F$38,'Menu déroulant'!$AA$22:$AD$24,4,0))</f>
        <v>#N/A</v>
      </c>
      <c r="G50" s="411" t="e" cm="1">
        <f t="array" aca="1" ref="G50" ca="1">IF('Saisie de données'!$K$60='Menu déroulant'!$AA$34,VLOOKUP(MAX(IF(INDIRECT("Norex3_"&amp;'Saisie de données'!$H$60&amp;"_"&amp;'Saisie de données'!$I$60&amp;"_S")&lt;='Synthèse résultat'!$E50,INDIRECT("Norex3_"&amp;'Saisie de données'!$H$60&amp;"_"&amp;'Saisie de données'!$I$60&amp;"_S"))),'Courbe Déflexion'!$Z$5:$AI$329,10,0)*VLOOKUP('Saisie de données'!$F$38,'Menu déroulant'!$AA$22:$AD$24,4,0),VLOOKUP(MAX(IF(INDIRECT("Norex3_"&amp;'Saisie de données'!$H$60&amp;"_"&amp;'Saisie de données'!$I$60&amp;"_M")&lt;='Synthèse résultat'!$E50,INDIRECT("Norex3_"&amp;'Saisie de données'!$H$60&amp;"_"&amp;'Saisie de données'!$I$60&amp;"_M"))),'Courbe Déflexion'!$EH$5:$EQ$309,10,0)*VLOOKUP('Saisie de données'!$F$38,'Menu déroulant'!$AA$22:$AD$24,4,0))</f>
        <v>#N/A</v>
      </c>
      <c r="H50" s="411" t="e" cm="1">
        <f t="array" aca="1" ref="H50" ca="1">IF('Saisie de données'!$K$60='Menu déroulant'!$AA$34,VLOOKUP(MAX(IF(INDIRECT("Norex4_"&amp;'Saisie de données'!$H$60&amp;"_"&amp;'Saisie de données'!$I$60&amp;"_S")&lt;='Synthèse résultat'!$E50,INDIRECT("Norex4_"&amp;'Saisie de données'!$H$60&amp;"_"&amp;'Saisie de données'!$I$60&amp;"_S"))),'Courbe Déflexion'!$AK$5:$AT$306,10,0)*VLOOKUP('Saisie de données'!$F$38,'Menu déroulant'!$AA$22:$AD$24,4,0),VLOOKUP(MAX(IF(INDIRECT("Norex4_"&amp;'Saisie de données'!$H$60&amp;"_"&amp;'Saisie de données'!$I$60&amp;"_M")&lt;='Synthèse résultat'!$E50,INDIRECT("Norex4_"&amp;'Saisie de données'!$H$60&amp;"_"&amp;'Saisie de données'!$I$60&amp;"_M"))),'Courbe Déflexion'!$ES$5:$FB$285,10,0)*VLOOKUP('Saisie de données'!$F$38,'Menu déroulant'!$AA$22:$AD$24,4,0))</f>
        <v>#N/A</v>
      </c>
      <c r="I50" s="411" t="e" cm="1">
        <f t="array" aca="1" ref="I50" ca="1">IF('Saisie de données'!$K$60='Menu déroulant'!$AA$34,VLOOKUP(MAX(IF(INDIRECT("Norex5_"&amp;'Saisie de données'!$H$60&amp;"_"&amp;'Saisie de données'!$I$60&amp;"_S")&lt;='Synthèse résultat'!$E50,INDIRECT("Norex5_"&amp;'Saisie de données'!$H$60&amp;"_"&amp;'Saisie de données'!$I$60&amp;"_S"))),'Courbe Déflexion'!$AV$5:$BE$306,10,0)*VLOOKUP('Saisie de données'!$F$38,'Menu déroulant'!$AA$22:$AD$24,4,0),VLOOKUP(MAX(IF(INDIRECT("Norex5_"&amp;'Saisie de données'!$H$60&amp;"_"&amp;'Saisie de données'!$I$60&amp;"_M")&lt;='Synthèse résultat'!$E50,INDIRECT("Norex5_"&amp;'Saisie de données'!$H$60&amp;"_"&amp;'Saisie de données'!$I$60&amp;"_M"))),'Courbe Déflexion'!$FD$5:$FM$285,10,0)*VLOOKUP('Saisie de données'!$F$38,'Menu déroulant'!$AA$22:$AD$24,4,0))</f>
        <v>#N/A</v>
      </c>
      <c r="J50" s="411" t="e" cm="1">
        <f t="array" aca="1" ref="J50" ca="1">IF('Saisie de données'!$K$60='Menu déroulant'!$AA$34,VLOOKUP(MAX(IF(INDIRECT("Norex6_"&amp;'Saisie de données'!$H$60&amp;"_"&amp;'Saisie de données'!$I$60&amp;"_S")&lt;='Synthèse résultat'!$E50,INDIRECT("Norex6_"&amp;'Saisie de données'!$H$60&amp;"_"&amp;'Saisie de données'!$I$60&amp;"_S"))),'Courbe Déflexion'!$BG$5:$BP$306,10,0)*VLOOKUP('Saisie de données'!$F$38,'Menu déroulant'!$AA$22:$AD$24,4,0),VLOOKUP(MAX(IF(INDIRECT("Norex6_"&amp;'Saisie de données'!$H$60&amp;"_"&amp;'Saisie de données'!$I$60&amp;"_M")&lt;='Synthèse résultat'!$E50,INDIRECT("Norex6_"&amp;'Saisie de données'!$H$60&amp;"_"&amp;'Saisie de données'!$I$60&amp;"_M"))),'Courbe Déflexion'!$FO$5:$FX$286,10,0)*VLOOKUP('Saisie de données'!$F$38,'Menu déroulant'!$AA$22:$AD$24,4,0))</f>
        <v>#N/A</v>
      </c>
      <c r="K50" s="411" t="e" cm="1">
        <f t="array" aca="1" ref="K50" ca="1">IF('Saisie de données'!$K$60='Menu déroulant'!$AA$34,VLOOKUP(MAX(IF(INDIRECT("Norex8_"&amp;'Saisie de données'!$H$60&amp;"_"&amp;'Saisie de données'!$I$60&amp;"_S")&lt;='Synthèse résultat'!$E50,INDIRECT("Norex8_"&amp;'Saisie de données'!$H$60&amp;"_"&amp;'Saisie de données'!$I$60&amp;"_S"))),'Courbe Déflexion'!$BR$5:$CA$306,10,0)*VLOOKUP('Saisie de données'!$F$38,'Menu déroulant'!$AA$22:$AD$24,4,0),VLOOKUP(MAX(IF(INDIRECT("Norex8_"&amp;'Saisie de données'!$H$60&amp;"_"&amp;'Saisie de données'!$I$60&amp;"_M")&lt;='Synthèse résultat'!$E50,INDIRECT("Norex8_"&amp;'Saisie de données'!$H$60&amp;"_"&amp;'Saisie de données'!$I$60&amp;"_M"))),'Courbe Déflexion'!$FZ$5:$GI$286,10,0)*VLOOKUP('Saisie de données'!$F$38,'Menu déroulant'!$AA$22:$AD$24,4,0))</f>
        <v>#N/A</v>
      </c>
      <c r="L50" s="411" t="e" cm="1">
        <f t="array" aca="1" ref="L50" ca="1">IF('Saisie de données'!$K$60='Menu déroulant'!$AA$34,VLOOKUP(MAX(IF(INDIRECT("Noroc4_"&amp;'Saisie de données'!$H$60&amp;"_"&amp;'Saisie de données'!$I$60&amp;"_S")&lt;='Synthèse résultat'!$E50,INDIRECT("Noroc4_"&amp;'Saisie de données'!$H$60&amp;"_"&amp;'Saisie de données'!$I$60&amp;"_S"))),'Courbe Déflexion'!$CC$5:$CL$306,10,0)*VLOOKUP('Saisie de données'!$F$38,'Menu déroulant'!$AA$22:$AD$24,4,0),VLOOKUP(MAX(IF(INDIRECT("Noroc4_"&amp;'Saisie de données'!$H$60&amp;"_"&amp;'Saisie de données'!$I$60&amp;"_M")&lt;='Synthèse résultat'!$E50,INDIRECT("Noroc4_"&amp;'Saisie de données'!$H$60&amp;"_"&amp;'Saisie de données'!$I$60&amp;"_M"))),'Courbe Déflexion'!$GK$5:$GT$286,10,0)*VLOOKUP('Saisie de données'!$F$38,'Menu déroulant'!$AA$22:$AD$24,4,0))</f>
        <v>#N/A</v>
      </c>
      <c r="M50" s="411" t="e" cm="1">
        <f t="array" aca="1" ref="M50" ca="1">IF('Saisie de données'!$K$60='Menu déroulant'!$AA$34,VLOOKUP(MAX(IF(INDIRECT("Noroc5_"&amp;'Saisie de données'!$H$60&amp;"_"&amp;'Saisie de données'!$I$60&amp;"_S")&lt;='Synthèse résultat'!$E50,INDIRECT("Noroc5_"&amp;'Saisie de données'!$H$60&amp;"_"&amp;'Saisie de données'!$I$60&amp;"_S"))),'Courbe Déflexion'!$CN$5:$CW$306,10,0)*VLOOKUP('Saisie de données'!$F$38,'Menu déroulant'!$AA$22:$AD$24,4,0),VLOOKUP(MAX(IF(INDIRECT("Noroc5_"&amp;'Saisie de données'!$H$60&amp;"_"&amp;'Saisie de données'!$I$60&amp;"_M")&lt;='Synthèse résultat'!$E50,INDIRECT("Noroc5_"&amp;'Saisie de données'!$H$60&amp;"_"&amp;'Saisie de données'!$I$60&amp;"_M"))),'Courbe Déflexion'!$GV$5:$HE$286,10,0)*VLOOKUP('Saisie de données'!$F$38,'Menu déroulant'!$AA$22:$AD$24,4,0))</f>
        <v>#N/A</v>
      </c>
      <c r="N50" s="411" t="e" cm="1">
        <f t="array" aca="1" ref="N50" ca="1">IF('Saisie de données'!$K$60='Menu déroulant'!$AA$34,VLOOKUP(MAX(IF(INDIRECT("Noroc6_"&amp;'Saisie de données'!$H$60&amp;"_"&amp;'Saisie de données'!$I$60&amp;"_S")&lt;='Synthèse résultat'!$E50,INDIRECT("Noroc6_"&amp;'Saisie de données'!$H$60&amp;"_"&amp;'Saisie de données'!$I$60&amp;"_S"))),'Courbe Déflexion'!$CY$5:$DH$306,10,0)*VLOOKUP('Saisie de données'!$F$38,'Menu déroulant'!$AA$22:$AD$24,4,0),VLOOKUP(MAX(IF(INDIRECT("Noroc6_"&amp;'Saisie de données'!$H$60&amp;"_"&amp;'Saisie de données'!$I$60&amp;"_M")&lt;='Synthèse résultat'!$E50,INDIRECT("Noroc6_"&amp;'Saisie de données'!$H$60&amp;"_"&amp;'Saisie de données'!$I$60&amp;"_M"))),'Courbe Déflexion'!$HG$5:$HP$286,10,0)*VLOOKUP('Saisie de données'!$F$38,'Menu déroulant'!$AA$22:$AD$24,4,0))</f>
        <v>#N/A</v>
      </c>
      <c r="O50" s="411" t="e" cm="1">
        <f t="array" aca="1" ref="O50" ca="1">IF('Saisie de données'!$K$60='Menu déroulant'!$AA$34,VLOOKUP(MAX(IF(INDIRECT("Noroc8_"&amp;'Saisie de données'!$H$60&amp;"_"&amp;'Saisie de données'!$I$60&amp;"_S")&lt;='Synthèse résultat'!$E50,INDIRECT("Noroc8_"&amp;'Saisie de données'!$H$60&amp;"_"&amp;'Saisie de données'!$I$60&amp;"_S"))),'Courbe Déflexion'!$DJ$5:$DS$306,10,0)*VLOOKUP('Saisie de données'!$F$38,'Menu déroulant'!$AA$22:$AD$24,4,0),VLOOKUP(MAX(IF(INDIRECT("Noroc8_"&amp;'Saisie de données'!$H$60&amp;"_"&amp;'Saisie de données'!$I$60&amp;"_M")&lt;='Synthèse résultat'!$E50,INDIRECT("Noroc8_"&amp;'Saisie de données'!$H$60&amp;"_"&amp;'Saisie de données'!$I$60&amp;"_M"))),'Courbe Déflexion'!$HR$5:$IA$286,10,0)*VLOOKUP('Saisie de données'!$F$38,'Menu déroulant'!$AA$22:$AD$24,4,0))</f>
        <v>#N/A</v>
      </c>
      <c r="P50" s="412">
        <f>VLOOKUP('Saisie de données'!$J$60,'Infos Techniques'!$U$15:$AF$43,12,0)*VLOOKUP('Saisie de données'!$F$38,'Menu déroulant'!$AA$22:$AD$24,4,0)</f>
        <v>10</v>
      </c>
      <c r="Q50" s="413" t="e">
        <f>IF('Saisie de données'!$C$60='Menu déroulant'!$AA$31,VLOOKUP(Q$29,'Infos Techniques'!$B$7:$H$12,2,0)/($E50*'Saisie de données'!$F$60/12),VLOOKUP(Q$29,'Infos Techniques'!$B$7:$H$12,5,0)/($E50*'Saisie de données'!$F$60/12))*VLOOKUP('Saisie de données'!$F$38,'Menu déroulant'!$AA$22:$AD$24,4,0)</f>
        <v>#N/A</v>
      </c>
      <c r="R50" s="413" t="e">
        <f>IF('Saisie de données'!$C$60='Menu déroulant'!$AA$31,VLOOKUP(R$29,'Infos Techniques'!$B$7:$H$12,2,0)/($E50*'Saisie de données'!$F$60/12),VLOOKUP(R$29,'Infos Techniques'!$B$7:$H$12,5,0)/($E50*'Saisie de données'!$F$60/12))*VLOOKUP('Saisie de données'!$F$38,'Menu déroulant'!$AA$22:$AD$24,4,0)</f>
        <v>#N/A</v>
      </c>
      <c r="S50" s="413" t="e">
        <f>IF('Saisie de données'!$C$60='Menu déroulant'!$AA$31,VLOOKUP(S$29,'Infos Techniques'!$B$7:$H$12,2,0)/($E50*'Saisie de données'!$F$60/12),VLOOKUP(S$29,'Infos Techniques'!$B$7:$H$12,5,0)/($E50*'Saisie de données'!$F$60/12))*VLOOKUP('Saisie de données'!$F$38,'Menu déroulant'!$AA$22:$AD$24,4,0)</f>
        <v>#N/A</v>
      </c>
      <c r="T50" s="413" t="e">
        <f>IF('Saisie de données'!$C$60='Menu déroulant'!$AA$31,VLOOKUP(T$29,'Infos Techniques'!$B$7:$H$12,2,0)/($E50*'Saisie de données'!$F$60/12),VLOOKUP(T$29,'Infos Techniques'!$B$7:$H$12,5,0)/($E50*'Saisie de données'!$F$60/12))*VLOOKUP('Saisie de données'!$F$38,'Menu déroulant'!$AA$22:$AD$24,4,0)</f>
        <v>#N/A</v>
      </c>
      <c r="U50" s="413" t="e">
        <f>IF('Saisie de données'!$C$60='Menu déroulant'!$AA$31,VLOOKUP(U$29,'Infos Techniques'!$B$7:$H$12,2,0)/($E50*'Saisie de données'!$F$60/12),VLOOKUP(U$29,'Infos Techniques'!$B$7:$H$12,5,0)/($E50*'Saisie de données'!$F$60/12))*VLOOKUP('Saisie de données'!$F$38,'Menu déroulant'!$AA$22:$AD$24,4,0)</f>
        <v>#N/A</v>
      </c>
      <c r="V50" s="413" t="e">
        <f>IF('Saisie de données'!$C$60='Menu déroulant'!$AA$31,VLOOKUP(V$29,'Infos Techniques'!$B$7:$H$12,4,0)/($E50*'Saisie de données'!$F$60/12),VLOOKUP(V$29,'Infos Techniques'!$B$7:$H$12,7,0)/($E50*'Saisie de données'!$F$60/12))*VLOOKUP('Saisie de données'!$F$38,'Menu déroulant'!$AA$22:$AD$24,4,0)</f>
        <v>#N/A</v>
      </c>
      <c r="W50" s="413" t="e">
        <f>IF('Saisie de données'!$C$60='Menu déroulant'!$AA$31,VLOOKUP(W$29,'Infos Techniques'!$B$7:$H$12,4,0)/($E50*'Saisie de données'!$F$60/12),VLOOKUP(W$29,'Infos Techniques'!$B$7:$H$12,7,0)/($E50*'Saisie de données'!$F$60/12))*VLOOKUP('Saisie de données'!$F$38,'Menu déroulant'!$AA$22:$AD$24,4,0)</f>
        <v>#N/A</v>
      </c>
      <c r="X50" s="413" t="e">
        <f>IF('Saisie de données'!$C$60='Menu déroulant'!$AA$31,VLOOKUP(X$29,'Infos Techniques'!$B$7:$H$12,4,0)/($E50*'Saisie de données'!$F$60/12),VLOOKUP(X$29,'Infos Techniques'!$B$7:$H$12,7,0)/($E50*'Saisie de données'!$F$60/12))*VLOOKUP('Saisie de données'!$F$38,'Menu déroulant'!$AA$22:$AD$24,4,0)</f>
        <v>#N/A</v>
      </c>
      <c r="Y50" s="413" t="e">
        <f>IF('Saisie de données'!$C$60='Menu déroulant'!$AA$31,VLOOKUP(Y$29,'Infos Techniques'!$B$7:$H$12,4,0)/($E50*'Saisie de données'!$F$60/12),VLOOKUP(Y$29,'Infos Techniques'!$B$7:$H$12,7,0)/($E50*'Saisie de données'!$F$60/12))*VLOOKUP('Saisie de données'!$F$38,'Menu déroulant'!$AA$22:$AD$24,4,0)</f>
        <v>#N/A</v>
      </c>
      <c r="Z50" s="413" t="e">
        <f>IF('Saisie de données'!$C$60='Menu déroulant'!$AA$31,VLOOKUP(Z$29,'Infos Techniques'!$B$7:$H$12,4,0)/($E50*'Saisie de données'!$F$60/12),VLOOKUP(Z$29,'Infos Techniques'!$B$7:$H$12,7,0)/($E50*'Saisie de données'!$F$60/12))*VLOOKUP('Saisie de données'!$F$38,'Menu déroulant'!$AA$22:$AD$24,4,0)</f>
        <v>#N/A</v>
      </c>
      <c r="AA50" s="440" t="e">
        <f>VLOOKUP(AA$29,'Infos Techniques'!$I$5:$K$12,2,0)/($E50*'Saisie de données'!$F$60/12)*VLOOKUP('Saisie de données'!$F$38,'Menu déroulant'!$AA$22:$AD$24,4,0)</f>
        <v>#N/A</v>
      </c>
      <c r="AB50" s="413" t="e">
        <f>VLOOKUP(AB$29,'Infos Techniques'!$I$5:$K$12,2,0)/($E50*'Saisie de données'!$F$60/12)*VLOOKUP('Saisie de données'!$F$38,'Menu déroulant'!$AA$22:$AD$24,4,0)</f>
        <v>#N/A</v>
      </c>
      <c r="AC50" s="413" t="e">
        <f>VLOOKUP(AC$29,'Infos Techniques'!$I$5:$K$12,2,0)/($E50*'Saisie de données'!$F$60/12)*VLOOKUP('Saisie de données'!$F$38,'Menu déroulant'!$AA$22:$AD$24,4,0)</f>
        <v>#N/A</v>
      </c>
      <c r="AD50" s="413" t="e">
        <f>VLOOKUP(AD$29,'Infos Techniques'!$I$5:$K$12,2,0)/($E50*'Saisie de données'!$F$60/12)*VLOOKUP('Saisie de données'!$F$38,'Menu déroulant'!$AA$22:$AD$24,4,0)</f>
        <v>#N/A</v>
      </c>
      <c r="AE50" s="413" cm="1">
        <f t="array" ref="AE50">_xlfn.IFS(OR('Saisie de données'!$D$13='Menu déroulant'!$AA$3,'Saisie de données'!$D$13='Menu déroulant'!$AA$4),'Synthèse résultat'!AE107,'Saisie de données'!$D$16='Menu déroulant'!$B$20,AE89,'Saisie de données'!$D$16='Menu déroulant'!$B$21,AE69)</f>
        <v>0</v>
      </c>
      <c r="AF50" s="413" t="e">
        <f>VLOOKUP(AF$29,'Infos Techniques'!$I$5:$K$12,2,0)/($E50*'Saisie de données'!$F$60/12)*VLOOKUP('Saisie de données'!$F$38,'Menu déroulant'!$AA$22:$AD$24,4,0)</f>
        <v>#N/A</v>
      </c>
      <c r="AG50" s="413" t="e">
        <f>VLOOKUP(AG$29,'Infos Techniques'!$I$5:$K$12,2,0)/($E50*'Saisie de données'!$F$60/12)*VLOOKUP('Saisie de données'!$F$38,'Menu déroulant'!$AA$22:$AD$24,4,0)</f>
        <v>#N/A</v>
      </c>
      <c r="AH50" s="413" cm="1">
        <f t="array" ref="AH50">_xlfn.IFS(OR('Saisie de données'!$D$13='Menu déroulant'!$AA$3,'Saisie de données'!$D$13='Menu déroulant'!$AA$4),'Synthèse résultat'!AH107,'Saisie de données'!$D$16='Menu déroulant'!$B$20,AH89,'Saisie de données'!$D$16='Menu déroulant'!$B$21,AH69)</f>
        <v>0</v>
      </c>
      <c r="AI50" s="441" t="e">
        <f>VLOOKUP(AI$29,'Infos Techniques'!$I$5:$K$12,3,0)/($E50*'Saisie de données'!$F$60/12)*VLOOKUP('Saisie de données'!$F$38,'Menu déroulant'!$AA$22:$AD$24,4,0)</f>
        <v>#N/A</v>
      </c>
      <c r="AJ50" s="441" t="e">
        <f>VLOOKUP(AJ$29,'Infos Techniques'!$I$5:$K$12,3,0)/($E50*'Saisie de données'!$F$60/12)*VLOOKUP('Saisie de données'!$F$38,'Menu déroulant'!$AA$22:$AD$24,4,0)</f>
        <v>#N/A</v>
      </c>
      <c r="AK50" s="441" t="e">
        <f>VLOOKUP(AK$29,'Infos Techniques'!$I$5:$K$12,3,0)/($E50*'Saisie de données'!$F$60/12)*VLOOKUP('Saisie de données'!$F$38,'Menu déroulant'!$AA$22:$AD$24,4,0)</f>
        <v>#N/A</v>
      </c>
      <c r="AL50" s="441" t="e">
        <f>VLOOKUP(AL$29,'Infos Techniques'!$I$5:$K$12,3,0)/($E50*'Saisie de données'!$F$60/12)*VLOOKUP('Saisie de données'!$F$38,'Menu déroulant'!$AA$22:$AD$24,4,0)</f>
        <v>#N/A</v>
      </c>
      <c r="AM50" s="441" t="e">
        <f>VLOOKUP(AM$29,'Infos Techniques'!$I$5:$K$12,3,0)/($E50*'Saisie de données'!$F$60/12)*VLOOKUP('Saisie de données'!$F$38,'Menu déroulant'!$AA$22:$AD$24,4,0)</f>
        <v>#N/A</v>
      </c>
      <c r="AN50" s="441" t="e">
        <f>VLOOKUP(AN$29,'Infos Techniques'!$I$5:$K$12,3,0)/($E50*'Saisie de données'!$F$60/12)*VLOOKUP('Saisie de données'!$F$38,'Menu déroulant'!$AA$22:$AD$24,4,0)</f>
        <v>#N/A</v>
      </c>
      <c r="AO50" s="441" t="e">
        <f>VLOOKUP(AO$29,'Infos Techniques'!$I$5:$K$12,3,0)/($E50*'Saisie de données'!$F$60/12)*VLOOKUP('Saisie de données'!$F$38,'Menu déroulant'!$AA$22:$AD$24,4,0)</f>
        <v>#N/A</v>
      </c>
      <c r="AP50" s="414" t="e">
        <f>VLOOKUP(AP$29,'Infos Techniques'!$I$5:$K$12,3,0)/($E50*'Saisie de données'!$F$60/12)*VLOOKUP('Saisie de données'!$F$38,'Menu déroulant'!$AA$22:$AD$24,4,0)</f>
        <v>#N/A</v>
      </c>
    </row>
    <row r="51" spans="2:44">
      <c r="B51" s="1568"/>
      <c r="C51" s="1571"/>
      <c r="D51" s="28" t="s">
        <v>347</v>
      </c>
      <c r="E51" s="43" t="e">
        <f>IF(ISBLANK('Saisie de données'!$E$30),'Charges de ventUSA'!$E32,'Saisie de données'!$E$30)</f>
        <v>#N/A</v>
      </c>
      <c r="F51" s="415" t="e" cm="1">
        <f t="array" aca="1" ref="F51" ca="1">IF('Saisie de données'!$K$60='Menu déroulant'!$AA$34,VLOOKUP(MAX(IF(INDIRECT("Norex2_"&amp;'Saisie de données'!$H$60&amp;"_"&amp;'Saisie de données'!$I$60&amp;"_S")&lt;='Synthèse résultat'!$E51,INDIRECT("Norex2_"&amp;'Saisie de données'!$H$60&amp;"_"&amp;'Saisie de données'!$I$60&amp;"_S"))),'Courbe Déflexion'!O$5:$X$285,10,0)*VLOOKUP('Saisie de données'!$F$38,'Menu déroulant'!$AA$22:$AD$24,4,0),VLOOKUP(MAX(IF(INDIRECT("Norex2_"&amp;'Saisie de données'!$H$60&amp;"_"&amp;'Saisie de données'!$I$60&amp;"_M")&lt;='Synthèse résultat'!$E51,INDIRECT("Norex2_"&amp;'Saisie de données'!$H$60&amp;"_"&amp;'Saisie de données'!$I$60&amp;"_M"))),'Courbe Déflexion'!$DW$5:$EF$217,10,0)*VLOOKUP('Saisie de données'!$F$38,'Menu déroulant'!$AA$22:$AD$24,4,0))</f>
        <v>#N/A</v>
      </c>
      <c r="G51" s="415" t="e" cm="1">
        <f t="array" aca="1" ref="G51" ca="1">IF('Saisie de données'!$K$60='Menu déroulant'!$AA$34,VLOOKUP(MAX(IF(INDIRECT("Norex3_"&amp;'Saisie de données'!$H$60&amp;"_"&amp;'Saisie de données'!$I$60&amp;"_S")&lt;='Synthèse résultat'!$E51,INDIRECT("Norex3_"&amp;'Saisie de données'!$H$60&amp;"_"&amp;'Saisie de données'!$I$60&amp;"_S"))),'Courbe Déflexion'!$Z$5:$AI$329,10,0)*VLOOKUP('Saisie de données'!$F$38,'Menu déroulant'!$AA$22:$AD$24,4,0),VLOOKUP(MAX(IF(INDIRECT("Norex3_"&amp;'Saisie de données'!$H$60&amp;"_"&amp;'Saisie de données'!$I$60&amp;"_M")&lt;='Synthèse résultat'!$E51,INDIRECT("Norex3_"&amp;'Saisie de données'!$H$60&amp;"_"&amp;'Saisie de données'!$I$60&amp;"_M"))),'Courbe Déflexion'!$EH$5:$EQ$309,10,0)*VLOOKUP('Saisie de données'!$F$38,'Menu déroulant'!$AA$22:$AD$24,4,0))</f>
        <v>#N/A</v>
      </c>
      <c r="H51" s="415" t="e" cm="1">
        <f t="array" aca="1" ref="H51" ca="1">IF('Saisie de données'!$K$60='Menu déroulant'!$AA$34,VLOOKUP(MAX(IF(INDIRECT("Norex4_"&amp;'Saisie de données'!$H$60&amp;"_"&amp;'Saisie de données'!$I$60&amp;"_S")&lt;='Synthèse résultat'!$E51,INDIRECT("Norex4_"&amp;'Saisie de données'!$H$60&amp;"_"&amp;'Saisie de données'!$I$60&amp;"_S"))),'Courbe Déflexion'!$AK$5:$AT$306,10,0)*VLOOKUP('Saisie de données'!$F$38,'Menu déroulant'!$AA$22:$AD$24,4,0),VLOOKUP(MAX(IF(INDIRECT("Norex4_"&amp;'Saisie de données'!$H$60&amp;"_"&amp;'Saisie de données'!$I$60&amp;"_M")&lt;='Synthèse résultat'!$E51,INDIRECT("Norex4_"&amp;'Saisie de données'!$H$60&amp;"_"&amp;'Saisie de données'!$I$60&amp;"_M"))),'Courbe Déflexion'!$ES$5:$FB$285,10,0)*VLOOKUP('Saisie de données'!$F$38,'Menu déroulant'!$AA$22:$AD$24,4,0))</f>
        <v>#N/A</v>
      </c>
      <c r="I51" s="415" t="e" cm="1">
        <f t="array" aca="1" ref="I51" ca="1">IF('Saisie de données'!$K$60='Menu déroulant'!$AA$34,VLOOKUP(MAX(IF(INDIRECT("Norex5_"&amp;'Saisie de données'!$H$60&amp;"_"&amp;'Saisie de données'!$I$60&amp;"_S")&lt;='Synthèse résultat'!$E51,INDIRECT("Norex5_"&amp;'Saisie de données'!$H$60&amp;"_"&amp;'Saisie de données'!$I$60&amp;"_S"))),'Courbe Déflexion'!$AV$5:$BE$306,10,0)*VLOOKUP('Saisie de données'!$F$38,'Menu déroulant'!$AA$22:$AD$24,4,0),VLOOKUP(MAX(IF(INDIRECT("Norex5_"&amp;'Saisie de données'!$H$60&amp;"_"&amp;'Saisie de données'!$I$60&amp;"_M")&lt;='Synthèse résultat'!$E51,INDIRECT("Norex5_"&amp;'Saisie de données'!$H$60&amp;"_"&amp;'Saisie de données'!$I$60&amp;"_M"))),'Courbe Déflexion'!$FD$5:$FM$285,10,0)*VLOOKUP('Saisie de données'!$F$38,'Menu déroulant'!$AA$22:$AD$24,4,0))</f>
        <v>#N/A</v>
      </c>
      <c r="J51" s="415" t="e" cm="1">
        <f t="array" aca="1" ref="J51" ca="1">IF('Saisie de données'!$K$60='Menu déroulant'!$AA$34,VLOOKUP(MAX(IF(INDIRECT("Norex6_"&amp;'Saisie de données'!$H$60&amp;"_"&amp;'Saisie de données'!$I$60&amp;"_S")&lt;='Synthèse résultat'!$E51,INDIRECT("Norex6_"&amp;'Saisie de données'!$H$60&amp;"_"&amp;'Saisie de données'!$I$60&amp;"_S"))),'Courbe Déflexion'!$BG$5:$BP$306,10,0)*VLOOKUP('Saisie de données'!$F$38,'Menu déroulant'!$AA$22:$AD$24,4,0),VLOOKUP(MAX(IF(INDIRECT("Norex6_"&amp;'Saisie de données'!$H$60&amp;"_"&amp;'Saisie de données'!$I$60&amp;"_M")&lt;='Synthèse résultat'!$E51,INDIRECT("Norex6_"&amp;'Saisie de données'!$H$60&amp;"_"&amp;'Saisie de données'!$I$60&amp;"_M"))),'Courbe Déflexion'!$FO$5:$FX$286,10,0)*VLOOKUP('Saisie de données'!$F$38,'Menu déroulant'!$AA$22:$AD$24,4,0))</f>
        <v>#N/A</v>
      </c>
      <c r="K51" s="415" t="e" cm="1">
        <f t="array" aca="1" ref="K51" ca="1">IF('Saisie de données'!$K$60='Menu déroulant'!$AA$34,VLOOKUP(MAX(IF(INDIRECT("Norex8_"&amp;'Saisie de données'!$H$60&amp;"_"&amp;'Saisie de données'!$I$60&amp;"_S")&lt;='Synthèse résultat'!$E51,INDIRECT("Norex8_"&amp;'Saisie de données'!$H$60&amp;"_"&amp;'Saisie de données'!$I$60&amp;"_S"))),'Courbe Déflexion'!$BR$5:$CA$306,10,0)*VLOOKUP('Saisie de données'!$F$38,'Menu déroulant'!$AA$22:$AD$24,4,0),VLOOKUP(MAX(IF(INDIRECT("Norex8_"&amp;'Saisie de données'!$H$60&amp;"_"&amp;'Saisie de données'!$I$60&amp;"_M")&lt;='Synthèse résultat'!$E51,INDIRECT("Norex8_"&amp;'Saisie de données'!$H$60&amp;"_"&amp;'Saisie de données'!$I$60&amp;"_M"))),'Courbe Déflexion'!$FZ$5:$GI$286,10,0)*VLOOKUP('Saisie de données'!$F$38,'Menu déroulant'!$AA$22:$AD$24,4,0))</f>
        <v>#N/A</v>
      </c>
      <c r="L51" s="415" t="e" cm="1">
        <f t="array" aca="1" ref="L51" ca="1">IF('Saisie de données'!$K$60='Menu déroulant'!$AA$34,VLOOKUP(MAX(IF(INDIRECT("Noroc4_"&amp;'Saisie de données'!$H$60&amp;"_"&amp;'Saisie de données'!$I$60&amp;"_S")&lt;='Synthèse résultat'!$E51,INDIRECT("Noroc4_"&amp;'Saisie de données'!$H$60&amp;"_"&amp;'Saisie de données'!$I$60&amp;"_S"))),'Courbe Déflexion'!$CC$5:$CL$306,10,0)*VLOOKUP('Saisie de données'!$F$38,'Menu déroulant'!$AA$22:$AD$24,4,0),VLOOKUP(MAX(IF(INDIRECT("Noroc4_"&amp;'Saisie de données'!$H$60&amp;"_"&amp;'Saisie de données'!$I$60&amp;"_M")&lt;='Synthèse résultat'!$E51,INDIRECT("Noroc4_"&amp;'Saisie de données'!$H$60&amp;"_"&amp;'Saisie de données'!$I$60&amp;"_M"))),'Courbe Déflexion'!$GK$5:$GT$286,10,0)*VLOOKUP('Saisie de données'!$F$38,'Menu déroulant'!$AA$22:$AD$24,4,0))</f>
        <v>#N/A</v>
      </c>
      <c r="M51" s="415" t="e" cm="1">
        <f t="array" aca="1" ref="M51" ca="1">IF('Saisie de données'!$K$60='Menu déroulant'!$AA$34,VLOOKUP(MAX(IF(INDIRECT("Noroc5_"&amp;'Saisie de données'!$H$60&amp;"_"&amp;'Saisie de données'!$I$60&amp;"_S")&lt;='Synthèse résultat'!$E51,INDIRECT("Noroc5_"&amp;'Saisie de données'!$H$60&amp;"_"&amp;'Saisie de données'!$I$60&amp;"_S"))),'Courbe Déflexion'!$CN$5:$CW$306,10,0)*VLOOKUP('Saisie de données'!$F$38,'Menu déroulant'!$AA$22:$AD$24,4,0),VLOOKUP(MAX(IF(INDIRECT("Noroc5_"&amp;'Saisie de données'!$H$60&amp;"_"&amp;'Saisie de données'!$I$60&amp;"_M")&lt;='Synthèse résultat'!$E51,INDIRECT("Noroc5_"&amp;'Saisie de données'!$H$60&amp;"_"&amp;'Saisie de données'!$I$60&amp;"_M"))),'Courbe Déflexion'!$GV$5:$HE$286,10,0)*VLOOKUP('Saisie de données'!$F$38,'Menu déroulant'!$AA$22:$AD$24,4,0))</f>
        <v>#N/A</v>
      </c>
      <c r="N51" s="415" t="e" cm="1">
        <f t="array" aca="1" ref="N51" ca="1">IF('Saisie de données'!$K$60='Menu déroulant'!$AA$34,VLOOKUP(MAX(IF(INDIRECT("Noroc6_"&amp;'Saisie de données'!$H$60&amp;"_"&amp;'Saisie de données'!$I$60&amp;"_S")&lt;='Synthèse résultat'!$E51,INDIRECT("Noroc6_"&amp;'Saisie de données'!$H$60&amp;"_"&amp;'Saisie de données'!$I$60&amp;"_S"))),'Courbe Déflexion'!$CY$5:$DH$306,10,0)*VLOOKUP('Saisie de données'!$F$38,'Menu déroulant'!$AA$22:$AD$24,4,0),VLOOKUP(MAX(IF(INDIRECT("Noroc6_"&amp;'Saisie de données'!$H$60&amp;"_"&amp;'Saisie de données'!$I$60&amp;"_M")&lt;='Synthèse résultat'!$E51,INDIRECT("Noroc6_"&amp;'Saisie de données'!$H$60&amp;"_"&amp;'Saisie de données'!$I$60&amp;"_M"))),'Courbe Déflexion'!$HG$5:$HP$286,10,0)*VLOOKUP('Saisie de données'!$F$38,'Menu déroulant'!$AA$22:$AD$24,4,0))</f>
        <v>#N/A</v>
      </c>
      <c r="O51" s="415" t="e" cm="1">
        <f t="array" aca="1" ref="O51" ca="1">IF('Saisie de données'!$K$60='Menu déroulant'!$AA$34,VLOOKUP(MAX(IF(INDIRECT("Noroc8_"&amp;'Saisie de données'!$H$60&amp;"_"&amp;'Saisie de données'!$I$60&amp;"_S")&lt;='Synthèse résultat'!$E51,INDIRECT("Noroc8_"&amp;'Saisie de données'!$H$60&amp;"_"&amp;'Saisie de données'!$I$60&amp;"_S"))),'Courbe Déflexion'!$DJ$5:$DS$306,10,0)*VLOOKUP('Saisie de données'!$F$38,'Menu déroulant'!$AA$22:$AD$24,4,0),VLOOKUP(MAX(IF(INDIRECT("Noroc8_"&amp;'Saisie de données'!$H$60&amp;"_"&amp;'Saisie de données'!$I$60&amp;"_M")&lt;='Synthèse résultat'!$E51,INDIRECT("Noroc8_"&amp;'Saisie de données'!$H$60&amp;"_"&amp;'Saisie de données'!$I$60&amp;"_M"))),'Courbe Déflexion'!$HR$5:$IA$286,10,0)*VLOOKUP('Saisie de données'!$F$38,'Menu déroulant'!$AA$22:$AD$24,4,0))</f>
        <v>#N/A</v>
      </c>
      <c r="P51" s="416">
        <f>VLOOKUP('Saisie de données'!$J$60,'Infos Techniques'!$U$15:$AF$43,12,0)*VLOOKUP('Saisie de données'!$F$38,'Menu déroulant'!$AA$22:$AD$24,4,0)</f>
        <v>10</v>
      </c>
      <c r="Q51" s="326" t="e">
        <f>IF('Saisie de données'!$C$60='Menu déroulant'!$AA$31,VLOOKUP(Q$29,'Infos Techniques'!$B$7:$H$12,2,0)/($E51*'Saisie de données'!$F$60/12),VLOOKUP(Q$29,'Infos Techniques'!$B$7:$H$12,5,0)/($E51*'Saisie de données'!$F$60/12))*VLOOKUP('Saisie de données'!$F$38,'Menu déroulant'!$AA$22:$AD$24,4,0)</f>
        <v>#N/A</v>
      </c>
      <c r="R51" s="326" t="e">
        <f>IF('Saisie de données'!$C$60='Menu déroulant'!$AA$31,VLOOKUP(R$29,'Infos Techniques'!$B$7:$H$12,2,0)/($E51*'Saisie de données'!$F$60/12),VLOOKUP(R$29,'Infos Techniques'!$B$7:$H$12,5,0)/($E51*'Saisie de données'!$F$60/12))*VLOOKUP('Saisie de données'!$F$38,'Menu déroulant'!$AA$22:$AD$24,4,0)</f>
        <v>#N/A</v>
      </c>
      <c r="S51" s="326" t="e">
        <f>IF('Saisie de données'!$C$60='Menu déroulant'!$AA$31,VLOOKUP(S$29,'Infos Techniques'!$B$7:$H$12,2,0)/($E51*'Saisie de données'!$F$60/12),VLOOKUP(S$29,'Infos Techniques'!$B$7:$H$12,5,0)/($E51*'Saisie de données'!$F$60/12))*VLOOKUP('Saisie de données'!$F$38,'Menu déroulant'!$AA$22:$AD$24,4,0)</f>
        <v>#N/A</v>
      </c>
      <c r="T51" s="326" t="e">
        <f>IF('Saisie de données'!$C$60='Menu déroulant'!$AA$31,VLOOKUP(T$29,'Infos Techniques'!$B$7:$H$12,2,0)/($E51*'Saisie de données'!$F$60/12),VLOOKUP(T$29,'Infos Techniques'!$B$7:$H$12,5,0)/($E51*'Saisie de données'!$F$60/12))*VLOOKUP('Saisie de données'!$F$38,'Menu déroulant'!$AA$22:$AD$24,4,0)</f>
        <v>#N/A</v>
      </c>
      <c r="U51" s="326" t="e">
        <f>IF('Saisie de données'!$C$60='Menu déroulant'!$AA$31,VLOOKUP(U$29,'Infos Techniques'!$B$7:$H$12,2,0)/($E51*'Saisie de données'!$F$60/12),VLOOKUP(U$29,'Infos Techniques'!$B$7:$H$12,5,0)/($E51*'Saisie de données'!$F$60/12))*VLOOKUP('Saisie de données'!$F$38,'Menu déroulant'!$AA$22:$AD$24,4,0)</f>
        <v>#N/A</v>
      </c>
      <c r="V51" s="326" t="e">
        <f>IF('Saisie de données'!$C$60='Menu déroulant'!$AA$31,VLOOKUP(V$29,'Infos Techniques'!$B$7:$H$12,4,0)/($E51*'Saisie de données'!$F$60/12),VLOOKUP(V$29,'Infos Techniques'!$B$7:$H$12,7,0)/($E51*'Saisie de données'!$F$60/12))*VLOOKUP('Saisie de données'!$F$38,'Menu déroulant'!$AA$22:$AD$24,4,0)</f>
        <v>#N/A</v>
      </c>
      <c r="W51" s="326" t="e">
        <f>IF('Saisie de données'!$C$60='Menu déroulant'!$AA$31,VLOOKUP(W$29,'Infos Techniques'!$B$7:$H$12,4,0)/($E51*'Saisie de données'!$F$60/12),VLOOKUP(W$29,'Infos Techniques'!$B$7:$H$12,7,0)/($E51*'Saisie de données'!$F$60/12))*VLOOKUP('Saisie de données'!$F$38,'Menu déroulant'!$AA$22:$AD$24,4,0)</f>
        <v>#N/A</v>
      </c>
      <c r="X51" s="326" t="e">
        <f>IF('Saisie de données'!$C$60='Menu déroulant'!$AA$31,VLOOKUP(X$29,'Infos Techniques'!$B$7:$H$12,4,0)/($E51*'Saisie de données'!$F$60/12),VLOOKUP(X$29,'Infos Techniques'!$B$7:$H$12,7,0)/($E51*'Saisie de données'!$F$60/12))*VLOOKUP('Saisie de données'!$F$38,'Menu déroulant'!$AA$22:$AD$24,4,0)</f>
        <v>#N/A</v>
      </c>
      <c r="Y51" s="326" t="e">
        <f>IF('Saisie de données'!$C$60='Menu déroulant'!$AA$31,VLOOKUP(Y$29,'Infos Techniques'!$B$7:$H$12,4,0)/($E51*'Saisie de données'!$F$60/12),VLOOKUP(Y$29,'Infos Techniques'!$B$7:$H$12,7,0)/($E51*'Saisie de données'!$F$60/12))*VLOOKUP('Saisie de données'!$F$38,'Menu déroulant'!$AA$22:$AD$24,4,0)</f>
        <v>#N/A</v>
      </c>
      <c r="Z51" s="417" t="e">
        <f>IF('Saisie de données'!$C$60='Menu déroulant'!$AA$31,VLOOKUP(Z$29,'Infos Techniques'!$B$7:$H$12,4,0)/($E51*'Saisie de données'!$F$60/12),VLOOKUP(Z$29,'Infos Techniques'!$B$7:$H$12,7,0)/($E51*'Saisie de données'!$F$60/12))*VLOOKUP('Saisie de données'!$F$38,'Menu déroulant'!$AA$22:$AD$24,4,0)</f>
        <v>#N/A</v>
      </c>
      <c r="AA51" s="442" t="e">
        <f>VLOOKUP(AA$29,'Infos Techniques'!$I$5:$K$12,2,0)/($E51*'Saisie de données'!$F$60/12)*VLOOKUP('Saisie de données'!$F$38,'Menu déroulant'!$AA$22:$AD$24,4,0)</f>
        <v>#N/A</v>
      </c>
      <c r="AB51" s="326" t="e">
        <f>VLOOKUP(AB$29,'Infos Techniques'!$I$5:$K$12,2,0)/($E51*'Saisie de données'!$F$60/12)*VLOOKUP('Saisie de données'!$F$38,'Menu déroulant'!$AA$22:$AD$24,4,0)</f>
        <v>#N/A</v>
      </c>
      <c r="AC51" s="326" t="e">
        <f>VLOOKUP(AC$29,'Infos Techniques'!$I$5:$K$12,2,0)/($E51*'Saisie de données'!$F$60/12)*VLOOKUP('Saisie de données'!$F$38,'Menu déroulant'!$AA$22:$AD$24,4,0)</f>
        <v>#N/A</v>
      </c>
      <c r="AD51" s="326" t="e">
        <f>VLOOKUP(AD$29,'Infos Techniques'!$I$5:$K$12,2,0)/($E51*'Saisie de données'!$F$60/12)*VLOOKUP('Saisie de données'!$F$38,'Menu déroulant'!$AA$22:$AD$24,4,0)</f>
        <v>#N/A</v>
      </c>
      <c r="AE51" s="326" cm="1">
        <f t="array" ref="AE51">_xlfn.IFS(OR('Saisie de données'!$D$13='Menu déroulant'!$AA$3,'Saisie de données'!$D$13='Menu déroulant'!$AA$4),'Synthèse résultat'!AE108,'Saisie de données'!$D$16='Menu déroulant'!$B$20,AE90,'Saisie de données'!$D$16='Menu déroulant'!$B$21,AE70)</f>
        <v>0</v>
      </c>
      <c r="AF51" s="326" t="e">
        <f>VLOOKUP(AF$29,'Infos Techniques'!$I$5:$K$12,2,0)/($E51*'Saisie de données'!$F$60/12)*VLOOKUP('Saisie de données'!$F$38,'Menu déroulant'!$AA$22:$AD$24,4,0)</f>
        <v>#N/A</v>
      </c>
      <c r="AG51" s="326" t="e">
        <f>VLOOKUP(AG$29,'Infos Techniques'!$I$5:$K$12,2,0)/($E51*'Saisie de données'!$F$60/12)*VLOOKUP('Saisie de données'!$F$38,'Menu déroulant'!$AA$22:$AD$24,4,0)</f>
        <v>#N/A</v>
      </c>
      <c r="AH51" s="326" cm="1">
        <f t="array" ref="AH51">_xlfn.IFS(OR('Saisie de données'!$D$13='Menu déroulant'!$AA$3,'Saisie de données'!$D$13='Menu déroulant'!$AA$4),'Synthèse résultat'!AH108,'Saisie de données'!$D$16='Menu déroulant'!$B$20,AH90,'Saisie de données'!$D$16='Menu déroulant'!$B$21,AH70)</f>
        <v>0</v>
      </c>
      <c r="AI51" s="326" t="e">
        <f>VLOOKUP(AI$29,'Infos Techniques'!$I$5:$K$12,3,0)/($E51*'Saisie de données'!$F$60/12)*VLOOKUP('Saisie de données'!$F$38,'Menu déroulant'!$AA$22:$AD$24,4,0)</f>
        <v>#N/A</v>
      </c>
      <c r="AJ51" s="326" t="e">
        <f>VLOOKUP(AJ$29,'Infos Techniques'!$I$5:$K$12,3,0)/($E51*'Saisie de données'!$F$60/12)*VLOOKUP('Saisie de données'!$F$38,'Menu déroulant'!$AA$22:$AD$24,4,0)</f>
        <v>#N/A</v>
      </c>
      <c r="AK51" s="326" t="e">
        <f>VLOOKUP(AK$29,'Infos Techniques'!$I$5:$K$12,3,0)/($E51*'Saisie de données'!$F$60/12)*VLOOKUP('Saisie de données'!$F$38,'Menu déroulant'!$AA$22:$AD$24,4,0)</f>
        <v>#N/A</v>
      </c>
      <c r="AL51" s="326" t="e">
        <f>VLOOKUP(AL$29,'Infos Techniques'!$I$5:$K$12,3,0)/($E51*'Saisie de données'!$F$60/12)*VLOOKUP('Saisie de données'!$F$38,'Menu déroulant'!$AA$22:$AD$24,4,0)</f>
        <v>#N/A</v>
      </c>
      <c r="AM51" s="326" t="e">
        <f>VLOOKUP(AM$29,'Infos Techniques'!$I$5:$K$12,3,0)/($E51*'Saisie de données'!$F$60/12)*VLOOKUP('Saisie de données'!$F$38,'Menu déroulant'!$AA$22:$AD$24,4,0)</f>
        <v>#N/A</v>
      </c>
      <c r="AN51" s="326" t="e">
        <f>VLOOKUP(AN$29,'Infos Techniques'!$I$5:$K$12,3,0)/($E51*'Saisie de données'!$F$60/12)*VLOOKUP('Saisie de données'!$F$38,'Menu déroulant'!$AA$22:$AD$24,4,0)</f>
        <v>#N/A</v>
      </c>
      <c r="AO51" s="326" t="e">
        <f>VLOOKUP(AO$29,'Infos Techniques'!$I$5:$K$12,3,0)/($E51*'Saisie de données'!$F$60/12)*VLOOKUP('Saisie de données'!$F$38,'Menu déroulant'!$AA$22:$AD$24,4,0)</f>
        <v>#N/A</v>
      </c>
      <c r="AP51" s="417" t="e">
        <f>VLOOKUP(AP$29,'Infos Techniques'!$I$5:$K$12,3,0)/($E51*'Saisie de données'!$F$60/12)*VLOOKUP('Saisie de données'!$F$38,'Menu déroulant'!$AA$22:$AD$24,4,0)</f>
        <v>#N/A</v>
      </c>
    </row>
    <row r="52" spans="2:44">
      <c r="B52" s="1568"/>
      <c r="C52" s="1572" t="s">
        <v>111</v>
      </c>
      <c r="D52" s="28" t="s">
        <v>346</v>
      </c>
      <c r="E52" s="43" t="e">
        <f>IF(ISBLANK('Saisie de données'!$E$31),'Charges de ventUSA'!$D33,0)</f>
        <v>#N/A</v>
      </c>
      <c r="F52" s="415" t="e" cm="1">
        <f t="array" aca="1" ref="F52" ca="1">VLOOKUP(MAX(IF(INDIRECT("Norex2_"&amp;'Saisie de données'!$H$60&amp;"_"&amp;'Saisie de données'!$I$60&amp;"_S")&lt;='Synthèse résultat'!$E52,INDIRECT("Norex2_"&amp;'Saisie de données'!$H$60&amp;"_"&amp;'Saisie de données'!$I$60&amp;"_S"))),'Courbe Déflexion'!O$5:$X$285,10,0)*0.3798*VLOOKUP('Saisie de données'!$F$38,'Menu déroulant'!$AA$22:$AD$24,4,0)</f>
        <v>#N/A</v>
      </c>
      <c r="G52" s="415" t="e" cm="1">
        <f t="array" aca="1" ref="G52" ca="1">VLOOKUP(MAX(IF(INDIRECT("Norex3_"&amp;'Saisie de données'!$H$60&amp;"_"&amp;'Saisie de données'!$I$60&amp;"_S")&lt;='Synthèse résultat'!$E52,INDIRECT("Norex3_"&amp;'Saisie de données'!$H$60&amp;"_"&amp;'Saisie de données'!$I$60&amp;"_S"))),'Courbe Déflexion'!Z$5:$AI$285,10,0)*0.3798*VLOOKUP('Saisie de données'!$F$38,'Menu déroulant'!$AA$22:$AD$24,4,0)</f>
        <v>#N/A</v>
      </c>
      <c r="H52" s="415" t="e" cm="1">
        <f t="array" aca="1" ref="H52" ca="1">VLOOKUP(MAX(IF(INDIRECT("Norex4_"&amp;'Saisie de données'!$H$60&amp;"_"&amp;'Saisie de données'!$I$60&amp;"_S")&lt;='Synthèse résultat'!$E52,INDIRECT("Norex4_"&amp;'Saisie de données'!$H$60&amp;"_"&amp;'Saisie de données'!$I$60&amp;"_S"))),'Courbe Déflexion'!$AK$5:$AT$306,10,0)*0.3798*VLOOKUP('Saisie de données'!$F$38,'Menu déroulant'!$AA$22:$AD$24,4,0)</f>
        <v>#N/A</v>
      </c>
      <c r="I52" s="415" t="e" cm="1">
        <f t="array" aca="1" ref="I52" ca="1">VLOOKUP(MAX(IF(INDIRECT("Norex5_"&amp;'Saisie de données'!$H$60&amp;"_"&amp;'Saisie de données'!$I$60&amp;"_S")&lt;='Synthèse résultat'!$E52,INDIRECT("Norex5_"&amp;'Saisie de données'!$H$60&amp;"_"&amp;'Saisie de données'!$I$60&amp;"_S"))),'Courbe Déflexion'!$AV$5:$BE$306,10,0)*0.3798*VLOOKUP('Saisie de données'!$F$38,'Menu déroulant'!$AA$22:$AD$24,4,0)</f>
        <v>#N/A</v>
      </c>
      <c r="J52" s="415" t="e" cm="1">
        <f t="array" aca="1" ref="J52" ca="1">VLOOKUP(MAX(IF(INDIRECT("Norex6_"&amp;'Saisie de données'!$H$60&amp;"_"&amp;'Saisie de données'!$I$60&amp;"_S")&lt;='Synthèse résultat'!$E52,INDIRECT("Norex6_"&amp;'Saisie de données'!$H$60&amp;"_"&amp;'Saisie de données'!$I$60&amp;"_S"))),'Courbe Déflexion'!$BG$5:$BP$306,10,0)*0.3798*VLOOKUP('Saisie de données'!$F$38,'Menu déroulant'!$AA$22:$AD$24,4,0)</f>
        <v>#N/A</v>
      </c>
      <c r="K52" s="415" t="e" cm="1">
        <f t="array" aca="1" ref="K52" ca="1">VLOOKUP(MAX(IF(INDIRECT("Norex8_"&amp;'Saisie de données'!$H$60&amp;"_"&amp;'Saisie de données'!$I$60&amp;"_S")&lt;='Synthèse résultat'!$E52,INDIRECT("Norex8_"&amp;'Saisie de données'!$H$60&amp;"_"&amp;'Saisie de données'!$I$60&amp;"_S"))),'Courbe Déflexion'!$BR$5:$CA$306,10,0)*0.3798*VLOOKUP('Saisie de données'!$F$38,'Menu déroulant'!$AA$22:$AD$24,4,0)</f>
        <v>#N/A</v>
      </c>
      <c r="L52" s="415" t="e" cm="1">
        <f t="array" aca="1" ref="L52" ca="1">VLOOKUP(MAX(IF(INDIRECT("Noroc4_"&amp;'Saisie de données'!$H$60&amp;"_"&amp;'Saisie de données'!$I$60&amp;"_S")&lt;='Synthèse résultat'!$E52,INDIRECT("Noroc4_"&amp;'Saisie de données'!$H$60&amp;"_"&amp;'Saisie de données'!$I$60&amp;"_S"))),'Courbe Déflexion'!$CC$5:$CL$306,10,0)*0.3798*VLOOKUP('Saisie de données'!$F$38,'Menu déroulant'!$AA$22:$AD$24,4,0)</f>
        <v>#N/A</v>
      </c>
      <c r="M52" s="415" t="e" cm="1">
        <f t="array" aca="1" ref="M52" ca="1">VLOOKUP(MAX(IF(INDIRECT("Noroc5_"&amp;'Saisie de données'!$H$60&amp;"_"&amp;'Saisie de données'!$I$60&amp;"_S")&lt;='Synthèse résultat'!$E52,INDIRECT("Noroc5_"&amp;'Saisie de données'!$H$60&amp;"_"&amp;'Saisie de données'!$I$60&amp;"_S"))),'Courbe Déflexion'!$CN$5:$CW$306,10,0)*0.3798*VLOOKUP('Saisie de données'!$F$38,'Menu déroulant'!$AA$22:$AD$24,4,0)</f>
        <v>#N/A</v>
      </c>
      <c r="N52" s="415" t="e" cm="1">
        <f t="array" aca="1" ref="N52" ca="1">VLOOKUP(MAX(IF(INDIRECT("Noroc6_"&amp;'Saisie de données'!$H$60&amp;"_"&amp;'Saisie de données'!$I$60&amp;"_S")&lt;='Synthèse résultat'!$E52,INDIRECT("Noroc6_"&amp;'Saisie de données'!$H$60&amp;"_"&amp;'Saisie de données'!$I$60&amp;"_S"))),'Courbe Déflexion'!$CY$5:$DH$306,10,0)*0.3798*VLOOKUP('Saisie de données'!$F$38,'Menu déroulant'!$AA$22:$AD$24,4,0)</f>
        <v>#N/A</v>
      </c>
      <c r="O52" s="415" t="e" cm="1">
        <f t="array" ref="O52">VLOOKUP(MAX(IF('Courbe Déflexion'!DJ$5:DJ$285&lt;=$E52,'Courbe Déflexion'!DJ$5:DJ$285)),'Courbe Déflexion'!DJ$5:$DS$285,10,0)*0.3798*VLOOKUP('Saisie de données'!$F$38,'Menu déroulant'!$AA$22:$AD$24,4,0)</f>
        <v>#N/A</v>
      </c>
      <c r="P52" s="416">
        <f>VLOOKUP('Saisie de données'!$J$60,'Infos Techniques'!$U$15:$AF$43,12,0)*VLOOKUP('Saisie de données'!$F$38,'Menu déroulant'!$AA$22:$AD$24,4,0)</f>
        <v>10</v>
      </c>
      <c r="Q52" s="326" t="e">
        <f ca="1">IF('Saisie de données'!$C$60='Menu déroulant'!$AA$31,(VLOOKUP(Q$29,'Infos Techniques'!$B$7:$H$12,2,0)/('Saisie de données'!$F$60/12)-(Francais10p!$I$58/2*E50))/E52,(VLOOKUP(Q$29,'Infos Techniques'!$B$7:$H$12,5,0)/('Saisie de données'!$F$60/12)-(Francais10p!$I$58/2*E50))/E52)*VLOOKUP('Saisie de données'!$F$38,'Menu déroulant'!$AA$22:$AD$24,4,0)</f>
        <v>#VALUE!</v>
      </c>
      <c r="R52" s="326" t="e">
        <f ca="1">IF('Saisie de données'!$C$60='Menu déroulant'!$AA$31,(VLOOKUP(R$29,'Infos Techniques'!$B$7:$H$12,2,0)/('Saisie de données'!$F$60/12)-(Francais10p!$I$58/2*E50))/E52,(VLOOKUP(R$29,'Infos Techniques'!$B$7:$H$12,5,0)/('Saisie de données'!$F$60/12)-(Francais10p!$I$58/2*E50))/E52)*VLOOKUP('Saisie de données'!$F$38,'Menu déroulant'!$AA$22:$AD$24,4,0)</f>
        <v>#VALUE!</v>
      </c>
      <c r="S52" s="326" t="e">
        <f ca="1">IF('Saisie de données'!$C$60='Menu déroulant'!$AA$31,(VLOOKUP(S$29,'Infos Techniques'!$B$7:$H$12,2,0)/('Saisie de données'!$F$60/12)-(Francais10p!$I$59/2*E50))/E52,(VLOOKUP(S$29,'Infos Techniques'!$B$7:$H$12,5,0)/('Saisie de données'!$F$60/12)-(Francais10p!$I$59/2*E50))/E52)*VLOOKUP('Saisie de données'!$F$38,'Menu déroulant'!$AA$22:$AD$24,4,0)</f>
        <v>#VALUE!</v>
      </c>
      <c r="T52" s="326" t="e">
        <f ca="1">IF('Saisie de données'!$C$60='Menu déroulant'!$AA$31,(VLOOKUP(T$29,'Infos Techniques'!$B$7:$H$12,2,0)/('Saisie de données'!$F$60/12)-(Francais10p!$I$60/2*E50))/E52,(VLOOKUP(T$29,'Infos Techniques'!$B$7:$H$12,5,0)/('Saisie de données'!$F$60/12)-(Francais10p!$I$60/2*E50))/E52)*VLOOKUP('Saisie de données'!$F$38,'Menu déroulant'!$AA$22:$AD$24,4,0)</f>
        <v>#VALUE!</v>
      </c>
      <c r="U52" s="326" t="e">
        <f ca="1">IF('Saisie de données'!$C$60='Menu déroulant'!$AA$31,(VLOOKUP(U$29,'Infos Techniques'!$B$7:$H$12,2,0)/('Saisie de données'!$F$60/12)-(Francais10p!$I$61/2*E50))/E52,(VLOOKUP(U$29,'Infos Techniques'!$B$7:$H$12,5,0)/('Saisie de données'!$F$60/12)-(Francais10p!$I$61/2*E50))/E52)*VLOOKUP('Saisie de données'!$F$38,'Menu déroulant'!$AA$22:$AD$24,4,0)</f>
        <v>#VALUE!</v>
      </c>
      <c r="V52" s="326" t="e">
        <f ca="1">IF('Saisie de données'!$C$60='Menu déroulant'!$AA$31,(VLOOKUP(V$29,'Infos Techniques'!$B$7:$H$12,4,0)/('Saisie de données'!$F$60/12)-(Francais10p!$K$58/2*E50))/E52,(VLOOKUP(V$29,'Infos Techniques'!$B$7:$H$12,7,0)/('Saisie de données'!$F$60/12)-(Francais10p!$K$58/2*E50))/E52)*VLOOKUP('Saisie de données'!$F$38,'Menu déroulant'!$AA$22:$AD$24,4,0)</f>
        <v>#VALUE!</v>
      </c>
      <c r="W52" s="326" t="e">
        <f ca="1">IF('Saisie de données'!$C$60='Menu déroulant'!$AA$31,(VLOOKUP(W$29,'Infos Techniques'!$B$7:$H$12,4,0)/('Saisie de données'!$F$60/12)-(Francais10p!$K$58/2*E50))/E52,(VLOOKUP(W$29,'Infos Techniques'!$B$7:$H$12,7,0)/('Saisie de données'!$F$60/12)-(Francais10p!$K$58/2*E50))/E52)*VLOOKUP('Saisie de données'!$F$38,'Menu déroulant'!$AA$22:$AD$24,4,0)</f>
        <v>#VALUE!</v>
      </c>
      <c r="X52" s="326" t="e">
        <f ca="1">IF('Saisie de données'!$C$60='Menu déroulant'!$AA$31,(VLOOKUP(X$29,'Infos Techniques'!$B$7:$H$12,4,0)/('Saisie de données'!$F$60/12)-(Francais10p!$K$59/2*E50))/E52,(VLOOKUP(X$29,'Infos Techniques'!$B$7:$H$12,7,0)/('Saisie de données'!$F$60/12)-(Francais10p!$K$59/2*E50))/E52)*VLOOKUP('Saisie de données'!$F$38,'Menu déroulant'!$AA$22:$AD$24,4,0)</f>
        <v>#VALUE!</v>
      </c>
      <c r="Y52" s="326" t="e">
        <f ca="1">IF('Saisie de données'!$C$60='Menu déroulant'!$AA$31,(VLOOKUP(Y$29,'Infos Techniques'!$B$7:$H$12,4,0)/('Saisie de données'!$F$60/12)-(Francais10p!$K$60/2*E50))/E52,(VLOOKUP(Y$29,'Infos Techniques'!$B$7:$H$12,7,0)/('Saisie de données'!$F$60/12)-(Francais10p!$K$60/2*E50))/E52)*VLOOKUP('Saisie de données'!$F$38,'Menu déroulant'!$AA$22:$AD$24,4,0)</f>
        <v>#VALUE!</v>
      </c>
      <c r="Z52" s="417" t="e">
        <f ca="1">IF('Saisie de données'!$C$60='Menu déroulant'!$AA$31,(VLOOKUP(Z$29,'Infos Techniques'!$B$7:$H$12,4,0)/('Saisie de données'!$F$60/12)-(Francais10p!$K$61/2*E50))/E52,(VLOOKUP(Z$29,'Infos Techniques'!$B$7:$H$12,7,0)/('Saisie de données'!$F$60/12)-(Francais10p!$K$61/2*E50))/E52)*VLOOKUP('Saisie de données'!$F$38,'Menu déroulant'!$AA$22:$AD$24,4,0)</f>
        <v>#VALUE!</v>
      </c>
      <c r="AA52" s="442" t="e">
        <f ca="1">(((VLOOKUP(AA$29,'Infos Techniques'!$I$5:$K$12,2,0)/('Saisie de données'!$F$60/12))-(Francais10p!$I$75/2*$E50))/$E52)*VLOOKUP('Saisie de données'!$F$38,'Menu déroulant'!$AA$22:$AD$24,4,0)</f>
        <v>#VALUE!</v>
      </c>
      <c r="AB52" s="326" t="e">
        <f ca="1">(((VLOOKUP(AB$29,'Infos Techniques'!$I$5:$K$12,2,0)/('Saisie de données'!$F$60/12))-(Francais10p!$I$75/2*$E50))/$E52)*VLOOKUP('Saisie de données'!$F$38,'Menu déroulant'!$AA$22:$AD$24,4,0)</f>
        <v>#VALUE!</v>
      </c>
      <c r="AC52" s="326" t="e">
        <f ca="1">(((VLOOKUP(AC$29,'Infos Techniques'!$I$5:$K$12,2,0)/('Saisie de données'!$F$60/12))-(Francais10p!$I$75/2*$E50))/$E52)*VLOOKUP('Saisie de données'!$F$38,'Menu déroulant'!$AA$22:$AD$24,4,0)</f>
        <v>#VALUE!</v>
      </c>
      <c r="AD52" s="326" t="e">
        <f ca="1">(((VLOOKUP(AD$29,'Infos Techniques'!$I$5:$K$12,2,0)/('Saisie de données'!$F$60/12))-(Francais10p!$I$75/2*$E50))/$E52)*VLOOKUP('Saisie de données'!$F$38,'Menu déroulant'!$AA$22:$AD$24,4,0)</f>
        <v>#VALUE!</v>
      </c>
      <c r="AE52" s="326">
        <v>0</v>
      </c>
      <c r="AF52" s="326" t="e">
        <f ca="1">(((VLOOKUP(AF$29,'Infos Techniques'!$I$5:$K$12,2,0)/('Saisie de données'!$F$60/12))-(Francais10p!$I$75/2*$E50))/$E52)*VLOOKUP('Saisie de données'!$F$38,'Menu déroulant'!$AA$22:$AD$24,4,0)</f>
        <v>#VALUE!</v>
      </c>
      <c r="AG52" s="326" t="e">
        <f ca="1">(((VLOOKUP(AG$29,'Infos Techniques'!$I$5:$K$12,2,0)/('Saisie de données'!$F$60/12))-(Francais10p!$I$75/2*$E50))/$E52)*VLOOKUP('Saisie de données'!$F$38,'Menu déroulant'!$AA$22:$AD$24,4,0)</f>
        <v>#VALUE!</v>
      </c>
      <c r="AH52" s="747">
        <v>0</v>
      </c>
      <c r="AI52" s="326" t="e">
        <f ca="1">(((VLOOKUP(AI$29,'Infos Techniques'!$I$5:$K$12,3,0)/('Saisie de données'!$F$60/12))-(Francais10p!$K$75/2*$E50))/$E52)*VLOOKUP('Saisie de données'!$F$38,'Menu déroulant'!$AA$22:$AD$24,4,0)</f>
        <v>#VALUE!</v>
      </c>
      <c r="AJ52" s="326" t="e">
        <f ca="1">(((VLOOKUP(AJ$29,'Infos Techniques'!$I$5:$K$12,3,0)/('Saisie de données'!$F$60/12))-(Francais10p!$K$75/2*$E50))/$E52)*VLOOKUP('Saisie de données'!$F$38,'Menu déroulant'!$AA$22:$AD$24,4,0)</f>
        <v>#VALUE!</v>
      </c>
      <c r="AK52" s="326" t="e">
        <f ca="1">(((VLOOKUP(AK$29,'Infos Techniques'!$I$5:$K$12,3,0)/('Saisie de données'!$F$60/12))-(Francais10p!$K$75/2*$E50))/$E52)*VLOOKUP('Saisie de données'!$F$38,'Menu déroulant'!$AA$22:$AD$24,4,0)</f>
        <v>#VALUE!</v>
      </c>
      <c r="AL52" s="326" t="e">
        <f ca="1">(((VLOOKUP(AL$29,'Infos Techniques'!$I$5:$K$12,3,0)/('Saisie de données'!$F$60/12))-(Francais10p!$K$75/2*$E50))/$E52)*VLOOKUP('Saisie de données'!$F$38,'Menu déroulant'!$AA$22:$AD$24,4,0)</f>
        <v>#VALUE!</v>
      </c>
      <c r="AM52" s="326" t="e">
        <f ca="1">(((VLOOKUP(AM$29,'Infos Techniques'!$I$5:$K$12,3,0)/('Saisie de données'!$F$60/12))-(Francais10p!$K$75/2*$E50))/$E52)*VLOOKUP('Saisie de données'!$F$38,'Menu déroulant'!$AA$22:$AD$24,4,0)</f>
        <v>#VALUE!</v>
      </c>
      <c r="AN52" s="326" t="e">
        <f ca="1">(((VLOOKUP(AN$29,'Infos Techniques'!$I$5:$K$12,3,0)/('Saisie de données'!$F$60/12))-(Francais10p!$K$75/2*$E50))/$E52)*VLOOKUP('Saisie de données'!$F$38,'Menu déroulant'!$AA$22:$AD$24,4,0)</f>
        <v>#VALUE!</v>
      </c>
      <c r="AO52" s="326" t="e">
        <f ca="1">(((VLOOKUP(AO$29,'Infos Techniques'!$I$5:$K$12,3,0)/('Saisie de données'!$F$60/12))-(Francais10p!$K$75/2*$E50))/$E52)*VLOOKUP('Saisie de données'!$F$38,'Menu déroulant'!$AA$22:$AD$24,4,0)</f>
        <v>#VALUE!</v>
      </c>
      <c r="AP52" s="417" t="e">
        <f ca="1">(((VLOOKUP(AP$29,'Infos Techniques'!$I$5:$K$12,3,0)/('Saisie de données'!$F$60/12))-(Francais10p!$K$75/2*$E50))/$E52)*VLOOKUP('Saisie de données'!$F$38,'Menu déroulant'!$AA$22:$AD$24,4,0)</f>
        <v>#VALUE!</v>
      </c>
    </row>
    <row r="53" spans="2:44" ht="15" thickBot="1">
      <c r="B53" s="1569"/>
      <c r="C53" s="1573"/>
      <c r="D53" s="50" t="s">
        <v>347</v>
      </c>
      <c r="E53" s="60" t="e">
        <f>IF(ISBLANK('Saisie de données'!$E$30),'Charges de ventUSA'!$E33,0)</f>
        <v>#N/A</v>
      </c>
      <c r="F53" s="415" t="e" cm="1">
        <f t="array" aca="1" ref="F53" ca="1">VLOOKUP(MAX(IF(INDIRECT("Norex2_"&amp;'Saisie de données'!$H$60&amp;"_"&amp;'Saisie de données'!$I$60&amp;"_S")&lt;='Synthèse résultat'!$E53,INDIRECT("Norex2_"&amp;'Saisie de données'!$H$60&amp;"_"&amp;'Saisie de données'!$I$60&amp;"_S"))),'Courbe Déflexion'!O$5:$X$285,10,0)*0.3798*VLOOKUP('Saisie de données'!$F$38,'Menu déroulant'!$AA$22:$AD$24,4,0)</f>
        <v>#N/A</v>
      </c>
      <c r="G53" s="415" t="e" cm="1">
        <f t="array" aca="1" ref="G53" ca="1">VLOOKUP(MAX(IF(INDIRECT("Norex3_"&amp;'Saisie de données'!$H$60&amp;"_"&amp;'Saisie de données'!$I$60&amp;"_S")&lt;='Synthèse résultat'!$E53,INDIRECT("Norex3_"&amp;'Saisie de données'!$H$60&amp;"_"&amp;'Saisie de données'!$I$60&amp;"_S"))),'Courbe Déflexion'!Z$5:$AI$285,10,0)*0.3798*VLOOKUP('Saisie de données'!$F$38,'Menu déroulant'!$AA$22:$AD$24,4,0)</f>
        <v>#N/A</v>
      </c>
      <c r="H53" s="415" t="e" cm="1">
        <f t="array" aca="1" ref="H53" ca="1">VLOOKUP(MAX(IF(INDIRECT("Norex4_"&amp;'Saisie de données'!$H$60&amp;"_"&amp;'Saisie de données'!$I$60&amp;"_S")&lt;='Synthèse résultat'!$E53,INDIRECT("Norex4_"&amp;'Saisie de données'!$H$60&amp;"_"&amp;'Saisie de données'!$I$60&amp;"_S"))),'Courbe Déflexion'!$AK$5:$AT$306,10,0)*0.3798*VLOOKUP('Saisie de données'!$F$38,'Menu déroulant'!$AA$22:$AD$24,4,0)</f>
        <v>#N/A</v>
      </c>
      <c r="I53" s="415" t="e" cm="1">
        <f t="array" aca="1" ref="I53" ca="1">VLOOKUP(MAX(IF(INDIRECT("Norex5_"&amp;'Saisie de données'!$H$60&amp;"_"&amp;'Saisie de données'!$I$60&amp;"_S")&lt;='Synthèse résultat'!$E53,INDIRECT("Norex5_"&amp;'Saisie de données'!$H$60&amp;"_"&amp;'Saisie de données'!$I$60&amp;"_S"))),'Courbe Déflexion'!$AV$5:$BE$306,10,0)*0.3798*VLOOKUP('Saisie de données'!$F$38,'Menu déroulant'!$AA$22:$AD$24,4,0)</f>
        <v>#N/A</v>
      </c>
      <c r="J53" s="415" t="e" cm="1">
        <f t="array" aca="1" ref="J53" ca="1">VLOOKUP(MAX(IF(INDIRECT("Norex6_"&amp;'Saisie de données'!$H$60&amp;"_"&amp;'Saisie de données'!$I$60&amp;"_S")&lt;='Synthèse résultat'!$E53,INDIRECT("Norex6_"&amp;'Saisie de données'!$H$60&amp;"_"&amp;'Saisie de données'!$I$60&amp;"_S"))),'Courbe Déflexion'!$BG$5:$BP$306,10,0)*0.3798*VLOOKUP('Saisie de données'!$F$38,'Menu déroulant'!$AA$22:$AD$24,4,0)</f>
        <v>#N/A</v>
      </c>
      <c r="K53" s="415" t="e" cm="1">
        <f t="array" aca="1" ref="K53" ca="1">VLOOKUP(MAX(IF(INDIRECT("Norex8_"&amp;'Saisie de données'!$H$60&amp;"_"&amp;'Saisie de données'!$I$60&amp;"_S")&lt;='Synthèse résultat'!$E53,INDIRECT("Norex8_"&amp;'Saisie de données'!$H$60&amp;"_"&amp;'Saisie de données'!$I$60&amp;"_S"))),'Courbe Déflexion'!$BR$5:$CA$306,10,0)*0.3798*VLOOKUP('Saisie de données'!$F$38,'Menu déroulant'!$AA$22:$AD$24,4,0)</f>
        <v>#N/A</v>
      </c>
      <c r="L53" s="415" t="e" cm="1">
        <f t="array" aca="1" ref="L53" ca="1">VLOOKUP(MAX(IF(INDIRECT("Noroc4_"&amp;'Saisie de données'!$H$60&amp;"_"&amp;'Saisie de données'!$I$60&amp;"_S")&lt;='Synthèse résultat'!$E53,INDIRECT("Noroc4_"&amp;'Saisie de données'!$H$60&amp;"_"&amp;'Saisie de données'!$I$60&amp;"_S"))),'Courbe Déflexion'!$CC$5:$CL$306,10,0)*0.3798*VLOOKUP('Saisie de données'!$F$38,'Menu déroulant'!$AA$22:$AD$24,4,0)</f>
        <v>#N/A</v>
      </c>
      <c r="M53" s="415" t="e" cm="1">
        <f t="array" aca="1" ref="M53" ca="1">VLOOKUP(MAX(IF(INDIRECT("Noroc5_"&amp;'Saisie de données'!$H$60&amp;"_"&amp;'Saisie de données'!$I$60&amp;"_S")&lt;='Synthèse résultat'!$E53,INDIRECT("Noroc5_"&amp;'Saisie de données'!$H$60&amp;"_"&amp;'Saisie de données'!$I$60&amp;"_S"))),'Courbe Déflexion'!$CN$5:$CW$306,10,0)*0.3798*VLOOKUP('Saisie de données'!$F$38,'Menu déroulant'!$AA$22:$AD$24,4,0)</f>
        <v>#N/A</v>
      </c>
      <c r="N53" s="415" t="e" cm="1">
        <f t="array" aca="1" ref="N53" ca="1">VLOOKUP(MAX(IF(INDIRECT("Noroc6_"&amp;'Saisie de données'!$H$60&amp;"_"&amp;'Saisie de données'!$I$60&amp;"_S")&lt;='Synthèse résultat'!$E53,INDIRECT("Noroc6_"&amp;'Saisie de données'!$H$60&amp;"_"&amp;'Saisie de données'!$I$60&amp;"_S"))),'Courbe Déflexion'!$CY$5:$DH$306,10,0)*0.3798*VLOOKUP('Saisie de données'!$F$38,'Menu déroulant'!$AA$22:$AD$24,4,0)</f>
        <v>#N/A</v>
      </c>
      <c r="O53" s="453" t="e" cm="1">
        <f t="array" ref="O53">VLOOKUP(MAX(IF('Courbe Déflexion'!DJ$5:DJ$285&lt;=$E53,'Courbe Déflexion'!DJ$5:DJ$285)),'Courbe Déflexion'!DJ$5:$DS$285,10,0)*0.3798*VLOOKUP('Saisie de données'!$F$38,'Menu déroulant'!$AA$22:$AD$24,4,0)</f>
        <v>#N/A</v>
      </c>
      <c r="P53" s="418">
        <f>VLOOKUP('Saisie de données'!$J$60,'Infos Techniques'!$U$15:$AF$43,12,0)*VLOOKUP('Saisie de données'!$F$38,'Menu déroulant'!$AA$22:$AD$24,4,0)</f>
        <v>10</v>
      </c>
      <c r="Q53" s="419" t="e">
        <f ca="1">IF('Saisie de données'!$C$60='Menu déroulant'!$AA$31,(VLOOKUP(Q$29,'Infos Techniques'!$B$7:$H$12,2,0)/('Saisie de données'!$F$60/12)-(Francais10p!$J$58/2*E51))/E53,(VLOOKUP(Q$29,'Infos Techniques'!$B$7:$H$12,5,0)/('Saisie de données'!$F$60/12)-(Francais10p!$J$58/2*E51))/E53)*VLOOKUP('Saisie de données'!$F$38,'Menu déroulant'!$AA$22:$AD$24,4,0)</f>
        <v>#VALUE!</v>
      </c>
      <c r="R53" s="419" t="e">
        <f ca="1">IF('Saisie de données'!$C$60='Menu déroulant'!$AA$31,(VLOOKUP(R$29,'Infos Techniques'!$B$7:$H$12,2,0)/('Saisie de données'!$F$60/12)-(Francais10p!$J$58/2*E51))/E53,(VLOOKUP(R$29,'Infos Techniques'!$B$7:$H$12,5,0)/('Saisie de données'!$F$60/12)-(Francais10p!$J$58/2*E51))/E53)*VLOOKUP('Saisie de données'!$F$38,'Menu déroulant'!$AA$22:$AD$24,4,0)</f>
        <v>#VALUE!</v>
      </c>
      <c r="S53" s="419" t="e">
        <f ca="1">IF('Saisie de données'!$C$60='Menu déroulant'!$AA$31,(VLOOKUP(S$29,'Infos Techniques'!$B$7:$H$12,2,0)/('Saisie de données'!$F$60/12)-(Francais10p!$J$59/2*E51))/E53,(VLOOKUP(S$29,'Infos Techniques'!$B$7:$H$12,5,0)/('Saisie de données'!$F$60/12)-(Francais10p!$J$59/2*E51))/E53)*VLOOKUP('Saisie de données'!$F$38,'Menu déroulant'!$AA$22:$AD$24,4,0)</f>
        <v>#VALUE!</v>
      </c>
      <c r="T53" s="419" t="e">
        <f ca="1">IF('Saisie de données'!$C$60='Menu déroulant'!$AA$31,(VLOOKUP(T$29,'Infos Techniques'!$B$7:$H$12,2,0)/('Saisie de données'!$F$60/12)-(Francais10p!$J$60/2*E51))/E53,(VLOOKUP(T$29,'Infos Techniques'!$B$7:$H$12,5,0)/('Saisie de données'!$F$60/12)-(Francais10p!$J$60/2*E51))/E53)*VLOOKUP('Saisie de données'!$F$38,'Menu déroulant'!$AA$22:$AD$24,4,0)</f>
        <v>#VALUE!</v>
      </c>
      <c r="U53" s="419" t="e">
        <f ca="1">IF('Saisie de données'!$C$60='Menu déroulant'!$AA$31,(VLOOKUP(U$29,'Infos Techniques'!$B$7:$H$12,2,0)/('Saisie de données'!$F$60/12)-(Francais10p!$J$61/2*E51))/E53,(VLOOKUP(U$29,'Infos Techniques'!$B$7:$H$12,5,0)/('Saisie de données'!$F$60/12)-(Francais10p!$J$61/2*E51))/E53)*VLOOKUP('Saisie de données'!$F$38,'Menu déroulant'!$AA$22:$AD$24,4,0)</f>
        <v>#VALUE!</v>
      </c>
      <c r="V53" s="326" t="e">
        <f ca="1">IF('Saisie de données'!$C$60='Menu déroulant'!$AA$31,(VLOOKUP(V$29,'Infos Techniques'!$B$7:$H$12,4,0)/('Saisie de données'!$F$60/12)-(Francais10p!$L$58/2*E51))/E53,(VLOOKUP(V$29,'Infos Techniques'!$B$7:$H$12,7,0)/('Saisie de données'!$F$60/12)-(Francais10p!$L$58/2*E51))/E53)*VLOOKUP('Saisie de données'!$F$38,'Menu déroulant'!$AA$22:$AD$24,4,0)</f>
        <v>#VALUE!</v>
      </c>
      <c r="W53" s="419" t="e">
        <f ca="1">IF('Saisie de données'!$C$60='Menu déroulant'!$AA$31,(VLOOKUP(W$29,'Infos Techniques'!$B$7:$H$12,4,0)/('Saisie de données'!$F$60/12)-(Francais10p!$L$58/2*E51))/E53,(VLOOKUP(W$29,'Infos Techniques'!$B$7:$H$12,7,0)/('Saisie de données'!$F$60/12)-(Francais10p!$L$58/2*E51))/E53)*VLOOKUP('Saisie de données'!$F$38,'Menu déroulant'!$AA$22:$AD$24,4,0)</f>
        <v>#VALUE!</v>
      </c>
      <c r="X53" s="419" t="e">
        <f ca="1">IF('Saisie de données'!$C$60='Menu déroulant'!$AA$31,(VLOOKUP(X$29,'Infos Techniques'!$B$7:$H$12,4,0)/('Saisie de données'!$F$60/12)-(Francais10p!$L$59/2*E51))/E53,(VLOOKUP(X$29,'Infos Techniques'!$B$7:$H$12,7,0)/('Saisie de données'!$F$60/12)-(Francais10p!$L$59/2*E51))/E53)*VLOOKUP('Saisie de données'!$F$38,'Menu déroulant'!$AA$22:$AD$24,4,0)</f>
        <v>#VALUE!</v>
      </c>
      <c r="Y53" s="419" t="e">
        <f ca="1">IF('Saisie de données'!$C$60='Menu déroulant'!$AA$31,(VLOOKUP(Y$29,'Infos Techniques'!$B$7:$H$12,4,0)/('Saisie de données'!$F$60/12)-(Francais10p!$L$60/2*E51))/E53,(VLOOKUP(Y$29,'Infos Techniques'!$B$7:$H$12,7,0)/('Saisie de données'!$F$60/12)-(Francais10p!$L$60/2*E51))/E53)*VLOOKUP('Saisie de données'!$F$38,'Menu déroulant'!$AA$22:$AD$24,4,0)</f>
        <v>#VALUE!</v>
      </c>
      <c r="Z53" s="420" t="e">
        <f ca="1">IF('Saisie de données'!$C$60='Menu déroulant'!$AA$31,(VLOOKUP(Z$29,'Infos Techniques'!$B$7:$H$12,4,0)/('Saisie de données'!$F$60/12)-(Francais10p!$L$61/2*E51))/E53,(VLOOKUP(Z$29,'Infos Techniques'!$B$7:$H$12,7,0)/('Saisie de données'!$F$60/12)-(Francais10p!$L$61/2*E51))/E53)*VLOOKUP('Saisie de données'!$F$38,'Menu déroulant'!$AA$22:$AD$24,4,0)</f>
        <v>#VALUE!</v>
      </c>
      <c r="AA53" s="443" t="e">
        <f ca="1">(((VLOOKUP(AA$29,'Infos Techniques'!$I$5:$K$12,2,0)/('Saisie de données'!$F$60/12))-(Francais10p!$J$75/2*$E51))/$E53)*VLOOKUP('Saisie de données'!$F$38,'Menu déroulant'!$AA$22:$AD$24,4,0)</f>
        <v>#VALUE!</v>
      </c>
      <c r="AB53" s="419" t="e">
        <f ca="1">(((VLOOKUP(AB$29,'Infos Techniques'!$I$5:$K$12,2,0)/('Saisie de données'!$F$60/12))-(Francais10p!$J$75/2*$E51))/$E53)*VLOOKUP('Saisie de données'!$F$38,'Menu déroulant'!$AA$22:$AD$24,4,0)</f>
        <v>#VALUE!</v>
      </c>
      <c r="AC53" s="419" t="e">
        <f ca="1">(((VLOOKUP(AC$29,'Infos Techniques'!$I$5:$K$12,2,0)/('Saisie de données'!$F$60/12))-(Francais10p!$J$75/2*$E51))/$E53)*VLOOKUP('Saisie de données'!$F$38,'Menu déroulant'!$AA$22:$AD$24,4,0)</f>
        <v>#VALUE!</v>
      </c>
      <c r="AD53" s="419" t="e">
        <f ca="1">(((VLOOKUP(AD$29,'Infos Techniques'!$I$5:$K$12,2,0)/('Saisie de données'!$F$60/12))-(Francais10p!$J$75/2*$E51))/$E53)*VLOOKUP('Saisie de données'!$F$38,'Menu déroulant'!$AA$22:$AD$24,4,0)</f>
        <v>#VALUE!</v>
      </c>
      <c r="AE53" s="326">
        <v>0</v>
      </c>
      <c r="AF53" s="419" t="e">
        <f ca="1">(((VLOOKUP(AF$29,'Infos Techniques'!$I$5:$K$12,2,0)/('Saisie de données'!$F$60/12))-(Francais10p!$J$75/2*$E51))/$E53)*VLOOKUP('Saisie de données'!$F$38,'Menu déroulant'!$AA$22:$AD$24,4,0)</f>
        <v>#VALUE!</v>
      </c>
      <c r="AG53" s="419" t="e">
        <f ca="1">(((VLOOKUP(AG$29,'Infos Techniques'!$I$5:$K$12,2,0)/('Saisie de données'!$F$60/12))-(Francais10p!$J$75/2*$E51))/$E53)*VLOOKUP('Saisie de données'!$F$38,'Menu déroulant'!$AA$22:$AD$24,4,0)</f>
        <v>#VALUE!</v>
      </c>
      <c r="AH53" s="747">
        <v>0</v>
      </c>
      <c r="AI53" s="419" t="e">
        <f ca="1">(((VLOOKUP(AI$29,'Infos Techniques'!$I$5:$K$12,3,0)/('Saisie de données'!$F$60/12))-(Francais10p!$L$75/2*$E51))/$E53)*VLOOKUP('Saisie de données'!$F$38,'Menu déroulant'!$AA$22:$AD$24,4,0)</f>
        <v>#VALUE!</v>
      </c>
      <c r="AJ53" s="419" t="e">
        <f ca="1">(((VLOOKUP(AJ$29,'Infos Techniques'!$I$5:$K$12,3,0)/('Saisie de données'!$F$60/12))-(Francais10p!$L$75/2*$E51))/$E53)*VLOOKUP('Saisie de données'!$F$38,'Menu déroulant'!$AA$22:$AD$24,4,0)</f>
        <v>#VALUE!</v>
      </c>
      <c r="AK53" s="419" t="e">
        <f ca="1">(((VLOOKUP(AK$29,'Infos Techniques'!$I$5:$K$12,3,0)/('Saisie de données'!$F$60/12))-(Francais10p!$L$75/2*$E51))/$E53)*VLOOKUP('Saisie de données'!$F$38,'Menu déroulant'!$AA$22:$AD$24,4,0)</f>
        <v>#VALUE!</v>
      </c>
      <c r="AL53" s="419" t="e">
        <f ca="1">(((VLOOKUP(AL$29,'Infos Techniques'!$I$5:$K$12,3,0)/('Saisie de données'!$F$60/12))-(Francais10p!$L$75/2*$E51))/$E53)*VLOOKUP('Saisie de données'!$F$38,'Menu déroulant'!$AA$22:$AD$24,4,0)</f>
        <v>#VALUE!</v>
      </c>
      <c r="AM53" s="419" t="e">
        <f ca="1">(((VLOOKUP(AM$29,'Infos Techniques'!$I$5:$K$12,3,0)/('Saisie de données'!$F$60/12))-(Francais10p!$L$75/2*$E51))/$E53)*VLOOKUP('Saisie de données'!$F$38,'Menu déroulant'!$AA$22:$AD$24,4,0)</f>
        <v>#VALUE!</v>
      </c>
      <c r="AN53" s="419" t="e">
        <f ca="1">(((VLOOKUP(AN$29,'Infos Techniques'!$I$5:$K$12,3,0)/('Saisie de données'!$F$60/12))-(Francais10p!$L$75/2*$E51))/$E53)*VLOOKUP('Saisie de données'!$F$38,'Menu déroulant'!$AA$22:$AD$24,4,0)</f>
        <v>#VALUE!</v>
      </c>
      <c r="AO53" s="419" t="e">
        <f ca="1">(((VLOOKUP(AO$29,'Infos Techniques'!$I$5:$K$12,3,0)/('Saisie de données'!$F$60/12))-(Francais10p!$L$75/2*$E51))/$E53)*VLOOKUP('Saisie de données'!$F$38,'Menu déroulant'!$AA$22:$AD$24,4,0)</f>
        <v>#VALUE!</v>
      </c>
      <c r="AP53" s="420" t="e">
        <f ca="1">(((VLOOKUP(AP$29,'Infos Techniques'!$I$5:$K$12,3,0)/('Saisie de données'!$F$60/12))-(Francais10p!$L$75/2*$E51))/$E53)*VLOOKUP('Saisie de données'!$F$38,'Menu déroulant'!$AA$22:$AD$24,4,0)</f>
        <v>#VALUE!</v>
      </c>
    </row>
    <row r="54" spans="2:44">
      <c r="B54" s="1567" t="s">
        <v>54</v>
      </c>
      <c r="C54" s="1570" t="s">
        <v>338</v>
      </c>
      <c r="D54" s="241" t="s">
        <v>346</v>
      </c>
      <c r="E54" s="59" t="e">
        <f>IF(ISBLANK('Saisie de données'!$E$31),'Charges de ventUSA'!$D36,'Saisie de données'!$E$31)</f>
        <v>#N/A</v>
      </c>
      <c r="F54" s="411" t="e" cm="1">
        <f t="array" aca="1" ref="F54" ca="1">IF('Saisie de données'!$K$61='Menu déroulant'!$AA$34,VLOOKUP(MAX(IF(INDIRECT("Norex2_"&amp;'Saisie de données'!$H$61&amp;"_"&amp;'Saisie de données'!$I$61&amp;"_S")&lt;='Synthèse résultat'!$E54,INDIRECT("Norex2_"&amp;'Saisie de données'!$H$61&amp;"_"&amp;'Saisie de données'!$I$61&amp;"_S"))),'Courbe Déflexion'!O$5:$X$285,10,0)*VLOOKUP('Saisie de données'!$F$38,'Menu déroulant'!$AA$22:$AD$24,4,0),VLOOKUP(MAX(IF(INDIRECT("Norex2_"&amp;'Saisie de données'!$H$61&amp;"_"&amp;'Saisie de données'!$I$61&amp;"_M")&lt;='Synthèse résultat'!$E54,INDIRECT("Norex2_"&amp;'Saisie de données'!$H$61&amp;"_"&amp;'Saisie de données'!$I$61&amp;"_M"))),'Courbe Déflexion'!$DW$5:$EF$217,10,0)*VLOOKUP('Saisie de données'!$F$38,'Menu déroulant'!$AA$22:$AD$24,4,0))</f>
        <v>#N/A</v>
      </c>
      <c r="G54" s="411" t="e" cm="1">
        <f t="array" aca="1" ref="G54" ca="1">IF('Saisie de données'!$K$60='Menu déroulant'!$AA$34,VLOOKUP(MAX(IF(INDIRECT("Norex3_"&amp;'Saisie de données'!$H$61&amp;"_"&amp;'Saisie de données'!$I$61&amp;"_S")&lt;='Synthèse résultat'!$E54,INDIRECT("Norex3_"&amp;'Saisie de données'!$H$61&amp;"_"&amp;'Saisie de données'!$I$61&amp;"_S"))),'Courbe Déflexion'!$Z$5:$AI$329,10,0)*VLOOKUP('Saisie de données'!$F$38,'Menu déroulant'!$AA$22:$AD$24,4,0),VLOOKUP(MAX(IF(INDIRECT("Norex3_"&amp;'Saisie de données'!$H$61&amp;"_"&amp;'Saisie de données'!$I$61&amp;"_M")&lt;='Synthèse résultat'!$E54,INDIRECT("Norex3_"&amp;'Saisie de données'!$H$61&amp;"_"&amp;'Saisie de données'!$I$61&amp;"_M"))),'Courbe Déflexion'!$EH$5:$EQ$309,10,0)*VLOOKUP('Saisie de données'!$F$38,'Menu déroulant'!$AA$22:$AD$24,4,0))</f>
        <v>#N/A</v>
      </c>
      <c r="H54" s="411" t="e" cm="1">
        <f t="array" aca="1" ref="H54" ca="1">IF('Saisie de données'!$K$60='Menu déroulant'!$AA$34,VLOOKUP(MAX(IF(INDIRECT("Norex4_"&amp;'Saisie de données'!$H$61&amp;"_"&amp;'Saisie de données'!$I$61&amp;"_S")&lt;='Synthèse résultat'!$E54,INDIRECT("Norex4_"&amp;'Saisie de données'!$H$61&amp;"_"&amp;'Saisie de données'!$I$61&amp;"_S"))),'Courbe Déflexion'!$AK$5:$AT$306,10,0)*VLOOKUP('Saisie de données'!$F$38,'Menu déroulant'!$AA$22:$AD$24,4,0),VLOOKUP(MAX(IF(INDIRECT("Norex4_"&amp;'Saisie de données'!$H$61&amp;"_"&amp;'Saisie de données'!$I$61&amp;"_M")&lt;='Synthèse résultat'!$E54,INDIRECT("Norex4_"&amp;'Saisie de données'!$H$61&amp;"_"&amp;'Saisie de données'!$I$61&amp;"_M"))),'Courbe Déflexion'!$ES$5:$FB$285,10,0)*VLOOKUP('Saisie de données'!$F$38,'Menu déroulant'!$AA$22:$AD$24,4,0))</f>
        <v>#N/A</v>
      </c>
      <c r="I54" s="411" t="e" cm="1">
        <f t="array" aca="1" ref="I54" ca="1">IF('Saisie de données'!$K$60='Menu déroulant'!$AA$34,VLOOKUP(MAX(IF(INDIRECT("Norex5_"&amp;'Saisie de données'!$H$61&amp;"_"&amp;'Saisie de données'!$I$61&amp;"_S")&lt;='Synthèse résultat'!$E54,INDIRECT("Norex5_"&amp;'Saisie de données'!$H$61&amp;"_"&amp;'Saisie de données'!$I$61&amp;"_S"))),'Courbe Déflexion'!$AV$5:$BE$306,10,0)*VLOOKUP('Saisie de données'!$F$38,'Menu déroulant'!$AA$22:$AD$24,4,0),VLOOKUP(MAX(IF(INDIRECT("Norex5_"&amp;'Saisie de données'!$H$61&amp;"_"&amp;'Saisie de données'!$I$61&amp;"_M")&lt;='Synthèse résultat'!$E54,INDIRECT("Norex5_"&amp;'Saisie de données'!$H$61&amp;"_"&amp;'Saisie de données'!$I$61&amp;"_M"))),'Courbe Déflexion'!$FD$5:$FM$285,10,0)*VLOOKUP('Saisie de données'!$F$38,'Menu déroulant'!$AA$22:$AD$24,4,0))</f>
        <v>#N/A</v>
      </c>
      <c r="J54" s="411" t="e" cm="1">
        <f t="array" aca="1" ref="J54" ca="1">IF('Saisie de données'!$K$60='Menu déroulant'!$AA$34,VLOOKUP(MAX(IF(INDIRECT("Norex6_"&amp;'Saisie de données'!$H$61&amp;"_"&amp;'Saisie de données'!$I$61&amp;"_S")&lt;='Synthèse résultat'!$E54,INDIRECT("Norex6_"&amp;'Saisie de données'!$H$61&amp;"_"&amp;'Saisie de données'!$I$61&amp;"_S"))),'Courbe Déflexion'!$BG$5:$BP$306,10,0)*VLOOKUP('Saisie de données'!$F$38,'Menu déroulant'!$AA$22:$AD$24,4,0),VLOOKUP(MAX(IF(INDIRECT("Norex6_"&amp;'Saisie de données'!$H$61&amp;"_"&amp;'Saisie de données'!$I$61&amp;"_M")&lt;='Synthèse résultat'!$E54,INDIRECT("Norex6_"&amp;'Saisie de données'!$H$61&amp;"_"&amp;'Saisie de données'!$I$61&amp;"_M"))),'Courbe Déflexion'!$FO$5:$FX$286,10,0)*VLOOKUP('Saisie de données'!$F$38,'Menu déroulant'!$AA$22:$AD$24,4,0))</f>
        <v>#N/A</v>
      </c>
      <c r="K54" s="411" t="e" cm="1">
        <f t="array" aca="1" ref="K54" ca="1">IF('Saisie de données'!$K$60='Menu déroulant'!$AA$34,VLOOKUP(MAX(IF(INDIRECT("Norex8_"&amp;'Saisie de données'!$H$61&amp;"_"&amp;'Saisie de données'!$I$61&amp;"_S")&lt;='Synthèse résultat'!$E54,INDIRECT("Norex8_"&amp;'Saisie de données'!$H$61&amp;"_"&amp;'Saisie de données'!$I$61&amp;"_S"))),'Courbe Déflexion'!$BR$5:$CA$306,10,0)*VLOOKUP('Saisie de données'!$F$38,'Menu déroulant'!$AA$22:$AD$24,4,0),VLOOKUP(MAX(IF(INDIRECT("Norex8_"&amp;'Saisie de données'!$H$61&amp;"_"&amp;'Saisie de données'!$I$61&amp;"_M")&lt;='Synthèse résultat'!$E54,INDIRECT("Norex8_"&amp;'Saisie de données'!$H$61&amp;"_"&amp;'Saisie de données'!$I$61&amp;"_M"))),'Courbe Déflexion'!$FZ$5:$GI$286,10,0)*VLOOKUP('Saisie de données'!$F$38,'Menu déroulant'!$AA$22:$AD$24,4,0))</f>
        <v>#N/A</v>
      </c>
      <c r="L54" s="411" t="e" cm="1">
        <f t="array" aca="1" ref="L54" ca="1">IF('Saisie de données'!$K$60='Menu déroulant'!$AA$34,VLOOKUP(MAX(IF(INDIRECT("Noroc4_"&amp;'Saisie de données'!$H$61&amp;"_"&amp;'Saisie de données'!$I$61&amp;"_S")&lt;='Synthèse résultat'!$E54,INDIRECT("Noroc4_"&amp;'Saisie de données'!$H$61&amp;"_"&amp;'Saisie de données'!$I$61&amp;"_S"))),'Courbe Déflexion'!$CC$5:$CL$306,10,0)*VLOOKUP('Saisie de données'!$F$38,'Menu déroulant'!$AA$22:$AD$24,4,0),VLOOKUP(MAX(IF(INDIRECT("Noroc4_"&amp;'Saisie de données'!$H$61&amp;"_"&amp;'Saisie de données'!$I$61&amp;"_M")&lt;='Synthèse résultat'!$E54,INDIRECT("Noroc4_"&amp;'Saisie de données'!$H$61&amp;"_"&amp;'Saisie de données'!$I$61&amp;"_M"))),'Courbe Déflexion'!$GK$5:$GT$286,10,0)*VLOOKUP('Saisie de données'!$F$38,'Menu déroulant'!$AA$22:$AD$24,4,0))</f>
        <v>#N/A</v>
      </c>
      <c r="M54" s="411" t="e" cm="1">
        <f t="array" aca="1" ref="M54" ca="1">IF('Saisie de données'!$K$60='Menu déroulant'!$AA$34,VLOOKUP(MAX(IF(INDIRECT("Noroc5_"&amp;'Saisie de données'!$H$61&amp;"_"&amp;'Saisie de données'!$I$61&amp;"_S")&lt;='Synthèse résultat'!$E54,INDIRECT("Noroc5_"&amp;'Saisie de données'!$H$61&amp;"_"&amp;'Saisie de données'!$I$61&amp;"_S"))),'Courbe Déflexion'!$CN$5:$CW$306,10,0)*VLOOKUP('Saisie de données'!$F$38,'Menu déroulant'!$AA$22:$AD$24,4,0),VLOOKUP(MAX(IF(INDIRECT("Noroc5_"&amp;'Saisie de données'!$H$61&amp;"_"&amp;'Saisie de données'!$I$61&amp;"_M")&lt;='Synthèse résultat'!$E54,INDIRECT("Noroc5_"&amp;'Saisie de données'!$H$61&amp;"_"&amp;'Saisie de données'!$I$61&amp;"_M"))),'Courbe Déflexion'!$GV$5:$HE$286,10,0)*VLOOKUP('Saisie de données'!$F$38,'Menu déroulant'!$AA$22:$AD$24,4,0))</f>
        <v>#N/A</v>
      </c>
      <c r="N54" s="411" t="e" cm="1">
        <f t="array" aca="1" ref="N54" ca="1">IF('Saisie de données'!$K$60='Menu déroulant'!$AA$34,VLOOKUP(MAX(IF(INDIRECT("Noroc6_"&amp;'Saisie de données'!$H$61&amp;"_"&amp;'Saisie de données'!$I$61&amp;"_S")&lt;='Synthèse résultat'!$E54,INDIRECT("Noroc6_"&amp;'Saisie de données'!$H$61&amp;"_"&amp;'Saisie de données'!$I$61&amp;"_S"))),'Courbe Déflexion'!$CY$5:$DH$306,10,0)*VLOOKUP('Saisie de données'!$F$38,'Menu déroulant'!$AA$22:$AD$24,4,0),VLOOKUP(MAX(IF(INDIRECT("Noroc6_"&amp;'Saisie de données'!$H$61&amp;"_"&amp;'Saisie de données'!$I$61&amp;"_M")&lt;='Synthèse résultat'!$E54,INDIRECT("Noroc6_"&amp;'Saisie de données'!$H$61&amp;"_"&amp;'Saisie de données'!$I$61&amp;"_M"))),'Courbe Déflexion'!$HG$5:$HP$286,10,0)*VLOOKUP('Saisie de données'!$F$38,'Menu déroulant'!$AA$22:$AD$24,4,0))</f>
        <v>#N/A</v>
      </c>
      <c r="O54" s="411" t="e" cm="1">
        <f t="array" aca="1" ref="O54" ca="1">IF('Saisie de données'!$K$60='Menu déroulant'!$AA$34,VLOOKUP(MAX(IF(INDIRECT("Noroc8_"&amp;'Saisie de données'!$H$61&amp;"_"&amp;'Saisie de données'!$I$61&amp;"_S")&lt;='Synthèse résultat'!$E54,INDIRECT("Noroc8_"&amp;'Saisie de données'!$H$61&amp;"_"&amp;'Saisie de données'!$I$61&amp;"_S"))),'Courbe Déflexion'!$DJ$5:$DS$306,10,0)*VLOOKUP('Saisie de données'!$F$38,'Menu déroulant'!$AA$22:$AD$24,4,0),VLOOKUP(MAX(IF(INDIRECT("Noroc8_"&amp;'Saisie de données'!$H$61&amp;"_"&amp;'Saisie de données'!$I$61&amp;"_M")&lt;='Synthèse résultat'!$E54,INDIRECT("Noroc8_"&amp;'Saisie de données'!$H$61&amp;"_"&amp;'Saisie de données'!$I$61&amp;"_M"))),'Courbe Déflexion'!$HR$5:$IA$286,10,0)*VLOOKUP('Saisie de données'!$F$38,'Menu déroulant'!$AA$22:$AD$24,4,0))</f>
        <v>#N/A</v>
      </c>
      <c r="P54" s="412">
        <f>VLOOKUP('Saisie de données'!$J$61,'Infos Techniques'!$U$15:$AF$43,12,0)*VLOOKUP('Saisie de données'!$F$38,'Menu déroulant'!$AA$22:$AD$24,4,0)</f>
        <v>10</v>
      </c>
      <c r="Q54" s="413" t="e">
        <f>IF('Saisie de données'!$C$61='Menu déroulant'!$AA$31,VLOOKUP(Q$29,'Infos Techniques'!$B$7:$H$12,2,0)/($E54*'Saisie de données'!$F$61/12),VLOOKUP(Q$29,'Infos Techniques'!$B$7:$H$12,5,0)/($E54*'Saisie de données'!$F$61/12))*VLOOKUP('Saisie de données'!$F$38,'Menu déroulant'!$AA$22:$AD$24,4,0)</f>
        <v>#N/A</v>
      </c>
      <c r="R54" s="413" t="e">
        <f>IF('Saisie de données'!$C$61='Menu déroulant'!$AA$31,VLOOKUP(R$29,'Infos Techniques'!$B$7:$H$12,2,0)/($E54*'Saisie de données'!$F$61/12),VLOOKUP(R$29,'Infos Techniques'!$B$7:$H$12,5,0)/($E54*'Saisie de données'!$F$61/12))*VLOOKUP('Saisie de données'!$F$38,'Menu déroulant'!$AA$22:$AD$24,4,0)</f>
        <v>#N/A</v>
      </c>
      <c r="S54" s="413" t="e">
        <f>IF('Saisie de données'!$C$61='Menu déroulant'!$AA$31,VLOOKUP(S$29,'Infos Techniques'!$B$7:$H$12,2,0)/($E54*'Saisie de données'!$F$61/12),VLOOKUP(S$29,'Infos Techniques'!$B$7:$H$12,5,0)/($E54*'Saisie de données'!$F$61/12))*VLOOKUP('Saisie de données'!$F$38,'Menu déroulant'!$AA$22:$AD$24,4,0)</f>
        <v>#N/A</v>
      </c>
      <c r="T54" s="413" t="e">
        <f>IF('Saisie de données'!$C$61='Menu déroulant'!$AA$31,VLOOKUP(T$29,'Infos Techniques'!$B$7:$H$12,2,0)/($E54*'Saisie de données'!$F$61/12),VLOOKUP(T$29,'Infos Techniques'!$B$7:$H$12,5,0)/($E54*'Saisie de données'!$F$61/12))*VLOOKUP('Saisie de données'!$F$38,'Menu déroulant'!$AA$22:$AD$24,4,0)</f>
        <v>#N/A</v>
      </c>
      <c r="U54" s="413" t="e">
        <f>IF('Saisie de données'!$C$61='Menu déroulant'!$AA$31,VLOOKUP(U$29,'Infos Techniques'!$B$7:$H$12,2,0)/($E54*'Saisie de données'!$F$61/12),VLOOKUP(U$29,'Infos Techniques'!$B$7:$H$12,5,0)/($E54*'Saisie de données'!$F$61/12))*VLOOKUP('Saisie de données'!$F$38,'Menu déroulant'!$AA$22:$AD$24,4,0)</f>
        <v>#N/A</v>
      </c>
      <c r="V54" s="413" t="e">
        <f>IF('Saisie de données'!$C$61='Menu déroulant'!$AA$31,VLOOKUP(V$29,'Infos Techniques'!$B$7:$H$12,4,0)/($E54*'Saisie de données'!$F$61/12),VLOOKUP(V$29,'Infos Techniques'!$B$7:$H$12,7,0)/($E54*'Saisie de données'!$F$61/12))*VLOOKUP('Saisie de données'!$F$38,'Menu déroulant'!$AA$22:$AD$24,4,0)</f>
        <v>#N/A</v>
      </c>
      <c r="W54" s="413" t="e">
        <f>IF('Saisie de données'!$C$61='Menu déroulant'!$AA$31,VLOOKUP(W$29,'Infos Techniques'!$B$7:$H$12,4,0)/($E54*'Saisie de données'!$F$61/12),VLOOKUP(W$29,'Infos Techniques'!$B$7:$H$12,7,0)/($E54*'Saisie de données'!$F$61/12))*VLOOKUP('Saisie de données'!$F$38,'Menu déroulant'!$AA$22:$AD$24,4,0)</f>
        <v>#N/A</v>
      </c>
      <c r="X54" s="413" t="e">
        <f>IF('Saisie de données'!$C$61='Menu déroulant'!$AA$31,VLOOKUP(X$29,'Infos Techniques'!$B$7:$H$12,4,0)/($E54*'Saisie de données'!$F$61/12),VLOOKUP(X$29,'Infos Techniques'!$B$7:$H$12,7,0)/($E54*'Saisie de données'!$F$61/12))*VLOOKUP('Saisie de données'!$F$38,'Menu déroulant'!$AA$22:$AD$24,4,0)</f>
        <v>#N/A</v>
      </c>
      <c r="Y54" s="413" t="e">
        <f>IF('Saisie de données'!$C$61='Menu déroulant'!$AA$31,VLOOKUP(Y$29,'Infos Techniques'!$B$7:$H$12,4,0)/($E54*'Saisie de données'!$F$61/12),VLOOKUP(Y$29,'Infos Techniques'!$B$7:$H$12,7,0)/($E54*'Saisie de données'!$F$61/12))*VLOOKUP('Saisie de données'!$F$38,'Menu déroulant'!$AA$22:$AD$24,4,0)</f>
        <v>#N/A</v>
      </c>
      <c r="Z54" s="413" t="e">
        <f>IF('Saisie de données'!$C$61='Menu déroulant'!$AA$31,VLOOKUP(Z$29,'Infos Techniques'!$B$7:$H$12,4,0)/($E54*'Saisie de données'!$F$61/12),VLOOKUP(Z$29,'Infos Techniques'!$B$7:$H$12,7,0)/($E54*'Saisie de données'!$F$61/12))*VLOOKUP('Saisie de données'!$F$38,'Menu déroulant'!$AA$22:$AD$24,4,0)</f>
        <v>#N/A</v>
      </c>
      <c r="AA54" s="440" t="e">
        <f>VLOOKUP(AA$29,'Infos Techniques'!$I$5:$K$12,2,0)/($E54*'Saisie de données'!$F$61/12)*VLOOKUP('Saisie de données'!$F$38,'Menu déroulant'!$AA$22:$AD$24,4,0)</f>
        <v>#N/A</v>
      </c>
      <c r="AB54" s="413" t="e">
        <f>VLOOKUP(AB$29,'Infos Techniques'!$I$5:$K$12,2,0)/($E54*'Saisie de données'!$F$61/12)*VLOOKUP('Saisie de données'!$F$38,'Menu déroulant'!$AA$22:$AD$24,4,0)</f>
        <v>#N/A</v>
      </c>
      <c r="AC54" s="413" t="e">
        <f>VLOOKUP(AC$29,'Infos Techniques'!$I$5:$K$12,2,0)/($E54*'Saisie de données'!$F$61/12)*VLOOKUP('Saisie de données'!$F$38,'Menu déroulant'!$AA$22:$AD$24,4,0)</f>
        <v>#N/A</v>
      </c>
      <c r="AD54" s="413" t="e">
        <f>VLOOKUP(AD$29,'Infos Techniques'!$I$5:$K$12,2,0)/($E54*'Saisie de données'!$F$61/12)*VLOOKUP('Saisie de données'!$F$38,'Menu déroulant'!$AA$22:$AD$24,4,0)</f>
        <v>#N/A</v>
      </c>
      <c r="AE54" s="413" cm="1">
        <f t="array" ref="AE54">_xlfn.IFS(OR('Saisie de données'!$D$13='Menu déroulant'!$AA$3,'Saisie de données'!$D$13='Menu déroulant'!$AA$4),'Synthèse résultat'!AE111,'Saisie de données'!$D$16='Menu déroulant'!$B$20,AE93,'Saisie de données'!$D$16='Menu déroulant'!$B$21,AE73)</f>
        <v>0</v>
      </c>
      <c r="AF54" s="413" t="e">
        <f>VLOOKUP(AF$29,'Infos Techniques'!$I$5:$K$12,2,0)/($E54*'Saisie de données'!$F$61/12)*VLOOKUP('Saisie de données'!$F$38,'Menu déroulant'!$AA$22:$AD$24,4,0)</f>
        <v>#N/A</v>
      </c>
      <c r="AG54" s="413" t="e">
        <f>VLOOKUP(AG$29,'Infos Techniques'!$I$5:$K$12,2,0)/($E54*'Saisie de données'!$F$61/12)*VLOOKUP('Saisie de données'!$F$38,'Menu déroulant'!$AA$22:$AD$24,4,0)</f>
        <v>#N/A</v>
      </c>
      <c r="AH54" s="413" cm="1">
        <f t="array" ref="AH54">_xlfn.IFS(OR('Saisie de données'!$D$13='Menu déroulant'!$AA$3,'Saisie de données'!$D$13='Menu déroulant'!$AA$4),'Synthèse résultat'!AH111,'Saisie de données'!$D$16='Menu déroulant'!$B$20,AH93,'Saisie de données'!$D$16='Menu déroulant'!$B$21,AH73)</f>
        <v>0</v>
      </c>
      <c r="AI54" s="413" t="e">
        <f>VLOOKUP(AI$29,'Infos Techniques'!$I$5:$K$12,3,0)/($E54*'Saisie de données'!$F$61/12)*VLOOKUP('Saisie de données'!$F$38,'Menu déroulant'!$AA$22:$AD$24,4,0)</f>
        <v>#N/A</v>
      </c>
      <c r="AJ54" s="413" t="e">
        <f>VLOOKUP(AJ$29,'Infos Techniques'!$I$5:$K$12,3,0)/($E54*'Saisie de données'!$F$61/12)*VLOOKUP('Saisie de données'!$F$38,'Menu déroulant'!$AA$22:$AD$24,4,0)</f>
        <v>#N/A</v>
      </c>
      <c r="AK54" s="413" t="e">
        <f>VLOOKUP(AK$29,'Infos Techniques'!$I$5:$K$12,3,0)/($E54*'Saisie de données'!$F$61/12)*VLOOKUP('Saisie de données'!$F$38,'Menu déroulant'!$AA$22:$AD$24,4,0)</f>
        <v>#N/A</v>
      </c>
      <c r="AL54" s="413" t="e">
        <f>VLOOKUP(AL$29,'Infos Techniques'!$I$5:$K$12,3,0)/($E54*'Saisie de données'!$F$61/12)*VLOOKUP('Saisie de données'!$F$38,'Menu déroulant'!$AA$22:$AD$24,4,0)</f>
        <v>#N/A</v>
      </c>
      <c r="AM54" s="413" t="e">
        <f>VLOOKUP(AM$29,'Infos Techniques'!$I$5:$K$12,3,0)/($E54*'Saisie de données'!$F$61/12)*VLOOKUP('Saisie de données'!$F$38,'Menu déroulant'!$AA$22:$AD$24,4,0)</f>
        <v>#N/A</v>
      </c>
      <c r="AN54" s="413" t="e">
        <f>VLOOKUP(AN$29,'Infos Techniques'!$I$5:$K$12,3,0)/($E54*'Saisie de données'!$F$61/12)*VLOOKUP('Saisie de données'!$F$38,'Menu déroulant'!$AA$22:$AD$24,4,0)</f>
        <v>#N/A</v>
      </c>
      <c r="AO54" s="413" t="e">
        <f>VLOOKUP(AO$29,'Infos Techniques'!$I$5:$K$12,3,0)/($E54*'Saisie de données'!$F$61/12)*VLOOKUP('Saisie de données'!$F$38,'Menu déroulant'!$AA$22:$AD$24,4,0)</f>
        <v>#N/A</v>
      </c>
      <c r="AP54" s="414" t="e">
        <f>VLOOKUP(AP$29,'Infos Techniques'!$I$5:$K$12,3,0)/($E54*'Saisie de données'!$F$61/12)*VLOOKUP('Saisie de données'!$F$38,'Menu déroulant'!$AA$22:$AD$24,4,0)</f>
        <v>#N/A</v>
      </c>
    </row>
    <row r="55" spans="2:44">
      <c r="B55" s="1568"/>
      <c r="C55" s="1571"/>
      <c r="D55" s="28" t="s">
        <v>347</v>
      </c>
      <c r="E55" s="43" t="e">
        <f>IF(ISBLANK('Saisie de données'!$E$30),'Charges de ventUSA'!$E36,'Saisie de données'!$E$30)</f>
        <v>#N/A</v>
      </c>
      <c r="F55" s="415" t="e" cm="1">
        <f t="array" aca="1" ref="F55" ca="1">IF('Saisie de données'!$K$61='Menu déroulant'!$AA$34,VLOOKUP(MAX(IF(INDIRECT("Norex2_"&amp;'Saisie de données'!$H$61&amp;"_"&amp;'Saisie de données'!$I$61&amp;"_S")&lt;='Synthèse résultat'!$E55,INDIRECT("Norex2_"&amp;'Saisie de données'!$H$61&amp;"_"&amp;'Saisie de données'!$I$61&amp;"_S"))),'Courbe Déflexion'!O$5:$X$285,10,0)*VLOOKUP('Saisie de données'!$F$38,'Menu déroulant'!$AA$22:$AD$24,4,0),VLOOKUP(MAX(IF(INDIRECT("Norex2_"&amp;'Saisie de données'!$H$61&amp;"_"&amp;'Saisie de données'!$I$61&amp;"_M")&lt;='Synthèse résultat'!$E55,INDIRECT("Norex2_"&amp;'Saisie de données'!$H$61&amp;"_"&amp;'Saisie de données'!$I$61&amp;"_M"))),'Courbe Déflexion'!$DW$5:$EF$217,10,0)*VLOOKUP('Saisie de données'!$F$38,'Menu déroulant'!$AA$22:$AD$24,4,0))</f>
        <v>#N/A</v>
      </c>
      <c r="G55" s="415" t="e" cm="1">
        <f t="array" aca="1" ref="G55" ca="1">IF('Saisie de données'!$K$60='Menu déroulant'!$AA$34,VLOOKUP(MAX(IF(INDIRECT("Norex3_"&amp;'Saisie de données'!$H$61&amp;"_"&amp;'Saisie de données'!$I$61&amp;"_S")&lt;='Synthèse résultat'!$E55,INDIRECT("Norex3_"&amp;'Saisie de données'!$H$61&amp;"_"&amp;'Saisie de données'!$I$61&amp;"_S"))),'Courbe Déflexion'!$Z$5:$AI$329,10,0)*VLOOKUP('Saisie de données'!$F$38,'Menu déroulant'!$AA$22:$AD$24,4,0),VLOOKUP(MAX(IF(INDIRECT("Norex3_"&amp;'Saisie de données'!$H$61&amp;"_"&amp;'Saisie de données'!$I$61&amp;"_M")&lt;='Synthèse résultat'!$E55,INDIRECT("Norex3_"&amp;'Saisie de données'!$H$61&amp;"_"&amp;'Saisie de données'!$I$61&amp;"_M"))),'Courbe Déflexion'!$EH$5:$EQ$309,10,0)*VLOOKUP('Saisie de données'!$F$38,'Menu déroulant'!$AA$22:$AD$24,4,0))</f>
        <v>#N/A</v>
      </c>
      <c r="H55" s="415" t="e" cm="1">
        <f t="array" aca="1" ref="H55" ca="1">IF('Saisie de données'!$K$60='Menu déroulant'!$AA$34,VLOOKUP(MAX(IF(INDIRECT("Norex4_"&amp;'Saisie de données'!$H$61&amp;"_"&amp;'Saisie de données'!$I$61&amp;"_S")&lt;='Synthèse résultat'!$E55,INDIRECT("Norex4_"&amp;'Saisie de données'!$H$61&amp;"_"&amp;'Saisie de données'!$I$61&amp;"_S"))),'Courbe Déflexion'!$AK$5:$AT$306,10,0)*VLOOKUP('Saisie de données'!$F$38,'Menu déroulant'!$AA$22:$AD$24,4,0),VLOOKUP(MAX(IF(INDIRECT("Norex4_"&amp;'Saisie de données'!$H$61&amp;"_"&amp;'Saisie de données'!$I$61&amp;"_M")&lt;='Synthèse résultat'!$E55,INDIRECT("Norex4_"&amp;'Saisie de données'!$H$61&amp;"_"&amp;'Saisie de données'!$I$61&amp;"_M"))),'Courbe Déflexion'!$ES$5:$FB$285,10,0)*VLOOKUP('Saisie de données'!$F$38,'Menu déroulant'!$AA$22:$AD$24,4,0))</f>
        <v>#N/A</v>
      </c>
      <c r="I55" s="415" t="e" cm="1">
        <f t="array" aca="1" ref="I55" ca="1">IF('Saisie de données'!$K$60='Menu déroulant'!$AA$34,VLOOKUP(MAX(IF(INDIRECT("Norex5_"&amp;'Saisie de données'!$H$61&amp;"_"&amp;'Saisie de données'!$I$61&amp;"_S")&lt;='Synthèse résultat'!$E55,INDIRECT("Norex5_"&amp;'Saisie de données'!$H$61&amp;"_"&amp;'Saisie de données'!$I$61&amp;"_S"))),'Courbe Déflexion'!$AV$5:$BE$306,10,0)*VLOOKUP('Saisie de données'!$F$38,'Menu déroulant'!$AA$22:$AD$24,4,0),VLOOKUP(MAX(IF(INDIRECT("Norex5_"&amp;'Saisie de données'!$H$61&amp;"_"&amp;'Saisie de données'!$I$61&amp;"_M")&lt;='Synthèse résultat'!$E55,INDIRECT("Norex5_"&amp;'Saisie de données'!$H$61&amp;"_"&amp;'Saisie de données'!$I$61&amp;"_M"))),'Courbe Déflexion'!$FD$5:$FM$285,10,0)*VLOOKUP('Saisie de données'!$F$38,'Menu déroulant'!$AA$22:$AD$24,4,0))</f>
        <v>#N/A</v>
      </c>
      <c r="J55" s="415" t="e" cm="1">
        <f t="array" aca="1" ref="J55" ca="1">IF('Saisie de données'!$K$60='Menu déroulant'!$AA$34,VLOOKUP(MAX(IF(INDIRECT("Norex6_"&amp;'Saisie de données'!$H$61&amp;"_"&amp;'Saisie de données'!$I$61&amp;"_S")&lt;='Synthèse résultat'!$E55,INDIRECT("Norex6_"&amp;'Saisie de données'!$H$61&amp;"_"&amp;'Saisie de données'!$I$61&amp;"_S"))),'Courbe Déflexion'!$BG$5:$BP$306,10,0)*VLOOKUP('Saisie de données'!$F$38,'Menu déroulant'!$AA$22:$AD$24,4,0),VLOOKUP(MAX(IF(INDIRECT("Norex6_"&amp;'Saisie de données'!$H$61&amp;"_"&amp;'Saisie de données'!$I$61&amp;"_M")&lt;='Synthèse résultat'!$E55,INDIRECT("Norex6_"&amp;'Saisie de données'!$H$61&amp;"_"&amp;'Saisie de données'!$I$61&amp;"_M"))),'Courbe Déflexion'!$FO$5:$FX$286,10,0)*VLOOKUP('Saisie de données'!$F$38,'Menu déroulant'!$AA$22:$AD$24,4,0))</f>
        <v>#N/A</v>
      </c>
      <c r="K55" s="415" t="e" cm="1">
        <f t="array" aca="1" ref="K55" ca="1">IF('Saisie de données'!$K$60='Menu déroulant'!$AA$34,VLOOKUP(MAX(IF(INDIRECT("Norex8_"&amp;'Saisie de données'!$H$61&amp;"_"&amp;'Saisie de données'!$I$61&amp;"_S")&lt;='Synthèse résultat'!$E55,INDIRECT("Norex8_"&amp;'Saisie de données'!$H$61&amp;"_"&amp;'Saisie de données'!$I$61&amp;"_S"))),'Courbe Déflexion'!$BR$5:$CA$306,10,0)*VLOOKUP('Saisie de données'!$F$38,'Menu déroulant'!$AA$22:$AD$24,4,0),VLOOKUP(MAX(IF(INDIRECT("Norex8_"&amp;'Saisie de données'!$H$61&amp;"_"&amp;'Saisie de données'!$I$61&amp;"_M")&lt;='Synthèse résultat'!$E55,INDIRECT("Norex8_"&amp;'Saisie de données'!$H$61&amp;"_"&amp;'Saisie de données'!$I$61&amp;"_M"))),'Courbe Déflexion'!$FZ$5:$GI$286,10,0)*VLOOKUP('Saisie de données'!$F$38,'Menu déroulant'!$AA$22:$AD$24,4,0))</f>
        <v>#N/A</v>
      </c>
      <c r="L55" s="415" t="e" cm="1">
        <f t="array" aca="1" ref="L55" ca="1">IF('Saisie de données'!$K$60='Menu déroulant'!$AA$34,VLOOKUP(MAX(IF(INDIRECT("Noroc4_"&amp;'Saisie de données'!$H$61&amp;"_"&amp;'Saisie de données'!$I$61&amp;"_S")&lt;='Synthèse résultat'!$E55,INDIRECT("Noroc4_"&amp;'Saisie de données'!$H$61&amp;"_"&amp;'Saisie de données'!$I$61&amp;"_S"))),'Courbe Déflexion'!$CC$5:$CL$306,10,0)*VLOOKUP('Saisie de données'!$F$38,'Menu déroulant'!$AA$22:$AD$24,4,0),VLOOKUP(MAX(IF(INDIRECT("Noroc4_"&amp;'Saisie de données'!$H$61&amp;"_"&amp;'Saisie de données'!$I$61&amp;"_M")&lt;='Synthèse résultat'!$E55,INDIRECT("Noroc4_"&amp;'Saisie de données'!$H$61&amp;"_"&amp;'Saisie de données'!$I$61&amp;"_M"))),'Courbe Déflexion'!$GK$5:$GT$286,10,0)*VLOOKUP('Saisie de données'!$F$38,'Menu déroulant'!$AA$22:$AD$24,4,0))</f>
        <v>#N/A</v>
      </c>
      <c r="M55" s="415" t="e" cm="1">
        <f t="array" aca="1" ref="M55" ca="1">IF('Saisie de données'!$K$60='Menu déroulant'!$AA$34,VLOOKUP(MAX(IF(INDIRECT("Noroc5_"&amp;'Saisie de données'!$H$61&amp;"_"&amp;'Saisie de données'!$I$61&amp;"_S")&lt;='Synthèse résultat'!$E55,INDIRECT("Noroc5_"&amp;'Saisie de données'!$H$61&amp;"_"&amp;'Saisie de données'!$I$61&amp;"_S"))),'Courbe Déflexion'!$CN$5:$CW$306,10,0)*VLOOKUP('Saisie de données'!$F$38,'Menu déroulant'!$AA$22:$AD$24,4,0),VLOOKUP(MAX(IF(INDIRECT("Noroc5_"&amp;'Saisie de données'!$H$61&amp;"_"&amp;'Saisie de données'!$I$61&amp;"_M")&lt;='Synthèse résultat'!$E55,INDIRECT("Noroc5_"&amp;'Saisie de données'!$H$61&amp;"_"&amp;'Saisie de données'!$I$61&amp;"_M"))),'Courbe Déflexion'!$GV$5:$HE$286,10,0)*VLOOKUP('Saisie de données'!$F$38,'Menu déroulant'!$AA$22:$AD$24,4,0))</f>
        <v>#N/A</v>
      </c>
      <c r="N55" s="415" t="e" cm="1">
        <f t="array" aca="1" ref="N55" ca="1">IF('Saisie de données'!$K$60='Menu déroulant'!$AA$34,VLOOKUP(MAX(IF(INDIRECT("Noroc6_"&amp;'Saisie de données'!$H$61&amp;"_"&amp;'Saisie de données'!$I$61&amp;"_S")&lt;='Synthèse résultat'!$E55,INDIRECT("Noroc6_"&amp;'Saisie de données'!$H$61&amp;"_"&amp;'Saisie de données'!$I$61&amp;"_S"))),'Courbe Déflexion'!$CY$5:$DH$306,10,0)*VLOOKUP('Saisie de données'!$F$38,'Menu déroulant'!$AA$22:$AD$24,4,0),VLOOKUP(MAX(IF(INDIRECT("Noroc6_"&amp;'Saisie de données'!$H$61&amp;"_"&amp;'Saisie de données'!$I$61&amp;"_M")&lt;='Synthèse résultat'!$E55,INDIRECT("Noroc6_"&amp;'Saisie de données'!$H$61&amp;"_"&amp;'Saisie de données'!$I$61&amp;"_M"))),'Courbe Déflexion'!$HG$5:$HP$286,10,0)*VLOOKUP('Saisie de données'!$F$38,'Menu déroulant'!$AA$22:$AD$24,4,0))</f>
        <v>#N/A</v>
      </c>
      <c r="O55" s="415" t="e" cm="1">
        <f t="array" aca="1" ref="O55" ca="1">IF('Saisie de données'!$K$60='Menu déroulant'!$AA$34,VLOOKUP(MAX(IF(INDIRECT("Noroc8_"&amp;'Saisie de données'!$H$61&amp;"_"&amp;'Saisie de données'!$I$61&amp;"_S")&lt;='Synthèse résultat'!$E55,INDIRECT("Noroc8_"&amp;'Saisie de données'!$H$61&amp;"_"&amp;'Saisie de données'!$I$61&amp;"_S"))),'Courbe Déflexion'!$DJ$5:$DS$306,10,0)*VLOOKUP('Saisie de données'!$F$38,'Menu déroulant'!$AA$22:$AD$24,4,0),VLOOKUP(MAX(IF(INDIRECT("Noroc8_"&amp;'Saisie de données'!$H$61&amp;"_"&amp;'Saisie de données'!$I$61&amp;"_M")&lt;='Synthèse résultat'!$E55,INDIRECT("Noroc8_"&amp;'Saisie de données'!$H$61&amp;"_"&amp;'Saisie de données'!$I$61&amp;"_M"))),'Courbe Déflexion'!$HR$5:$IA$286,10,0)*VLOOKUP('Saisie de données'!$F$38,'Menu déroulant'!$AA$22:$AD$24,4,0))</f>
        <v>#N/A</v>
      </c>
      <c r="P55" s="416">
        <f>VLOOKUP('Saisie de données'!$J$61,'Infos Techniques'!$U$15:$AF$43,12,0)*VLOOKUP('Saisie de données'!$F$38,'Menu déroulant'!$AA$22:$AD$24,4,0)</f>
        <v>10</v>
      </c>
      <c r="Q55" s="326" t="e">
        <f>IF('Saisie de données'!$C$61='Menu déroulant'!$AA$31,VLOOKUP(Q$29,'Infos Techniques'!$B$7:$H$12,2,0)/($E55*'Saisie de données'!$F$61/12),VLOOKUP(Q$29,'Infos Techniques'!$B$7:$H$12,5,0)/($E55*'Saisie de données'!$F$61/12))*VLOOKUP('Saisie de données'!$F$38,'Menu déroulant'!$AA$22:$AD$24,4,0)</f>
        <v>#N/A</v>
      </c>
      <c r="R55" s="326" t="e">
        <f>IF('Saisie de données'!$C$61='Menu déroulant'!$AA$31,VLOOKUP(R$29,'Infos Techniques'!$B$7:$H$12,2,0)/($E55*'Saisie de données'!$F$61/12),VLOOKUP(R$29,'Infos Techniques'!$B$7:$H$12,5,0)/($E55*'Saisie de données'!$F$61/12))*VLOOKUP('Saisie de données'!$F$38,'Menu déroulant'!$AA$22:$AD$24,4,0)</f>
        <v>#N/A</v>
      </c>
      <c r="S55" s="326" t="e">
        <f>IF('Saisie de données'!$C$61='Menu déroulant'!$AA$31,VLOOKUP(S$29,'Infos Techniques'!$B$7:$H$12,2,0)/($E55*'Saisie de données'!$F$61/12),VLOOKUP(S$29,'Infos Techniques'!$B$7:$H$12,5,0)/($E55*'Saisie de données'!$F$61/12))*VLOOKUP('Saisie de données'!$F$38,'Menu déroulant'!$AA$22:$AD$24,4,0)</f>
        <v>#N/A</v>
      </c>
      <c r="T55" s="326" t="e">
        <f>IF('Saisie de données'!$C$61='Menu déroulant'!$AA$31,VLOOKUP(T$29,'Infos Techniques'!$B$7:$H$12,2,0)/($E55*'Saisie de données'!$F$61/12),VLOOKUP(T$29,'Infos Techniques'!$B$7:$H$12,5,0)/($E55*'Saisie de données'!$F$61/12))*VLOOKUP('Saisie de données'!$F$38,'Menu déroulant'!$AA$22:$AD$24,4,0)</f>
        <v>#N/A</v>
      </c>
      <c r="U55" s="326" t="e">
        <f>IF('Saisie de données'!$C$61='Menu déroulant'!$AA$31,VLOOKUP(U$29,'Infos Techniques'!$B$7:$H$12,2,0)/($E55*'Saisie de données'!$F$61/12),VLOOKUP(U$29,'Infos Techniques'!$B$7:$H$12,5,0)/($E55*'Saisie de données'!$F$61/12))*VLOOKUP('Saisie de données'!$F$38,'Menu déroulant'!$AA$22:$AD$24,4,0)</f>
        <v>#N/A</v>
      </c>
      <c r="V55" s="326" t="e">
        <f>IF('Saisie de données'!$C$61='Menu déroulant'!$AA$31,VLOOKUP(V$29,'Infos Techniques'!$B$7:$H$12,4,0)/($E55*'Saisie de données'!$F$61/12),VLOOKUP(V$29,'Infos Techniques'!$B$7:$H$12,7,0)/($E55*'Saisie de données'!$F$61/12))*VLOOKUP('Saisie de données'!$F$38,'Menu déroulant'!$AA$22:$AD$24,4,0)</f>
        <v>#N/A</v>
      </c>
      <c r="W55" s="326" t="e">
        <f>IF('Saisie de données'!$C$61='Menu déroulant'!$AA$31,VLOOKUP(W$29,'Infos Techniques'!$B$7:$H$12,4,0)/($E55*'Saisie de données'!$F$61/12),VLOOKUP(W$29,'Infos Techniques'!$B$7:$H$12,7,0)/($E55*'Saisie de données'!$F$61/12))*VLOOKUP('Saisie de données'!$F$38,'Menu déroulant'!$AA$22:$AD$24,4,0)</f>
        <v>#N/A</v>
      </c>
      <c r="X55" s="326" t="e">
        <f>IF('Saisie de données'!$C$61='Menu déroulant'!$AA$31,VLOOKUP(X$29,'Infos Techniques'!$B$7:$H$12,4,0)/($E55*'Saisie de données'!$F$61/12),VLOOKUP(X$29,'Infos Techniques'!$B$7:$H$12,7,0)/($E55*'Saisie de données'!$F$61/12))*VLOOKUP('Saisie de données'!$F$38,'Menu déroulant'!$AA$22:$AD$24,4,0)</f>
        <v>#N/A</v>
      </c>
      <c r="Y55" s="326" t="e">
        <f>IF('Saisie de données'!$C$61='Menu déroulant'!$AA$31,VLOOKUP(Y$29,'Infos Techniques'!$B$7:$H$12,4,0)/($E55*'Saisie de données'!$F$61/12),VLOOKUP(Y$29,'Infos Techniques'!$B$7:$H$12,7,0)/($E55*'Saisie de données'!$F$61/12))*VLOOKUP('Saisie de données'!$F$38,'Menu déroulant'!$AA$22:$AD$24,4,0)</f>
        <v>#N/A</v>
      </c>
      <c r="Z55" s="417" t="e">
        <f>IF('Saisie de données'!$C$61='Menu déroulant'!$AA$31,VLOOKUP(Z$29,'Infos Techniques'!$B$7:$H$12,4,0)/($E55*'Saisie de données'!$F$61/12),VLOOKUP(Z$29,'Infos Techniques'!$B$7:$H$12,7,0)/($E55*'Saisie de données'!$F$61/12))*VLOOKUP('Saisie de données'!$F$38,'Menu déroulant'!$AA$22:$AD$24,4,0)</f>
        <v>#N/A</v>
      </c>
      <c r="AA55" s="442" t="e">
        <f>VLOOKUP(AA$29,'Infos Techniques'!$I$5:$K$12,2,0)/($E55*'Saisie de données'!$F$61/12)*VLOOKUP('Saisie de données'!$F$38,'Menu déroulant'!$AA$22:$AD$24,4,0)</f>
        <v>#N/A</v>
      </c>
      <c r="AB55" s="326" t="e">
        <f>VLOOKUP(AB$29,'Infos Techniques'!$I$5:$K$12,2,0)/($E55*'Saisie de données'!$F$61/12)*VLOOKUP('Saisie de données'!$F$38,'Menu déroulant'!$AA$22:$AD$24,4,0)</f>
        <v>#N/A</v>
      </c>
      <c r="AC55" s="326" t="e">
        <f>VLOOKUP(AC$29,'Infos Techniques'!$I$5:$K$12,2,0)/($E55*'Saisie de données'!$F$61/12)*VLOOKUP('Saisie de données'!$F$38,'Menu déroulant'!$AA$22:$AD$24,4,0)</f>
        <v>#N/A</v>
      </c>
      <c r="AD55" s="326" t="e">
        <f>VLOOKUP(AD$29,'Infos Techniques'!$I$5:$K$12,2,0)/($E55*'Saisie de données'!$F$61/12)*VLOOKUP('Saisie de données'!$F$38,'Menu déroulant'!$AA$22:$AD$24,4,0)</f>
        <v>#N/A</v>
      </c>
      <c r="AE55" s="326" cm="1">
        <f t="array" ref="AE55">_xlfn.IFS(OR('Saisie de données'!$D$13='Menu déroulant'!$AA$3,'Saisie de données'!$D$13='Menu déroulant'!$AA$4),'Synthèse résultat'!AE112,'Saisie de données'!$D$16='Menu déroulant'!$B$20,AE94,'Saisie de données'!$D$16='Menu déroulant'!$B$21,AE74)</f>
        <v>0</v>
      </c>
      <c r="AF55" s="326" t="e">
        <f>VLOOKUP(AF$29,'Infos Techniques'!$I$5:$K$12,2,0)/($E55*'Saisie de données'!$F$61/12)*VLOOKUP('Saisie de données'!$F$38,'Menu déroulant'!$AA$22:$AD$24,4,0)</f>
        <v>#N/A</v>
      </c>
      <c r="AG55" s="326" t="e">
        <f>VLOOKUP(AG$29,'Infos Techniques'!$I$5:$K$12,2,0)/($E55*'Saisie de données'!$F$61/12)*VLOOKUP('Saisie de données'!$F$38,'Menu déroulant'!$AA$22:$AD$24,4,0)</f>
        <v>#N/A</v>
      </c>
      <c r="AH55" s="326" cm="1">
        <f t="array" ref="AH55">_xlfn.IFS(OR('Saisie de données'!$D$13='Menu déroulant'!$AA$3,'Saisie de données'!$D$13='Menu déroulant'!$AA$4),'Synthèse résultat'!AH112,'Saisie de données'!$D$16='Menu déroulant'!$B$20,AH94,'Saisie de données'!$D$16='Menu déroulant'!$B$21,AH74)</f>
        <v>0</v>
      </c>
      <c r="AI55" s="326" t="e">
        <f>VLOOKUP(AI$29,'Infos Techniques'!$I$5:$K$12,3,0)/($E55*'Saisie de données'!$F$61/12)*VLOOKUP('Saisie de données'!$F$38,'Menu déroulant'!$AA$22:$AD$24,4,0)</f>
        <v>#N/A</v>
      </c>
      <c r="AJ55" s="326" t="e">
        <f>VLOOKUP(AJ$29,'Infos Techniques'!$I$5:$K$12,3,0)/($E55*'Saisie de données'!$F$61/12)*VLOOKUP('Saisie de données'!$F$38,'Menu déroulant'!$AA$22:$AD$24,4,0)</f>
        <v>#N/A</v>
      </c>
      <c r="AK55" s="326" t="e">
        <f>VLOOKUP(AK$29,'Infos Techniques'!$I$5:$K$12,3,0)/($E55*'Saisie de données'!$F$61/12)*VLOOKUP('Saisie de données'!$F$38,'Menu déroulant'!$AA$22:$AD$24,4,0)</f>
        <v>#N/A</v>
      </c>
      <c r="AL55" s="326" t="e">
        <f>VLOOKUP(AL$29,'Infos Techniques'!$I$5:$K$12,3,0)/($E55*'Saisie de données'!$F$61/12)*VLOOKUP('Saisie de données'!$F$38,'Menu déroulant'!$AA$22:$AD$24,4,0)</f>
        <v>#N/A</v>
      </c>
      <c r="AM55" s="326" t="e">
        <f>VLOOKUP(AM$29,'Infos Techniques'!$I$5:$K$12,3,0)/($E55*'Saisie de données'!$F$61/12)*VLOOKUP('Saisie de données'!$F$38,'Menu déroulant'!$AA$22:$AD$24,4,0)</f>
        <v>#N/A</v>
      </c>
      <c r="AN55" s="326" t="e">
        <f>VLOOKUP(AN$29,'Infos Techniques'!$I$5:$K$12,3,0)/($E55*'Saisie de données'!$F$61/12)*VLOOKUP('Saisie de données'!$F$38,'Menu déroulant'!$AA$22:$AD$24,4,0)</f>
        <v>#N/A</v>
      </c>
      <c r="AO55" s="326" t="e">
        <f>VLOOKUP(AO$29,'Infos Techniques'!$I$5:$K$12,3,0)/($E55*'Saisie de données'!$F$61/12)*VLOOKUP('Saisie de données'!$F$38,'Menu déroulant'!$AA$22:$AD$24,4,0)</f>
        <v>#N/A</v>
      </c>
      <c r="AP55" s="417" t="e">
        <f>VLOOKUP(AP$29,'Infos Techniques'!$I$5:$K$12,3,0)/($E55*'Saisie de données'!$F$61/12)*VLOOKUP('Saisie de données'!$F$38,'Menu déroulant'!$AA$22:$AD$24,4,0)</f>
        <v>#N/A</v>
      </c>
    </row>
    <row r="56" spans="2:44">
      <c r="B56" s="1568"/>
      <c r="C56" s="1572" t="s">
        <v>111</v>
      </c>
      <c r="D56" s="28" t="s">
        <v>346</v>
      </c>
      <c r="E56" s="43" t="e">
        <f>IF(ISBLANK('Saisie de données'!$E$31),'Charges de ventUSA'!$D37,0)</f>
        <v>#N/A</v>
      </c>
      <c r="F56" s="415" t="e" cm="1">
        <f t="array" aca="1" ref="F56" ca="1">VLOOKUP(MAX(IF(INDIRECT("Norex2_"&amp;'Saisie de données'!$H$61&amp;"_"&amp;'Saisie de données'!$I$61&amp;"_S")&lt;='Synthèse résultat'!$E56,INDIRECT("Norex2_"&amp;'Saisie de données'!$H$61&amp;"_"&amp;'Saisie de données'!$I$61&amp;"_S"))),'Courbe Déflexion'!O$5:$X$285,10,0)*0.3798*VLOOKUP('Saisie de données'!$F$38,'Menu déroulant'!$AA$22:$AD$24,4,0)</f>
        <v>#N/A</v>
      </c>
      <c r="G56" s="415" t="e" cm="1">
        <f t="array" aca="1" ref="G56" ca="1">VLOOKUP(MAX(IF(INDIRECT("Norex3_"&amp;'Saisie de données'!$H$61&amp;"_"&amp;'Saisie de données'!$I$61&amp;"_S")&lt;='Synthèse résultat'!$E56,INDIRECT("Norex3_"&amp;'Saisie de données'!$H$61&amp;"_"&amp;'Saisie de données'!$I$61&amp;"_S"))),'Courbe Déflexion'!Z$5:$AI$285,10,0)*0.3798*VLOOKUP('Saisie de données'!$F$38,'Menu déroulant'!$AA$22:$AD$24,4,0)</f>
        <v>#N/A</v>
      </c>
      <c r="H56" s="415" t="e" cm="1">
        <f t="array" aca="1" ref="H56" ca="1">VLOOKUP(MAX(IF(INDIRECT("Norex4_"&amp;'Saisie de données'!$H$61&amp;"_"&amp;'Saisie de données'!$I$61&amp;"_S")&lt;='Synthèse résultat'!$E56,INDIRECT("Norex4_"&amp;'Saisie de données'!$H$61&amp;"_"&amp;'Saisie de données'!$I$61&amp;"_S"))),'Courbe Déflexion'!$AK$5:$AT$306,10,0)*0.3798*VLOOKUP('Saisie de données'!$F$38,'Menu déroulant'!$AA$22:$AD$24,4,0)</f>
        <v>#N/A</v>
      </c>
      <c r="I56" s="415" t="e" cm="1">
        <f t="array" aca="1" ref="I56" ca="1">VLOOKUP(MAX(IF(INDIRECT("Norex5_"&amp;'Saisie de données'!$H$61&amp;"_"&amp;'Saisie de données'!$I$61&amp;"_S")&lt;='Synthèse résultat'!$E56,INDIRECT("Norex5_"&amp;'Saisie de données'!$H$61&amp;"_"&amp;'Saisie de données'!$I$61&amp;"_S"))),'Courbe Déflexion'!$AV$5:$BE$306,10,0)*0.3798*VLOOKUP('Saisie de données'!$F$38,'Menu déroulant'!$AA$22:$AD$24,4,0)</f>
        <v>#N/A</v>
      </c>
      <c r="J56" s="415" t="e" cm="1">
        <f t="array" aca="1" ref="J56" ca="1">VLOOKUP(MAX(IF(INDIRECT("Norex6_"&amp;'Saisie de données'!$H$61&amp;"_"&amp;'Saisie de données'!$I$61&amp;"_S")&lt;='Synthèse résultat'!$E56,INDIRECT("Norex6_"&amp;'Saisie de données'!$H$61&amp;"_"&amp;'Saisie de données'!$I$61&amp;"_S"))),'Courbe Déflexion'!$BG$5:$BP$306,10,0)*0.3798*VLOOKUP('Saisie de données'!$F$38,'Menu déroulant'!$AA$22:$AD$24,4,0)</f>
        <v>#N/A</v>
      </c>
      <c r="K56" s="415" t="e" cm="1">
        <f t="array" aca="1" ref="K56" ca="1">VLOOKUP(MAX(IF(INDIRECT("Norex8_"&amp;'Saisie de données'!$H$61&amp;"_"&amp;'Saisie de données'!$I$61&amp;"_S")&lt;='Synthèse résultat'!$E56,INDIRECT("Norex8_"&amp;'Saisie de données'!$H$61&amp;"_"&amp;'Saisie de données'!$I$61&amp;"_S"))),'Courbe Déflexion'!$BR$5:$CA$306,10,0)*0.3798*VLOOKUP('Saisie de données'!$F$38,'Menu déroulant'!$AA$22:$AD$24,4,0)</f>
        <v>#N/A</v>
      </c>
      <c r="L56" s="415" t="e" cm="1">
        <f t="array" aca="1" ref="L56" ca="1">VLOOKUP(MAX(IF(INDIRECT("Noroc4_"&amp;'Saisie de données'!$H$61&amp;"_"&amp;'Saisie de données'!$I$61&amp;"_S")&lt;='Synthèse résultat'!$E56,INDIRECT("Noroc4_"&amp;'Saisie de données'!$H$61&amp;"_"&amp;'Saisie de données'!$I$61&amp;"_S"))),'Courbe Déflexion'!$CC$5:$CL$306,10,0)*0.3798*VLOOKUP('Saisie de données'!$F$38,'Menu déroulant'!$AA$22:$AD$24,4,0)</f>
        <v>#N/A</v>
      </c>
      <c r="M56" s="415" t="e" cm="1">
        <f t="array" aca="1" ref="M56" ca="1">VLOOKUP(MAX(IF(INDIRECT("Noroc5_"&amp;'Saisie de données'!$H$60&amp;"_"&amp;'Saisie de données'!$I$60&amp;"_S")&lt;='Synthèse résultat'!$E56,INDIRECT("Noroc5_"&amp;'Saisie de données'!$H$60&amp;"_"&amp;'Saisie de données'!$I$60&amp;"_S"))),'Courbe Déflexion'!$CN$5:$CW$306,10,0)*0.3798*VLOOKUP('Saisie de données'!$F$38,'Menu déroulant'!$AA$22:$AD$24,4,0)</f>
        <v>#N/A</v>
      </c>
      <c r="N56" s="415" t="e" cm="1">
        <f t="array" aca="1" ref="N56" ca="1">VLOOKUP(MAX(IF(INDIRECT("Noroc6_"&amp;'Saisie de données'!$H$61&amp;"_"&amp;'Saisie de données'!$I$61&amp;"_S")&lt;='Synthèse résultat'!$E56,INDIRECT("Noroc6_"&amp;'Saisie de données'!$H$61&amp;"_"&amp;'Saisie de données'!$I$61&amp;"_S"))),'Courbe Déflexion'!$CY$5:$DH$306,10,0)*0.3798*VLOOKUP('Saisie de données'!$F$38,'Menu déroulant'!$AA$22:$AD$24,4,0)</f>
        <v>#N/A</v>
      </c>
      <c r="O56" s="415" t="e" cm="1">
        <f t="array" aca="1" ref="O56" ca="1">VLOOKUP(MAX(IF(INDIRECT("Noroc8_"&amp;'Saisie de données'!$H$61&amp;"_"&amp;'Saisie de données'!$I$61&amp;"_S")&lt;='Synthèse résultat'!$E56,INDIRECT("Noroc8_"&amp;'Saisie de données'!$H$61&amp;"_"&amp;'Saisie de données'!$I$61&amp;"_S"))),'Courbe Déflexion'!$DJ$5:$DS$306,10,0)*0.3798*VLOOKUP('Saisie de données'!$F$38,'Menu déroulant'!$AA$22:$AD$24,4,0)</f>
        <v>#N/A</v>
      </c>
      <c r="P56" s="416">
        <f>VLOOKUP('Saisie de données'!$J$61,'Infos Techniques'!$U$15:$AF$43,12,0)*VLOOKUP('Saisie de données'!$F$38,'Menu déroulant'!$AA$22:$AD$24,4,0)</f>
        <v>10</v>
      </c>
      <c r="Q56" s="326" t="e">
        <f ca="1">IF('Saisie de données'!$C$61='Menu déroulant'!$AA$31,(VLOOKUP(Q$29,'Infos Techniques'!$B$7:$H$12,2,0)/('Saisie de données'!$F$61/12)-(Francais10p!$M$58/2*E54))/E56,(VLOOKUP(Q$29,'Infos Techniques'!$B$7:$H$12,5,0)/('Saisie de données'!$F$61/12)-(Francais10p!$M$58/2*E54))/E56)*VLOOKUP('Saisie de données'!$F$38,'Menu déroulant'!$AA$22:$AD$24,4,0)</f>
        <v>#VALUE!</v>
      </c>
      <c r="R56" s="326" t="e">
        <f ca="1">IF('Saisie de données'!$C$61='Menu déroulant'!$AA$31,(VLOOKUP(R$29,'Infos Techniques'!$B$7:$H$12,2,0)/('Saisie de données'!$F$61/12)-(Francais10p!$M$58/2*E54))/E56,(VLOOKUP(R$29,'Infos Techniques'!$B$7:$H$12,5,0)/('Saisie de données'!$F$61/12)-(Francais10p!$M$58/2*E54))/E56)*VLOOKUP('Saisie de données'!$F$38,'Menu déroulant'!$AA$22:$AD$24,4,0)</f>
        <v>#VALUE!</v>
      </c>
      <c r="S56" s="326" t="e">
        <f ca="1">IF('Saisie de données'!$C$61='Menu déroulant'!$AA$31,(VLOOKUP(S$29,'Infos Techniques'!$B$7:$H$12,2,0)/('Saisie de données'!$F$61/12)-(Francais10p!$M$59/2*E54))/E56,(VLOOKUP(S$29,'Infos Techniques'!$B$7:$H$12,5,0)/('Saisie de données'!$F$61/12)-(Francais10p!$M$59/2*E54))/E56)*VLOOKUP('Saisie de données'!$F$38,'Menu déroulant'!$AA$22:$AD$24,4,0)</f>
        <v>#VALUE!</v>
      </c>
      <c r="T56" s="326" t="e">
        <f ca="1">IF('Saisie de données'!$C$61='Menu déroulant'!$AA$31,(VLOOKUP(T$29,'Infos Techniques'!$B$7:$H$12,2,0)/('Saisie de données'!$F$61/12)-(Francais10p!$M$60/2*E54))/E56,(VLOOKUP(T$29,'Infos Techniques'!$B$7:$H$12,5,0)/('Saisie de données'!$F$61/12)-(Francais10p!$M$60/2*E54))/E56)*VLOOKUP('Saisie de données'!$F$38,'Menu déroulant'!$AA$22:$AD$24,4,0)</f>
        <v>#VALUE!</v>
      </c>
      <c r="U56" s="326" t="e">
        <f ca="1">IF('Saisie de données'!$C$61='Menu déroulant'!$AA$31,(VLOOKUP(U$29,'Infos Techniques'!$B$7:$H$12,2,0)/('Saisie de données'!$F$61/12)-(Francais10p!$M$61/2*E54))/E56,(VLOOKUP(U$29,'Infos Techniques'!$B$7:$H$12,5,0)/('Saisie de données'!$F$61/12)-(Francais10p!$M$61/2*E54))/E56)*VLOOKUP('Saisie de données'!$F$38,'Menu déroulant'!$AA$22:$AD$24,4,0)</f>
        <v>#VALUE!</v>
      </c>
      <c r="V56" s="326" t="e">
        <f ca="1">IF('Saisie de données'!$C$61='Menu déroulant'!$AA$31,(VLOOKUP(V$29,'Infos Techniques'!$B$7:$H$12,4,0)/('Saisie de données'!$F$61/12)-(Francais10p!$O$58/2*E54))/E56,(VLOOKUP(V$29,'Infos Techniques'!$B$7:$H$12,7,0)/('Saisie de données'!$F$61/12)-(Francais10p!$O$58/2*E54))/E56)*VLOOKUP('Saisie de données'!$F$38,'Menu déroulant'!$AA$22:$AD$24,4,0)</f>
        <v>#VALUE!</v>
      </c>
      <c r="W56" s="326" t="e">
        <f ca="1">IF('Saisie de données'!$C$61='Menu déroulant'!$AA$31,(VLOOKUP(W$29,'Infos Techniques'!$B$7:$H$12,4,0)/('Saisie de données'!$F$61/12)-(Francais10p!$O$58/2*E54))/E56,(VLOOKUP(W$29,'Infos Techniques'!$B$7:$H$12,7,0)/('Saisie de données'!$F$61/12)-(Francais10p!$O$58/2*E54))/E56)*VLOOKUP('Saisie de données'!$F$38,'Menu déroulant'!$AA$22:$AD$24,4,0)</f>
        <v>#VALUE!</v>
      </c>
      <c r="X56" s="326" t="e">
        <f ca="1">IF('Saisie de données'!$C$61='Menu déroulant'!$AA$31,(VLOOKUP(X$29,'Infos Techniques'!$B$7:$H$12,4,0)/('Saisie de données'!$F$61/12)-(Francais10p!$O$59/2*E54))/E56,(VLOOKUP(X$29,'Infos Techniques'!$B$7:$H$12,7,0)/('Saisie de données'!$F$61/12)-(Francais10p!$O$59/2*E54))/E56)*VLOOKUP('Saisie de données'!$F$38,'Menu déroulant'!$AA$22:$AD$24,4,0)</f>
        <v>#VALUE!</v>
      </c>
      <c r="Y56" s="326" t="e">
        <f ca="1">IF('Saisie de données'!$C$61='Menu déroulant'!$AA$31,(VLOOKUP(Y$29,'Infos Techniques'!$B$7:$H$12,4,0)/('Saisie de données'!$F$61/12)-(Francais10p!$O$60/2*E54))/E56,(VLOOKUP(Y$29,'Infos Techniques'!$B$7:$H$12,7,0)/('Saisie de données'!$F$61/12)-(Francais10p!$O$60/2*E54))/E56)*VLOOKUP('Saisie de données'!$F$38,'Menu déroulant'!$AA$22:$AD$24,4,0)</f>
        <v>#VALUE!</v>
      </c>
      <c r="Z56" s="417" t="e">
        <f ca="1">IF('Saisie de données'!$C$61='Menu déroulant'!$AA$31,(VLOOKUP(Z$29,'Infos Techniques'!$B$7:$H$12,4,0)/('Saisie de données'!$F$61/12)-(Francais10p!$O$61/2*E54))/E56,(VLOOKUP(Z$29,'Infos Techniques'!$B$7:$H$12,7,0)/('Saisie de données'!$F$61/12)-(Francais10p!$O$61/2*E54))/E56)*VLOOKUP('Saisie de données'!$F$38,'Menu déroulant'!$AA$22:$AD$24,4,0)</f>
        <v>#VALUE!</v>
      </c>
      <c r="AA56" s="748" t="e">
        <f ca="1">(((VLOOKUP(AA$29,'Infos Techniques'!$I$5:$K$12,2,0)/('Saisie de données'!$F$61/12))-(Francais10p!$M$75/2*$E54))/$E56)*VLOOKUP('Saisie de données'!$F$38,'Menu déroulant'!$AA$22:$AD$24,4,0)</f>
        <v>#VALUE!</v>
      </c>
      <c r="AB56" s="326" t="e">
        <f ca="1">(((VLOOKUP(AB$29,'Infos Techniques'!$I$5:$K$12,2,0)/('Saisie de données'!$F$61/12))-(Francais10p!$M$75/2*$E54))/$E56)*VLOOKUP('Saisie de données'!$F$38,'Menu déroulant'!$AA$22:$AD$24,4,0)</f>
        <v>#VALUE!</v>
      </c>
      <c r="AC56" s="326" t="e">
        <f ca="1">(((VLOOKUP(AC$29,'Infos Techniques'!$I$5:$K$12,2,0)/('Saisie de données'!$F$61/12))-(Francais10p!$M$75/2*$E54))/$E56)*VLOOKUP('Saisie de données'!$F$38,'Menu déroulant'!$AA$22:$AD$24,4,0)</f>
        <v>#VALUE!</v>
      </c>
      <c r="AD56" s="326" t="e">
        <f ca="1">(((VLOOKUP(AD$29,'Infos Techniques'!$I$5:$K$12,2,0)/('Saisie de données'!$F$61/12))-(Francais10p!$M$75/2*$E54))/$E56)*VLOOKUP('Saisie de données'!$F$38,'Menu déroulant'!$AA$22:$AD$24,4,0)</f>
        <v>#VALUE!</v>
      </c>
      <c r="AE56" s="326">
        <v>0</v>
      </c>
      <c r="AF56" s="326" t="e">
        <f ca="1">(((VLOOKUP(AF$29,'Infos Techniques'!$I$5:$K$12,2,0)/('Saisie de données'!$F$61/12))-(Francais10p!$M$75/2*$E54))/$E56)*VLOOKUP('Saisie de données'!$F$38,'Menu déroulant'!$AA$22:$AD$24,4,0)</f>
        <v>#VALUE!</v>
      </c>
      <c r="AG56" s="326" t="e">
        <f ca="1">(((VLOOKUP(AG$29,'Infos Techniques'!$I$5:$K$12,2,0)/('Saisie de données'!$F$61/12))-(Francais10p!$M$75/2*$E54))/$E56)*VLOOKUP('Saisie de données'!$F$38,'Menu déroulant'!$AA$22:$AD$24,4,0)</f>
        <v>#VALUE!</v>
      </c>
      <c r="AH56" s="326">
        <v>0</v>
      </c>
      <c r="AI56" s="326" t="e">
        <f ca="1">(((VLOOKUP(AI$29,'Infos Techniques'!$I$5:$K$12,3,0)/('Saisie de données'!$F$61/12))-(Francais10p!$O$75/2*$E54))/$E56)*VLOOKUP('Saisie de données'!$F$38,'Menu déroulant'!$AA$22:$AD$24,4,0)</f>
        <v>#VALUE!</v>
      </c>
      <c r="AJ56" s="326" t="e">
        <f ca="1">(((VLOOKUP(AJ$29,'Infos Techniques'!$I$5:$K$12,3,0)/('Saisie de données'!$F$61/12))-(Francais10p!$O$75/2*$E54))/$E56)*VLOOKUP('Saisie de données'!$F$38,'Menu déroulant'!$AA$22:$AD$24,4,0)</f>
        <v>#VALUE!</v>
      </c>
      <c r="AK56" s="326" t="e">
        <f ca="1">(((VLOOKUP(AK$29,'Infos Techniques'!$I$5:$K$12,3,0)/('Saisie de données'!$F$61/12))-(Francais10p!$O$75/2*$E54))/$E56)*VLOOKUP('Saisie de données'!$F$38,'Menu déroulant'!$AA$22:$AD$24,4,0)</f>
        <v>#VALUE!</v>
      </c>
      <c r="AL56" s="326" t="e">
        <f ca="1">(((VLOOKUP(AL$29,'Infos Techniques'!$I$5:$K$12,3,0)/('Saisie de données'!$F$61/12))-(Francais10p!$O$75/2*$E54))/$E56)*VLOOKUP('Saisie de données'!$F$38,'Menu déroulant'!$AA$22:$AD$24,4,0)</f>
        <v>#VALUE!</v>
      </c>
      <c r="AM56" s="326" t="e">
        <f ca="1">(((VLOOKUP(AM$29,'Infos Techniques'!$I$5:$K$12,3,0)/('Saisie de données'!$F$61/12))-(Francais10p!$O$75/2*$E54))/$E56)*VLOOKUP('Saisie de données'!$F$38,'Menu déroulant'!$AA$22:$AD$24,4,0)</f>
        <v>#VALUE!</v>
      </c>
      <c r="AN56" s="326" t="e">
        <f ca="1">(((VLOOKUP(AN$29,'Infos Techniques'!$I$5:$K$12,3,0)/('Saisie de données'!$F$61/12))-(Francais10p!$O$75/2*$E54))/$E56)*VLOOKUP('Saisie de données'!$F$38,'Menu déroulant'!$AA$22:$AD$24,4,0)</f>
        <v>#VALUE!</v>
      </c>
      <c r="AO56" s="326" t="e">
        <f ca="1">(((VLOOKUP(AO$29,'Infos Techniques'!$I$5:$K$12,3,0)/('Saisie de données'!$F$61/12))-(Francais10p!$O$75/2*$E54))/$E56)*VLOOKUP('Saisie de données'!$F$38,'Menu déroulant'!$AA$22:$AD$24,4,0)</f>
        <v>#VALUE!</v>
      </c>
      <c r="AP56" s="417" t="e">
        <f ca="1">(((VLOOKUP(AP$29,'Infos Techniques'!$I$5:$K$12,3,0)/('Saisie de données'!$F$61/12))-(Francais10p!$O$75/2*$E54))/$E56)*VLOOKUP('Saisie de données'!$F$38,'Menu déroulant'!$AA$22:$AD$24,4,0)</f>
        <v>#VALUE!</v>
      </c>
    </row>
    <row r="57" spans="2:44" ht="15" thickBot="1">
      <c r="B57" s="1569"/>
      <c r="C57" s="1573"/>
      <c r="D57" s="50" t="s">
        <v>347</v>
      </c>
      <c r="E57" s="60" t="e">
        <f>IF(ISBLANK('Saisie de données'!$E$30),'Charges de ventUSA'!$E37,0)</f>
        <v>#N/A</v>
      </c>
      <c r="F57" s="415" t="e" cm="1">
        <f t="array" aca="1" ref="F57" ca="1">VLOOKUP(MAX(IF(INDIRECT("Norex2_"&amp;'Saisie de données'!$H$61&amp;"_"&amp;'Saisie de données'!$I$61&amp;"_S")&lt;='Synthèse résultat'!$E57,INDIRECT("Norex2_"&amp;'Saisie de données'!$H$61&amp;"_"&amp;'Saisie de données'!$I$61&amp;"_S"))),'Courbe Déflexion'!O$5:$X$285,10,0)*0.3798*VLOOKUP('Saisie de données'!$F$38,'Menu déroulant'!$AA$22:$AD$24,4,0)</f>
        <v>#N/A</v>
      </c>
      <c r="G57" s="415" t="e" cm="1">
        <f t="array" aca="1" ref="G57" ca="1">VLOOKUP(MAX(IF(INDIRECT("Norex3_"&amp;'Saisie de données'!$H$61&amp;"_"&amp;'Saisie de données'!$I$61&amp;"_S")&lt;='Synthèse résultat'!$E57,INDIRECT("Norex3_"&amp;'Saisie de données'!$H$61&amp;"_"&amp;'Saisie de données'!$I$61&amp;"_S"))),'Courbe Déflexion'!Z$5:$AI$285,10,0)*0.3798*VLOOKUP('Saisie de données'!$F$38,'Menu déroulant'!$AA$22:$AD$24,4,0)</f>
        <v>#N/A</v>
      </c>
      <c r="H57" s="415" t="e" cm="1">
        <f t="array" aca="1" ref="H57" ca="1">VLOOKUP(MAX(IF(INDIRECT("Norex4_"&amp;'Saisie de données'!$H$61&amp;"_"&amp;'Saisie de données'!$I$61&amp;"_S")&lt;='Synthèse résultat'!$E57,INDIRECT("Norex4_"&amp;'Saisie de données'!$H$61&amp;"_"&amp;'Saisie de données'!$I$61&amp;"_S"))),'Courbe Déflexion'!$AK$5:$AT$306,10,0)*0.3798*VLOOKUP('Saisie de données'!$F$38,'Menu déroulant'!$AA$22:$AD$24,4,0)</f>
        <v>#N/A</v>
      </c>
      <c r="I57" s="415" t="e" cm="1">
        <f t="array" aca="1" ref="I57" ca="1">VLOOKUP(MAX(IF(INDIRECT("Norex5_"&amp;'Saisie de données'!$H$61&amp;"_"&amp;'Saisie de données'!$I$61&amp;"_S")&lt;='Synthèse résultat'!$E57,INDIRECT("Norex5_"&amp;'Saisie de données'!$H$61&amp;"_"&amp;'Saisie de données'!$I$61&amp;"_S"))),'Courbe Déflexion'!$AV$5:$BE$306,10,0)*0.3798*VLOOKUP('Saisie de données'!$F$38,'Menu déroulant'!$AA$22:$AD$24,4,0)</f>
        <v>#N/A</v>
      </c>
      <c r="J57" s="415" t="e" cm="1">
        <f t="array" aca="1" ref="J57" ca="1">VLOOKUP(MAX(IF(INDIRECT("Norex6_"&amp;'Saisie de données'!$H$61&amp;"_"&amp;'Saisie de données'!$I$61&amp;"_S")&lt;='Synthèse résultat'!$E57,INDIRECT("Norex6_"&amp;'Saisie de données'!$H$61&amp;"_"&amp;'Saisie de données'!$I$61&amp;"_S"))),'Courbe Déflexion'!$BG$5:$BP$306,10,0)*0.3798*VLOOKUP('Saisie de données'!$F$38,'Menu déroulant'!$AA$22:$AD$24,4,0)</f>
        <v>#N/A</v>
      </c>
      <c r="K57" s="415" t="e" cm="1">
        <f t="array" aca="1" ref="K57" ca="1">VLOOKUP(MAX(IF(INDIRECT("Norex8_"&amp;'Saisie de données'!$H$61&amp;"_"&amp;'Saisie de données'!$I$61&amp;"_S")&lt;='Synthèse résultat'!$E57,INDIRECT("Norex8_"&amp;'Saisie de données'!$H$61&amp;"_"&amp;'Saisie de données'!$I$61&amp;"_S"))),'Courbe Déflexion'!$BR$5:$CA$306,10,0)*0.3798*VLOOKUP('Saisie de données'!$F$38,'Menu déroulant'!$AA$22:$AD$24,4,0)</f>
        <v>#N/A</v>
      </c>
      <c r="L57" s="415" t="e" cm="1">
        <f t="array" aca="1" ref="L57" ca="1">VLOOKUP(MAX(IF(INDIRECT("Noroc4_"&amp;'Saisie de données'!$H$61&amp;"_"&amp;'Saisie de données'!$I$61&amp;"_S")&lt;='Synthèse résultat'!$E57,INDIRECT("Noroc4_"&amp;'Saisie de données'!$H$61&amp;"_"&amp;'Saisie de données'!$I$61&amp;"_S"))),'Courbe Déflexion'!$CC$5:$CL$306,10,0)*0.3798*VLOOKUP('Saisie de données'!$F$38,'Menu déroulant'!$AA$22:$AD$24,4,0)</f>
        <v>#N/A</v>
      </c>
      <c r="M57" s="415" t="e" cm="1">
        <f t="array" aca="1" ref="M57" ca="1">VLOOKUP(MAX(IF(INDIRECT("Noroc5_"&amp;'Saisie de données'!$H$60&amp;"_"&amp;'Saisie de données'!$I$60&amp;"_S")&lt;='Synthèse résultat'!$E57,INDIRECT("Noroc5_"&amp;'Saisie de données'!$H$60&amp;"_"&amp;'Saisie de données'!$I$60&amp;"_S"))),'Courbe Déflexion'!$CN$5:$CW$306,10,0)*0.3798*VLOOKUP('Saisie de données'!$F$38,'Menu déroulant'!$AA$22:$AD$24,4,0)</f>
        <v>#N/A</v>
      </c>
      <c r="N57" s="415" t="e" cm="1">
        <f t="array" aca="1" ref="N57" ca="1">VLOOKUP(MAX(IF(INDIRECT("Noroc6_"&amp;'Saisie de données'!$H$61&amp;"_"&amp;'Saisie de données'!$I$61&amp;"_S")&lt;='Synthèse résultat'!$E57,INDIRECT("Noroc6_"&amp;'Saisie de données'!$H$61&amp;"_"&amp;'Saisie de données'!$I$61&amp;"_S"))),'Courbe Déflexion'!$CY$5:$DH$306,10,0)*0.3798*VLOOKUP('Saisie de données'!$F$38,'Menu déroulant'!$AA$22:$AD$24,4,0)</f>
        <v>#N/A</v>
      </c>
      <c r="O57" s="415" t="e" cm="1">
        <f t="array" aca="1" ref="O57" ca="1">VLOOKUP(MAX(IF(INDIRECT("Noroc8_"&amp;'Saisie de données'!$H$61&amp;"_"&amp;'Saisie de données'!$I$61&amp;"_S")&lt;='Synthèse résultat'!$E57,INDIRECT("Noroc8_"&amp;'Saisie de données'!$H$61&amp;"_"&amp;'Saisie de données'!$I$61&amp;"_S"))),'Courbe Déflexion'!$DJ$5:$DS$306,10,0)*0.3798*VLOOKUP('Saisie de données'!$F$38,'Menu déroulant'!$AA$22:$AD$24,4,0)</f>
        <v>#N/A</v>
      </c>
      <c r="P57" s="418">
        <f>VLOOKUP('Saisie de données'!$J$61,'Infos Techniques'!$U$15:$AF$43,12,0)*VLOOKUP('Saisie de données'!$F$38,'Menu déroulant'!$AA$22:$AD$24,4,0)</f>
        <v>10</v>
      </c>
      <c r="Q57" s="326" t="e">
        <f ca="1">IF('Saisie de données'!$C$61='Menu déroulant'!$AA$31,(VLOOKUP(Q$29,'Infos Techniques'!$B$7:$H$12,2,0)/('Saisie de données'!$F$61/12)-(Francais10p!$N$58/2*E55))/E57,(VLOOKUP(Q$29,'Infos Techniques'!$B$7:$H$12,5,0)/('Saisie de données'!$F$61/12)-(Francais10p!$N$58/2*E55))/E57)*VLOOKUP('Saisie de données'!$F$38,'Menu déroulant'!$AA$22:$AD$24,4,0)</f>
        <v>#VALUE!</v>
      </c>
      <c r="R57" s="419" t="e">
        <f ca="1">IF('Saisie de données'!$C$60='Menu déroulant'!$AA$31,(VLOOKUP(R$29,'Infos Techniques'!$B$7:$H$12,2,0)/('Saisie de données'!$F$60/12)-(Francais10p!$J$58/2*E55))/E57,(VLOOKUP(R$29,'Infos Techniques'!$B$7:$H$12,5,0)/('Saisie de données'!$F$60/12)-(Francais10p!$J$58/2*E55))/E57)*VLOOKUP('Saisie de données'!$F$38,'Menu déroulant'!$AA$22:$AD$24,4,0)</f>
        <v>#VALUE!</v>
      </c>
      <c r="S57" s="419" t="e">
        <f ca="1">IF('Saisie de données'!$C$60='Menu déroulant'!$AA$31,(VLOOKUP(S$29,'Infos Techniques'!$B$7:$H$12,2,0)/('Saisie de données'!$F$60/12)-(Francais10p!$J$59/2*E55))/E57,(VLOOKUP(S$29,'Infos Techniques'!$B$7:$H$12,5,0)/('Saisie de données'!$F$60/12)-(Francais10p!$J$59/2*E55))/E57)*VLOOKUP('Saisie de données'!$F$38,'Menu déroulant'!$AA$22:$AD$24,4,0)</f>
        <v>#VALUE!</v>
      </c>
      <c r="T57" s="419" t="e">
        <f ca="1">IF('Saisie de données'!$C$60='Menu déroulant'!$AA$31,(VLOOKUP(T$29,'Infos Techniques'!$B$7:$H$12,2,0)/('Saisie de données'!$F$60/12)-(Francais10p!$J$60/2*E55))/E57,(VLOOKUP(T$29,'Infos Techniques'!$B$7:$H$12,5,0)/('Saisie de données'!$F$60/12)-(Francais10p!$J$60/2*E55))/E57)*VLOOKUP('Saisie de données'!$F$38,'Menu déroulant'!$AA$22:$AD$24,4,0)</f>
        <v>#VALUE!</v>
      </c>
      <c r="U57" s="419" t="e">
        <f ca="1">IF('Saisie de données'!$C$60='Menu déroulant'!$AA$31,(VLOOKUP(U$29,'Infos Techniques'!$B$7:$H$12,2,0)/('Saisie de données'!$F$60/12)-(Francais10p!$J$61/2*E55))/E57,(VLOOKUP(U$29,'Infos Techniques'!$B$7:$H$12,5,0)/('Saisie de données'!$F$60/12)-(Francais10p!$J$61/2*E55))/E57)*VLOOKUP('Saisie de données'!$F$38,'Menu déroulant'!$AA$22:$AD$24,4,0)</f>
        <v>#VALUE!</v>
      </c>
      <c r="V57" s="326" t="e">
        <f ca="1">IF('Saisie de données'!$C$61='Menu déroulant'!$AA$31,(VLOOKUP(V$29,'Infos Techniques'!$B$7:$H$12,4,0)/('Saisie de données'!$F$61/12)-(Francais10p!$Q$58/2*E55))/E57,(VLOOKUP(V$29,'Infos Techniques'!$B$7:$H$12,7,0)/('Saisie de données'!$F$61/12)-(Francais10p!$Q$58/2*E55))/E57)*VLOOKUP('Saisie de données'!$F$38,'Menu déroulant'!$AA$22:$AD$24,4,0)</f>
        <v>#VALUE!</v>
      </c>
      <c r="W57" s="419" t="e">
        <f ca="1">IF('Saisie de données'!$C$61='Menu déroulant'!$AA$31,(VLOOKUP(W$29,'Infos Techniques'!$B$7:$H$12,4,0)/('Saisie de données'!$F$61/12)-(Francais10p!$Q$58/2*E55))/E57,(VLOOKUP(W$29,'Infos Techniques'!$B$7:$H$12,7,0)/('Saisie de données'!$F$61/12)-(Francais10p!$Q$58/2*E55))/E57)*VLOOKUP('Saisie de données'!$F$38,'Menu déroulant'!$AA$22:$AD$24,4,0)</f>
        <v>#VALUE!</v>
      </c>
      <c r="X57" s="419" t="e">
        <f ca="1">IF('Saisie de données'!$C$61='Menu déroulant'!$AA$31,(VLOOKUP(X$29,'Infos Techniques'!$B$7:$H$12,4,0)/('Saisie de données'!$F$61/12)-(Francais10p!$Q$59/2*E55))/E57,(VLOOKUP(X$29,'Infos Techniques'!$B$7:$H$12,7,0)/('Saisie de données'!$F$61/12)-(Francais10p!$Q$59/2*E55))/E57)*VLOOKUP('Saisie de données'!$F$38,'Menu déroulant'!$AA$22:$AD$24,4,0)</f>
        <v>#VALUE!</v>
      </c>
      <c r="Y57" s="419" t="e">
        <f ca="1">IF('Saisie de données'!$C$61='Menu déroulant'!$AA$31,(VLOOKUP(Y$29,'Infos Techniques'!$B$7:$H$12,4,0)/('Saisie de données'!$F$61/12)-(Francais10p!$Q$60/2*E55))/E57,(VLOOKUP(Y$29,'Infos Techniques'!$B$7:$H$12,7,0)/('Saisie de données'!$F$61/12)-(Francais10p!$Q$60/2*E55))/E57)*VLOOKUP('Saisie de données'!$F$38,'Menu déroulant'!$AA$22:$AD$24,4,0)</f>
        <v>#VALUE!</v>
      </c>
      <c r="Z57" s="420" t="e">
        <f ca="1">IF('Saisie de données'!$C$61='Menu déroulant'!$AA$31,(VLOOKUP(Z$29,'Infos Techniques'!$B$7:$H$12,4,0)/('Saisie de données'!$F$61/12)-(Francais10p!$Q$61/2*E55))/E57,(VLOOKUP(Z$29,'Infos Techniques'!$B$7:$H$12,7,0)/('Saisie de données'!$F$61/12)-(Francais10p!$Q$61/2*E55))/E57)*VLOOKUP('Saisie de données'!$F$38,'Menu déroulant'!$AA$22:$AD$24,4,0)</f>
        <v>#VALUE!</v>
      </c>
      <c r="AA57" s="748" t="e">
        <f ca="1">(((VLOOKUP(AA$29,'Infos Techniques'!$I$5:$K$12,2,0)/('Saisie de données'!$F$61/12))-(Francais10p!$N$75/2*$E55))/$E57)*VLOOKUP('Saisie de données'!$F$38,'Menu déroulant'!$AA$22:$AD$24,4,0)</f>
        <v>#VALUE!</v>
      </c>
      <c r="AB57" s="419" t="e">
        <f ca="1">(((VLOOKUP(AB$29,'Infos Techniques'!$I$5:$K$12,2,0)/('Saisie de données'!$F$61/12))-(Francais10p!$N$75/2*$E55))/$E57)*VLOOKUP('Saisie de données'!$F$38,'Menu déroulant'!$AA$22:$AD$24,4,0)</f>
        <v>#VALUE!</v>
      </c>
      <c r="AC57" s="419" t="e">
        <f ca="1">(((VLOOKUP(AC$29,'Infos Techniques'!$I$5:$K$12,2,0)/('Saisie de données'!$F$61/12))-(Francais10p!$N$75/2*$E55))/$E57)*VLOOKUP('Saisie de données'!$F$38,'Menu déroulant'!$AA$22:$AD$24,4,0)</f>
        <v>#VALUE!</v>
      </c>
      <c r="AD57" s="419" t="e">
        <f ca="1">(((VLOOKUP(AD$29,'Infos Techniques'!$I$5:$K$12,2,0)/('Saisie de données'!$F$61/12))-(Francais10p!$N$75/2*$E55))/$E57)*VLOOKUP('Saisie de données'!$F$38,'Menu déroulant'!$AA$22:$AD$24,4,0)</f>
        <v>#VALUE!</v>
      </c>
      <c r="AE57" s="326">
        <v>0</v>
      </c>
      <c r="AF57" s="419" t="e">
        <f ca="1">(((VLOOKUP(AF$29,'Infos Techniques'!$I$5:$K$12,2,0)/('Saisie de données'!$F$61/12))-(Francais10p!$N$75/2*$E55))/$E57)*VLOOKUP('Saisie de données'!$F$38,'Menu déroulant'!$AA$22:$AD$24,4,0)</f>
        <v>#VALUE!</v>
      </c>
      <c r="AG57" s="419" t="e">
        <f ca="1">(((VLOOKUP(AG$29,'Infos Techniques'!$I$5:$K$12,2,0)/('Saisie de données'!$F$61/12))-(Francais10p!$N$75/2*$E55))/$E57)*VLOOKUP('Saisie de données'!$F$38,'Menu déroulant'!$AA$22:$AD$24,4,0)</f>
        <v>#VALUE!</v>
      </c>
      <c r="AH57" s="326">
        <v>0</v>
      </c>
      <c r="AI57" s="419" t="e">
        <f ca="1">(((VLOOKUP(AI$29,'Infos Techniques'!$I$5:$K$12,3,0)/('Saisie de données'!$F$61/12))-(Francais10p!$Q$75/2*$E55))/$E57)*VLOOKUP('Saisie de données'!$F$38,'Menu déroulant'!$AA$22:$AD$24,4,0)</f>
        <v>#VALUE!</v>
      </c>
      <c r="AJ57" s="419" t="e">
        <f ca="1">(((VLOOKUP(AJ$29,'Infos Techniques'!$I$5:$K$12,3,0)/('Saisie de données'!$F$61/12))-(Francais10p!$Q$75/2*$E55))/$E57)*VLOOKUP('Saisie de données'!$F$38,'Menu déroulant'!$AA$22:$AD$24,4,0)</f>
        <v>#VALUE!</v>
      </c>
      <c r="AK57" s="419" t="e">
        <f ca="1">(((VLOOKUP(AK$29,'Infos Techniques'!$I$5:$K$12,3,0)/('Saisie de données'!$F$61/12))-(Francais10p!$Q$75/2*$E55))/$E57)*VLOOKUP('Saisie de données'!$F$38,'Menu déroulant'!$AA$22:$AD$24,4,0)</f>
        <v>#VALUE!</v>
      </c>
      <c r="AL57" s="419" t="e">
        <f ca="1">(((VLOOKUP(AL$29,'Infos Techniques'!$I$5:$K$12,3,0)/('Saisie de données'!$F$61/12))-(Francais10p!$Q$75/2*$E55))/$E57)*VLOOKUP('Saisie de données'!$F$38,'Menu déroulant'!$AA$22:$AD$24,4,0)</f>
        <v>#VALUE!</v>
      </c>
      <c r="AM57" s="419" t="e">
        <f ca="1">(((VLOOKUP(AM$29,'Infos Techniques'!$I$5:$K$12,3,0)/('Saisie de données'!$F$61/12))-(Francais10p!$Q$75/2*$E55))/$E57)*VLOOKUP('Saisie de données'!$F$38,'Menu déroulant'!$AA$22:$AD$24,4,0)</f>
        <v>#VALUE!</v>
      </c>
      <c r="AN57" s="419" t="e">
        <f ca="1">(((VLOOKUP(AN$29,'Infos Techniques'!$I$5:$K$12,3,0)/('Saisie de données'!$F$61/12))-(Francais10p!$Q$75/2*$E55))/$E57)*VLOOKUP('Saisie de données'!$F$38,'Menu déroulant'!$AA$22:$AD$24,4,0)</f>
        <v>#VALUE!</v>
      </c>
      <c r="AO57" s="419" t="e">
        <f ca="1">(((VLOOKUP(AO$29,'Infos Techniques'!$I$5:$K$12,3,0)/('Saisie de données'!$F$61/12))-(Francais10p!$Q$75/2*$E55))/$E57)*VLOOKUP('Saisie de données'!$F$38,'Menu déroulant'!$AA$22:$AD$24,4,0)</f>
        <v>#VALUE!</v>
      </c>
      <c r="AP57" s="420" t="e">
        <f ca="1">(((VLOOKUP(AP$29,'Infos Techniques'!$I$5:$K$12,3,0)/('Saisie de données'!$F$61/12))-(Francais10p!$Q$75/2*$E55))/$E57)*VLOOKUP('Saisie de données'!$F$38,'Menu déroulant'!$AA$22:$AD$24,4,0)</f>
        <v>#VALUE!</v>
      </c>
    </row>
    <row r="58" spans="2:44">
      <c r="B58" s="1567" t="s">
        <v>55</v>
      </c>
      <c r="C58" s="1570" t="s">
        <v>338</v>
      </c>
      <c r="D58" s="241" t="s">
        <v>346</v>
      </c>
      <c r="E58" s="59" t="e">
        <f>IF(ISBLANK('Saisie de données'!$E$31),'Charges de ventUSA'!$D40,'Saisie de données'!$E$31)</f>
        <v>#N/A</v>
      </c>
      <c r="F58" s="411" t="e" cm="1">
        <f t="array" aca="1" ref="F58" ca="1">IF('Saisie de données'!$K$62='Menu déroulant'!$AA$34,VLOOKUP(MAX(IF(INDIRECT("Norex2_"&amp;'Saisie de données'!$H$62&amp;"_"&amp;'Saisie de données'!$I$62&amp;"_S")&lt;='Synthèse résultat'!$E58,INDIRECT("Norex2_"&amp;'Saisie de données'!$H$62&amp;"_"&amp;'Saisie de données'!$I$62&amp;"_S"))),'Courbe Déflexion'!O$5:$X$285,10,0)*VLOOKUP('Saisie de données'!$F$38,'Menu déroulant'!$AA$22:$AD$24,4,0),VLOOKUP(MAX(IF(INDIRECT("Norex2_"&amp;'Saisie de données'!$H$62&amp;"_"&amp;'Saisie de données'!$I$62&amp;"_M")&lt;='Synthèse résultat'!$E58,INDIRECT("Norex2_"&amp;'Saisie de données'!$H$62&amp;"_"&amp;'Saisie de données'!$I$62&amp;"_M"))),'Courbe Déflexion'!$DW$5:$EF$217,10,0)*VLOOKUP('Saisie de données'!$F$38,'Menu déroulant'!$AA$22:$AD$24,4,0))</f>
        <v>#N/A</v>
      </c>
      <c r="G58" s="411" t="e" cm="1">
        <f t="array" aca="1" ref="G58" ca="1">IF('Saisie de données'!$K$60='Menu déroulant'!$AA$34,VLOOKUP(MAX(IF(INDIRECT("Norex3_"&amp;'Saisie de données'!$H$62&amp;"_"&amp;'Saisie de données'!$I$62&amp;"_S")&lt;='Synthèse résultat'!$E58,INDIRECT("Norex3_"&amp;'Saisie de données'!$H$62&amp;"_"&amp;'Saisie de données'!$I$62&amp;"_S"))),'Courbe Déflexion'!$Z$5:$AI$329,10,0)*VLOOKUP('Saisie de données'!$F$38,'Menu déroulant'!$AA$22:$AD$24,4,0),VLOOKUP(MAX(IF(INDIRECT("Norex3_"&amp;'Saisie de données'!$H$62&amp;"_"&amp;'Saisie de données'!$I$62&amp;"_M")&lt;='Synthèse résultat'!$E58,INDIRECT("Norex3_"&amp;'Saisie de données'!$H$62&amp;"_"&amp;'Saisie de données'!$I$62&amp;"_M"))),'Courbe Déflexion'!$EH$5:$EQ$309,10,0)*VLOOKUP('Saisie de données'!$F$38,'Menu déroulant'!$AA$22:$AD$24,4,0))</f>
        <v>#N/A</v>
      </c>
      <c r="H58" s="411" t="e" cm="1">
        <f t="array" aca="1" ref="H58" ca="1">IF('Saisie de données'!$K$60='Menu déroulant'!$AA$34,VLOOKUP(MAX(IF(INDIRECT("Norex4_"&amp;'Saisie de données'!$H$62&amp;"_"&amp;'Saisie de données'!$I$62&amp;"_S")&lt;='Synthèse résultat'!$E58,INDIRECT("Norex4_"&amp;'Saisie de données'!$H$62&amp;"_"&amp;'Saisie de données'!$I$62&amp;"_S"))),'Courbe Déflexion'!$AK$5:$AT$306,10,0)*VLOOKUP('Saisie de données'!$F$38,'Menu déroulant'!$AA$22:$AD$24,4,0),VLOOKUP(MAX(IF(INDIRECT("Norex4_"&amp;'Saisie de données'!$H$62&amp;"_"&amp;'Saisie de données'!$I$62&amp;"_M")&lt;='Synthèse résultat'!$E58,INDIRECT("Norex4_"&amp;'Saisie de données'!$H$62&amp;"_"&amp;'Saisie de données'!$I$62&amp;"_M"))),'Courbe Déflexion'!$ES$5:$FB$285,10,0)*VLOOKUP('Saisie de données'!$F$38,'Menu déroulant'!$AA$22:$AD$24,4,0))</f>
        <v>#N/A</v>
      </c>
      <c r="I58" s="411" t="e" cm="1">
        <f t="array" aca="1" ref="I58" ca="1">IF('Saisie de données'!$K$60='Menu déroulant'!$AA$34,VLOOKUP(MAX(IF(INDIRECT("Norex5_"&amp;'Saisie de données'!$H$62&amp;"_"&amp;'Saisie de données'!$I$62&amp;"_S")&lt;='Synthèse résultat'!$E58,INDIRECT("Norex5_"&amp;'Saisie de données'!$H$62&amp;"_"&amp;'Saisie de données'!$I$62&amp;"_S"))),'Courbe Déflexion'!$AV$5:$BE$306,10,0)*VLOOKUP('Saisie de données'!$F$38,'Menu déroulant'!$AA$22:$AD$24,4,0),VLOOKUP(MAX(IF(INDIRECT("Norex5_"&amp;'Saisie de données'!$H$62&amp;"_"&amp;'Saisie de données'!$I$62&amp;"_M")&lt;='Synthèse résultat'!$E58,INDIRECT("Norex5_"&amp;'Saisie de données'!$H$62&amp;"_"&amp;'Saisie de données'!$I$62&amp;"_M"))),'Courbe Déflexion'!$FD$5:$FM$285,10,0)*VLOOKUP('Saisie de données'!$F$38,'Menu déroulant'!$AA$22:$AD$24,4,0))</f>
        <v>#N/A</v>
      </c>
      <c r="J58" s="411" t="e" cm="1">
        <f t="array" aca="1" ref="J58" ca="1">IF('Saisie de données'!$K$60='Menu déroulant'!$AA$34,VLOOKUP(MAX(IF(INDIRECT("Norex6_"&amp;'Saisie de données'!$H$62&amp;"_"&amp;'Saisie de données'!$I$62&amp;"_S")&lt;='Synthèse résultat'!$E58,INDIRECT("Norex6_"&amp;'Saisie de données'!$H$62&amp;"_"&amp;'Saisie de données'!$I$62&amp;"_S"))),'Courbe Déflexion'!$BG$5:$BP$306,10,0)*VLOOKUP('Saisie de données'!$F$38,'Menu déroulant'!$AA$22:$AD$24,4,0),VLOOKUP(MAX(IF(INDIRECT("Norex6_"&amp;'Saisie de données'!$H$62&amp;"_"&amp;'Saisie de données'!$I$62&amp;"_M")&lt;='Synthèse résultat'!$E58,INDIRECT("Norex6_"&amp;'Saisie de données'!$H$62&amp;"_"&amp;'Saisie de données'!$I$62&amp;"_M"))),'Courbe Déflexion'!$FO$5:$FX$286,10,0)*VLOOKUP('Saisie de données'!$F$38,'Menu déroulant'!$AA$22:$AD$24,4,0))</f>
        <v>#N/A</v>
      </c>
      <c r="K58" s="411" t="e" cm="1">
        <f t="array" aca="1" ref="K58" ca="1">IF('Saisie de données'!$K$60='Menu déroulant'!$AA$34,VLOOKUP(MAX(IF(INDIRECT("Norex8_"&amp;'Saisie de données'!$H$62&amp;"_"&amp;'Saisie de données'!$I$62&amp;"_S")&lt;='Synthèse résultat'!$E58,INDIRECT("Norex8_"&amp;'Saisie de données'!$H$62&amp;"_"&amp;'Saisie de données'!$I$62&amp;"_S"))),'Courbe Déflexion'!$BR$5:$CA$306,10,0)*VLOOKUP('Saisie de données'!$F$38,'Menu déroulant'!$AA$22:$AD$24,4,0),VLOOKUP(MAX(IF(INDIRECT("Norex8_"&amp;'Saisie de données'!$H$62&amp;"_"&amp;'Saisie de données'!$I$62&amp;"_M")&lt;='Synthèse résultat'!$E58,INDIRECT("Norex8_"&amp;'Saisie de données'!$H$62&amp;"_"&amp;'Saisie de données'!$I$62&amp;"_M"))),'Courbe Déflexion'!$FZ$5:$GI$286,10,0)*VLOOKUP('Saisie de données'!$F$38,'Menu déroulant'!$AA$22:$AD$24,4,0))</f>
        <v>#N/A</v>
      </c>
      <c r="L58" s="411" t="e" cm="1">
        <f t="array" aca="1" ref="L58" ca="1">IF('Saisie de données'!$K$60='Menu déroulant'!$AA$34,VLOOKUP(MAX(IF(INDIRECT("Noroc4_"&amp;'Saisie de données'!$H$62&amp;"_"&amp;'Saisie de données'!$I$62&amp;"_S")&lt;='Synthèse résultat'!$E58,INDIRECT("Noroc4_"&amp;'Saisie de données'!$H$62&amp;"_"&amp;'Saisie de données'!$I$62&amp;"_S"))),'Courbe Déflexion'!$CC$5:$CL$306,10,0)*VLOOKUP('Saisie de données'!$F$38,'Menu déroulant'!$AA$22:$AD$24,4,0),VLOOKUP(MAX(IF(INDIRECT("Noroc4_"&amp;'Saisie de données'!$H$62&amp;"_"&amp;'Saisie de données'!$I$62&amp;"_M")&lt;='Synthèse résultat'!$E58,INDIRECT("Noroc4_"&amp;'Saisie de données'!$H$62&amp;"_"&amp;'Saisie de données'!$I$62&amp;"_M"))),'Courbe Déflexion'!$GK$5:$GT$286,10,0)*VLOOKUP('Saisie de données'!$F$38,'Menu déroulant'!$AA$22:$AD$24,4,0))</f>
        <v>#N/A</v>
      </c>
      <c r="M58" s="411" t="e" cm="1">
        <f t="array" aca="1" ref="M58" ca="1">IF('Saisie de données'!$K$60='Menu déroulant'!$AA$34,VLOOKUP(MAX(IF(INDIRECT("Noroc5_"&amp;'Saisie de données'!$H$62&amp;"_"&amp;'Saisie de données'!$I$62&amp;"_S")&lt;='Synthèse résultat'!$E58,INDIRECT("Noroc5_"&amp;'Saisie de données'!$H$62&amp;"_"&amp;'Saisie de données'!$I$62&amp;"_S"))),'Courbe Déflexion'!$CN$5:$CW$306,10,0)*VLOOKUP('Saisie de données'!$F$38,'Menu déroulant'!$AA$22:$AD$24,4,0),VLOOKUP(MAX(IF(INDIRECT("Noroc5_"&amp;'Saisie de données'!$H$62&amp;"_"&amp;'Saisie de données'!$I$62&amp;"_M")&lt;='Synthèse résultat'!$E58,INDIRECT("Noroc5_"&amp;'Saisie de données'!$H$62&amp;"_"&amp;'Saisie de données'!$I$62&amp;"_M"))),'Courbe Déflexion'!$GV$5:$HE$286,10,0)*VLOOKUP('Saisie de données'!$F$38,'Menu déroulant'!$AA$22:$AD$24,4,0))</f>
        <v>#N/A</v>
      </c>
      <c r="N58" s="411" t="e" cm="1">
        <f t="array" aca="1" ref="N58" ca="1">IF('Saisie de données'!$K$60='Menu déroulant'!$AA$34,VLOOKUP(MAX(IF(INDIRECT("Noroc6_"&amp;'Saisie de données'!$H$62&amp;"_"&amp;'Saisie de données'!$I$62&amp;"_S")&lt;='Synthèse résultat'!$E58,INDIRECT("Noroc6_"&amp;'Saisie de données'!$H$62&amp;"_"&amp;'Saisie de données'!$I$62&amp;"_S"))),'Courbe Déflexion'!$CY$5:$DH$306,10,0)*VLOOKUP('Saisie de données'!$F$38,'Menu déroulant'!$AA$22:$AD$24,4,0),VLOOKUP(MAX(IF(INDIRECT("Noroc6_"&amp;'Saisie de données'!$H$62&amp;"_"&amp;'Saisie de données'!$I$62&amp;"_M")&lt;='Synthèse résultat'!$E58,INDIRECT("Noroc6_"&amp;'Saisie de données'!$H$62&amp;"_"&amp;'Saisie de données'!$I$62&amp;"_M"))),'Courbe Déflexion'!$HG$5:$HP$286,10,0)*VLOOKUP('Saisie de données'!$F$38,'Menu déroulant'!$AA$22:$AD$24,4,0))</f>
        <v>#N/A</v>
      </c>
      <c r="O58" s="411" t="e" cm="1">
        <f t="array" aca="1" ref="O58" ca="1">IF('Saisie de données'!$K$60='Menu déroulant'!$AA$34,VLOOKUP(MAX(IF(INDIRECT("Noroc8_"&amp;'Saisie de données'!$H$62&amp;"_"&amp;'Saisie de données'!$I$62&amp;"_S")&lt;='Synthèse résultat'!$E58,INDIRECT("Noroc8_"&amp;'Saisie de données'!$H$62&amp;"_"&amp;'Saisie de données'!$I$62&amp;"_S"))),'Courbe Déflexion'!$DJ$5:$DS$306,10,0)*VLOOKUP('Saisie de données'!$F$38,'Menu déroulant'!$AA$22:$AD$24,4,0),VLOOKUP(MAX(IF(INDIRECT("Noroc8_"&amp;'Saisie de données'!$H$62&amp;"_"&amp;'Saisie de données'!$I$62&amp;"_M")&lt;='Synthèse résultat'!$E58,INDIRECT("Noroc8_"&amp;'Saisie de données'!$H$62&amp;"_"&amp;'Saisie de données'!$I$62&amp;"_M"))),'Courbe Déflexion'!$HR$5:$IA$286,10,0)*VLOOKUP('Saisie de données'!$F$38,'Menu déroulant'!$AA$22:$AD$24,4,0))</f>
        <v>#N/A</v>
      </c>
      <c r="P58" s="412">
        <f>VLOOKUP('Saisie de données'!$J$62,'Infos Techniques'!$U$15:$AF$43,12,0)*VLOOKUP('Saisie de données'!$F$38,'Menu déroulant'!$AA$22:$AD$24,4,0)</f>
        <v>11.76923076923077</v>
      </c>
      <c r="Q58" s="413" t="e">
        <f>IF('Saisie de données'!$C$62='Menu déroulant'!$AA$31,VLOOKUP(Q$29,'Infos Techniques'!$B$7:$H$12,2,0)/($E58*'Saisie de données'!$F$62/12),VLOOKUP(Q$29,'Infos Techniques'!$B$7:$H$12,5,0)/($E58*'Saisie de données'!$F$62/12))*VLOOKUP('Saisie de données'!$F$38,'Menu déroulant'!$AA$22:$AD$24,4,0)</f>
        <v>#N/A</v>
      </c>
      <c r="R58" s="413" t="e">
        <f>IF('Saisie de données'!$C$62='Menu déroulant'!$AA$31,VLOOKUP(R$29,'Infos Techniques'!$B$7:$H$12,2,0)/($E58*'Saisie de données'!$F$62/12),VLOOKUP(R$29,'Infos Techniques'!$B$7:$H$12,5,0)/($E58*'Saisie de données'!$F$62/12))*VLOOKUP('Saisie de données'!$F$38,'Menu déroulant'!$AA$22:$AD$24,4,0)</f>
        <v>#N/A</v>
      </c>
      <c r="S58" s="413" t="e">
        <f>IF('Saisie de données'!$C$62='Menu déroulant'!$AA$31,VLOOKUP(S$29,'Infos Techniques'!$B$7:$H$12,2,0)/($E58*'Saisie de données'!$F$62/12),VLOOKUP(S$29,'Infos Techniques'!$B$7:$H$12,5,0)/($E58*'Saisie de données'!$F$62/12))*VLOOKUP('Saisie de données'!$F$38,'Menu déroulant'!$AA$22:$AD$24,4,0)</f>
        <v>#N/A</v>
      </c>
      <c r="T58" s="413" t="e">
        <f>IF('Saisie de données'!$C$62='Menu déroulant'!$AA$31,VLOOKUP(T$29,'Infos Techniques'!$B$7:$H$12,2,0)/($E58*'Saisie de données'!$F$62/12),VLOOKUP(T$29,'Infos Techniques'!$B$7:$H$12,5,0)/($E58*'Saisie de données'!$F$62/12))*VLOOKUP('Saisie de données'!$F$38,'Menu déroulant'!$AA$22:$AD$24,4,0)</f>
        <v>#N/A</v>
      </c>
      <c r="U58" s="413" t="e">
        <f>IF('Saisie de données'!$C$62='Menu déroulant'!$AA$31,VLOOKUP(U$29,'Infos Techniques'!$B$7:$H$12,2,0)/($E58*'Saisie de données'!$F$62/12),VLOOKUP(U$29,'Infos Techniques'!$B$7:$H$12,5,0)/($E58*'Saisie de données'!$F$62/12))*VLOOKUP('Saisie de données'!$F$38,'Menu déroulant'!$AA$22:$AD$24,4,0)</f>
        <v>#N/A</v>
      </c>
      <c r="V58" s="413" t="e">
        <f>IF('Saisie de données'!$C$62='Menu déroulant'!$AA$31,VLOOKUP(V$29,'Infos Techniques'!$B$7:$H$12,4,0)/($E58*'Saisie de données'!$F$62/12),VLOOKUP(V$29,'Infos Techniques'!$B$7:$H$12,7,0)/($E58*'Saisie de données'!$F$62/12))*VLOOKUP('Saisie de données'!$F$38,'Menu déroulant'!$AA$22:$AD$24,4,0)</f>
        <v>#N/A</v>
      </c>
      <c r="W58" s="413" t="e">
        <f>IF('Saisie de données'!$C$62='Menu déroulant'!$AA$31,VLOOKUP(W$29,'Infos Techniques'!$B$7:$H$12,4,0)/($E58*'Saisie de données'!$F$62/12),VLOOKUP(W$29,'Infos Techniques'!$B$7:$H$12,7,0)/($E58*'Saisie de données'!$F$62/12))*VLOOKUP('Saisie de données'!$F$38,'Menu déroulant'!$AA$22:$AD$24,4,0)</f>
        <v>#N/A</v>
      </c>
      <c r="X58" s="413" t="e">
        <f>IF('Saisie de données'!$C$62='Menu déroulant'!$AA$31,VLOOKUP(X$29,'Infos Techniques'!$B$7:$H$12,4,0)/($E58*'Saisie de données'!$F$62/12),VLOOKUP(X$29,'Infos Techniques'!$B$7:$H$12,7,0)/($E58*'Saisie de données'!$F$62/12))*VLOOKUP('Saisie de données'!$F$38,'Menu déroulant'!$AA$22:$AD$24,4,0)</f>
        <v>#N/A</v>
      </c>
      <c r="Y58" s="413" t="e">
        <f>IF('Saisie de données'!$C$62='Menu déroulant'!$AA$31,VLOOKUP(Y$29,'Infos Techniques'!$B$7:$H$12,4,0)/($E58*'Saisie de données'!$F$62/12),VLOOKUP(Y$29,'Infos Techniques'!$B$7:$H$12,7,0)/($E58*'Saisie de données'!$F$62/12))*VLOOKUP('Saisie de données'!$F$38,'Menu déroulant'!$AA$22:$AD$24,4,0)</f>
        <v>#N/A</v>
      </c>
      <c r="Z58" s="413" t="e">
        <f>IF('Saisie de données'!$C$62='Menu déroulant'!$AA$31,VLOOKUP(Z$29,'Infos Techniques'!$B$7:$H$12,4,0)/($E58*'Saisie de données'!$F$62/12),VLOOKUP(Z$29,'Infos Techniques'!$B$7:$H$12,7,0)/($E58*'Saisie de données'!$F$62/12))*VLOOKUP('Saisie de données'!$F$38,'Menu déroulant'!$AA$22:$AD$24,4,0)</f>
        <v>#N/A</v>
      </c>
      <c r="AA58" s="440" t="e">
        <f>VLOOKUP(AA$29,'Infos Techniques'!$I$5:$K$12,2,0)/($E58*'Saisie de données'!$F$62/12)*VLOOKUP('Saisie de données'!$F$38,'Menu déroulant'!$AA$22:$AD$24,4,0)</f>
        <v>#N/A</v>
      </c>
      <c r="AB58" s="413" t="e">
        <f>VLOOKUP(AB$29,'Infos Techniques'!$I$5:$K$12,2,0)/($E58*'Saisie de données'!$F$62/12)*VLOOKUP('Saisie de données'!$F$38,'Menu déroulant'!$AA$22:$AD$24,4,0)</f>
        <v>#N/A</v>
      </c>
      <c r="AC58" s="413" t="e">
        <f>VLOOKUP(AC$29,'Infos Techniques'!$I$5:$K$12,2,0)/($E58*'Saisie de données'!$F$62/12)*VLOOKUP('Saisie de données'!$F$38,'Menu déroulant'!$AA$22:$AD$24,4,0)</f>
        <v>#N/A</v>
      </c>
      <c r="AD58" s="413" t="e">
        <f>VLOOKUP(AD$29,'Infos Techniques'!$I$5:$K$12,2,0)/($E58*'Saisie de données'!$F$62/12)*VLOOKUP('Saisie de données'!$F$38,'Menu déroulant'!$AA$22:$AD$24,4,0)</f>
        <v>#N/A</v>
      </c>
      <c r="AE58" s="413" cm="1">
        <f t="array" ref="AE58">_xlfn.IFS(OR('Saisie de données'!$D$13='Menu déroulant'!$AA$3,'Saisie de données'!$D$13='Menu déroulant'!$AA$4),'Synthèse résultat'!AE115,'Saisie de données'!$D$16='Menu déroulant'!$B$20,AE97,'Saisie de données'!$D$16='Menu déroulant'!$B$21,AE77)</f>
        <v>0</v>
      </c>
      <c r="AF58" s="413" t="e">
        <f>VLOOKUP(AF$29,'Infos Techniques'!$I$5:$K$12,2,0)/($E58*'Saisie de données'!$F$62/12)*VLOOKUP('Saisie de données'!$F$38,'Menu déroulant'!$AA$22:$AD$24,4,0)</f>
        <v>#N/A</v>
      </c>
      <c r="AG58" s="413" t="e">
        <f>VLOOKUP(AG$29,'Infos Techniques'!$I$5:$K$12,2,0)/($E58*'Saisie de données'!$F$62/12)*VLOOKUP('Saisie de données'!$F$38,'Menu déroulant'!$AA$22:$AD$24,4,0)</f>
        <v>#N/A</v>
      </c>
      <c r="AH58" s="413" cm="1">
        <f t="array" ref="AH58">_xlfn.IFS(OR('Saisie de données'!$D$13='Menu déroulant'!$AA$3,'Saisie de données'!$D$13='Menu déroulant'!$AA$4),'Synthèse résultat'!AH115,'Saisie de données'!$D$16='Menu déroulant'!$B$20,AH97,'Saisie de données'!$D$16='Menu déroulant'!$B$21,AH77)</f>
        <v>0</v>
      </c>
      <c r="AI58" s="413" t="e">
        <f>VLOOKUP(AI$29,'Infos Techniques'!$I$5:$K$12,3,0)/($E58*'Saisie de données'!$F$62/12)*VLOOKUP('Saisie de données'!$F$38,'Menu déroulant'!$AA$22:$AD$24,4,0)</f>
        <v>#N/A</v>
      </c>
      <c r="AJ58" s="413" t="e">
        <f>VLOOKUP(AJ$29,'Infos Techniques'!$I$5:$K$12,3,0)/($E58*'Saisie de données'!$F$62/12)*VLOOKUP('Saisie de données'!$F$38,'Menu déroulant'!$AA$22:$AD$24,4,0)</f>
        <v>#N/A</v>
      </c>
      <c r="AK58" s="413" t="e">
        <f>VLOOKUP(AK$29,'Infos Techniques'!$I$5:$K$12,3,0)/($E58*'Saisie de données'!$F$62/12)*VLOOKUP('Saisie de données'!$F$38,'Menu déroulant'!$AA$22:$AD$24,4,0)</f>
        <v>#N/A</v>
      </c>
      <c r="AL58" s="413" t="e">
        <f>VLOOKUP(AL$29,'Infos Techniques'!$I$5:$K$12,3,0)/($E58*'Saisie de données'!$F$62/12)*VLOOKUP('Saisie de données'!$F$38,'Menu déroulant'!$AA$22:$AD$24,4,0)</f>
        <v>#N/A</v>
      </c>
      <c r="AM58" s="413" t="e">
        <f>VLOOKUP(AM$29,'Infos Techniques'!$I$5:$K$12,3,0)/($E58*'Saisie de données'!$F$62/12)*VLOOKUP('Saisie de données'!$F$38,'Menu déroulant'!$AA$22:$AD$24,4,0)</f>
        <v>#N/A</v>
      </c>
      <c r="AN58" s="413" t="e">
        <f>VLOOKUP(AN$29,'Infos Techniques'!$I$5:$K$12,3,0)/($E58*'Saisie de données'!$F$62/12)*VLOOKUP('Saisie de données'!$F$38,'Menu déroulant'!$AA$22:$AD$24,4,0)</f>
        <v>#N/A</v>
      </c>
      <c r="AO58" s="413" t="e">
        <f>VLOOKUP(AO$29,'Infos Techniques'!$I$5:$K$12,3,0)/($E58*'Saisie de données'!$F$62/12)*VLOOKUP('Saisie de données'!$F$38,'Menu déroulant'!$AA$22:$AD$24,4,0)</f>
        <v>#N/A</v>
      </c>
      <c r="AP58" s="414" t="e">
        <f>VLOOKUP(AP$29,'Infos Techniques'!$I$5:$K$12,3,0)/($E58*'Saisie de données'!$F$62/12)*VLOOKUP('Saisie de données'!$F$38,'Menu déroulant'!$AA$22:$AD$24,4,0)</f>
        <v>#N/A</v>
      </c>
    </row>
    <row r="59" spans="2:44">
      <c r="B59" s="1568"/>
      <c r="C59" s="1571"/>
      <c r="D59" s="28" t="s">
        <v>347</v>
      </c>
      <c r="E59" s="43" t="e">
        <f>IF(ISBLANK('Saisie de données'!$E$30),'Charges de ventUSA'!$E40,'Saisie de données'!$E$30)</f>
        <v>#N/A</v>
      </c>
      <c r="F59" s="415" t="e" cm="1">
        <f t="array" aca="1" ref="F59" ca="1">IF('Saisie de données'!$K$62='Menu déroulant'!$AA$34,VLOOKUP(MAX(IF(INDIRECT("Norex2_"&amp;'Saisie de données'!$H$62&amp;"_"&amp;'Saisie de données'!$I$62&amp;"_S")&lt;='Synthèse résultat'!$E59,INDIRECT("Norex2_"&amp;'Saisie de données'!$H$62&amp;"_"&amp;'Saisie de données'!$I$62&amp;"_S"))),'Courbe Déflexion'!O$5:$X$285,10,0)*VLOOKUP('Saisie de données'!$F$38,'Menu déroulant'!$AA$22:$AD$24,4,0),VLOOKUP(MAX(IF(INDIRECT("Norex2_"&amp;'Saisie de données'!$H$62&amp;"_"&amp;'Saisie de données'!$I$62&amp;"_M")&lt;='Synthèse résultat'!$E59,INDIRECT("Norex2_"&amp;'Saisie de données'!$H$62&amp;"_"&amp;'Saisie de données'!$I$62&amp;"_M"))),'Courbe Déflexion'!$DW$5:$EF$217,10,0)*VLOOKUP('Saisie de données'!$F$38,'Menu déroulant'!$AA$22:$AD$24,4,0))</f>
        <v>#N/A</v>
      </c>
      <c r="G59" s="415" t="e" cm="1">
        <f t="array" aca="1" ref="G59" ca="1">IF('Saisie de données'!$K$60='Menu déroulant'!$AA$34,VLOOKUP(MAX(IF(INDIRECT("Norex3_"&amp;'Saisie de données'!$H$62&amp;"_"&amp;'Saisie de données'!$I$62&amp;"_S")&lt;='Synthèse résultat'!$E59,INDIRECT("Norex3_"&amp;'Saisie de données'!$H$62&amp;"_"&amp;'Saisie de données'!$I$62&amp;"_S"))),'Courbe Déflexion'!$Z$5:$AI$329,10,0)*VLOOKUP('Saisie de données'!$F$38,'Menu déroulant'!$AA$22:$AD$24,4,0),VLOOKUP(MAX(IF(INDIRECT("Norex3_"&amp;'Saisie de données'!$H$62&amp;"_"&amp;'Saisie de données'!$I$62&amp;"_M")&lt;='Synthèse résultat'!$E59,INDIRECT("Norex3_"&amp;'Saisie de données'!$H$62&amp;"_"&amp;'Saisie de données'!$I$62&amp;"_M"))),'Courbe Déflexion'!$EH$5:$EQ$309,10,0)*VLOOKUP('Saisie de données'!$F$38,'Menu déroulant'!$AA$22:$AD$24,4,0))</f>
        <v>#N/A</v>
      </c>
      <c r="H59" s="415" t="e" cm="1">
        <f t="array" aca="1" ref="H59" ca="1">IF('Saisie de données'!$K$60='Menu déroulant'!$AA$34,VLOOKUP(MAX(IF(INDIRECT("Norex4_"&amp;'Saisie de données'!$H$62&amp;"_"&amp;'Saisie de données'!$I$62&amp;"_S")&lt;='Synthèse résultat'!$E59,INDIRECT("Norex4_"&amp;'Saisie de données'!$H$62&amp;"_"&amp;'Saisie de données'!$I$62&amp;"_S"))),'Courbe Déflexion'!$AK$5:$AT$306,10,0)*VLOOKUP('Saisie de données'!$F$38,'Menu déroulant'!$AA$22:$AD$24,4,0),VLOOKUP(MAX(IF(INDIRECT("Norex4_"&amp;'Saisie de données'!$H$62&amp;"_"&amp;'Saisie de données'!$I$62&amp;"_M")&lt;='Synthèse résultat'!$E59,INDIRECT("Norex4_"&amp;'Saisie de données'!$H$62&amp;"_"&amp;'Saisie de données'!$I$62&amp;"_M"))),'Courbe Déflexion'!$ES$5:$FB$285,10,0)*VLOOKUP('Saisie de données'!$F$38,'Menu déroulant'!$AA$22:$AD$24,4,0))</f>
        <v>#N/A</v>
      </c>
      <c r="I59" s="415" t="e" cm="1">
        <f t="array" aca="1" ref="I59" ca="1">IF('Saisie de données'!$K$60='Menu déroulant'!$AA$34,VLOOKUP(MAX(IF(INDIRECT("Norex5_"&amp;'Saisie de données'!$H$62&amp;"_"&amp;'Saisie de données'!$I$62&amp;"_S")&lt;='Synthèse résultat'!$E59,INDIRECT("Norex5_"&amp;'Saisie de données'!$H$62&amp;"_"&amp;'Saisie de données'!$I$62&amp;"_S"))),'Courbe Déflexion'!$AV$5:$BE$306,10,0)*VLOOKUP('Saisie de données'!$F$38,'Menu déroulant'!$AA$22:$AD$24,4,0),VLOOKUP(MAX(IF(INDIRECT("Norex5_"&amp;'Saisie de données'!$H$62&amp;"_"&amp;'Saisie de données'!$I$62&amp;"_M")&lt;='Synthèse résultat'!$E59,INDIRECT("Norex5_"&amp;'Saisie de données'!$H$62&amp;"_"&amp;'Saisie de données'!$I$62&amp;"_M"))),'Courbe Déflexion'!$FD$5:$FM$285,10,0)*VLOOKUP('Saisie de données'!$F$38,'Menu déroulant'!$AA$22:$AD$24,4,0))</f>
        <v>#N/A</v>
      </c>
      <c r="J59" s="415" t="e" cm="1">
        <f t="array" aca="1" ref="J59" ca="1">IF('Saisie de données'!$K$60='Menu déroulant'!$AA$34,VLOOKUP(MAX(IF(INDIRECT("Norex6_"&amp;'Saisie de données'!$H$62&amp;"_"&amp;'Saisie de données'!$I$62&amp;"_S")&lt;='Synthèse résultat'!$E59,INDIRECT("Norex6_"&amp;'Saisie de données'!$H$62&amp;"_"&amp;'Saisie de données'!$I$62&amp;"_S"))),'Courbe Déflexion'!$BG$5:$BP$306,10,0)*VLOOKUP('Saisie de données'!$F$38,'Menu déroulant'!$AA$22:$AD$24,4,0),VLOOKUP(MAX(IF(INDIRECT("Norex6_"&amp;'Saisie de données'!$H$62&amp;"_"&amp;'Saisie de données'!$I$62&amp;"_M")&lt;='Synthèse résultat'!$E59,INDIRECT("Norex6_"&amp;'Saisie de données'!$H$62&amp;"_"&amp;'Saisie de données'!$I$62&amp;"_M"))),'Courbe Déflexion'!$FO$5:$FX$286,10,0)*VLOOKUP('Saisie de données'!$F$38,'Menu déroulant'!$AA$22:$AD$24,4,0))</f>
        <v>#N/A</v>
      </c>
      <c r="K59" s="415" t="e" cm="1">
        <f t="array" aca="1" ref="K59" ca="1">IF('Saisie de données'!$K$60='Menu déroulant'!$AA$34,VLOOKUP(MAX(IF(INDIRECT("Norex8_"&amp;'Saisie de données'!$H$62&amp;"_"&amp;'Saisie de données'!$I$62&amp;"_S")&lt;='Synthèse résultat'!$E59,INDIRECT("Norex8_"&amp;'Saisie de données'!$H$62&amp;"_"&amp;'Saisie de données'!$I$62&amp;"_S"))),'Courbe Déflexion'!$BR$5:$CA$306,10,0)*VLOOKUP('Saisie de données'!$F$38,'Menu déroulant'!$AA$22:$AD$24,4,0),VLOOKUP(MAX(IF(INDIRECT("Norex8_"&amp;'Saisie de données'!$H$62&amp;"_"&amp;'Saisie de données'!$I$62&amp;"_M")&lt;='Synthèse résultat'!$E59,INDIRECT("Norex8_"&amp;'Saisie de données'!$H$62&amp;"_"&amp;'Saisie de données'!$I$62&amp;"_M"))),'Courbe Déflexion'!$FZ$5:$GI$286,10,0)*VLOOKUP('Saisie de données'!$F$38,'Menu déroulant'!$AA$22:$AD$24,4,0))</f>
        <v>#N/A</v>
      </c>
      <c r="L59" s="415" t="e" cm="1">
        <f t="array" aca="1" ref="L59" ca="1">IF('Saisie de données'!$K$60='Menu déroulant'!$AA$34,VLOOKUP(MAX(IF(INDIRECT("Noroc4_"&amp;'Saisie de données'!$H$62&amp;"_"&amp;'Saisie de données'!$I$62&amp;"_S")&lt;='Synthèse résultat'!$E59,INDIRECT("Noroc4_"&amp;'Saisie de données'!$H$62&amp;"_"&amp;'Saisie de données'!$I$62&amp;"_S"))),'Courbe Déflexion'!$CC$5:$CL$306,10,0)*VLOOKUP('Saisie de données'!$F$38,'Menu déroulant'!$AA$22:$AD$24,4,0),VLOOKUP(MAX(IF(INDIRECT("Noroc4_"&amp;'Saisie de données'!$H$62&amp;"_"&amp;'Saisie de données'!$I$62&amp;"_M")&lt;='Synthèse résultat'!$E59,INDIRECT("Noroc4_"&amp;'Saisie de données'!$H$62&amp;"_"&amp;'Saisie de données'!$I$62&amp;"_M"))),'Courbe Déflexion'!$GK$5:$GT$286,10,0)*VLOOKUP('Saisie de données'!$F$38,'Menu déroulant'!$AA$22:$AD$24,4,0))</f>
        <v>#N/A</v>
      </c>
      <c r="M59" s="415" t="e" cm="1">
        <f t="array" aca="1" ref="M59" ca="1">IF('Saisie de données'!$K$60='Menu déroulant'!$AA$34,VLOOKUP(MAX(IF(INDIRECT("Noroc5_"&amp;'Saisie de données'!$H$62&amp;"_"&amp;'Saisie de données'!$I$62&amp;"_S")&lt;='Synthèse résultat'!$E59,INDIRECT("Noroc5_"&amp;'Saisie de données'!$H$62&amp;"_"&amp;'Saisie de données'!$I$62&amp;"_S"))),'Courbe Déflexion'!$CN$5:$CW$306,10,0)*VLOOKUP('Saisie de données'!$F$38,'Menu déroulant'!$AA$22:$AD$24,4,0),VLOOKUP(MAX(IF(INDIRECT("Noroc5_"&amp;'Saisie de données'!$H$62&amp;"_"&amp;'Saisie de données'!$I$62&amp;"_M")&lt;='Synthèse résultat'!$E59,INDIRECT("Noroc5_"&amp;'Saisie de données'!$H$62&amp;"_"&amp;'Saisie de données'!$I$62&amp;"_M"))),'Courbe Déflexion'!$GV$5:$HE$286,10,0)*VLOOKUP('Saisie de données'!$F$38,'Menu déroulant'!$AA$22:$AD$24,4,0))</f>
        <v>#N/A</v>
      </c>
      <c r="N59" s="415" t="e" cm="1">
        <f t="array" aca="1" ref="N59" ca="1">IF('Saisie de données'!$K$60='Menu déroulant'!$AA$34,VLOOKUP(MAX(IF(INDIRECT("Noroc6_"&amp;'Saisie de données'!$H$62&amp;"_"&amp;'Saisie de données'!$I$62&amp;"_S")&lt;='Synthèse résultat'!$E59,INDIRECT("Noroc6_"&amp;'Saisie de données'!$H$62&amp;"_"&amp;'Saisie de données'!$I$62&amp;"_S"))),'Courbe Déflexion'!$CY$5:$DH$306,10,0)*VLOOKUP('Saisie de données'!$F$38,'Menu déroulant'!$AA$22:$AD$24,4,0),VLOOKUP(MAX(IF(INDIRECT("Noroc6_"&amp;'Saisie de données'!$H$62&amp;"_"&amp;'Saisie de données'!$I$62&amp;"_M")&lt;='Synthèse résultat'!$E59,INDIRECT("Noroc6_"&amp;'Saisie de données'!$H$62&amp;"_"&amp;'Saisie de données'!$I$62&amp;"_M"))),'Courbe Déflexion'!$HG$5:$HP$286,10,0)*VLOOKUP('Saisie de données'!$F$38,'Menu déroulant'!$AA$22:$AD$24,4,0))</f>
        <v>#N/A</v>
      </c>
      <c r="O59" s="415" t="e" cm="1">
        <f t="array" aca="1" ref="O59" ca="1">IF('Saisie de données'!$K$60='Menu déroulant'!$AA$34,VLOOKUP(MAX(IF(INDIRECT("Noroc8_"&amp;'Saisie de données'!$H$62&amp;"_"&amp;'Saisie de données'!$I$62&amp;"_S")&lt;='Synthèse résultat'!$E59,INDIRECT("Noroc8_"&amp;'Saisie de données'!$H$62&amp;"_"&amp;'Saisie de données'!$I$62&amp;"_S"))),'Courbe Déflexion'!$DJ$5:$DS$306,10,0)*VLOOKUP('Saisie de données'!$F$38,'Menu déroulant'!$AA$22:$AD$24,4,0),VLOOKUP(MAX(IF(INDIRECT("Noroc8_"&amp;'Saisie de données'!$H$62&amp;"_"&amp;'Saisie de données'!$I$62&amp;"_M")&lt;='Synthèse résultat'!$E59,INDIRECT("Noroc8_"&amp;'Saisie de données'!$H$62&amp;"_"&amp;'Saisie de données'!$I$62&amp;"_M"))),'Courbe Déflexion'!$HR$5:$IA$286,10,0)*VLOOKUP('Saisie de données'!$F$38,'Menu déroulant'!$AA$22:$AD$24,4,0))</f>
        <v>#N/A</v>
      </c>
      <c r="P59" s="416">
        <f>VLOOKUP('Saisie de données'!$J$62,'Infos Techniques'!$U$15:$AF$43,12,0)*VLOOKUP('Saisie de données'!$F$38,'Menu déroulant'!$AA$22:$AD$24,4,0)</f>
        <v>11.76923076923077</v>
      </c>
      <c r="Q59" s="326" t="e">
        <f>IF('Saisie de données'!$C$62='Menu déroulant'!$AA$31,VLOOKUP(Q$29,'Infos Techniques'!$B$7:$H$12,2,0)/($E59*'Saisie de données'!$F$62/12),VLOOKUP(Q$29,'Infos Techniques'!$B$7:$H$12,5,0)/($E59*'Saisie de données'!$F$62/12))*VLOOKUP('Saisie de données'!$F$38,'Menu déroulant'!$AA$22:$AD$24,4,0)</f>
        <v>#N/A</v>
      </c>
      <c r="R59" s="326" t="e">
        <f>IF('Saisie de données'!$C$62='Menu déroulant'!$AA$31,VLOOKUP(R$29,'Infos Techniques'!$B$7:$H$12,2,0)/($E59*'Saisie de données'!$F$62/12),VLOOKUP(R$29,'Infos Techniques'!$B$7:$H$12,5,0)/($E59*'Saisie de données'!$F$62/12))*VLOOKUP('Saisie de données'!$F$38,'Menu déroulant'!$AA$22:$AD$24,4,0)</f>
        <v>#N/A</v>
      </c>
      <c r="S59" s="326" t="e">
        <f>IF('Saisie de données'!$C$62='Menu déroulant'!$AA$31,VLOOKUP(S$29,'Infos Techniques'!$B$7:$H$12,2,0)/($E59*'Saisie de données'!$F$62/12),VLOOKUP(S$29,'Infos Techniques'!$B$7:$H$12,5,0)/($E59*'Saisie de données'!$F$62/12))*VLOOKUP('Saisie de données'!$F$38,'Menu déroulant'!$AA$22:$AD$24,4,0)</f>
        <v>#N/A</v>
      </c>
      <c r="T59" s="326" t="e">
        <f>IF('Saisie de données'!$C$62='Menu déroulant'!$AA$31,VLOOKUP(T$29,'Infos Techniques'!$B$7:$H$12,2,0)/($E59*'Saisie de données'!$F$62/12),VLOOKUP(T$29,'Infos Techniques'!$B$7:$H$12,5,0)/($E59*'Saisie de données'!$F$62/12))*VLOOKUP('Saisie de données'!$F$38,'Menu déroulant'!$AA$22:$AD$24,4,0)</f>
        <v>#N/A</v>
      </c>
      <c r="U59" s="326" t="e">
        <f>IF('Saisie de données'!$C$62='Menu déroulant'!$AA$31,VLOOKUP(U$29,'Infos Techniques'!$B$7:$H$12,2,0)/($E59*'Saisie de données'!$F$62/12),VLOOKUP(U$29,'Infos Techniques'!$B$7:$H$12,5,0)/($E59*'Saisie de données'!$F$62/12))*VLOOKUP('Saisie de données'!$F$38,'Menu déroulant'!$AA$22:$AD$24,4,0)</f>
        <v>#N/A</v>
      </c>
      <c r="V59" s="326" t="e">
        <f>IF('Saisie de données'!$C$62='Menu déroulant'!$AA$31,VLOOKUP(V$29,'Infos Techniques'!$B$7:$H$12,4,0)/($E59*'Saisie de données'!$F$62/12),VLOOKUP(V$29,'Infos Techniques'!$B$7:$H$12,7,0)/($E59*'Saisie de données'!$F$62/12))*VLOOKUP('Saisie de données'!$F$38,'Menu déroulant'!$AA$22:$AD$24,4,0)</f>
        <v>#N/A</v>
      </c>
      <c r="W59" s="326" t="e">
        <f>IF('Saisie de données'!$C$62='Menu déroulant'!$AA$31,VLOOKUP(W$29,'Infos Techniques'!$B$7:$H$12,4,0)/($E59*'Saisie de données'!$F$62/12),VLOOKUP(W$29,'Infos Techniques'!$B$7:$H$12,7,0)/($E59*'Saisie de données'!$F$62/12))*VLOOKUP('Saisie de données'!$F$38,'Menu déroulant'!$AA$22:$AD$24,4,0)</f>
        <v>#N/A</v>
      </c>
      <c r="X59" s="326" t="e">
        <f>IF('Saisie de données'!$C$62='Menu déroulant'!$AA$31,VLOOKUP(X$29,'Infos Techniques'!$B$7:$H$12,4,0)/($E59*'Saisie de données'!$F$62/12),VLOOKUP(X$29,'Infos Techniques'!$B$7:$H$12,7,0)/($E59*'Saisie de données'!$F$62/12))*VLOOKUP('Saisie de données'!$F$38,'Menu déroulant'!$AA$22:$AD$24,4,0)</f>
        <v>#N/A</v>
      </c>
      <c r="Y59" s="326" t="e">
        <f>IF('Saisie de données'!$C$62='Menu déroulant'!$AA$31,VLOOKUP(Y$29,'Infos Techniques'!$B$7:$H$12,4,0)/($E59*'Saisie de données'!$F$62/12),VLOOKUP(Y$29,'Infos Techniques'!$B$7:$H$12,7,0)/($E59*'Saisie de données'!$F$62/12))*VLOOKUP('Saisie de données'!$F$38,'Menu déroulant'!$AA$22:$AD$24,4,0)</f>
        <v>#N/A</v>
      </c>
      <c r="Z59" s="417" t="e">
        <f>IF('Saisie de données'!$C$62='Menu déroulant'!$AA$31,VLOOKUP(Z$29,'Infos Techniques'!$B$7:$H$12,4,0)/($E59*'Saisie de données'!$F$62/12),VLOOKUP(Z$29,'Infos Techniques'!$B$7:$H$12,7,0)/($E59*'Saisie de données'!$F$62/12))*VLOOKUP('Saisie de données'!$F$38,'Menu déroulant'!$AA$22:$AD$24,4,0)</f>
        <v>#N/A</v>
      </c>
      <c r="AA59" s="442" t="e">
        <f>VLOOKUP(AA$29,'Infos Techniques'!$I$5:$K$12,2,0)/($E59*'Saisie de données'!$F$62/12)*VLOOKUP('Saisie de données'!$F$38,'Menu déroulant'!$AA$22:$AD$24,4,0)</f>
        <v>#N/A</v>
      </c>
      <c r="AB59" s="326" t="e">
        <f>VLOOKUP(AB$29,'Infos Techniques'!$I$5:$K$12,2,0)/($E59*'Saisie de données'!$F$62/12)*VLOOKUP('Saisie de données'!$F$38,'Menu déroulant'!$AA$22:$AD$24,4,0)</f>
        <v>#N/A</v>
      </c>
      <c r="AC59" s="326" t="e">
        <f>VLOOKUP(AC$29,'Infos Techniques'!$I$5:$K$12,2,0)/($E59*'Saisie de données'!$F$62/12)*VLOOKUP('Saisie de données'!$F$38,'Menu déroulant'!$AA$22:$AD$24,4,0)</f>
        <v>#N/A</v>
      </c>
      <c r="AD59" s="326" t="e">
        <f>VLOOKUP(AD$29,'Infos Techniques'!$I$5:$K$12,2,0)/($E59*'Saisie de données'!$F$62/12)*VLOOKUP('Saisie de données'!$F$38,'Menu déroulant'!$AA$22:$AD$24,4,0)</f>
        <v>#N/A</v>
      </c>
      <c r="AE59" s="326" cm="1">
        <f t="array" ref="AE59">_xlfn.IFS(OR('Saisie de données'!$D$13='Menu déroulant'!$AA$3,'Saisie de données'!$D$13='Menu déroulant'!$AA$4),'Synthèse résultat'!AE116,'Saisie de données'!$D$16='Menu déroulant'!$B$20,AE98,'Saisie de données'!$D$16='Menu déroulant'!$B$21,AE78)</f>
        <v>0</v>
      </c>
      <c r="AF59" s="326" t="e">
        <f>VLOOKUP(AF$29,'Infos Techniques'!$I$5:$K$12,2,0)/($E59*'Saisie de données'!$F$62/12)*VLOOKUP('Saisie de données'!$F$38,'Menu déroulant'!$AA$22:$AD$24,4,0)</f>
        <v>#N/A</v>
      </c>
      <c r="AG59" s="326" t="e">
        <f>VLOOKUP(AG$29,'Infos Techniques'!$I$5:$K$12,2,0)/($E59*'Saisie de données'!$F$62/12)*VLOOKUP('Saisie de données'!$F$38,'Menu déroulant'!$AA$22:$AD$24,4,0)</f>
        <v>#N/A</v>
      </c>
      <c r="AH59" s="326" cm="1">
        <f t="array" ref="AH59">_xlfn.IFS(OR('Saisie de données'!$D$13='Menu déroulant'!$AA$3,'Saisie de données'!$D$13='Menu déroulant'!$AA$4),'Synthèse résultat'!AH116,'Saisie de données'!$D$16='Menu déroulant'!$B$20,AH98,'Saisie de données'!$D$16='Menu déroulant'!$B$21,AH78)</f>
        <v>0</v>
      </c>
      <c r="AI59" s="326" t="e">
        <f>VLOOKUP(AI$29,'Infos Techniques'!$I$5:$K$12,3,0)/($E59*'Saisie de données'!$F$62/12)*VLOOKUP('Saisie de données'!$F$38,'Menu déroulant'!$AA$22:$AD$24,4,0)</f>
        <v>#N/A</v>
      </c>
      <c r="AJ59" s="326" t="e">
        <f>VLOOKUP(AJ$29,'Infos Techniques'!$I$5:$K$12,3,0)/($E59*'Saisie de données'!$F$62/12)*VLOOKUP('Saisie de données'!$F$38,'Menu déroulant'!$AA$22:$AD$24,4,0)</f>
        <v>#N/A</v>
      </c>
      <c r="AK59" s="326" t="e">
        <f>VLOOKUP(AK$29,'Infos Techniques'!$I$5:$K$12,3,0)/($E59*'Saisie de données'!$F$62/12)*VLOOKUP('Saisie de données'!$F$38,'Menu déroulant'!$AA$22:$AD$24,4,0)</f>
        <v>#N/A</v>
      </c>
      <c r="AL59" s="326" t="e">
        <f>VLOOKUP(AL$29,'Infos Techniques'!$I$5:$K$12,3,0)/($E59*'Saisie de données'!$F$62/12)*VLOOKUP('Saisie de données'!$F$38,'Menu déroulant'!$AA$22:$AD$24,4,0)</f>
        <v>#N/A</v>
      </c>
      <c r="AM59" s="326" t="e">
        <f>VLOOKUP(AM$29,'Infos Techniques'!$I$5:$K$12,3,0)/($E59*'Saisie de données'!$F$62/12)*VLOOKUP('Saisie de données'!$F$38,'Menu déroulant'!$AA$22:$AD$24,4,0)</f>
        <v>#N/A</v>
      </c>
      <c r="AN59" s="326" t="e">
        <f>VLOOKUP(AN$29,'Infos Techniques'!$I$5:$K$12,3,0)/($E59*'Saisie de données'!$F$62/12)*VLOOKUP('Saisie de données'!$F$38,'Menu déroulant'!$AA$22:$AD$24,4,0)</f>
        <v>#N/A</v>
      </c>
      <c r="AO59" s="326" t="e">
        <f>VLOOKUP(AO$29,'Infos Techniques'!$I$5:$K$12,3,0)/($E59*'Saisie de données'!$F$62/12)*VLOOKUP('Saisie de données'!$F$38,'Menu déroulant'!$AA$22:$AD$24,4,0)</f>
        <v>#N/A</v>
      </c>
      <c r="AP59" s="417" t="e">
        <f>VLOOKUP(AP$29,'Infos Techniques'!$I$5:$K$12,3,0)/($E59*'Saisie de données'!$F$62/12)*VLOOKUP('Saisie de données'!$F$38,'Menu déroulant'!$AA$22:$AD$24,4,0)</f>
        <v>#N/A</v>
      </c>
    </row>
    <row r="60" spans="2:44">
      <c r="B60" s="1568"/>
      <c r="C60" s="1572" t="s">
        <v>111</v>
      </c>
      <c r="D60" s="28" t="s">
        <v>346</v>
      </c>
      <c r="E60" s="43" t="e">
        <f>IF(ISBLANK('Saisie de données'!$E$31),'Charges de ventUSA'!$D41,0)</f>
        <v>#N/A</v>
      </c>
      <c r="F60" s="415" t="e" cm="1">
        <f t="array" aca="1" ref="F60" ca="1">VLOOKUP(MAX(IF(INDIRECT("Norex2_"&amp;'Saisie de données'!$H$62&amp;"_"&amp;'Saisie de données'!$I$62&amp;"_S")&lt;='Synthèse résultat'!$E60,INDIRECT("Norex2_"&amp;'Saisie de données'!$H$62&amp;"_"&amp;'Saisie de données'!$I$62&amp;"_S"))),'Courbe Déflexion'!O$5:$X$285,10,0)*0.3798*VLOOKUP('Saisie de données'!$F$38,'Menu déroulant'!$AA$22:$AD$24,4,0)</f>
        <v>#N/A</v>
      </c>
      <c r="G60" s="415" t="e" cm="1">
        <f t="array" aca="1" ref="G60" ca="1">VLOOKUP(MAX(IF(INDIRECT("Norex3_"&amp;'Saisie de données'!$H$62&amp;"_"&amp;'Saisie de données'!$I$62&amp;"_S")&lt;='Synthèse résultat'!$E60,INDIRECT("Norex3_"&amp;'Saisie de données'!$H$62&amp;"_"&amp;'Saisie de données'!$I$62&amp;"_S"))),'Courbe Déflexion'!Z$5:$AI$285,10,0)*0.3798*VLOOKUP('Saisie de données'!$F$38,'Menu déroulant'!$AA$22:$AD$24,4,0)</f>
        <v>#N/A</v>
      </c>
      <c r="H60" s="415" t="e" cm="1">
        <f t="array" aca="1" ref="H60" ca="1">VLOOKUP(MAX(IF(INDIRECT("Norex4_"&amp;'Saisie de données'!$H$62&amp;"_"&amp;'Saisie de données'!$I$62&amp;"_S")&lt;='Synthèse résultat'!$E60,INDIRECT("Norex4_"&amp;'Saisie de données'!$H$62&amp;"_"&amp;'Saisie de données'!$I$62&amp;"_S"))),'Courbe Déflexion'!$AK$5:$AT$306,10,0)*0.3798*VLOOKUP('Saisie de données'!$F$38,'Menu déroulant'!$AA$22:$AD$24,4,0)</f>
        <v>#N/A</v>
      </c>
      <c r="I60" s="415" t="e" cm="1">
        <f t="array" aca="1" ref="I60" ca="1">VLOOKUP(MAX(IF(INDIRECT("Norex5_"&amp;'Saisie de données'!$H$62&amp;"_"&amp;'Saisie de données'!$I$62&amp;"_S")&lt;='Synthèse résultat'!$E60,INDIRECT("Norex5_"&amp;'Saisie de données'!$H$62&amp;"_"&amp;'Saisie de données'!$I$62&amp;"_S"))),'Courbe Déflexion'!$AV$5:$BE$306,10,0)*0.3798*VLOOKUP('Saisie de données'!$F$38,'Menu déroulant'!$AA$22:$AD$24,4,0)</f>
        <v>#N/A</v>
      </c>
      <c r="J60" s="415" t="e" cm="1">
        <f t="array" aca="1" ref="J60" ca="1">VLOOKUP(MAX(IF(INDIRECT("Norex6_"&amp;'Saisie de données'!$H$62&amp;"_"&amp;'Saisie de données'!$I$62&amp;"_S")&lt;='Synthèse résultat'!$E60,INDIRECT("Norex6_"&amp;'Saisie de données'!$H$62&amp;"_"&amp;'Saisie de données'!$I$62&amp;"_S"))),'Courbe Déflexion'!$BG$5:$BP$306,10,0)*0.3798*VLOOKUP('Saisie de données'!$F$38,'Menu déroulant'!$AA$22:$AD$24,4,0)</f>
        <v>#N/A</v>
      </c>
      <c r="K60" s="415" t="e" cm="1">
        <f t="array" aca="1" ref="K60" ca="1">VLOOKUP(MAX(IF(INDIRECT("Norex8_"&amp;'Saisie de données'!$H$62&amp;"_"&amp;'Saisie de données'!$I$62&amp;"_S")&lt;='Synthèse résultat'!$E60,INDIRECT("Norex8_"&amp;'Saisie de données'!$H$62&amp;"_"&amp;'Saisie de données'!$I$62&amp;"_S"))),'Courbe Déflexion'!$BR$5:$CA$306,10,0)*0.3798*VLOOKUP('Saisie de données'!$F$38,'Menu déroulant'!$AA$22:$AD$24,4,0)</f>
        <v>#N/A</v>
      </c>
      <c r="L60" s="415" t="e" cm="1">
        <f t="array" aca="1" ref="L60" ca="1">VLOOKUP(MAX(IF(INDIRECT("Noroc4_"&amp;'Saisie de données'!$H$62&amp;"_"&amp;'Saisie de données'!$I$62&amp;"_S")&lt;='Synthèse résultat'!$E60,INDIRECT("Noroc4_"&amp;'Saisie de données'!$H$62&amp;"_"&amp;'Saisie de données'!$I$62&amp;"_S"))),'Courbe Déflexion'!$CC$5:$CL$306,10,0)*0.3798*VLOOKUP('Saisie de données'!$F$38,'Menu déroulant'!$AA$22:$AD$24,4,0)</f>
        <v>#N/A</v>
      </c>
      <c r="M60" s="415" t="e" cm="1">
        <f t="array" aca="1" ref="M60" ca="1">VLOOKUP(MAX(IF(INDIRECT("Noroc5_"&amp;'Saisie de données'!$H$62&amp;"_"&amp;'Saisie de données'!$I$62&amp;"_S")&lt;='Synthèse résultat'!$E60,INDIRECT("Noroc5_"&amp;'Saisie de données'!$H$62&amp;"_"&amp;'Saisie de données'!$I$62&amp;"_S"))),'Courbe Déflexion'!$CN$5:$CW$306,10,0)*0.3798*VLOOKUP('Saisie de données'!$F$38,'Menu déroulant'!$AA$22:$AD$24,4,0)</f>
        <v>#N/A</v>
      </c>
      <c r="N60" s="415" t="e" cm="1">
        <f t="array" aca="1" ref="N60" ca="1">VLOOKUP(MAX(IF(INDIRECT("Noroc6_"&amp;'Saisie de données'!$H$62&amp;"_"&amp;'Saisie de données'!$I$62&amp;"_S")&lt;='Synthèse résultat'!$E60,INDIRECT("Noroc6_"&amp;'Saisie de données'!$H$62&amp;"_"&amp;'Saisie de données'!$I$62&amp;"_S"))),'Courbe Déflexion'!$CY$5:$DH$306,10,0)*0.3798*VLOOKUP('Saisie de données'!$F$38,'Menu déroulant'!$AA$22:$AD$24,4,0)</f>
        <v>#N/A</v>
      </c>
      <c r="O60" s="415" t="e" cm="1">
        <f t="array" aca="1" ref="O60" ca="1">VLOOKUP(MAX(IF(INDIRECT("Noroc8_"&amp;'Saisie de données'!$H$62&amp;"_"&amp;'Saisie de données'!$I$62&amp;"_S")&lt;='Synthèse résultat'!$E60,INDIRECT("Noroc8_"&amp;'Saisie de données'!$H$62&amp;"_"&amp;'Saisie de données'!$I$62&amp;"_S"))),'Courbe Déflexion'!$DJ$5:$DS$306,10,0)*0.3798*VLOOKUP('Saisie de données'!$F$38,'Menu déroulant'!$AA$22:$AD$24,4,0)</f>
        <v>#N/A</v>
      </c>
      <c r="P60" s="416">
        <f>VLOOKUP('Saisie de données'!$J$62,'Infos Techniques'!$U$15:$AF$43,12,0)*VLOOKUP('Saisie de données'!$F$38,'Menu déroulant'!$AA$22:$AD$24,4,0)</f>
        <v>11.76923076923077</v>
      </c>
      <c r="Q60" s="326" t="e">
        <f ca="1">IF('Saisie de données'!$C$62='Menu déroulant'!$AA$31,(VLOOKUP(Q$29,'Infos Techniques'!$B$7:$H$12,2,0)/('Saisie de données'!$F$62/12)-(Francais10p!$R$58/2*E58))/E60,(VLOOKUP(Q$29,'Infos Techniques'!$B$7:$H$12,5,0)/('Saisie de données'!$F$62/12)-(Francais10p!$R$58/2*E58))/E60)*VLOOKUP('Saisie de données'!$F$38,'Menu déroulant'!$AA$22:$AD$24,4,0)</f>
        <v>#VALUE!</v>
      </c>
      <c r="R60" s="326" t="e">
        <f ca="1">IF('Saisie de données'!$C$62='Menu déroulant'!$AA$31,(VLOOKUP(R$29,'Infos Techniques'!$B$7:$H$12,2,0)/('Saisie de données'!$F$62/12)-(Francais10p!$R$58/2*E58))/E60,(VLOOKUP(R$29,'Infos Techniques'!$B$7:$H$12,5,0)/('Saisie de données'!$F$62/12)-(Francais10p!$R$58/2*E58))/E60)*VLOOKUP('Saisie de données'!$F$38,'Menu déroulant'!$AA$22:$AD$24,4,0)</f>
        <v>#VALUE!</v>
      </c>
      <c r="S60" s="326" t="e">
        <f ca="1">IF('Saisie de données'!$C$62='Menu déroulant'!$AA$31,(VLOOKUP(S$29,'Infos Techniques'!$B$7:$H$12,2,0)/('Saisie de données'!$F$62/12)-(Francais10p!$R$59/2*E58))/E60,(VLOOKUP(S$29,'Infos Techniques'!$B$7:$H$12,5,0)/('Saisie de données'!$F$62/12)-(Francais10p!$R$59/2*E58))/E60)*VLOOKUP('Saisie de données'!$F$38,'Menu déroulant'!$AA$22:$AD$24,4,0)</f>
        <v>#VALUE!</v>
      </c>
      <c r="T60" s="326" t="e">
        <f ca="1">IF('Saisie de données'!$C$62='Menu déroulant'!$AA$31,(VLOOKUP(T$29,'Infos Techniques'!$B$7:$H$12,2,0)/('Saisie de données'!$F$62/12)-(Francais10p!$R$60/2*E58))/E60,(VLOOKUP(T$29,'Infos Techniques'!$B$7:$H$12,5,0)/('Saisie de données'!$F$62/12)-(Francais10p!$R$60/2*E58))/E60)*VLOOKUP('Saisie de données'!$F$38,'Menu déroulant'!$AA$22:$AD$24,4,0)</f>
        <v>#VALUE!</v>
      </c>
      <c r="U60" s="326" t="e">
        <f ca="1">IF('Saisie de données'!$C$62='Menu déroulant'!$AA$31,(VLOOKUP(U$29,'Infos Techniques'!$B$7:$H$12,2,0)/('Saisie de données'!$F$62/12)-(Francais10p!$R$61/2*E58))/E60,(VLOOKUP(U$29,'Infos Techniques'!$B$7:$H$12,5,0)/('Saisie de données'!$F$62/12)-(Francais10p!$R$61/2*E58))/E60)*VLOOKUP('Saisie de données'!$F$38,'Menu déroulant'!$AA$22:$AD$24,4,0)</f>
        <v>#VALUE!</v>
      </c>
      <c r="V60" s="326" t="e">
        <f ca="1">IF('Saisie de données'!$C$62='Menu déroulant'!$AA$31,(VLOOKUP(V$29,'Infos Techniques'!$B$7:$H$12,4,0)/('Saisie de données'!$F$62/12)-(Francais10p!$T$58/2*E58))/E60,(VLOOKUP(V$29,'Infos Techniques'!$B$7:$H$12,7,0)/('Saisie de données'!$F$62/12)-(Francais10p!$T$58/2*E58))/E60)*VLOOKUP('Saisie de données'!$F$38,'Menu déroulant'!$AA$22:$AD$24,4,0)</f>
        <v>#VALUE!</v>
      </c>
      <c r="W60" s="326" t="e">
        <f ca="1">IF('Saisie de données'!$C$62='Menu déroulant'!$AA$31,(VLOOKUP(W$29,'Infos Techniques'!$B$7:$H$12,4,0)/('Saisie de données'!$F$62/12)-(Francais10p!$T$58/2*E58))/E60,(VLOOKUP(W$29,'Infos Techniques'!$B$7:$H$12,7,0)/('Saisie de données'!$F$62/12)-(Francais10p!$T$58/2*E58))/E60)*VLOOKUP('Saisie de données'!$F$38,'Menu déroulant'!$AA$22:$AD$24,4,0)</f>
        <v>#VALUE!</v>
      </c>
      <c r="X60" s="326" t="e">
        <f ca="1">IF('Saisie de données'!$C$62='Menu déroulant'!$AA$31,(VLOOKUP(X$29,'Infos Techniques'!$B$7:$H$12,4,0)/('Saisie de données'!$F$62/12)-(Francais10p!$T$59/2*E58))/E60,(VLOOKUP(X$29,'Infos Techniques'!$B$7:$H$12,7,0)/('Saisie de données'!$F$62/12)-(Francais10p!$T$59/2*E58))/E60)*VLOOKUP('Saisie de données'!$F$38,'Menu déroulant'!$AA$22:$AD$24,4,0)</f>
        <v>#VALUE!</v>
      </c>
      <c r="Y60" s="326" t="e">
        <f ca="1">IF('Saisie de données'!$C$62='Menu déroulant'!$AA$31,(VLOOKUP(Y$29,'Infos Techniques'!$B$7:$H$12,4,0)/('Saisie de données'!$F$62/12)-(Francais10p!$T$60/2*E58))/E60,(VLOOKUP(Y$29,'Infos Techniques'!$B$7:$H$12,7,0)/('Saisie de données'!$F$62/12)-(Francais10p!$T$60/2*E58))/E60)*VLOOKUP('Saisie de données'!$F$38,'Menu déroulant'!$AA$22:$AD$24,4,0)</f>
        <v>#VALUE!</v>
      </c>
      <c r="Z60" s="417" t="e">
        <f ca="1">IF('Saisie de données'!$C$62='Menu déroulant'!$AA$31,(VLOOKUP(Z$29,'Infos Techniques'!$B$7:$H$12,4,0)/('Saisie de données'!$F$62/12)-(Francais10p!$T$61/2*E58))/E60,(VLOOKUP(Z$29,'Infos Techniques'!$B$7:$H$12,7,0)/('Saisie de données'!$F$62/12)-(Francais10p!$T$61/2*E58))/E60)*VLOOKUP('Saisie de données'!$F$38,'Menu déroulant'!$AA$22:$AD$24,4,0)</f>
        <v>#VALUE!</v>
      </c>
      <c r="AA60" s="748" t="e">
        <f ca="1">(((VLOOKUP(AA$29,'Infos Techniques'!$I$5:$K$12,2,0)/('Saisie de données'!$F$62/12))-(Francais10p!$R$75/2*$E58))/$E60)*VLOOKUP('Saisie de données'!$F$38,'Menu déroulant'!$AA$22:$AD$24,4,0)</f>
        <v>#VALUE!</v>
      </c>
      <c r="AB60" s="326" t="e">
        <f ca="1">(((VLOOKUP(AB$29,'Infos Techniques'!$I$5:$K$12,2,0)/('Saisie de données'!$F$62/12))-(Francais10p!$R$75/2*$E58))/$E60)*VLOOKUP('Saisie de données'!$F$38,'Menu déroulant'!$AA$22:$AD$24,4,0)</f>
        <v>#VALUE!</v>
      </c>
      <c r="AC60" s="326" t="e">
        <f ca="1">(((VLOOKUP(AC$29,'Infos Techniques'!$I$5:$K$12,2,0)/('Saisie de données'!$F$62/12))-(Francais10p!$R$75/2*$E58))/$E60)*VLOOKUP('Saisie de données'!$F$38,'Menu déroulant'!$AA$22:$AD$24,4,0)</f>
        <v>#VALUE!</v>
      </c>
      <c r="AD60" s="326" t="e">
        <f ca="1">(((VLOOKUP(AD$29,'Infos Techniques'!$I$5:$K$12,2,0)/('Saisie de données'!$F$62/12))-(Francais10p!$R$75/2*$E58))/$E60)*VLOOKUP('Saisie de données'!$F$38,'Menu déroulant'!$AA$22:$AD$24,4,0)</f>
        <v>#VALUE!</v>
      </c>
      <c r="AE60" s="326">
        <v>0</v>
      </c>
      <c r="AF60" s="326" t="e">
        <f ca="1">(((VLOOKUP(AF$29,'Infos Techniques'!$I$5:$K$12,2,0)/('Saisie de données'!$F$62/12))-(Francais10p!$R$75/2*$E58))/$E60)*VLOOKUP('Saisie de données'!$F$38,'Menu déroulant'!$AA$22:$AD$24,4,0)</f>
        <v>#VALUE!</v>
      </c>
      <c r="AG60" s="326" t="e">
        <f ca="1">(((VLOOKUP(AG$29,'Infos Techniques'!$I$5:$K$12,2,0)/('Saisie de données'!$F$62/12))-(Francais10p!$R$75/2*$E58))/$E60)*VLOOKUP('Saisie de données'!$F$38,'Menu déroulant'!$AA$22:$AD$24,4,0)</f>
        <v>#VALUE!</v>
      </c>
      <c r="AH60" s="326">
        <v>0</v>
      </c>
      <c r="AI60" s="326" t="e">
        <f ca="1">(((VLOOKUP(AI$29,'Infos Techniques'!$I$5:$K$12,3,0)/('Saisie de données'!$F$62/12))-(Francais10p!$T$75/2*$E58))/$E60)*VLOOKUP('Saisie de données'!$F$38,'Menu déroulant'!$AA$22:$AD$24,4,0)</f>
        <v>#VALUE!</v>
      </c>
      <c r="AJ60" s="326" t="e">
        <f ca="1">(((VLOOKUP(AJ$29,'Infos Techniques'!$I$5:$K$12,3,0)/('Saisie de données'!$F$62/12))-(Francais10p!$T$75/2*$E58))/$E60)*VLOOKUP('Saisie de données'!$F$38,'Menu déroulant'!$AA$22:$AD$24,4,0)</f>
        <v>#VALUE!</v>
      </c>
      <c r="AK60" s="326" t="e">
        <f ca="1">(((VLOOKUP(AK$29,'Infos Techniques'!$I$5:$K$12,3,0)/('Saisie de données'!$F$62/12))-(Francais10p!$T$75/2*$E58))/$E60)*VLOOKUP('Saisie de données'!$F$38,'Menu déroulant'!$AA$22:$AD$24,4,0)</f>
        <v>#VALUE!</v>
      </c>
      <c r="AL60" s="326" t="e">
        <f ca="1">(((VLOOKUP(AL$29,'Infos Techniques'!$I$5:$K$12,3,0)/('Saisie de données'!$F$62/12))-(Francais10p!$T$75/2*$E58))/$E60)*VLOOKUP('Saisie de données'!$F$38,'Menu déroulant'!$AA$22:$AD$24,4,0)</f>
        <v>#VALUE!</v>
      </c>
      <c r="AM60" s="326" t="e">
        <f ca="1">(((VLOOKUP(AM$29,'Infos Techniques'!$I$5:$K$12,3,0)/('Saisie de données'!$F$62/12))-(Francais10p!$T$75/2*$E58))/$E60)*VLOOKUP('Saisie de données'!$F$38,'Menu déroulant'!$AA$22:$AD$24,4,0)</f>
        <v>#VALUE!</v>
      </c>
      <c r="AN60" s="326" t="e">
        <f ca="1">(((VLOOKUP(AN$29,'Infos Techniques'!$I$5:$K$12,3,0)/('Saisie de données'!$F$62/12))-(Francais10p!$T$75/2*$E58))/$E60)*VLOOKUP('Saisie de données'!$F$38,'Menu déroulant'!$AA$22:$AD$24,4,0)</f>
        <v>#VALUE!</v>
      </c>
      <c r="AO60" s="326" t="e">
        <f ca="1">(((VLOOKUP(AO$29,'Infos Techniques'!$I$5:$K$12,3,0)/('Saisie de données'!$F$62/12))-(Francais10p!$T$75/2*$E58))/$E60)*VLOOKUP('Saisie de données'!$F$38,'Menu déroulant'!$AA$22:$AD$24,4,0)</f>
        <v>#VALUE!</v>
      </c>
      <c r="AP60" s="417" t="e">
        <f ca="1">(((VLOOKUP(AP$29,'Infos Techniques'!$I$5:$K$12,3,0)/('Saisie de données'!$F$62/12))-(Francais10p!$T$75/2*$E58))/$E60)*VLOOKUP('Saisie de données'!$F$38,'Menu déroulant'!$AA$22:$AD$24,4,0)</f>
        <v>#VALUE!</v>
      </c>
    </row>
    <row r="61" spans="2:44" ht="15" thickBot="1">
      <c r="B61" s="1615"/>
      <c r="C61" s="1616"/>
      <c r="D61" s="44" t="s">
        <v>347</v>
      </c>
      <c r="E61" s="45" t="e">
        <f>IF(ISBLANK('Saisie de données'!$E$30),'Charges de ventUSA'!$E41,0)</f>
        <v>#N/A</v>
      </c>
      <c r="F61" s="676" t="e" cm="1">
        <f t="array" aca="1" ref="F61" ca="1">VLOOKUP(MAX(IF(INDIRECT("Norex2_"&amp;'Saisie de données'!$H$62&amp;"_"&amp;'Saisie de données'!$I$62&amp;"_S")&lt;='Synthèse résultat'!$E61,INDIRECT("Norex2_"&amp;'Saisie de données'!$H$62&amp;"_"&amp;'Saisie de données'!$I$62&amp;"_S"))),'Courbe Déflexion'!O$5:$X$285,10,0)*0.3798*VLOOKUP('Saisie de données'!$F$38,'Menu déroulant'!$AA$22:$AD$24,4,0)</f>
        <v>#N/A</v>
      </c>
      <c r="G61" s="676" t="e" cm="1">
        <f t="array" aca="1" ref="G61" ca="1">VLOOKUP(MAX(IF(INDIRECT("Norex3_"&amp;'Saisie de données'!$H$62&amp;"_"&amp;'Saisie de données'!$I$62&amp;"_S")&lt;='Synthèse résultat'!$E61,INDIRECT("Norex3_"&amp;'Saisie de données'!$H$62&amp;"_"&amp;'Saisie de données'!$I$62&amp;"_S"))),'Courbe Déflexion'!Z$5:$AI$285,10,0)*0.3798*VLOOKUP('Saisie de données'!$F$38,'Menu déroulant'!$AA$22:$AD$24,4,0)</f>
        <v>#N/A</v>
      </c>
      <c r="H61" s="676" t="e" cm="1">
        <f t="array" aca="1" ref="H61" ca="1">VLOOKUP(MAX(IF(INDIRECT("Norex4_"&amp;'Saisie de données'!$H$62&amp;"_"&amp;'Saisie de données'!$I$62&amp;"_S")&lt;='Synthèse résultat'!$E61,INDIRECT("Norex4_"&amp;'Saisie de données'!$H$62&amp;"_"&amp;'Saisie de données'!$I$62&amp;"_S"))),'Courbe Déflexion'!$AK$5:$AT$306,10,0)*0.3798*VLOOKUP('Saisie de données'!$F$38,'Menu déroulant'!$AA$22:$AD$24,4,0)</f>
        <v>#N/A</v>
      </c>
      <c r="I61" s="676" t="e" cm="1">
        <f t="array" aca="1" ref="I61" ca="1">VLOOKUP(MAX(IF(INDIRECT("Norex5_"&amp;'Saisie de données'!$H$62&amp;"_"&amp;'Saisie de données'!$I$62&amp;"_S")&lt;='Synthèse résultat'!$E61,INDIRECT("Norex5_"&amp;'Saisie de données'!$H$62&amp;"_"&amp;'Saisie de données'!$I$62&amp;"_S"))),'Courbe Déflexion'!$AV$5:$BE$306,10,0)*0.3798*VLOOKUP('Saisie de données'!$F$38,'Menu déroulant'!$AA$22:$AD$24,4,0)</f>
        <v>#N/A</v>
      </c>
      <c r="J61" s="676" t="e" cm="1">
        <f t="array" aca="1" ref="J61" ca="1">VLOOKUP(MAX(IF(INDIRECT("Norex6_"&amp;'Saisie de données'!$H$62&amp;"_"&amp;'Saisie de données'!$I$62&amp;"_S")&lt;='Synthèse résultat'!$E61,INDIRECT("Norex6_"&amp;'Saisie de données'!$H$62&amp;"_"&amp;'Saisie de données'!$I$62&amp;"_S"))),'Courbe Déflexion'!$BG$5:$BP$306,10,0)*0.3798*VLOOKUP('Saisie de données'!$F$38,'Menu déroulant'!$AA$22:$AD$24,4,0)</f>
        <v>#N/A</v>
      </c>
      <c r="K61" s="676" t="e" cm="1">
        <f t="array" aca="1" ref="K61" ca="1">VLOOKUP(MAX(IF(INDIRECT("Norex8_"&amp;'Saisie de données'!$H$62&amp;"_"&amp;'Saisie de données'!$I$62&amp;"_S")&lt;='Synthèse résultat'!$E61,INDIRECT("Norex8_"&amp;'Saisie de données'!$H$62&amp;"_"&amp;'Saisie de données'!$I$62&amp;"_S"))),'Courbe Déflexion'!$BR$5:$CA$306,10,0)*0.3798*VLOOKUP('Saisie de données'!$F$38,'Menu déroulant'!$AA$22:$AD$24,4,0)</f>
        <v>#N/A</v>
      </c>
      <c r="L61" s="676" t="e" cm="1">
        <f t="array" aca="1" ref="L61" ca="1">VLOOKUP(MAX(IF(INDIRECT("Noroc4_"&amp;'Saisie de données'!$H$62&amp;"_"&amp;'Saisie de données'!$I$62&amp;"_S")&lt;='Synthèse résultat'!$E61,INDIRECT("Noroc4_"&amp;'Saisie de données'!$H$62&amp;"_"&amp;'Saisie de données'!$I$62&amp;"_S"))),'Courbe Déflexion'!$CC$5:$CL$306,10,0)*0.3798*VLOOKUP('Saisie de données'!$F$38,'Menu déroulant'!$AA$22:$AD$24,4,0)</f>
        <v>#N/A</v>
      </c>
      <c r="M61" s="676" t="e" cm="1">
        <f t="array" aca="1" ref="M61" ca="1">VLOOKUP(MAX(IF(INDIRECT("Noroc5_"&amp;'Saisie de données'!$H$62&amp;"_"&amp;'Saisie de données'!$I$62&amp;"_S")&lt;='Synthèse résultat'!$E61,INDIRECT("Noroc5_"&amp;'Saisie de données'!$H$62&amp;"_"&amp;'Saisie de données'!$I$62&amp;"_S"))),'Courbe Déflexion'!$CN$5:$CW$306,10,0)*0.3798*VLOOKUP('Saisie de données'!$F$38,'Menu déroulant'!$AA$22:$AD$24,4,0)</f>
        <v>#N/A</v>
      </c>
      <c r="N61" s="676" t="e" cm="1">
        <f t="array" aca="1" ref="N61" ca="1">VLOOKUP(MAX(IF(INDIRECT("Noroc6_"&amp;'Saisie de données'!$H$62&amp;"_"&amp;'Saisie de données'!$I$62&amp;"_S")&lt;='Synthèse résultat'!$E61,INDIRECT("Noroc6_"&amp;'Saisie de données'!$H$62&amp;"_"&amp;'Saisie de données'!$I$62&amp;"_S"))),'Courbe Déflexion'!$CY$5:$DH$306,10,0)*0.3798*VLOOKUP('Saisie de données'!$F$38,'Menu déroulant'!$AA$22:$AD$24,4,0)</f>
        <v>#N/A</v>
      </c>
      <c r="O61" s="676" t="e" cm="1">
        <f t="array" aca="1" ref="O61" ca="1">VLOOKUP(MAX(IF(INDIRECT("Noroc8_"&amp;'Saisie de données'!$H$62&amp;"_"&amp;'Saisie de données'!$I$62&amp;"_S")&lt;='Synthèse résultat'!$E61,INDIRECT("Noroc8_"&amp;'Saisie de données'!$H$62&amp;"_"&amp;'Saisie de données'!$I$62&amp;"_S"))),'Courbe Déflexion'!$DJ$5:$DS$306,10,0)*0.3798*VLOOKUP('Saisie de données'!$F$38,'Menu déroulant'!$AA$22:$AD$24,4,0)</f>
        <v>#N/A</v>
      </c>
      <c r="P61" s="677">
        <f>VLOOKUP('Saisie de données'!$J$62,'Infos Techniques'!$U$15:$AF$43,12,0)*VLOOKUP('Saisie de données'!$F$38,'Menu déroulant'!$AA$22:$AD$24,4,0)</f>
        <v>11.76923076923077</v>
      </c>
      <c r="Q61" s="678" t="e">
        <f ca="1">IF('Saisie de données'!$C$62='Menu déroulant'!$AA$31,(VLOOKUP(Q$29,'Infos Techniques'!$B$7:$H$12,2,0)/('Saisie de données'!$F$62/12)-(Francais10p!$S$58/2*E59))/E61,(VLOOKUP(Q$29,'Infos Techniques'!$B$7:$H$12,5,0)/('Saisie de données'!$F$62/12)-(Francais10p!$S$58/2*E59))/E61)*VLOOKUP('Saisie de données'!$F$38,'Menu déroulant'!$AA$22:$AD$24,4,0)</f>
        <v>#VALUE!</v>
      </c>
      <c r="R61" s="678" t="e">
        <f ca="1">IF('Saisie de données'!$C$62='Menu déroulant'!$AA$31,(VLOOKUP(R$29,'Infos Techniques'!$B$7:$H$12,2,0)/('Saisie de données'!$F$62/12)-(Francais10p!$S$58/2*E59))/E61,(VLOOKUP(R$29,'Infos Techniques'!$B$7:$H$12,5,0)/('Saisie de données'!$F$62/12)-(Francais10p!$S$58/2*E59))/E61)*VLOOKUP('Saisie de données'!$F$38,'Menu déroulant'!$AA$22:$AD$24,4,0)</f>
        <v>#VALUE!</v>
      </c>
      <c r="S61" s="678" t="e">
        <f ca="1">IF('Saisie de données'!$C$62='Menu déroulant'!$AA$31,(VLOOKUP(S$29,'Infos Techniques'!$B$7:$H$12,2,0)/('Saisie de données'!$F$62/12)-(Francais10p!$S$59/2*E59))/E61,(VLOOKUP(S$29,'Infos Techniques'!$B$7:$H$12,5,0)/('Saisie de données'!$F$62/12)-(Francais10p!$S$59/2*E59))/E61)*VLOOKUP('Saisie de données'!$F$38,'Menu déroulant'!$AA$22:$AD$24,4,0)</f>
        <v>#VALUE!</v>
      </c>
      <c r="T61" s="678" t="e">
        <f ca="1">IF('Saisie de données'!$C$62='Menu déroulant'!$AA$31,(VLOOKUP(T$29,'Infos Techniques'!$B$7:$H$12,2,0)/('Saisie de données'!$F$62/12)-(Francais10p!$S$60/2*E59))/E61,(VLOOKUP(T$29,'Infos Techniques'!$B$7:$H$12,5,0)/('Saisie de données'!$F$62/12)-(Francais10p!$S$60/2*E59))/E61)*VLOOKUP('Saisie de données'!$F$38,'Menu déroulant'!$AA$22:$AD$24,4,0)</f>
        <v>#VALUE!</v>
      </c>
      <c r="U61" s="678" t="e">
        <f ca="1">IF('Saisie de données'!$C$62='Menu déroulant'!$AA$31,(VLOOKUP(U$29,'Infos Techniques'!$B$7:$H$12,2,0)/('Saisie de données'!$F$62/12)-(Francais10p!$S$61/2*E59))/E61,(VLOOKUP(U$29,'Infos Techniques'!$B$7:$H$12,5,0)/('Saisie de données'!$F$62/12)-(Francais10p!$S$61/2*E59))/E61)*VLOOKUP('Saisie de données'!$F$38,'Menu déroulant'!$AA$22:$AD$24,4,0)</f>
        <v>#VALUE!</v>
      </c>
      <c r="V61" s="678" t="e">
        <f ca="1">IF('Saisie de données'!$C$62='Menu déroulant'!$AA$31,(VLOOKUP(V$29,'Infos Techniques'!$B$7:$H$12,4,0)/('Saisie de données'!$F$62/12)-(Francais10p!$U$58/2*E59))/E61,(VLOOKUP(V$29,'Infos Techniques'!$B$7:$H$12,7,0)/('Saisie de données'!$F$62/12)-(Francais10p!$U$58/2*E59))/E61)*VLOOKUP('Saisie de données'!$F$38,'Menu déroulant'!$AA$22:$AD$24,4,0)</f>
        <v>#VALUE!</v>
      </c>
      <c r="W61" s="678" t="e">
        <f ca="1">IF('Saisie de données'!$C$62='Menu déroulant'!$AA$31,(VLOOKUP(W$29,'Infos Techniques'!$B$7:$H$12,4,0)/('Saisie de données'!$F$62/12)-(Francais10p!$U$58/2*E59))/E61,(VLOOKUP(W$29,'Infos Techniques'!$B$7:$H$12,7,0)/('Saisie de données'!$F$62/12)-(Francais10p!$U$58/2*E59))/E61)*VLOOKUP('Saisie de données'!$F$38,'Menu déroulant'!$AA$22:$AD$24,4,0)</f>
        <v>#VALUE!</v>
      </c>
      <c r="X61" s="678" t="e">
        <f ca="1">IF('Saisie de données'!$C$62='Menu déroulant'!$AA$31,(VLOOKUP(X$29,'Infos Techniques'!$B$7:$H$12,4,0)/('Saisie de données'!$F$62/12)-(Francais10p!$U$59/2*E59))/E61,(VLOOKUP(X$29,'Infos Techniques'!$B$7:$H$12,7,0)/('Saisie de données'!$F$62/12)-(Francais10p!$U$59/2*E59))/E61)*VLOOKUP('Saisie de données'!$F$38,'Menu déroulant'!$AA$22:$AD$24,4,0)</f>
        <v>#VALUE!</v>
      </c>
      <c r="Y61" s="678" t="e">
        <f ca="1">IF('Saisie de données'!$C$62='Menu déroulant'!$AA$31,(VLOOKUP(Y$29,'Infos Techniques'!$B$7:$H$12,4,0)/('Saisie de données'!$F$62/12)-(Francais10p!$U$60/2*E59))/E61,(VLOOKUP(Y$29,'Infos Techniques'!$B$7:$H$12,7,0)/('Saisie de données'!$F$62/12)-(Francais10p!$U$60/2*E59))/E61)*VLOOKUP('Saisie de données'!$F$38,'Menu déroulant'!$AA$22:$AD$24,4,0)</f>
        <v>#VALUE!</v>
      </c>
      <c r="Z61" s="679" t="e">
        <f ca="1">IF('Saisie de données'!$C$62='Menu déroulant'!$AA$31,(VLOOKUP(Z$29,'Infos Techniques'!$B$7:$H$12,4,0)/('Saisie de données'!$F$62/12)-(Francais10p!$U$61/2*E59))/E61,(VLOOKUP(Z$29,'Infos Techniques'!$B$7:$H$12,7,0)/('Saisie de données'!$F$62/12)-(Francais10p!$U$61/2*E59))/E61)*VLOOKUP('Saisie de données'!$F$38,'Menu déroulant'!$AA$22:$AD$24,4,0)</f>
        <v>#VALUE!</v>
      </c>
      <c r="AA61" s="749" t="e">
        <f ca="1">(((VLOOKUP(AA$29,'Infos Techniques'!$I$5:$K$12,2,0)/('Saisie de données'!$F$62/12))-(Francais10p!$S$75/2*$E59))/$E61)*VLOOKUP('Saisie de données'!$F$38,'Menu déroulant'!$AA$22:$AD$24,4,0)</f>
        <v>#VALUE!</v>
      </c>
      <c r="AB61" s="678" t="e">
        <f ca="1">(((VLOOKUP(AB$29,'Infos Techniques'!$I$5:$K$12,2,0)/('Saisie de données'!$F$62/12))-(Francais10p!$S$75/2*$E59))/$E61)*VLOOKUP('Saisie de données'!$F$38,'Menu déroulant'!$AA$22:$AD$24,4,0)</f>
        <v>#VALUE!</v>
      </c>
      <c r="AC61" s="678" t="e">
        <f ca="1">(((VLOOKUP(AC$29,'Infos Techniques'!$I$5:$K$12,2,0)/('Saisie de données'!$F$62/12))-(Francais10p!$S$75/2*$E59))/$E61)*VLOOKUP('Saisie de données'!$F$38,'Menu déroulant'!$AA$22:$AD$24,4,0)</f>
        <v>#VALUE!</v>
      </c>
      <c r="AD61" s="678" t="e">
        <f ca="1">(((VLOOKUP(AD$29,'Infos Techniques'!$I$5:$K$12,2,0)/('Saisie de données'!$F$62/12))-(Francais10p!$S$75/2*$E59))/$E61)*VLOOKUP('Saisie de données'!$F$38,'Menu déroulant'!$AA$22:$AD$24,4,0)</f>
        <v>#VALUE!</v>
      </c>
      <c r="AE61" s="678">
        <v>0</v>
      </c>
      <c r="AF61" s="678" t="e">
        <f ca="1">(((VLOOKUP(AF$29,'Infos Techniques'!$I$5:$K$12,2,0)/('Saisie de données'!$F$62/12))-(Francais10p!$S$75/2*$E59))/$E61)*VLOOKUP('Saisie de données'!$F$38,'Menu déroulant'!$AA$22:$AD$24,4,0)</f>
        <v>#VALUE!</v>
      </c>
      <c r="AG61" s="678" t="e">
        <f ca="1">(((VLOOKUP(AG$29,'Infos Techniques'!$I$5:$K$12,2,0)/('Saisie de données'!$F$62/12))-(Francais10p!$S$75/2*$E59))/$E61)*VLOOKUP('Saisie de données'!$F$38,'Menu déroulant'!$AA$22:$AD$24,4,0)</f>
        <v>#VALUE!</v>
      </c>
      <c r="AH61" s="678">
        <v>0</v>
      </c>
      <c r="AI61" s="678" t="e">
        <f ca="1">(((VLOOKUP(AI$29,'Infos Techniques'!$I$5:$K$12,3,0)/('Saisie de données'!$F$62/12))-(Francais10p!$U$75/2*$E59))/$E61)*VLOOKUP('Saisie de données'!$F$38,'Menu déroulant'!$AA$22:$AD$24,4,0)</f>
        <v>#VALUE!</v>
      </c>
      <c r="AJ61" s="678" t="e">
        <f ca="1">(((VLOOKUP(AJ$29,'Infos Techniques'!$I$5:$K$12,3,0)/('Saisie de données'!$F$62/12))-(Francais10p!$U$75/2*$E59))/$E61)*VLOOKUP('Saisie de données'!$F$38,'Menu déroulant'!$AA$22:$AD$24,4,0)</f>
        <v>#VALUE!</v>
      </c>
      <c r="AK61" s="678" t="e">
        <f ca="1">(((VLOOKUP(AK$29,'Infos Techniques'!$I$5:$K$12,3,0)/('Saisie de données'!$F$62/12))-(Francais10p!$U$75/2*$E59))/$E61)*VLOOKUP('Saisie de données'!$F$38,'Menu déroulant'!$AA$22:$AD$24,4,0)</f>
        <v>#VALUE!</v>
      </c>
      <c r="AL61" s="678" t="e">
        <f ca="1">(((VLOOKUP(AL$29,'Infos Techniques'!$I$5:$K$12,3,0)/('Saisie de données'!$F$62/12))-(Francais10p!$U$75/2*$E59))/$E61)*VLOOKUP('Saisie de données'!$F$38,'Menu déroulant'!$AA$22:$AD$24,4,0)</f>
        <v>#VALUE!</v>
      </c>
      <c r="AM61" s="678" t="e">
        <f ca="1">(((VLOOKUP(AM$29,'Infos Techniques'!$I$5:$K$12,3,0)/('Saisie de données'!$F$62/12))-(Francais10p!$U$75/2*$E59))/$E61)*VLOOKUP('Saisie de données'!$F$38,'Menu déroulant'!$AA$22:$AD$24,4,0)</f>
        <v>#VALUE!</v>
      </c>
      <c r="AN61" s="678" t="e">
        <f ca="1">(((VLOOKUP(AN$29,'Infos Techniques'!$I$5:$K$12,3,0)/('Saisie de données'!$F$62/12))-(Francais10p!$U$75/2*$E59))/$E61)*VLOOKUP('Saisie de données'!$F$38,'Menu déroulant'!$AA$22:$AD$24,4,0)</f>
        <v>#VALUE!</v>
      </c>
      <c r="AO61" s="678" t="e">
        <f ca="1">(((VLOOKUP(AO$29,'Infos Techniques'!$I$5:$K$12,3,0)/('Saisie de données'!$F$62/12))-(Francais10p!$U$75/2*$E59))/$E61)*VLOOKUP('Saisie de données'!$F$38,'Menu déroulant'!$AA$22:$AD$24,4,0)</f>
        <v>#VALUE!</v>
      </c>
      <c r="AP61" s="679" t="e">
        <f ca="1">(((VLOOKUP(AP$29,'Infos Techniques'!$I$5:$K$12,3,0)/('Saisie de données'!$F$62/12))-(Francais10p!$U$75/2*$E59))/$E61)*VLOOKUP('Saisie de données'!$F$38,'Menu déroulant'!$AA$22:$AD$24,4,0)</f>
        <v>#VALUE!</v>
      </c>
    </row>
    <row r="62" spans="2:44" ht="15" thickTop="1"/>
    <row r="64" spans="2:44" ht="25.9" customHeight="1" thickBot="1">
      <c r="B64" s="816" t="s">
        <v>348</v>
      </c>
    </row>
    <row r="65" spans="2:26" ht="15" thickTop="1">
      <c r="B65" s="1574" t="s">
        <v>313</v>
      </c>
      <c r="C65" s="1575"/>
      <c r="D65" s="1576"/>
      <c r="E65" s="1582" t="s">
        <v>314</v>
      </c>
      <c r="F65" s="1584" t="s">
        <v>340</v>
      </c>
      <c r="G65" s="1585"/>
      <c r="H65" s="1585"/>
      <c r="I65" s="1585"/>
      <c r="J65" s="1585"/>
      <c r="K65" s="1585"/>
      <c r="L65" s="1585"/>
      <c r="M65" s="1585"/>
      <c r="N65" s="1585"/>
      <c r="O65" s="1586"/>
      <c r="P65" s="1590" t="s">
        <v>163</v>
      </c>
      <c r="Q65" s="1592"/>
      <c r="R65" s="1593"/>
      <c r="S65" s="1593"/>
      <c r="T65" s="1593"/>
      <c r="U65" s="1593"/>
      <c r="V65" s="1593"/>
      <c r="W65" s="1593"/>
      <c r="X65" s="1593"/>
      <c r="Y65" s="1593"/>
      <c r="Z65" s="1594"/>
    </row>
    <row r="66" spans="2:26">
      <c r="B66" s="1577"/>
      <c r="C66" s="1332"/>
      <c r="D66" s="1578"/>
      <c r="E66" s="1583"/>
      <c r="F66" s="1587"/>
      <c r="G66" s="1588"/>
      <c r="H66" s="1588"/>
      <c r="I66" s="1588"/>
      <c r="J66" s="1588"/>
      <c r="K66" s="1588"/>
      <c r="L66" s="1588"/>
      <c r="M66" s="1588"/>
      <c r="N66" s="1588"/>
      <c r="O66" s="1589"/>
      <c r="P66" s="1591"/>
      <c r="Q66" s="1595" t="s">
        <v>321</v>
      </c>
      <c r="R66" s="1596"/>
      <c r="S66" s="1596"/>
      <c r="T66" s="1596"/>
      <c r="U66" s="1597"/>
      <c r="V66" s="1595" t="s">
        <v>322</v>
      </c>
      <c r="W66" s="1596"/>
      <c r="X66" s="1596"/>
      <c r="Y66" s="1596"/>
      <c r="Z66" s="1598"/>
    </row>
    <row r="67" spans="2:26" ht="15" thickBot="1">
      <c r="B67" s="1579"/>
      <c r="C67" s="1580"/>
      <c r="D67" s="1581"/>
      <c r="E67" s="1573"/>
      <c r="F67" s="242" t="s">
        <v>323</v>
      </c>
      <c r="G67" s="242" t="s">
        <v>324</v>
      </c>
      <c r="H67" s="242" t="s">
        <v>325</v>
      </c>
      <c r="I67" s="242" t="s">
        <v>326</v>
      </c>
      <c r="J67" s="242" t="s">
        <v>327</v>
      </c>
      <c r="K67" s="242" t="s">
        <v>345</v>
      </c>
      <c r="L67" s="242" t="s">
        <v>329</v>
      </c>
      <c r="M67" s="242" t="s">
        <v>330</v>
      </c>
      <c r="N67" s="242" t="s">
        <v>331</v>
      </c>
      <c r="O67" s="242" t="s">
        <v>332</v>
      </c>
      <c r="P67" s="243" t="s">
        <v>333</v>
      </c>
      <c r="Q67" s="244">
        <v>0.1875</v>
      </c>
      <c r="R67" s="244" t="s">
        <v>334</v>
      </c>
      <c r="S67" s="244" t="s">
        <v>335</v>
      </c>
      <c r="T67" s="244" t="s">
        <v>336</v>
      </c>
      <c r="U67" s="244" t="s">
        <v>337</v>
      </c>
      <c r="V67" s="244">
        <v>0.1875</v>
      </c>
      <c r="W67" s="244" t="s">
        <v>334</v>
      </c>
      <c r="X67" s="244" t="s">
        <v>335</v>
      </c>
      <c r="Y67" s="244" t="s">
        <v>336</v>
      </c>
      <c r="Z67" s="245" t="s">
        <v>337</v>
      </c>
    </row>
    <row r="68" spans="2:26">
      <c r="B68" s="1567" t="s">
        <v>48</v>
      </c>
      <c r="C68" s="1570" t="s">
        <v>338</v>
      </c>
      <c r="D68" s="241" t="s">
        <v>346</v>
      </c>
      <c r="E68" s="59" t="e">
        <f>IF(ISBLANK('Saisie de données'!$E$31),'Charges de ventFM'!D32,'Saisie de données'!$E$31)</f>
        <v>#N/A</v>
      </c>
      <c r="F68" s="411" t="e" cm="1">
        <f t="array" aca="1" ref="F68" ca="1">IF('Saisie de données'!$K$60='Menu déroulant'!$AA$34,VLOOKUP(MAX(IF(INDIRECT("Norex2_"&amp;'Saisie de données'!$H$60&amp;"_"&amp;'Saisie de données'!$I$60&amp;"_S")&lt;='Synthèse résultat'!$E68,INDIRECT("Norex2_"&amp;'Saisie de données'!$H$60&amp;"_"&amp;'Saisie de données'!$I$60&amp;"_S"))),'Courbe Déflexion'!O$5:$X$285,10,0)*VLOOKUP('Saisie de données'!$F$38,'Menu déroulant'!$AA$22:$AD$24,4,0),VLOOKUP(MAX(IF(INDIRECT("Norex2_"&amp;'Saisie de données'!$H$60&amp;"_"&amp;'Saisie de données'!$I$60&amp;"_M")&lt;='Synthèse résultat'!$E68,INDIRECT("Norex2_"&amp;'Saisie de données'!$H$60&amp;"_"&amp;'Saisie de données'!$I$60&amp;"_M"))),'Courbe Déflexion'!$DW$5:$EF$217,10,0)*VLOOKUP('Saisie de données'!$F$38,'Menu déroulant'!$AA$22:$AD$24,4,0))</f>
        <v>#N/A</v>
      </c>
      <c r="G68" s="411" t="e" cm="1">
        <f t="array" aca="1" ref="G68" ca="1">IF('Saisie de données'!$K$60='Menu déroulant'!$AA$34,VLOOKUP(MAX(IF(INDIRECT("Norex3_"&amp;'Saisie de données'!$H$60&amp;"_"&amp;'Saisie de données'!$I$60&amp;"_S")&lt;='Synthèse résultat'!$E68,INDIRECT("Norex3_"&amp;'Saisie de données'!$H$60&amp;"_"&amp;'Saisie de données'!$I$60&amp;"_S"))),'Courbe Déflexion'!$Z$5:$AI$329,10,0)*VLOOKUP('Saisie de données'!$F$38,'Menu déroulant'!$AA$22:$AD$24,4,0),VLOOKUP(MAX(IF(INDIRECT("Norex3_"&amp;'Saisie de données'!$H$60&amp;"_"&amp;'Saisie de données'!$I$60&amp;"_M")&lt;='Synthèse résultat'!$E68,INDIRECT("Norex3_"&amp;'Saisie de données'!$H$60&amp;"_"&amp;'Saisie de données'!$I$60&amp;"_M"))),'Courbe Déflexion'!$EH$5:$EQ$309,10,0)*VLOOKUP('Saisie de données'!$F$38,'Menu déroulant'!$AA$22:$AD$24,4,0))</f>
        <v>#N/A</v>
      </c>
      <c r="H68" s="411" t="e" cm="1">
        <f t="array" aca="1" ref="H68" ca="1">IF('Saisie de données'!$K$60='Menu déroulant'!$AA$34,VLOOKUP(MAX(IF(INDIRECT("Norex4_"&amp;'Saisie de données'!$H$60&amp;"_"&amp;'Saisie de données'!$I$60&amp;"_S")&lt;='Synthèse résultat'!$E68,INDIRECT("Norex4_"&amp;'Saisie de données'!$H$60&amp;"_"&amp;'Saisie de données'!$I$60&amp;"_S"))),'Courbe Déflexion'!$AK$5:$AT$306,10,0)*VLOOKUP('Saisie de données'!$F$38,'Menu déroulant'!$AA$22:$AD$24,4,0),VLOOKUP(MAX(IF(INDIRECT("Norex4_"&amp;'Saisie de données'!$H$60&amp;"_"&amp;'Saisie de données'!$I$60&amp;"_M")&lt;='Synthèse résultat'!$E68,INDIRECT("Norex4_"&amp;'Saisie de données'!$H$60&amp;"_"&amp;'Saisie de données'!$I$60&amp;"_M"))),'Courbe Déflexion'!$ES$5:$FB$285,10,0)*VLOOKUP('Saisie de données'!$F$38,'Menu déroulant'!$AA$22:$AD$24,4,0))</f>
        <v>#N/A</v>
      </c>
      <c r="I68" s="411" t="e" cm="1">
        <f t="array" aca="1" ref="I68" ca="1">IF('Saisie de données'!$K$60='Menu déroulant'!$AA$34,VLOOKUP(MAX(IF(INDIRECT("Norex5_"&amp;'Saisie de données'!$H$60&amp;"_"&amp;'Saisie de données'!$I$60&amp;"_S")&lt;='Synthèse résultat'!$E68,INDIRECT("Norex5_"&amp;'Saisie de données'!$H$60&amp;"_"&amp;'Saisie de données'!$I$60&amp;"_S"))),'Courbe Déflexion'!$AV$5:$BE$306,10,0)*VLOOKUP('Saisie de données'!$F$38,'Menu déroulant'!$AA$22:$AD$24,4,0),VLOOKUP(MAX(IF(INDIRECT("Norex5_"&amp;'Saisie de données'!$H$60&amp;"_"&amp;'Saisie de données'!$I$60&amp;"_M")&lt;='Synthèse résultat'!$E68,INDIRECT("Norex5_"&amp;'Saisie de données'!$H$60&amp;"_"&amp;'Saisie de données'!$I$60&amp;"_M"))),'Courbe Déflexion'!$FD$5:$FM$285,10,0)*VLOOKUP('Saisie de données'!$F$38,'Menu déroulant'!$AA$22:$AD$24,4,0))</f>
        <v>#N/A</v>
      </c>
      <c r="J68" s="411" t="e" cm="1">
        <f t="array" aca="1" ref="J68" ca="1">IF('Saisie de données'!$K$60='Menu déroulant'!$AA$34,VLOOKUP(MAX(IF(INDIRECT("Norex6_"&amp;'Saisie de données'!$H$60&amp;"_"&amp;'Saisie de données'!$I$60&amp;"_S")&lt;='Synthèse résultat'!$E68,INDIRECT("Norex6_"&amp;'Saisie de données'!$H$60&amp;"_"&amp;'Saisie de données'!$I$60&amp;"_S"))),'Courbe Déflexion'!$BG$5:$BP$306,10,0)*VLOOKUP('Saisie de données'!$F$38,'Menu déroulant'!$AA$22:$AD$24,4,0),VLOOKUP(MAX(IF(INDIRECT("Norex6_"&amp;'Saisie de données'!$H$60&amp;"_"&amp;'Saisie de données'!$I$60&amp;"_M")&lt;='Synthèse résultat'!$E68,INDIRECT("Norex6_"&amp;'Saisie de données'!$H$60&amp;"_"&amp;'Saisie de données'!$I$60&amp;"_M"))),'Courbe Déflexion'!$FO$5:$FX$286,10,0)*VLOOKUP('Saisie de données'!$F$38,'Menu déroulant'!$AA$22:$AD$24,4,0))</f>
        <v>#N/A</v>
      </c>
      <c r="K68" s="411" t="e" cm="1">
        <f t="array" aca="1" ref="K68" ca="1">IF('Saisie de données'!$K$60='Menu déroulant'!$AA$34,VLOOKUP(MAX(IF(INDIRECT("Norex8_"&amp;'Saisie de données'!$H$60&amp;"_"&amp;'Saisie de données'!$I$60&amp;"_S")&lt;='Synthèse résultat'!$E68,INDIRECT("Norex8_"&amp;'Saisie de données'!$H$60&amp;"_"&amp;'Saisie de données'!$I$60&amp;"_S"))),'Courbe Déflexion'!$BR$5:$CA$306,10,0)*VLOOKUP('Saisie de données'!$F$38,'Menu déroulant'!$AA$22:$AD$24,4,0),VLOOKUP(MAX(IF(INDIRECT("Norex8_"&amp;'Saisie de données'!$H$60&amp;"_"&amp;'Saisie de données'!$I$60&amp;"_M")&lt;='Synthèse résultat'!$E68,INDIRECT("Norex8_"&amp;'Saisie de données'!$H$60&amp;"_"&amp;'Saisie de données'!$I$60&amp;"_M"))),'Courbe Déflexion'!$FZ$5:$GI$286,10,0)*VLOOKUP('Saisie de données'!$F$38,'Menu déroulant'!$AA$22:$AD$24,4,0))</f>
        <v>#N/A</v>
      </c>
      <c r="L68" s="411" t="e" cm="1">
        <f t="array" aca="1" ref="L68" ca="1">IF('Saisie de données'!$K$60='Menu déroulant'!$AA$34,VLOOKUP(MAX(IF(INDIRECT("Noroc4_"&amp;'Saisie de données'!$H$60&amp;"_"&amp;'Saisie de données'!$I$60&amp;"_S")&lt;='Synthèse résultat'!$E68,INDIRECT("Noroc4_"&amp;'Saisie de données'!$H$60&amp;"_"&amp;'Saisie de données'!$I$60&amp;"_S"))),'Courbe Déflexion'!$CC$5:$CL$306,10,0)*VLOOKUP('Saisie de données'!$F$38,'Menu déroulant'!$AA$22:$AD$24,4,0),VLOOKUP(MAX(IF(INDIRECT("Noroc4_"&amp;'Saisie de données'!$H$60&amp;"_"&amp;'Saisie de données'!$I$60&amp;"_M")&lt;='Synthèse résultat'!$E68,INDIRECT("Noroc4_"&amp;'Saisie de données'!$H$60&amp;"_"&amp;'Saisie de données'!$I$60&amp;"_M"))),'Courbe Déflexion'!$GK$5:$GT$286,10,0)*VLOOKUP('Saisie de données'!$F$38,'Menu déroulant'!$AA$22:$AD$24,4,0))</f>
        <v>#N/A</v>
      </c>
      <c r="M68" s="411" t="e" cm="1">
        <f t="array" aca="1" ref="M68" ca="1">IF('Saisie de données'!$K$60='Menu déroulant'!$AA$34,VLOOKUP(MAX(IF(INDIRECT("Noroc5_"&amp;'Saisie de données'!$H$60&amp;"_"&amp;'Saisie de données'!$I$60&amp;"_S")&lt;='Synthèse résultat'!$E68,INDIRECT("Noroc5_"&amp;'Saisie de données'!$H$60&amp;"_"&amp;'Saisie de données'!$I$60&amp;"_S"))),'Courbe Déflexion'!$CN$5:$CW$306,10,0)*VLOOKUP('Saisie de données'!$F$38,'Menu déroulant'!$AA$22:$AD$24,4,0),VLOOKUP(MAX(IF(INDIRECT("Noroc5_"&amp;'Saisie de données'!$H$60&amp;"_"&amp;'Saisie de données'!$I$60&amp;"_M")&lt;='Synthèse résultat'!$E68,INDIRECT("Noroc5_"&amp;'Saisie de données'!$H$60&amp;"_"&amp;'Saisie de données'!$I$60&amp;"_M"))),'Courbe Déflexion'!$GV$5:$HE$286,10,0)*VLOOKUP('Saisie de données'!$F$38,'Menu déroulant'!$AA$22:$AD$24,4,0))</f>
        <v>#N/A</v>
      </c>
      <c r="N68" s="411" t="e" cm="1">
        <f t="array" aca="1" ref="N68" ca="1">IF('Saisie de données'!$K$60='Menu déroulant'!$AA$34,VLOOKUP(MAX(IF(INDIRECT("Noroc6_"&amp;'Saisie de données'!$H$60&amp;"_"&amp;'Saisie de données'!$I$60&amp;"_S")&lt;='Synthèse résultat'!$E68,INDIRECT("Noroc6_"&amp;'Saisie de données'!$H$60&amp;"_"&amp;'Saisie de données'!$I$60&amp;"_S"))),'Courbe Déflexion'!$CY$5:$DH$306,10,0)*VLOOKUP('Saisie de données'!$F$38,'Menu déroulant'!$AA$22:$AD$24,4,0),VLOOKUP(MAX(IF(INDIRECT("Noroc6_"&amp;'Saisie de données'!$H$60&amp;"_"&amp;'Saisie de données'!$I$60&amp;"_M")&lt;='Synthèse résultat'!$E68,INDIRECT("Noroc6_"&amp;'Saisie de données'!$H$60&amp;"_"&amp;'Saisie de données'!$I$60&amp;"_M"))),'Courbe Déflexion'!$HG$5:$HP$286,10,0)*VLOOKUP('Saisie de données'!$F$38,'Menu déroulant'!$AA$22:$AD$24,4,0))</f>
        <v>#N/A</v>
      </c>
      <c r="O68" s="411" t="e" cm="1">
        <f t="array" aca="1" ref="O68" ca="1">IF('Saisie de données'!$K$60='Menu déroulant'!$AA$34,VLOOKUP(MAX(IF(INDIRECT("Noroc8_"&amp;'Saisie de données'!$H$60&amp;"_"&amp;'Saisie de données'!$I$60&amp;"_S")&lt;='Synthèse résultat'!$E68,INDIRECT("Noroc8_"&amp;'Saisie de données'!$H$60&amp;"_"&amp;'Saisie de données'!$I$60&amp;"_S"))),'Courbe Déflexion'!$DJ$5:$DS$306,10,0)*VLOOKUP('Saisie de données'!$F$38,'Menu déroulant'!$AA$22:$AD$24,4,0),VLOOKUP(MAX(IF(INDIRECT("Noroc8_"&amp;'Saisie de données'!$H$60&amp;"_"&amp;'Saisie de données'!$I$60&amp;"_M")&lt;='Synthèse résultat'!$E68,INDIRECT("Noroc8_"&amp;'Saisie de données'!$H$60&amp;"_"&amp;'Saisie de données'!$I$60&amp;"_M"))),'Courbe Déflexion'!$HR$5:$IA$286,10,0)*VLOOKUP('Saisie de données'!$F$38,'Menu déroulant'!$AA$22:$AD$24,4,0))</f>
        <v>#N/A</v>
      </c>
      <c r="P68" s="412">
        <f>VLOOKUP('Saisie de données'!$J$60,'Infos Techniques'!$U$15:$AF$43,12,0)*VLOOKUP('Saisie de données'!$F$38,'Menu déroulant'!$AA$22:$AD$24,4,0)</f>
        <v>10</v>
      </c>
      <c r="Q68" s="413" t="e">
        <f>IF('Saisie de données'!$C$60='Menu déroulant'!$AA$31,VLOOKUP(Q$29,'Infos Techniques'!$B$7:$H$12,2,0)/($E68*'Saisie de données'!$F$60/12),VLOOKUP(Q$29,'Infos Techniques'!$B$7:$H$12,5,0)/($E68*'Saisie de données'!$F$60/12))*VLOOKUP('Saisie de données'!$F$38,'Menu déroulant'!$AA$22:$AD$24,4,0)</f>
        <v>#N/A</v>
      </c>
      <c r="R68" s="413" t="e">
        <f>IF('Saisie de données'!$C$60='Menu déroulant'!$AA$31,VLOOKUP(R$29,'Infos Techniques'!$B$7:$H$12,2,0)/($E68*'Saisie de données'!$F$60/12),VLOOKUP(R$29,'Infos Techniques'!$B$7:$H$12,5,0)/($E68*'Saisie de données'!$F$60/12))*VLOOKUP('Saisie de données'!$F$38,'Menu déroulant'!$AA$22:$AD$24,4,0)</f>
        <v>#N/A</v>
      </c>
      <c r="S68" s="413" t="e">
        <f>IF('Saisie de données'!$C$60='Menu déroulant'!$AA$31,VLOOKUP(S$29,'Infos Techniques'!$B$7:$H$12,2,0)/($E68*'Saisie de données'!$F$60/12),VLOOKUP(S$29,'Infos Techniques'!$B$7:$H$12,5,0)/($E68*'Saisie de données'!$F$60/12))*VLOOKUP('Saisie de données'!$F$38,'Menu déroulant'!$AA$22:$AD$24,4,0)</f>
        <v>#N/A</v>
      </c>
      <c r="T68" s="413" t="e">
        <f>IF('Saisie de données'!$C$60='Menu déroulant'!$AA$31,VLOOKUP(T$29,'Infos Techniques'!$B$7:$H$12,2,0)/($E68*'Saisie de données'!$F$60/12),VLOOKUP(T$29,'Infos Techniques'!$B$7:$H$12,5,0)/($E68*'Saisie de données'!$F$60/12))*VLOOKUP('Saisie de données'!$F$38,'Menu déroulant'!$AA$22:$AD$24,4,0)</f>
        <v>#N/A</v>
      </c>
      <c r="U68" s="413" t="e">
        <f>IF('Saisie de données'!$C$60='Menu déroulant'!$AA$31,VLOOKUP(U$29,'Infos Techniques'!$B$7:$H$12,2,0)/($E68*'Saisie de données'!$F$60/12),VLOOKUP(U$29,'Infos Techniques'!$B$7:$H$12,5,0)/($E68*'Saisie de données'!$F$60/12))*VLOOKUP('Saisie de données'!$F$38,'Menu déroulant'!$AA$22:$AD$24,4,0)</f>
        <v>#N/A</v>
      </c>
      <c r="V68" s="413" t="e">
        <f>IF('Saisie de données'!$C$60='Menu déroulant'!$AA$31,VLOOKUP(V$29,'Infos Techniques'!$B$7:$H$12,4,0)/($E68*'Saisie de données'!$F$60/12),VLOOKUP(V$29,'Infos Techniques'!$B$7:$H$12,7,0)/($E68*'Saisie de données'!$F$60/12))*VLOOKUP('Saisie de données'!$F$38,'Menu déroulant'!$AA$22:$AD$24,4,0)</f>
        <v>#N/A</v>
      </c>
      <c r="W68" s="413" t="e">
        <f>IF('Saisie de données'!$C$60='Menu déroulant'!$AA$31,VLOOKUP(W$29,'Infos Techniques'!$B$7:$H$12,4,0)/($E68*'Saisie de données'!$F$60/12),VLOOKUP(W$29,'Infos Techniques'!$B$7:$H$12,7,0)/($E68*'Saisie de données'!$F$60/12))*VLOOKUP('Saisie de données'!$F$38,'Menu déroulant'!$AA$22:$AD$24,4,0)</f>
        <v>#N/A</v>
      </c>
      <c r="X68" s="413" t="e">
        <f>IF('Saisie de données'!$C$60='Menu déroulant'!$AA$31,VLOOKUP(X$29,'Infos Techniques'!$B$7:$H$12,4,0)/($E68*'Saisie de données'!$F$60/12),VLOOKUP(X$29,'Infos Techniques'!$B$7:$H$12,7,0)/($E68*'Saisie de données'!$F$60/12))*VLOOKUP('Saisie de données'!$F$38,'Menu déroulant'!$AA$22:$AD$24,4,0)</f>
        <v>#N/A</v>
      </c>
      <c r="Y68" s="413" t="e">
        <f>IF('Saisie de données'!$C$60='Menu déroulant'!$AA$31,VLOOKUP(Y$29,'Infos Techniques'!$B$7:$H$12,4,0)/($E68*'Saisie de données'!$F$60/12),VLOOKUP(Y$29,'Infos Techniques'!$B$7:$H$12,7,0)/($E68*'Saisie de données'!$F$60/12))*VLOOKUP('Saisie de données'!$F$38,'Menu déroulant'!$AA$22:$AD$24,4,0)</f>
        <v>#N/A</v>
      </c>
      <c r="Z68" s="414" t="e">
        <f>IF('Saisie de données'!$C$60='Menu déroulant'!$AA$31,VLOOKUP(Z$29,'Infos Techniques'!$B$7:$H$12,4,0)/($E68*'Saisie de données'!$F$60/12),VLOOKUP(Z$29,'Infos Techniques'!$B$7:$H$12,7,0)/($E68*'Saisie de données'!$F$60/12))*VLOOKUP('Saisie de données'!$F$38,'Menu déroulant'!$AA$22:$AD$24,4,0)</f>
        <v>#N/A</v>
      </c>
    </row>
    <row r="69" spans="2:26">
      <c r="B69" s="1568"/>
      <c r="C69" s="1571"/>
      <c r="D69" s="28" t="s">
        <v>347</v>
      </c>
      <c r="E69" s="43" t="e">
        <f>IF(ISBLANK('Saisie de données'!$E$30),'Charges de ventFM'!E32,'Saisie de données'!$E$30)</f>
        <v>#N/A</v>
      </c>
      <c r="F69" s="415" t="e" cm="1">
        <f t="array" aca="1" ref="F69" ca="1">IF('Saisie de données'!$K$60='Menu déroulant'!$AA$34,VLOOKUP(MAX(IF(INDIRECT("Norex2_"&amp;'Saisie de données'!$H$60&amp;"_"&amp;'Saisie de données'!$I$60&amp;"_S")&lt;='Synthèse résultat'!$E69,INDIRECT("Norex2_"&amp;'Saisie de données'!$H$60&amp;"_"&amp;'Saisie de données'!$I$60&amp;"_S"))),'Courbe Déflexion'!O$5:$X$285,10,0)*VLOOKUP('Saisie de données'!$F$38,'Menu déroulant'!$AA$22:$AD$24,4,0),VLOOKUP(MAX(IF(INDIRECT("Norex2_"&amp;'Saisie de données'!$H$60&amp;"_"&amp;'Saisie de données'!$I$60&amp;"_M")&lt;='Synthèse résultat'!$E69,INDIRECT("Norex2_"&amp;'Saisie de données'!$H$60&amp;"_"&amp;'Saisie de données'!$I$60&amp;"_M"))),'Courbe Déflexion'!$DW$5:$EF$217,10,0)*VLOOKUP('Saisie de données'!$F$38,'Menu déroulant'!$AA$22:$AD$24,4,0))</f>
        <v>#N/A</v>
      </c>
      <c r="G69" s="415" t="e" cm="1">
        <f t="array" aca="1" ref="G69" ca="1">IF('Saisie de données'!$K$60='Menu déroulant'!$AA$34,VLOOKUP(MAX(IF(INDIRECT("Norex3_"&amp;'Saisie de données'!$H$60&amp;"_"&amp;'Saisie de données'!$I$60&amp;"_S")&lt;='Synthèse résultat'!$E69,INDIRECT("Norex3_"&amp;'Saisie de données'!$H$60&amp;"_"&amp;'Saisie de données'!$I$60&amp;"_S"))),'Courbe Déflexion'!$Z$5:$AI$329,10,0)*VLOOKUP('Saisie de données'!$F$38,'Menu déroulant'!$AA$22:$AD$24,4,0),VLOOKUP(MAX(IF(INDIRECT("Norex3_"&amp;'Saisie de données'!$H$60&amp;"_"&amp;'Saisie de données'!$I$60&amp;"_M")&lt;='Synthèse résultat'!$E69,INDIRECT("Norex3_"&amp;'Saisie de données'!$H$60&amp;"_"&amp;'Saisie de données'!$I$60&amp;"_M"))),'Courbe Déflexion'!$EH$5:$EQ$309,10,0)*VLOOKUP('Saisie de données'!$F$38,'Menu déroulant'!$AA$22:$AD$24,4,0))</f>
        <v>#N/A</v>
      </c>
      <c r="H69" s="415" t="e" cm="1">
        <f t="array" aca="1" ref="H69" ca="1">IF('Saisie de données'!$K$60='Menu déroulant'!$AA$34,VLOOKUP(MAX(IF(INDIRECT("Norex4_"&amp;'Saisie de données'!$H$60&amp;"_"&amp;'Saisie de données'!$I$60&amp;"_S")&lt;='Synthèse résultat'!$E69,INDIRECT("Norex4_"&amp;'Saisie de données'!$H$60&amp;"_"&amp;'Saisie de données'!$I$60&amp;"_S"))),'Courbe Déflexion'!$AK$5:$AT$306,10,0)*VLOOKUP('Saisie de données'!$F$38,'Menu déroulant'!$AA$22:$AD$24,4,0),VLOOKUP(MAX(IF(INDIRECT("Norex4_"&amp;'Saisie de données'!$H$60&amp;"_"&amp;'Saisie de données'!$I$60&amp;"_M")&lt;='Synthèse résultat'!$E69,INDIRECT("Norex4_"&amp;'Saisie de données'!$H$60&amp;"_"&amp;'Saisie de données'!$I$60&amp;"_M"))),'Courbe Déflexion'!$ES$5:$FB$285,10,0)*VLOOKUP('Saisie de données'!$F$38,'Menu déroulant'!$AA$22:$AD$24,4,0))</f>
        <v>#N/A</v>
      </c>
      <c r="I69" s="415" t="e" cm="1">
        <f t="array" aca="1" ref="I69" ca="1">IF('Saisie de données'!$K$60='Menu déroulant'!$AA$34,VLOOKUP(MAX(IF(INDIRECT("Norex5_"&amp;'Saisie de données'!$H$60&amp;"_"&amp;'Saisie de données'!$I$60&amp;"_S")&lt;='Synthèse résultat'!$E69,INDIRECT("Norex5_"&amp;'Saisie de données'!$H$60&amp;"_"&amp;'Saisie de données'!$I$60&amp;"_S"))),'Courbe Déflexion'!$AV$5:$BE$306,10,0)*VLOOKUP('Saisie de données'!$F$38,'Menu déroulant'!$AA$22:$AD$24,4,0),VLOOKUP(MAX(IF(INDIRECT("Norex5_"&amp;'Saisie de données'!$H$60&amp;"_"&amp;'Saisie de données'!$I$60&amp;"_M")&lt;='Synthèse résultat'!$E69,INDIRECT("Norex5_"&amp;'Saisie de données'!$H$60&amp;"_"&amp;'Saisie de données'!$I$60&amp;"_M"))),'Courbe Déflexion'!$FD$5:$FM$285,10,0)*VLOOKUP('Saisie de données'!$F$38,'Menu déroulant'!$AA$22:$AD$24,4,0))</f>
        <v>#N/A</v>
      </c>
      <c r="J69" s="415" t="e" cm="1">
        <f t="array" aca="1" ref="J69" ca="1">IF('Saisie de données'!$K$60='Menu déroulant'!$AA$34,VLOOKUP(MAX(IF(INDIRECT("Norex6_"&amp;'Saisie de données'!$H$60&amp;"_"&amp;'Saisie de données'!$I$60&amp;"_S")&lt;='Synthèse résultat'!$E69,INDIRECT("Norex6_"&amp;'Saisie de données'!$H$60&amp;"_"&amp;'Saisie de données'!$I$60&amp;"_S"))),'Courbe Déflexion'!$BG$5:$BP$306,10,0)*VLOOKUP('Saisie de données'!$F$38,'Menu déroulant'!$AA$22:$AD$24,4,0),VLOOKUP(MAX(IF(INDIRECT("Norex6_"&amp;'Saisie de données'!$H$60&amp;"_"&amp;'Saisie de données'!$I$60&amp;"_M")&lt;='Synthèse résultat'!$E69,INDIRECT("Norex6_"&amp;'Saisie de données'!$H$60&amp;"_"&amp;'Saisie de données'!$I$60&amp;"_M"))),'Courbe Déflexion'!$FO$5:$FX$286,10,0)*VLOOKUP('Saisie de données'!$F$38,'Menu déroulant'!$AA$22:$AD$24,4,0))</f>
        <v>#N/A</v>
      </c>
      <c r="K69" s="415" t="e" cm="1">
        <f t="array" aca="1" ref="K69" ca="1">IF('Saisie de données'!$K$60='Menu déroulant'!$AA$34,VLOOKUP(MAX(IF(INDIRECT("Norex8_"&amp;'Saisie de données'!$H$60&amp;"_"&amp;'Saisie de données'!$I$60&amp;"_S")&lt;='Synthèse résultat'!$E69,INDIRECT("Norex8_"&amp;'Saisie de données'!$H$60&amp;"_"&amp;'Saisie de données'!$I$60&amp;"_S"))),'Courbe Déflexion'!$BR$5:$CA$306,10,0)*VLOOKUP('Saisie de données'!$F$38,'Menu déroulant'!$AA$22:$AD$24,4,0),VLOOKUP(MAX(IF(INDIRECT("Norex8_"&amp;'Saisie de données'!$H$60&amp;"_"&amp;'Saisie de données'!$I$60&amp;"_M")&lt;='Synthèse résultat'!$E69,INDIRECT("Norex8_"&amp;'Saisie de données'!$H$60&amp;"_"&amp;'Saisie de données'!$I$60&amp;"_M"))),'Courbe Déflexion'!$FZ$5:$GI$286,10,0)*VLOOKUP('Saisie de données'!$F$38,'Menu déroulant'!$AA$22:$AD$24,4,0))</f>
        <v>#N/A</v>
      </c>
      <c r="L69" s="415" t="e" cm="1">
        <f t="array" aca="1" ref="L69" ca="1">IF('Saisie de données'!$K$60='Menu déroulant'!$AA$34,VLOOKUP(MAX(IF(INDIRECT("Noroc4_"&amp;'Saisie de données'!$H$60&amp;"_"&amp;'Saisie de données'!$I$60&amp;"_S")&lt;='Synthèse résultat'!$E69,INDIRECT("Noroc4_"&amp;'Saisie de données'!$H$60&amp;"_"&amp;'Saisie de données'!$I$60&amp;"_S"))),'Courbe Déflexion'!$CC$5:$CL$306,10,0)*VLOOKUP('Saisie de données'!$F$38,'Menu déroulant'!$AA$22:$AD$24,4,0),VLOOKUP(MAX(IF(INDIRECT("Noroc4_"&amp;'Saisie de données'!$H$60&amp;"_"&amp;'Saisie de données'!$I$60&amp;"_M")&lt;='Synthèse résultat'!$E69,INDIRECT("Noroc4_"&amp;'Saisie de données'!$H$60&amp;"_"&amp;'Saisie de données'!$I$60&amp;"_M"))),'Courbe Déflexion'!$GK$5:$GT$286,10,0)*VLOOKUP('Saisie de données'!$F$38,'Menu déroulant'!$AA$22:$AD$24,4,0))</f>
        <v>#N/A</v>
      </c>
      <c r="M69" s="415" t="e" cm="1">
        <f t="array" aca="1" ref="M69" ca="1">IF('Saisie de données'!$K$60='Menu déroulant'!$AA$34,VLOOKUP(MAX(IF(INDIRECT("Noroc5_"&amp;'Saisie de données'!$H$60&amp;"_"&amp;'Saisie de données'!$I$60&amp;"_S")&lt;='Synthèse résultat'!$E69,INDIRECT("Noroc5_"&amp;'Saisie de données'!$H$60&amp;"_"&amp;'Saisie de données'!$I$60&amp;"_S"))),'Courbe Déflexion'!$CN$5:$CW$306,10,0)*VLOOKUP('Saisie de données'!$F$38,'Menu déroulant'!$AA$22:$AD$24,4,0),VLOOKUP(MAX(IF(INDIRECT("Noroc5_"&amp;'Saisie de données'!$H$60&amp;"_"&amp;'Saisie de données'!$I$60&amp;"_M")&lt;='Synthèse résultat'!$E69,INDIRECT("Noroc5_"&amp;'Saisie de données'!$H$60&amp;"_"&amp;'Saisie de données'!$I$60&amp;"_M"))),'Courbe Déflexion'!$GV$5:$HE$286,10,0)*VLOOKUP('Saisie de données'!$F$38,'Menu déroulant'!$AA$22:$AD$24,4,0))</f>
        <v>#N/A</v>
      </c>
      <c r="N69" s="415" t="e" cm="1">
        <f t="array" aca="1" ref="N69" ca="1">IF('Saisie de données'!$K$60='Menu déroulant'!$AA$34,VLOOKUP(MAX(IF(INDIRECT("Noroc6_"&amp;'Saisie de données'!$H$60&amp;"_"&amp;'Saisie de données'!$I$60&amp;"_S")&lt;='Synthèse résultat'!$E69,INDIRECT("Noroc6_"&amp;'Saisie de données'!$H$60&amp;"_"&amp;'Saisie de données'!$I$60&amp;"_S"))),'Courbe Déflexion'!$CY$5:$DH$306,10,0)*VLOOKUP('Saisie de données'!$F$38,'Menu déroulant'!$AA$22:$AD$24,4,0),VLOOKUP(MAX(IF(INDIRECT("Noroc6_"&amp;'Saisie de données'!$H$60&amp;"_"&amp;'Saisie de données'!$I$60&amp;"_M")&lt;='Synthèse résultat'!$E69,INDIRECT("Noroc6_"&amp;'Saisie de données'!$H$60&amp;"_"&amp;'Saisie de données'!$I$60&amp;"_M"))),'Courbe Déflexion'!$HG$5:$HP$286,10,0)*VLOOKUP('Saisie de données'!$F$38,'Menu déroulant'!$AA$22:$AD$24,4,0))</f>
        <v>#N/A</v>
      </c>
      <c r="O69" s="415" t="e" cm="1">
        <f t="array" aca="1" ref="O69" ca="1">IF('Saisie de données'!$K$60='Menu déroulant'!$AA$34,VLOOKUP(MAX(IF(INDIRECT("Noroc8_"&amp;'Saisie de données'!$H$60&amp;"_"&amp;'Saisie de données'!$I$60&amp;"_S")&lt;='Synthèse résultat'!$E69,INDIRECT("Noroc8_"&amp;'Saisie de données'!$H$60&amp;"_"&amp;'Saisie de données'!$I$60&amp;"_S"))),'Courbe Déflexion'!$DJ$5:$DS$306,10,0)*VLOOKUP('Saisie de données'!$F$38,'Menu déroulant'!$AA$22:$AD$24,4,0),VLOOKUP(MAX(IF(INDIRECT("Noroc8_"&amp;'Saisie de données'!$H$60&amp;"_"&amp;'Saisie de données'!$I$60&amp;"_M")&lt;='Synthèse résultat'!$E69,INDIRECT("Noroc8_"&amp;'Saisie de données'!$H$60&amp;"_"&amp;'Saisie de données'!$I$60&amp;"_M"))),'Courbe Déflexion'!$HR$5:$IA$286,10,0)*VLOOKUP('Saisie de données'!$F$38,'Menu déroulant'!$AA$22:$AD$24,4,0))</f>
        <v>#N/A</v>
      </c>
      <c r="P69" s="416">
        <f>VLOOKUP('Saisie de données'!$J$60,'Infos Techniques'!$U$15:$AF$43,12,0)*VLOOKUP('Saisie de données'!$F$38,'Menu déroulant'!$AA$22:$AD$24,4,0)</f>
        <v>10</v>
      </c>
      <c r="Q69" s="326" t="e">
        <f>IF('Saisie de données'!$C$60='Menu déroulant'!$AA$31,VLOOKUP(Q$29,'Infos Techniques'!$B$7:$H$12,2,0)/($E69*'Saisie de données'!$F$60/12),VLOOKUP(Q$29,'Infos Techniques'!$B$7:$H$12,5,0)/($E69*'Saisie de données'!$F$60/12))*VLOOKUP('Saisie de données'!$F$38,'Menu déroulant'!$AA$22:$AD$24,4,0)</f>
        <v>#N/A</v>
      </c>
      <c r="R69" s="326" t="e">
        <f>IF('Saisie de données'!$C$60='Menu déroulant'!$AA$31,VLOOKUP(R$29,'Infos Techniques'!$B$7:$H$12,2,0)/($E69*'Saisie de données'!$F$60/12),VLOOKUP(R$29,'Infos Techniques'!$B$7:$H$12,5,0)/($E69*'Saisie de données'!$F$60/12))*VLOOKUP('Saisie de données'!$F$38,'Menu déroulant'!$AA$22:$AD$24,4,0)</f>
        <v>#N/A</v>
      </c>
      <c r="S69" s="326" t="e">
        <f>IF('Saisie de données'!$C$60='Menu déroulant'!$AA$31,VLOOKUP(S$29,'Infos Techniques'!$B$7:$H$12,2,0)/($E69*'Saisie de données'!$F$60/12),VLOOKUP(S$29,'Infos Techniques'!$B$7:$H$12,5,0)/($E69*'Saisie de données'!$F$60/12))*VLOOKUP('Saisie de données'!$F$38,'Menu déroulant'!$AA$22:$AD$24,4,0)</f>
        <v>#N/A</v>
      </c>
      <c r="T69" s="326" t="e">
        <f>IF('Saisie de données'!$C$60='Menu déroulant'!$AA$31,VLOOKUP(T$29,'Infos Techniques'!$B$7:$H$12,2,0)/($E69*'Saisie de données'!$F$60/12),VLOOKUP(T$29,'Infos Techniques'!$B$7:$H$12,5,0)/($E69*'Saisie de données'!$F$60/12))*VLOOKUP('Saisie de données'!$F$38,'Menu déroulant'!$AA$22:$AD$24,4,0)</f>
        <v>#N/A</v>
      </c>
      <c r="U69" s="326" t="e">
        <f>IF('Saisie de données'!$C$60='Menu déroulant'!$AA$31,VLOOKUP(U$29,'Infos Techniques'!$B$7:$H$12,2,0)/($E69*'Saisie de données'!$F$60/12),VLOOKUP(U$29,'Infos Techniques'!$B$7:$H$12,5,0)/($E69*'Saisie de données'!$F$60/12))*VLOOKUP('Saisie de données'!$F$38,'Menu déroulant'!$AA$22:$AD$24,4,0)</f>
        <v>#N/A</v>
      </c>
      <c r="V69" s="326" t="e">
        <f>IF('Saisie de données'!$C$60='Menu déroulant'!$AA$31,VLOOKUP(V$29,'Infos Techniques'!$B$7:$H$12,4,0)/($E69*'Saisie de données'!$F$60/12),VLOOKUP(V$29,'Infos Techniques'!$B$7:$H$12,7,0)/($E69*'Saisie de données'!$F$60/12))*VLOOKUP('Saisie de données'!$F$38,'Menu déroulant'!$AA$22:$AD$24,4,0)</f>
        <v>#N/A</v>
      </c>
      <c r="W69" s="326" t="e">
        <f>IF('Saisie de données'!$C$60='Menu déroulant'!$AA$31,VLOOKUP(W$29,'Infos Techniques'!$B$7:$H$12,4,0)/($E69*'Saisie de données'!$F$60/12),VLOOKUP(W$29,'Infos Techniques'!$B$7:$H$12,7,0)/($E69*'Saisie de données'!$F$60/12))*VLOOKUP('Saisie de données'!$F$38,'Menu déroulant'!$AA$22:$AD$24,4,0)</f>
        <v>#N/A</v>
      </c>
      <c r="X69" s="326" t="e">
        <f>IF('Saisie de données'!$C$60='Menu déroulant'!$AA$31,VLOOKUP(X$29,'Infos Techniques'!$B$7:$H$12,4,0)/($E69*'Saisie de données'!$F$60/12),VLOOKUP(X$29,'Infos Techniques'!$B$7:$H$12,7,0)/($E69*'Saisie de données'!$F$60/12))*VLOOKUP('Saisie de données'!$F$38,'Menu déroulant'!$AA$22:$AD$24,4,0)</f>
        <v>#N/A</v>
      </c>
      <c r="Y69" s="326" t="e">
        <f>IF('Saisie de données'!$C$60='Menu déroulant'!$AA$31,VLOOKUP(Y$29,'Infos Techniques'!$B$7:$H$12,4,0)/($E69*'Saisie de données'!$F$60/12),VLOOKUP(Y$29,'Infos Techniques'!$B$7:$H$12,7,0)/($E69*'Saisie de données'!$F$60/12))*VLOOKUP('Saisie de données'!$F$38,'Menu déroulant'!$AA$22:$AD$24,4,0)</f>
        <v>#N/A</v>
      </c>
      <c r="Z69" s="417" t="e">
        <f>IF('Saisie de données'!$C$60='Menu déroulant'!$AA$31,VLOOKUP(Z$29,'Infos Techniques'!$B$7:$H$12,4,0)/($E69*'Saisie de données'!$F$60/12),VLOOKUP(Z$29,'Infos Techniques'!$B$7:$H$12,7,0)/($E69*'Saisie de données'!$F$60/12))*VLOOKUP('Saisie de données'!$F$38,'Menu déroulant'!$AA$22:$AD$24,4,0)</f>
        <v>#N/A</v>
      </c>
    </row>
    <row r="70" spans="2:26">
      <c r="B70" s="1568"/>
      <c r="C70" s="1572" t="s">
        <v>111</v>
      </c>
      <c r="D70" s="28" t="s">
        <v>346</v>
      </c>
      <c r="E70" s="43"/>
      <c r="F70" s="415" t="e" cm="1">
        <f t="array" aca="1" ref="F70" ca="1">VLOOKUP(MAX(IF(INDIRECT("Norex2_"&amp;'Saisie de données'!$H$60&amp;"_"&amp;'Saisie de données'!$I$60&amp;"_S")&lt;='Synthèse résultat'!$E70,INDIRECT("Norex2_"&amp;'Saisie de données'!$H$60&amp;"_"&amp;'Saisie de données'!$I$60&amp;"_S"))),'Courbe Déflexion'!O$5:$X$285,10,0)*0.3798*VLOOKUP('Saisie de données'!$F$38,'Menu déroulant'!$AA$22:$AD$24,4,0)</f>
        <v>#N/A</v>
      </c>
      <c r="G70" s="415" t="e" cm="1">
        <f t="array" aca="1" ref="G70" ca="1">VLOOKUP(MAX(IF(INDIRECT("Norex3_"&amp;'Saisie de données'!$H$60&amp;"_"&amp;'Saisie de données'!$I$60&amp;"_S")&lt;='Synthèse résultat'!$E70,INDIRECT("Norex3_"&amp;'Saisie de données'!$H$60&amp;"_"&amp;'Saisie de données'!$I$60&amp;"_S"))),'Courbe Déflexion'!Z$5:$AI$285,10,0)*0.3798*VLOOKUP('Saisie de données'!$F$38,'Menu déroulant'!$AA$22:$AD$24,4,0)</f>
        <v>#N/A</v>
      </c>
      <c r="H70" s="415" t="e" cm="1">
        <f t="array" aca="1" ref="H70" ca="1">VLOOKUP(MAX(IF(INDIRECT("Norex4_"&amp;'Saisie de données'!$H$60&amp;"_"&amp;'Saisie de données'!$I$60&amp;"_S")&lt;='Synthèse résultat'!$E70,INDIRECT("Norex4_"&amp;'Saisie de données'!$H$60&amp;"_"&amp;'Saisie de données'!$I$60&amp;"_S"))),'Courbe Déflexion'!$AK$5:$AT$306,10,0)*0.3798*VLOOKUP('Saisie de données'!$F$38,'Menu déroulant'!$AA$22:$AD$24,4,0)</f>
        <v>#N/A</v>
      </c>
      <c r="I70" s="415" t="e" cm="1">
        <f t="array" aca="1" ref="I70" ca="1">VLOOKUP(MAX(IF(INDIRECT("Norex5_"&amp;'Saisie de données'!$H$60&amp;"_"&amp;'Saisie de données'!$I$60&amp;"_S")&lt;='Synthèse résultat'!$E70,INDIRECT("Norex5_"&amp;'Saisie de données'!$H$60&amp;"_"&amp;'Saisie de données'!$I$60&amp;"_S"))),'Courbe Déflexion'!$AV$5:$BE$306,10,0)*0.3798*VLOOKUP('Saisie de données'!$F$38,'Menu déroulant'!$AA$22:$AD$24,4,0)</f>
        <v>#N/A</v>
      </c>
      <c r="J70" s="415" t="e" cm="1">
        <f t="array" aca="1" ref="J70" ca="1">VLOOKUP(MAX(IF(INDIRECT("Norex6_"&amp;'Saisie de données'!$H$60&amp;"_"&amp;'Saisie de données'!$I$60&amp;"_S")&lt;='Synthèse résultat'!$E70,INDIRECT("Norex6_"&amp;'Saisie de données'!$H$60&amp;"_"&amp;'Saisie de données'!$I$60&amp;"_S"))),'Courbe Déflexion'!$BG$5:$BP$306,10,0)*0.3798*VLOOKUP('Saisie de données'!$F$38,'Menu déroulant'!$AA$22:$AD$24,4,0)</f>
        <v>#N/A</v>
      </c>
      <c r="K70" s="415" t="e" cm="1">
        <f t="array" aca="1" ref="K70" ca="1">VLOOKUP(MAX(IF(INDIRECT("Norex8_"&amp;'Saisie de données'!$H$60&amp;"_"&amp;'Saisie de données'!$I$60&amp;"_S")&lt;='Synthèse résultat'!$E70,INDIRECT("Norex8_"&amp;'Saisie de données'!$H$60&amp;"_"&amp;'Saisie de données'!$I$60&amp;"_S"))),'Courbe Déflexion'!$BR$5:$CA$306,10,0)*0.3798*VLOOKUP('Saisie de données'!$F$38,'Menu déroulant'!$AA$22:$AD$24,4,0)</f>
        <v>#N/A</v>
      </c>
      <c r="L70" s="415" t="e" cm="1">
        <f t="array" aca="1" ref="L70" ca="1">VLOOKUP(MAX(IF(INDIRECT("Noroc4_"&amp;'Saisie de données'!$H$60&amp;"_"&amp;'Saisie de données'!$I$60&amp;"_S")&lt;='Synthèse résultat'!$E70,INDIRECT("Noroc4_"&amp;'Saisie de données'!$H$60&amp;"_"&amp;'Saisie de données'!$I$60&amp;"_S"))),'Courbe Déflexion'!$CC$5:$CL$306,10,0)*0.3798*VLOOKUP('Saisie de données'!$F$38,'Menu déroulant'!$AA$22:$AD$24,4,0)</f>
        <v>#N/A</v>
      </c>
      <c r="M70" s="415" t="e" cm="1">
        <f t="array" aca="1" ref="M70" ca="1">VLOOKUP(MAX(IF(INDIRECT("Noroc5_"&amp;'Saisie de données'!$H$60&amp;"_"&amp;'Saisie de données'!$I$60&amp;"_S")&lt;='Synthèse résultat'!$E70,INDIRECT("Noroc5_"&amp;'Saisie de données'!$H$60&amp;"_"&amp;'Saisie de données'!$I$60&amp;"_S"))),'Courbe Déflexion'!$CN$5:$CW$306,10,0)*0.3798*VLOOKUP('Saisie de données'!$F$38,'Menu déroulant'!$AA$22:$AD$24,4,0)</f>
        <v>#N/A</v>
      </c>
      <c r="N70" s="415" t="e" cm="1">
        <f t="array" aca="1" ref="N70" ca="1">VLOOKUP(MAX(IF(INDIRECT("Noroc6_"&amp;'Saisie de données'!$H$60&amp;"_"&amp;'Saisie de données'!$I$60&amp;"_S")&lt;='Synthèse résultat'!$E70,INDIRECT("Noroc6_"&amp;'Saisie de données'!$H$60&amp;"_"&amp;'Saisie de données'!$I$60&amp;"_S"))),'Courbe Déflexion'!$CY$5:$DH$306,10,0)*0.3798*VLOOKUP('Saisie de données'!$F$38,'Menu déroulant'!$AA$22:$AD$24,4,0)</f>
        <v>#N/A</v>
      </c>
      <c r="O70" s="415" t="e" cm="1">
        <f t="array" ref="O70">VLOOKUP(MAX(IF('Courbe Déflexion'!DJ$5:DJ$285&lt;=$E70,'Courbe Déflexion'!DJ$5:DJ$285)),'Courbe Déflexion'!DJ$5:$DS$285,10,0)*0.3798*VLOOKUP('Saisie de données'!$F$38,'Menu déroulant'!$AA$22:$AD$24,4,0)</f>
        <v>#N/A</v>
      </c>
      <c r="P70" s="416" t="e" cm="1">
        <f t="array" ref="P70">VLOOKUP(MAX(IF('Courbe Déflexion'!DK$5:DK$285&lt;=$E70,'Courbe Déflexion'!DK$5:DK$285)),'Courbe Déflexion'!DK$5:$DS$285,10,0)*0.3798*VLOOKUP('Saisie de données'!$F$38,'Menu déroulant'!$AA$22:$AD$24,4,0)</f>
        <v>#N/A</v>
      </c>
      <c r="Q70" s="326" t="e">
        <f>IF('Saisie de données'!$C$60='Menu déroulant'!$AA$31,VLOOKUP(Q$29,'Infos Techniques'!$B$7:$H$12,2,0)/($E70*'Saisie de données'!$F$60/12),VLOOKUP(Q$29,'Infos Techniques'!$B$7:$H$12,5,0)/($E70*'Saisie de données'!$F$60/12))*VLOOKUP('Saisie de données'!$F$38,'Menu déroulant'!$AA$22:$AD$24,4,0)</f>
        <v>#DIV/0!</v>
      </c>
      <c r="R70" s="326" t="e">
        <f>IF('Saisie de données'!$C$60='Menu déroulant'!$AA$31,VLOOKUP(R$29,'Infos Techniques'!$B$7:$H$12,2,0)/($E70*'Saisie de données'!$F$60/12),VLOOKUP(R$29,'Infos Techniques'!$B$7:$H$12,5,0)/($E70*'Saisie de données'!$F$60/12))*VLOOKUP('Saisie de données'!$F$38,'Menu déroulant'!$AA$22:$AD$24,4,0)</f>
        <v>#DIV/0!</v>
      </c>
      <c r="S70" s="326" t="e">
        <f>IF('Saisie de données'!$C$60='Menu déroulant'!$AA$31,VLOOKUP(S$29,'Infos Techniques'!$B$7:$H$12,2,0)/($E70*'Saisie de données'!$F$60/12),VLOOKUP(S$29,'Infos Techniques'!$B$7:$H$12,5,0)/($E70*'Saisie de données'!$F$60/12))*VLOOKUP('Saisie de données'!$F$38,'Menu déroulant'!$AA$22:$AD$24,4,0)</f>
        <v>#DIV/0!</v>
      </c>
      <c r="T70" s="326" t="e">
        <f>IF('Saisie de données'!$C$60='Menu déroulant'!$AA$31,VLOOKUP(T$29,'Infos Techniques'!$B$7:$H$12,2,0)/($E70*'Saisie de données'!$F$60/12),VLOOKUP(T$29,'Infos Techniques'!$B$7:$H$12,5,0)/($E70*'Saisie de données'!$F$60/12))*VLOOKUP('Saisie de données'!$F$38,'Menu déroulant'!$AA$22:$AD$24,4,0)</f>
        <v>#DIV/0!</v>
      </c>
      <c r="U70" s="326" t="e">
        <f>IF('Saisie de données'!$C$60='Menu déroulant'!$AA$31,VLOOKUP(U$29,'Infos Techniques'!$B$7:$H$12,2,0)/($E70*'Saisie de données'!$F$60/12),VLOOKUP(U$29,'Infos Techniques'!$B$7:$H$12,5,0)/($E70*'Saisie de données'!$F$60/12))*VLOOKUP('Saisie de données'!$F$38,'Menu déroulant'!$AA$22:$AD$24,4,0)</f>
        <v>#DIV/0!</v>
      </c>
      <c r="V70" s="326" t="e">
        <f>IF('Saisie de données'!$C$60='Menu déroulant'!$AA$31,VLOOKUP(V$29,'Infos Techniques'!$B$7:$H$12,4,0)/($E70*'Saisie de données'!$F$60/12),VLOOKUP(V$29,'Infos Techniques'!$B$7:$H$12,7,0)/($E70*'Saisie de données'!$F$60/12))*VLOOKUP('Saisie de données'!$F$38,'Menu déroulant'!$AA$22:$AD$24,4,0)</f>
        <v>#DIV/0!</v>
      </c>
      <c r="W70" s="326" t="e">
        <f>IF('Saisie de données'!$C$60='Menu déroulant'!$AA$31,VLOOKUP(W$29,'Infos Techniques'!$B$7:$H$12,4,0)/($E70*'Saisie de données'!$F$60/12),VLOOKUP(W$29,'Infos Techniques'!$B$7:$H$12,7,0)/($E70*'Saisie de données'!$F$60/12))*VLOOKUP('Saisie de données'!$F$38,'Menu déroulant'!$AA$22:$AD$24,4,0)</f>
        <v>#DIV/0!</v>
      </c>
      <c r="X70" s="326" t="e">
        <f>IF('Saisie de données'!$C$60='Menu déroulant'!$AA$31,VLOOKUP(X$29,'Infos Techniques'!$B$7:$H$12,4,0)/($E70*'Saisie de données'!$F$60/12),VLOOKUP(X$29,'Infos Techniques'!$B$7:$H$12,7,0)/($E70*'Saisie de données'!$F$60/12))*VLOOKUP('Saisie de données'!$F$38,'Menu déroulant'!$AA$22:$AD$24,4,0)</f>
        <v>#DIV/0!</v>
      </c>
      <c r="Y70" s="326" t="e">
        <f>IF('Saisie de données'!$C$60='Menu déroulant'!$AA$31,VLOOKUP(Y$29,'Infos Techniques'!$B$7:$H$12,4,0)/($E70*'Saisie de données'!$F$60/12),VLOOKUP(Y$29,'Infos Techniques'!$B$7:$H$12,7,0)/($E70*'Saisie de données'!$F$60/12))*VLOOKUP('Saisie de données'!$F$38,'Menu déroulant'!$AA$22:$AD$24,4,0)</f>
        <v>#DIV/0!</v>
      </c>
      <c r="Z70" s="417" t="e">
        <f>IF('Saisie de données'!$C$60='Menu déroulant'!$AA$31,VLOOKUP(Z$29,'Infos Techniques'!$B$7:$H$12,4,0)/($E70*'Saisie de données'!$F$60/12),VLOOKUP(Z$29,'Infos Techniques'!$B$7:$H$12,7,0)/($E70*'Saisie de données'!$F$60/12))*VLOOKUP('Saisie de données'!$F$38,'Menu déroulant'!$AA$22:$AD$24,4,0)</f>
        <v>#DIV/0!</v>
      </c>
    </row>
    <row r="71" spans="2:26" ht="15" thickBot="1">
      <c r="B71" s="1569"/>
      <c r="C71" s="1573"/>
      <c r="D71" s="50" t="s">
        <v>347</v>
      </c>
      <c r="E71" s="60"/>
      <c r="F71" s="415" t="e" cm="1">
        <f t="array" aca="1" ref="F71" ca="1">VLOOKUP(MAX(IF(INDIRECT("Norex2_"&amp;'Saisie de données'!$H$60&amp;"_"&amp;'Saisie de données'!$I$60&amp;"_S")&lt;='Synthèse résultat'!$E71,INDIRECT("Norex2_"&amp;'Saisie de données'!$H$60&amp;"_"&amp;'Saisie de données'!$I$60&amp;"_S"))),'Courbe Déflexion'!O$5:$X$285,10,0)*0.3798*VLOOKUP('Saisie de données'!$F$38,'Menu déroulant'!$AA$22:$AD$24,4,0)</f>
        <v>#N/A</v>
      </c>
      <c r="G71" s="415" t="e" cm="1">
        <f t="array" aca="1" ref="G71" ca="1">VLOOKUP(MAX(IF(INDIRECT("Norex3_"&amp;'Saisie de données'!$H$60&amp;"_"&amp;'Saisie de données'!$I$60&amp;"_S")&lt;='Synthèse résultat'!$E71,INDIRECT("Norex3_"&amp;'Saisie de données'!$H$60&amp;"_"&amp;'Saisie de données'!$I$60&amp;"_S"))),'Courbe Déflexion'!Z$5:$AI$285,10,0)*0.3798*VLOOKUP('Saisie de données'!$F$38,'Menu déroulant'!$AA$22:$AD$24,4,0)</f>
        <v>#N/A</v>
      </c>
      <c r="H71" s="415" t="e" cm="1">
        <f t="array" aca="1" ref="H71" ca="1">VLOOKUP(MAX(IF(INDIRECT("Norex4_"&amp;'Saisie de données'!$H$60&amp;"_"&amp;'Saisie de données'!$I$60&amp;"_S")&lt;='Synthèse résultat'!$E71,INDIRECT("Norex4_"&amp;'Saisie de données'!$H$60&amp;"_"&amp;'Saisie de données'!$I$60&amp;"_S"))),'Courbe Déflexion'!$AK$5:$AT$306,10,0)*0.3798*VLOOKUP('Saisie de données'!$F$38,'Menu déroulant'!$AA$22:$AD$24,4,0)</f>
        <v>#N/A</v>
      </c>
      <c r="I71" s="415" t="e" cm="1">
        <f t="array" aca="1" ref="I71" ca="1">VLOOKUP(MAX(IF(INDIRECT("Norex5_"&amp;'Saisie de données'!$H$60&amp;"_"&amp;'Saisie de données'!$I$60&amp;"_S")&lt;='Synthèse résultat'!$E71,INDIRECT("Norex5_"&amp;'Saisie de données'!$H$60&amp;"_"&amp;'Saisie de données'!$I$60&amp;"_S"))),'Courbe Déflexion'!$AV$5:$BE$306,10,0)*0.3798*VLOOKUP('Saisie de données'!$F$38,'Menu déroulant'!$AA$22:$AD$24,4,0)</f>
        <v>#N/A</v>
      </c>
      <c r="J71" s="415" t="e" cm="1">
        <f t="array" aca="1" ref="J71" ca="1">VLOOKUP(MAX(IF(INDIRECT("Norex6_"&amp;'Saisie de données'!$H$60&amp;"_"&amp;'Saisie de données'!$I$60&amp;"_S")&lt;='Synthèse résultat'!$E71,INDIRECT("Norex6_"&amp;'Saisie de données'!$H$60&amp;"_"&amp;'Saisie de données'!$I$60&amp;"_S"))),'Courbe Déflexion'!$BG$5:$BP$306,10,0)*0.3798*VLOOKUP('Saisie de données'!$F$38,'Menu déroulant'!$AA$22:$AD$24,4,0)</f>
        <v>#N/A</v>
      </c>
      <c r="K71" s="415" t="e" cm="1">
        <f t="array" aca="1" ref="K71" ca="1">VLOOKUP(MAX(IF(INDIRECT("Norex8_"&amp;'Saisie de données'!$H$60&amp;"_"&amp;'Saisie de données'!$I$60&amp;"_S")&lt;='Synthèse résultat'!$E71,INDIRECT("Norex8_"&amp;'Saisie de données'!$H$60&amp;"_"&amp;'Saisie de données'!$I$60&amp;"_S"))),'Courbe Déflexion'!$BR$5:$CA$306,10,0)*0.3798*VLOOKUP('Saisie de données'!$F$38,'Menu déroulant'!$AA$22:$AD$24,4,0)</f>
        <v>#N/A</v>
      </c>
      <c r="L71" s="415" t="e" cm="1">
        <f t="array" aca="1" ref="L71" ca="1">VLOOKUP(MAX(IF(INDIRECT("Noroc4_"&amp;'Saisie de données'!$H$60&amp;"_"&amp;'Saisie de données'!$I$60&amp;"_S")&lt;='Synthèse résultat'!$E71,INDIRECT("Noroc4_"&amp;'Saisie de données'!$H$60&amp;"_"&amp;'Saisie de données'!$I$60&amp;"_S"))),'Courbe Déflexion'!$CC$5:$CL$306,10,0)*0.3798*VLOOKUP('Saisie de données'!$F$38,'Menu déroulant'!$AA$22:$AD$24,4,0)</f>
        <v>#N/A</v>
      </c>
      <c r="M71" s="415" t="e" cm="1">
        <f t="array" aca="1" ref="M71" ca="1">VLOOKUP(MAX(IF(INDIRECT("Noroc5_"&amp;'Saisie de données'!$H$60&amp;"_"&amp;'Saisie de données'!$I$60&amp;"_S")&lt;='Synthèse résultat'!$E71,INDIRECT("Noroc5_"&amp;'Saisie de données'!$H$60&amp;"_"&amp;'Saisie de données'!$I$60&amp;"_S"))),'Courbe Déflexion'!$CN$5:$CW$306,10,0)*0.3798*VLOOKUP('Saisie de données'!$F$38,'Menu déroulant'!$AA$22:$AD$24,4,0)</f>
        <v>#N/A</v>
      </c>
      <c r="N71" s="415" t="e" cm="1">
        <f t="array" aca="1" ref="N71" ca="1">VLOOKUP(MAX(IF(INDIRECT("Noroc6_"&amp;'Saisie de données'!$H$60&amp;"_"&amp;'Saisie de données'!$I$60&amp;"_S")&lt;='Synthèse résultat'!$E71,INDIRECT("Noroc6_"&amp;'Saisie de données'!$H$60&amp;"_"&amp;'Saisie de données'!$I$60&amp;"_S"))),'Courbe Déflexion'!$CY$5:$DH$306,10,0)*0.3798*VLOOKUP('Saisie de données'!$F$38,'Menu déroulant'!$AA$22:$AD$24,4,0)</f>
        <v>#N/A</v>
      </c>
      <c r="O71" s="453" t="e" cm="1">
        <f t="array" ref="O71">VLOOKUP(MAX(IF('Courbe Déflexion'!DJ$5:DJ$285&lt;=$E71,'Courbe Déflexion'!DJ$5:DJ$285)),'Courbe Déflexion'!DJ$5:$DS$285,10,0)*0.3798*VLOOKUP('Saisie de données'!$F$38,'Menu déroulant'!$AA$22:$AD$24,4,0)</f>
        <v>#N/A</v>
      </c>
      <c r="P71" s="701" t="e" cm="1">
        <f t="array" ref="P71">VLOOKUP(MAX(IF('Courbe Déflexion'!DK$5:DK$285&lt;=$E71,'Courbe Déflexion'!DK$5:DK$285)),'Courbe Déflexion'!DK$5:$DS$285,10,0)*0.3798*VLOOKUP('Saisie de données'!$F$38,'Menu déroulant'!$AA$22:$AD$24,4,0)</f>
        <v>#N/A</v>
      </c>
      <c r="Q71" s="419" t="e">
        <f>IF('Saisie de données'!$C$60='Menu déroulant'!$AA$31,VLOOKUP(Q$29,'Infos Techniques'!$B$7:$H$12,2,0)/($E71*'Saisie de données'!$F$60/12),VLOOKUP(Q$29,'Infos Techniques'!$B$7:$H$12,5,0)/($E71*'Saisie de données'!$F$60/12))*VLOOKUP('Saisie de données'!$F$38,'Menu déroulant'!$AA$22:$AD$24,4,0)</f>
        <v>#DIV/0!</v>
      </c>
      <c r="R71" s="419" t="e">
        <f>IF('Saisie de données'!$C$60='Menu déroulant'!$AA$31,VLOOKUP(R$29,'Infos Techniques'!$B$7:$H$12,2,0)/($E71*'Saisie de données'!$F$60/12),VLOOKUP(R$29,'Infos Techniques'!$B$7:$H$12,5,0)/($E71*'Saisie de données'!$F$60/12))*VLOOKUP('Saisie de données'!$F$38,'Menu déroulant'!$AA$22:$AD$24,4,0)</f>
        <v>#DIV/0!</v>
      </c>
      <c r="S71" s="419" t="e">
        <f>IF('Saisie de données'!$C$60='Menu déroulant'!$AA$31,VLOOKUP(S$29,'Infos Techniques'!$B$7:$H$12,2,0)/($E71*'Saisie de données'!$F$60/12),VLOOKUP(S$29,'Infos Techniques'!$B$7:$H$12,5,0)/($E71*'Saisie de données'!$F$60/12))*VLOOKUP('Saisie de données'!$F$38,'Menu déroulant'!$AA$22:$AD$24,4,0)</f>
        <v>#DIV/0!</v>
      </c>
      <c r="T71" s="419" t="e">
        <f>IF('Saisie de données'!$C$60='Menu déroulant'!$AA$31,VLOOKUP(T$29,'Infos Techniques'!$B$7:$H$12,2,0)/($E71*'Saisie de données'!$F$60/12),VLOOKUP(T$29,'Infos Techniques'!$B$7:$H$12,5,0)/($E71*'Saisie de données'!$F$60/12))*VLOOKUP('Saisie de données'!$F$38,'Menu déroulant'!$AA$22:$AD$24,4,0)</f>
        <v>#DIV/0!</v>
      </c>
      <c r="U71" s="419" t="e">
        <f>IF('Saisie de données'!$C$60='Menu déroulant'!$AA$31,VLOOKUP(U$29,'Infos Techniques'!$B$7:$H$12,2,0)/($E71*'Saisie de données'!$F$60/12),VLOOKUP(U$29,'Infos Techniques'!$B$7:$H$12,5,0)/($E71*'Saisie de données'!$F$60/12))*VLOOKUP('Saisie de données'!$F$38,'Menu déroulant'!$AA$22:$AD$24,4,0)</f>
        <v>#DIV/0!</v>
      </c>
      <c r="V71" s="419" t="e">
        <f>IF('Saisie de données'!$C$60='Menu déroulant'!$AA$31,VLOOKUP(V$29,'Infos Techniques'!$B$7:$H$12,4,0)/($E71*'Saisie de données'!$F$60/12),VLOOKUP(V$29,'Infos Techniques'!$B$7:$H$12,7,0)/($E71*'Saisie de données'!$F$60/12))*VLOOKUP('Saisie de données'!$F$38,'Menu déroulant'!$AA$22:$AD$24,4,0)</f>
        <v>#DIV/0!</v>
      </c>
      <c r="W71" s="419" t="e">
        <f>IF('Saisie de données'!$C$60='Menu déroulant'!$AA$31,VLOOKUP(W$29,'Infos Techniques'!$B$7:$H$12,4,0)/($E71*'Saisie de données'!$F$60/12),VLOOKUP(W$29,'Infos Techniques'!$B$7:$H$12,7,0)/($E71*'Saisie de données'!$F$60/12))*VLOOKUP('Saisie de données'!$F$38,'Menu déroulant'!$AA$22:$AD$24,4,0)</f>
        <v>#DIV/0!</v>
      </c>
      <c r="X71" s="419" t="e">
        <f>IF('Saisie de données'!$C$60='Menu déroulant'!$AA$31,VLOOKUP(X$29,'Infos Techniques'!$B$7:$H$12,4,0)/($E71*'Saisie de données'!$F$60/12),VLOOKUP(X$29,'Infos Techniques'!$B$7:$H$12,7,0)/($E71*'Saisie de données'!$F$60/12))*VLOOKUP('Saisie de données'!$F$38,'Menu déroulant'!$AA$22:$AD$24,4,0)</f>
        <v>#DIV/0!</v>
      </c>
      <c r="Y71" s="419" t="e">
        <f>IF('Saisie de données'!$C$60='Menu déroulant'!$AA$31,VLOOKUP(Y$29,'Infos Techniques'!$B$7:$H$12,4,0)/($E71*'Saisie de données'!$F$60/12),VLOOKUP(Y$29,'Infos Techniques'!$B$7:$H$12,7,0)/($E71*'Saisie de données'!$F$60/12))*VLOOKUP('Saisie de données'!$F$38,'Menu déroulant'!$AA$22:$AD$24,4,0)</f>
        <v>#DIV/0!</v>
      </c>
      <c r="Z71" s="420" t="e">
        <f>IF('Saisie de données'!$C$60='Menu déroulant'!$AA$31,VLOOKUP(Z$29,'Infos Techniques'!$B$7:$H$12,4,0)/($E71*'Saisie de données'!$F$60/12),VLOOKUP(Z$29,'Infos Techniques'!$B$7:$H$12,7,0)/($E71*'Saisie de données'!$F$60/12))*VLOOKUP('Saisie de données'!$F$38,'Menu déroulant'!$AA$22:$AD$24,4,0)</f>
        <v>#DIV/0!</v>
      </c>
    </row>
    <row r="72" spans="2:26">
      <c r="B72" s="1567" t="s">
        <v>54</v>
      </c>
      <c r="C72" s="1570" t="s">
        <v>338</v>
      </c>
      <c r="D72" s="241" t="s">
        <v>346</v>
      </c>
      <c r="E72" s="59" t="e">
        <f>IF(ISBLANK('Saisie de données'!$E$31),'Charges de ventFM'!D36,'Saisie de données'!$E$31)</f>
        <v>#N/A</v>
      </c>
      <c r="F72" s="411" t="e" cm="1">
        <f t="array" aca="1" ref="F72" ca="1">IF('Saisie de données'!$K$61='Menu déroulant'!$AA$34,VLOOKUP(MAX(IF(INDIRECT("Norex2_"&amp;'Saisie de données'!$H$61&amp;"_"&amp;'Saisie de données'!$I$61&amp;"_S")&lt;='Synthèse résultat'!$E72,INDIRECT("Norex2_"&amp;'Saisie de données'!$H$61&amp;"_"&amp;'Saisie de données'!$I$61&amp;"_S"))),'Courbe Déflexion'!O$5:$X$285,10,0)*VLOOKUP('Saisie de données'!$F$38,'Menu déroulant'!$AA$22:$AD$24,4,0),VLOOKUP(MAX(IF(INDIRECT("Norex2_"&amp;'Saisie de données'!$H$61&amp;"_"&amp;'Saisie de données'!$I$61&amp;"_M")&lt;='Synthèse résultat'!$E72,INDIRECT("Norex2_"&amp;'Saisie de données'!$H$61&amp;"_"&amp;'Saisie de données'!$I$61&amp;"_M"))),'Courbe Déflexion'!$DW$5:$EF$217,10,0)*VLOOKUP('Saisie de données'!$F$38,'Menu déroulant'!$AA$22:$AD$24,4,0))</f>
        <v>#N/A</v>
      </c>
      <c r="G72" s="411" t="e" cm="1">
        <f t="array" aca="1" ref="G72" ca="1">IF('Saisie de données'!$K$60='Menu déroulant'!$AA$34,VLOOKUP(MAX(IF(INDIRECT("Norex3_"&amp;'Saisie de données'!$H$61&amp;"_"&amp;'Saisie de données'!$I$61&amp;"_S")&lt;='Synthèse résultat'!$E72,INDIRECT("Norex3_"&amp;'Saisie de données'!$H$61&amp;"_"&amp;'Saisie de données'!$I$61&amp;"_S"))),'Courbe Déflexion'!$Z$5:$AI$329,10,0)*VLOOKUP('Saisie de données'!$F$38,'Menu déroulant'!$AA$22:$AD$24,4,0),VLOOKUP(MAX(IF(INDIRECT("Norex3_"&amp;'Saisie de données'!$H$61&amp;"_"&amp;'Saisie de données'!$I$61&amp;"_M")&lt;='Synthèse résultat'!$E72,INDIRECT("Norex3_"&amp;'Saisie de données'!$H$61&amp;"_"&amp;'Saisie de données'!$I$61&amp;"_M"))),'Courbe Déflexion'!$EH$5:$EQ$309,10,0)*VLOOKUP('Saisie de données'!$F$38,'Menu déroulant'!$AA$22:$AD$24,4,0))</f>
        <v>#N/A</v>
      </c>
      <c r="H72" s="411" t="e" cm="1">
        <f t="array" aca="1" ref="H72" ca="1">IF('Saisie de données'!$K$60='Menu déroulant'!$AA$34,VLOOKUP(MAX(IF(INDIRECT("Norex4_"&amp;'Saisie de données'!$H$61&amp;"_"&amp;'Saisie de données'!$I$61&amp;"_S")&lt;='Synthèse résultat'!$E72,INDIRECT("Norex4_"&amp;'Saisie de données'!$H$61&amp;"_"&amp;'Saisie de données'!$I$61&amp;"_S"))),'Courbe Déflexion'!$AK$5:$AT$306,10,0)*VLOOKUP('Saisie de données'!$F$38,'Menu déroulant'!$AA$22:$AD$24,4,0),VLOOKUP(MAX(IF(INDIRECT("Norex4_"&amp;'Saisie de données'!$H$61&amp;"_"&amp;'Saisie de données'!$I$61&amp;"_M")&lt;='Synthèse résultat'!$E72,INDIRECT("Norex4_"&amp;'Saisie de données'!$H$61&amp;"_"&amp;'Saisie de données'!$I$61&amp;"_M"))),'Courbe Déflexion'!$ES$5:$FB$285,10,0)*VLOOKUP('Saisie de données'!$F$38,'Menu déroulant'!$AA$22:$AD$24,4,0))</f>
        <v>#N/A</v>
      </c>
      <c r="I72" s="411" t="e" cm="1">
        <f t="array" aca="1" ref="I72" ca="1">IF('Saisie de données'!$K$60='Menu déroulant'!$AA$34,VLOOKUP(MAX(IF(INDIRECT("Norex5_"&amp;'Saisie de données'!$H$61&amp;"_"&amp;'Saisie de données'!$I$61&amp;"_S")&lt;='Synthèse résultat'!$E72,INDIRECT("Norex5_"&amp;'Saisie de données'!$H$61&amp;"_"&amp;'Saisie de données'!$I$61&amp;"_S"))),'Courbe Déflexion'!$AV$5:$BE$306,10,0)*VLOOKUP('Saisie de données'!$F$38,'Menu déroulant'!$AA$22:$AD$24,4,0),VLOOKUP(MAX(IF(INDIRECT("Norex5_"&amp;'Saisie de données'!$H$61&amp;"_"&amp;'Saisie de données'!$I$61&amp;"_M")&lt;='Synthèse résultat'!$E72,INDIRECT("Norex5_"&amp;'Saisie de données'!$H$61&amp;"_"&amp;'Saisie de données'!$I$61&amp;"_M"))),'Courbe Déflexion'!$FD$5:$FM$285,10,0)*VLOOKUP('Saisie de données'!$F$38,'Menu déroulant'!$AA$22:$AD$24,4,0))</f>
        <v>#N/A</v>
      </c>
      <c r="J72" s="411" t="e" cm="1">
        <f t="array" aca="1" ref="J72" ca="1">IF('Saisie de données'!$K$60='Menu déroulant'!$AA$34,VLOOKUP(MAX(IF(INDIRECT("Norex6_"&amp;'Saisie de données'!$H$61&amp;"_"&amp;'Saisie de données'!$I$61&amp;"_S")&lt;='Synthèse résultat'!$E72,INDIRECT("Norex6_"&amp;'Saisie de données'!$H$61&amp;"_"&amp;'Saisie de données'!$I$61&amp;"_S"))),'Courbe Déflexion'!$BG$5:$BP$306,10,0)*VLOOKUP('Saisie de données'!$F$38,'Menu déroulant'!$AA$22:$AD$24,4,0),VLOOKUP(MAX(IF(INDIRECT("Norex6_"&amp;'Saisie de données'!$H$61&amp;"_"&amp;'Saisie de données'!$I$61&amp;"_M")&lt;='Synthèse résultat'!$E72,INDIRECT("Norex6_"&amp;'Saisie de données'!$H$61&amp;"_"&amp;'Saisie de données'!$I$61&amp;"_M"))),'Courbe Déflexion'!$FO$5:$FX$286,10,0)*VLOOKUP('Saisie de données'!$F$38,'Menu déroulant'!$AA$22:$AD$24,4,0))</f>
        <v>#N/A</v>
      </c>
      <c r="K72" s="411" t="e" cm="1">
        <f t="array" aca="1" ref="K72" ca="1">IF('Saisie de données'!$K$60='Menu déroulant'!$AA$34,VLOOKUP(MAX(IF(INDIRECT("Norex8_"&amp;'Saisie de données'!$H$61&amp;"_"&amp;'Saisie de données'!$I$61&amp;"_S")&lt;='Synthèse résultat'!$E72,INDIRECT("Norex8_"&amp;'Saisie de données'!$H$61&amp;"_"&amp;'Saisie de données'!$I$61&amp;"_S"))),'Courbe Déflexion'!$BR$5:$CA$306,10,0)*VLOOKUP('Saisie de données'!$F$38,'Menu déroulant'!$AA$22:$AD$24,4,0),VLOOKUP(MAX(IF(INDIRECT("Norex8_"&amp;'Saisie de données'!$H$61&amp;"_"&amp;'Saisie de données'!$I$61&amp;"_M")&lt;='Synthèse résultat'!$E72,INDIRECT("Norex8_"&amp;'Saisie de données'!$H$61&amp;"_"&amp;'Saisie de données'!$I$61&amp;"_M"))),'Courbe Déflexion'!$FZ$5:$GI$286,10,0)*VLOOKUP('Saisie de données'!$F$38,'Menu déroulant'!$AA$22:$AD$24,4,0))</f>
        <v>#N/A</v>
      </c>
      <c r="L72" s="411" t="e" cm="1">
        <f t="array" aca="1" ref="L72" ca="1">IF('Saisie de données'!$K$60='Menu déroulant'!$AA$34,VLOOKUP(MAX(IF(INDIRECT("Noroc4_"&amp;'Saisie de données'!$H$61&amp;"_"&amp;'Saisie de données'!$I$61&amp;"_S")&lt;='Synthèse résultat'!$E72,INDIRECT("Noroc4_"&amp;'Saisie de données'!$H$61&amp;"_"&amp;'Saisie de données'!$I$61&amp;"_S"))),'Courbe Déflexion'!$CC$5:$CL$306,10,0)*VLOOKUP('Saisie de données'!$F$38,'Menu déroulant'!$AA$22:$AD$24,4,0),VLOOKUP(MAX(IF(INDIRECT("Noroc4_"&amp;'Saisie de données'!$H$61&amp;"_"&amp;'Saisie de données'!$I$61&amp;"_M")&lt;='Synthèse résultat'!$E72,INDIRECT("Noroc4_"&amp;'Saisie de données'!$H$61&amp;"_"&amp;'Saisie de données'!$I$61&amp;"_M"))),'Courbe Déflexion'!$GK$5:$GT$286,10,0)*VLOOKUP('Saisie de données'!$F$38,'Menu déroulant'!$AA$22:$AD$24,4,0))</f>
        <v>#N/A</v>
      </c>
      <c r="M72" s="411" t="e" cm="1">
        <f t="array" aca="1" ref="M72" ca="1">IF('Saisie de données'!$K$60='Menu déroulant'!$AA$34,VLOOKUP(MAX(IF(INDIRECT("Noroc5_"&amp;'Saisie de données'!$H$61&amp;"_"&amp;'Saisie de données'!$I$61&amp;"_S")&lt;='Synthèse résultat'!$E72,INDIRECT("Noroc5_"&amp;'Saisie de données'!$H$61&amp;"_"&amp;'Saisie de données'!$I$61&amp;"_S"))),'Courbe Déflexion'!$CN$5:$CW$306,10,0)*VLOOKUP('Saisie de données'!$F$38,'Menu déroulant'!$AA$22:$AD$24,4,0),VLOOKUP(MAX(IF(INDIRECT("Noroc5_"&amp;'Saisie de données'!$H$61&amp;"_"&amp;'Saisie de données'!$I$61&amp;"_M")&lt;='Synthèse résultat'!$E72,INDIRECT("Noroc5_"&amp;'Saisie de données'!$H$61&amp;"_"&amp;'Saisie de données'!$I$61&amp;"_M"))),'Courbe Déflexion'!$GV$5:$HE$286,10,0)*VLOOKUP('Saisie de données'!$F$38,'Menu déroulant'!$AA$22:$AD$24,4,0))</f>
        <v>#N/A</v>
      </c>
      <c r="N72" s="411" t="e" cm="1">
        <f t="array" aca="1" ref="N72" ca="1">IF('Saisie de données'!$K$60='Menu déroulant'!$AA$34,VLOOKUP(MAX(IF(INDIRECT("Noroc6_"&amp;'Saisie de données'!$H$61&amp;"_"&amp;'Saisie de données'!$I$61&amp;"_S")&lt;='Synthèse résultat'!$E72,INDIRECT("Noroc6_"&amp;'Saisie de données'!$H$61&amp;"_"&amp;'Saisie de données'!$I$61&amp;"_S"))),'Courbe Déflexion'!$CY$5:$DH$306,10,0)*VLOOKUP('Saisie de données'!$F$38,'Menu déroulant'!$AA$22:$AD$24,4,0),VLOOKUP(MAX(IF(INDIRECT("Noroc6_"&amp;'Saisie de données'!$H$61&amp;"_"&amp;'Saisie de données'!$I$61&amp;"_M")&lt;='Synthèse résultat'!$E72,INDIRECT("Noroc6_"&amp;'Saisie de données'!$H$61&amp;"_"&amp;'Saisie de données'!$I$61&amp;"_M"))),'Courbe Déflexion'!$HG$5:$HP$286,10,0)*VLOOKUP('Saisie de données'!$F$38,'Menu déroulant'!$AA$22:$AD$24,4,0))</f>
        <v>#N/A</v>
      </c>
      <c r="O72" s="411" t="e" cm="1">
        <f t="array" aca="1" ref="O72" ca="1">IF('Saisie de données'!$K$60='Menu déroulant'!$AA$34,VLOOKUP(MAX(IF(INDIRECT("Noroc8_"&amp;'Saisie de données'!$H$61&amp;"_"&amp;'Saisie de données'!$I$61&amp;"_S")&lt;='Synthèse résultat'!$E72,INDIRECT("Noroc8_"&amp;'Saisie de données'!$H$61&amp;"_"&amp;'Saisie de données'!$I$61&amp;"_S"))),'Courbe Déflexion'!$DJ$5:$DS$306,10,0)*VLOOKUP('Saisie de données'!$F$38,'Menu déroulant'!$AA$22:$AD$24,4,0),VLOOKUP(MAX(IF(INDIRECT("Noroc8_"&amp;'Saisie de données'!$H$61&amp;"_"&amp;'Saisie de données'!$I$61&amp;"_M")&lt;='Synthèse résultat'!$E72,INDIRECT("Noroc8_"&amp;'Saisie de données'!$H$61&amp;"_"&amp;'Saisie de données'!$I$61&amp;"_M"))),'Courbe Déflexion'!$HR$5:$IA$286,10,0)*VLOOKUP('Saisie de données'!$F$38,'Menu déroulant'!$AA$22:$AD$24,4,0))</f>
        <v>#N/A</v>
      </c>
      <c r="P72" s="412">
        <f>VLOOKUP('Saisie de données'!$J$61,'Infos Techniques'!$U$15:$AF$43,12,0)*VLOOKUP('Saisie de données'!$F$38,'Menu déroulant'!$AA$22:$AD$24,4,0)</f>
        <v>10</v>
      </c>
      <c r="Q72" s="413" t="e">
        <f>IF('Saisie de données'!$C$61='Menu déroulant'!$AA$31,VLOOKUP(Q$29,'Infos Techniques'!$B$7:$H$12,2,0)/($E72*'Saisie de données'!$F$61/12),VLOOKUP(Q$29,'Infos Techniques'!$B$7:$H$12,5,0)/($E72*'Saisie de données'!$F$61/12))*VLOOKUP('Saisie de données'!$F$38,'Menu déroulant'!$AA$22:$AD$24,4,0)</f>
        <v>#N/A</v>
      </c>
      <c r="R72" s="413" t="e">
        <f>IF('Saisie de données'!$C$61='Menu déroulant'!$AA$31,VLOOKUP(R$29,'Infos Techniques'!$B$7:$H$12,2,0)/($E72*'Saisie de données'!$F$61/12),VLOOKUP(R$29,'Infos Techniques'!$B$7:$H$12,5,0)/($E72*'Saisie de données'!$F$61/12))*VLOOKUP('Saisie de données'!$F$38,'Menu déroulant'!$AA$22:$AD$24,4,0)</f>
        <v>#N/A</v>
      </c>
      <c r="S72" s="413" t="e">
        <f>IF('Saisie de données'!$C$61='Menu déroulant'!$AA$31,VLOOKUP(S$29,'Infos Techniques'!$B$7:$H$12,2,0)/($E72*'Saisie de données'!$F$61/12),VLOOKUP(S$29,'Infos Techniques'!$B$7:$H$12,5,0)/($E72*'Saisie de données'!$F$61/12))*VLOOKUP('Saisie de données'!$F$38,'Menu déroulant'!$AA$22:$AD$24,4,0)</f>
        <v>#N/A</v>
      </c>
      <c r="T72" s="413" t="e">
        <f>IF('Saisie de données'!$C$61='Menu déroulant'!$AA$31,VLOOKUP(T$29,'Infos Techniques'!$B$7:$H$12,2,0)/($E72*'Saisie de données'!$F$61/12),VLOOKUP(T$29,'Infos Techniques'!$B$7:$H$12,5,0)/($E72*'Saisie de données'!$F$61/12))*VLOOKUP('Saisie de données'!$F$38,'Menu déroulant'!$AA$22:$AD$24,4,0)</f>
        <v>#N/A</v>
      </c>
      <c r="U72" s="413" t="e">
        <f>IF('Saisie de données'!$C$61='Menu déroulant'!$AA$31,VLOOKUP(U$29,'Infos Techniques'!$B$7:$H$12,2,0)/($E72*'Saisie de données'!$F$61/12),VLOOKUP(U$29,'Infos Techniques'!$B$7:$H$12,5,0)/($E72*'Saisie de données'!$F$61/12))*VLOOKUP('Saisie de données'!$F$38,'Menu déroulant'!$AA$22:$AD$24,4,0)</f>
        <v>#N/A</v>
      </c>
      <c r="V72" s="413" t="e">
        <f>IF('Saisie de données'!$C$61='Menu déroulant'!$AA$31,VLOOKUP(V$29,'Infos Techniques'!$B$7:$H$12,4,0)/($E72*'Saisie de données'!$F$61/12),VLOOKUP(V$29,'Infos Techniques'!$B$7:$H$12,7,0)/($E72*'Saisie de données'!$F$61/12))*VLOOKUP('Saisie de données'!$F$38,'Menu déroulant'!$AA$22:$AD$24,4,0)</f>
        <v>#N/A</v>
      </c>
      <c r="W72" s="413" t="e">
        <f>IF('Saisie de données'!$C$61='Menu déroulant'!$AA$31,VLOOKUP(W$29,'Infos Techniques'!$B$7:$H$12,4,0)/($E72*'Saisie de données'!$F$61/12),VLOOKUP(W$29,'Infos Techniques'!$B$7:$H$12,7,0)/($E72*'Saisie de données'!$F$61/12))*VLOOKUP('Saisie de données'!$F$38,'Menu déroulant'!$AA$22:$AD$24,4,0)</f>
        <v>#N/A</v>
      </c>
      <c r="X72" s="413" t="e">
        <f>IF('Saisie de données'!$C$61='Menu déroulant'!$AA$31,VLOOKUP(X$29,'Infos Techniques'!$B$7:$H$12,4,0)/($E72*'Saisie de données'!$F$61/12),VLOOKUP(X$29,'Infos Techniques'!$B$7:$H$12,7,0)/($E72*'Saisie de données'!$F$61/12))*VLOOKUP('Saisie de données'!$F$38,'Menu déroulant'!$AA$22:$AD$24,4,0)</f>
        <v>#N/A</v>
      </c>
      <c r="Y72" s="413" t="e">
        <f>IF('Saisie de données'!$C$61='Menu déroulant'!$AA$31,VLOOKUP(Y$29,'Infos Techniques'!$B$7:$H$12,4,0)/($E72*'Saisie de données'!$F$61/12),VLOOKUP(Y$29,'Infos Techniques'!$B$7:$H$12,7,0)/($E72*'Saisie de données'!$F$61/12))*VLOOKUP('Saisie de données'!$F$38,'Menu déroulant'!$AA$22:$AD$24,4,0)</f>
        <v>#N/A</v>
      </c>
      <c r="Z72" s="414" t="e">
        <f>IF('Saisie de données'!$C$61='Menu déroulant'!$AA$31,VLOOKUP(Z$29,'Infos Techniques'!$B$7:$H$12,4,0)/($E72*'Saisie de données'!$F$61/12),VLOOKUP(Z$29,'Infos Techniques'!$B$7:$H$12,7,0)/($E72*'Saisie de données'!$F$61/12))*VLOOKUP('Saisie de données'!$F$38,'Menu déroulant'!$AA$22:$AD$24,4,0)</f>
        <v>#N/A</v>
      </c>
    </row>
    <row r="73" spans="2:26">
      <c r="B73" s="1568"/>
      <c r="C73" s="1571"/>
      <c r="D73" s="28" t="s">
        <v>347</v>
      </c>
      <c r="E73" s="43" t="e">
        <f>IF(ISBLANK('Saisie de données'!$E$30),'Charges de ventFM'!E36,'Saisie de données'!$E$30)</f>
        <v>#N/A</v>
      </c>
      <c r="F73" s="415" t="e" cm="1">
        <f t="array" aca="1" ref="F73" ca="1">IF('Saisie de données'!$K$61='Menu déroulant'!$AA$34,VLOOKUP(MAX(IF(INDIRECT("Norex2_"&amp;'Saisie de données'!$H$61&amp;"_"&amp;'Saisie de données'!$I$61&amp;"_S")&lt;='Synthèse résultat'!$E73,INDIRECT("Norex2_"&amp;'Saisie de données'!$H$61&amp;"_"&amp;'Saisie de données'!$I$61&amp;"_S"))),'Courbe Déflexion'!O$5:$X$285,10,0)*VLOOKUP('Saisie de données'!$F$38,'Menu déroulant'!$AA$22:$AD$24,4,0),VLOOKUP(MAX(IF(INDIRECT("Norex2_"&amp;'Saisie de données'!$H$61&amp;"_"&amp;'Saisie de données'!$I$61&amp;"_M")&lt;='Synthèse résultat'!$E73,INDIRECT("Norex2_"&amp;'Saisie de données'!$H$61&amp;"_"&amp;'Saisie de données'!$I$61&amp;"_M"))),'Courbe Déflexion'!$DW$5:$EF$217,10,0)*VLOOKUP('Saisie de données'!$F$38,'Menu déroulant'!$AA$22:$AD$24,4,0))</f>
        <v>#N/A</v>
      </c>
      <c r="G73" s="415" t="e" cm="1">
        <f t="array" aca="1" ref="G73" ca="1">IF('Saisie de données'!$K$60='Menu déroulant'!$AA$34,VLOOKUP(MAX(IF(INDIRECT("Norex3_"&amp;'Saisie de données'!$H$61&amp;"_"&amp;'Saisie de données'!$I$61&amp;"_S")&lt;='Synthèse résultat'!$E73,INDIRECT("Norex3_"&amp;'Saisie de données'!$H$61&amp;"_"&amp;'Saisie de données'!$I$61&amp;"_S"))),'Courbe Déflexion'!$Z$5:$AI$329,10,0)*VLOOKUP('Saisie de données'!$F$38,'Menu déroulant'!$AA$22:$AD$24,4,0),VLOOKUP(MAX(IF(INDIRECT("Norex3_"&amp;'Saisie de données'!$H$61&amp;"_"&amp;'Saisie de données'!$I$61&amp;"_M")&lt;='Synthèse résultat'!$E73,INDIRECT("Norex3_"&amp;'Saisie de données'!$H$61&amp;"_"&amp;'Saisie de données'!$I$61&amp;"_M"))),'Courbe Déflexion'!$EH$5:$EQ$309,10,0)*VLOOKUP('Saisie de données'!$F$38,'Menu déroulant'!$AA$22:$AD$24,4,0))</f>
        <v>#N/A</v>
      </c>
      <c r="H73" s="415" t="e" cm="1">
        <f t="array" aca="1" ref="H73" ca="1">IF('Saisie de données'!$K$60='Menu déroulant'!$AA$34,VLOOKUP(MAX(IF(INDIRECT("Norex4_"&amp;'Saisie de données'!$H$61&amp;"_"&amp;'Saisie de données'!$I$61&amp;"_S")&lt;='Synthèse résultat'!$E73,INDIRECT("Norex4_"&amp;'Saisie de données'!$H$61&amp;"_"&amp;'Saisie de données'!$I$61&amp;"_S"))),'Courbe Déflexion'!$AK$5:$AT$306,10,0)*VLOOKUP('Saisie de données'!$F$38,'Menu déroulant'!$AA$22:$AD$24,4,0),VLOOKUP(MAX(IF(INDIRECT("Norex4_"&amp;'Saisie de données'!$H$61&amp;"_"&amp;'Saisie de données'!$I$61&amp;"_M")&lt;='Synthèse résultat'!$E73,INDIRECT("Norex4_"&amp;'Saisie de données'!$H$61&amp;"_"&amp;'Saisie de données'!$I$61&amp;"_M"))),'Courbe Déflexion'!$ES$5:$FB$285,10,0)*VLOOKUP('Saisie de données'!$F$38,'Menu déroulant'!$AA$22:$AD$24,4,0))</f>
        <v>#N/A</v>
      </c>
      <c r="I73" s="415" t="e" cm="1">
        <f t="array" aca="1" ref="I73" ca="1">IF('Saisie de données'!$K$60='Menu déroulant'!$AA$34,VLOOKUP(MAX(IF(INDIRECT("Norex5_"&amp;'Saisie de données'!$H$61&amp;"_"&amp;'Saisie de données'!$I$61&amp;"_S")&lt;='Synthèse résultat'!$E73,INDIRECT("Norex5_"&amp;'Saisie de données'!$H$61&amp;"_"&amp;'Saisie de données'!$I$61&amp;"_S"))),'Courbe Déflexion'!$AV$5:$BE$306,10,0)*VLOOKUP('Saisie de données'!$F$38,'Menu déroulant'!$AA$22:$AD$24,4,0),VLOOKUP(MAX(IF(INDIRECT("Norex5_"&amp;'Saisie de données'!$H$61&amp;"_"&amp;'Saisie de données'!$I$61&amp;"_M")&lt;='Synthèse résultat'!$E73,INDIRECT("Norex5_"&amp;'Saisie de données'!$H$61&amp;"_"&amp;'Saisie de données'!$I$61&amp;"_M"))),'Courbe Déflexion'!$FD$5:$FM$285,10,0)*VLOOKUP('Saisie de données'!$F$38,'Menu déroulant'!$AA$22:$AD$24,4,0))</f>
        <v>#N/A</v>
      </c>
      <c r="J73" s="415" t="e" cm="1">
        <f t="array" aca="1" ref="J73" ca="1">IF('Saisie de données'!$K$60='Menu déroulant'!$AA$34,VLOOKUP(MAX(IF(INDIRECT("Norex6_"&amp;'Saisie de données'!$H$61&amp;"_"&amp;'Saisie de données'!$I$61&amp;"_S")&lt;='Synthèse résultat'!$E73,INDIRECT("Norex6_"&amp;'Saisie de données'!$H$61&amp;"_"&amp;'Saisie de données'!$I$61&amp;"_S"))),'Courbe Déflexion'!$BG$5:$BP$306,10,0)*VLOOKUP('Saisie de données'!$F$38,'Menu déroulant'!$AA$22:$AD$24,4,0),VLOOKUP(MAX(IF(INDIRECT("Norex6_"&amp;'Saisie de données'!$H$61&amp;"_"&amp;'Saisie de données'!$I$61&amp;"_M")&lt;='Synthèse résultat'!$E73,INDIRECT("Norex6_"&amp;'Saisie de données'!$H$61&amp;"_"&amp;'Saisie de données'!$I$61&amp;"_M"))),'Courbe Déflexion'!$FO$5:$FX$286,10,0)*VLOOKUP('Saisie de données'!$F$38,'Menu déroulant'!$AA$22:$AD$24,4,0))</f>
        <v>#N/A</v>
      </c>
      <c r="K73" s="415" t="e" cm="1">
        <f t="array" aca="1" ref="K73" ca="1">IF('Saisie de données'!$K$60='Menu déroulant'!$AA$34,VLOOKUP(MAX(IF(INDIRECT("Norex8_"&amp;'Saisie de données'!$H$61&amp;"_"&amp;'Saisie de données'!$I$61&amp;"_S")&lt;='Synthèse résultat'!$E73,INDIRECT("Norex8_"&amp;'Saisie de données'!$H$61&amp;"_"&amp;'Saisie de données'!$I$61&amp;"_S"))),'Courbe Déflexion'!$BR$5:$CA$306,10,0)*VLOOKUP('Saisie de données'!$F$38,'Menu déroulant'!$AA$22:$AD$24,4,0),VLOOKUP(MAX(IF(INDIRECT("Norex8_"&amp;'Saisie de données'!$H$61&amp;"_"&amp;'Saisie de données'!$I$61&amp;"_M")&lt;='Synthèse résultat'!$E73,INDIRECT("Norex8_"&amp;'Saisie de données'!$H$61&amp;"_"&amp;'Saisie de données'!$I$61&amp;"_M"))),'Courbe Déflexion'!$FZ$5:$GI$286,10,0)*VLOOKUP('Saisie de données'!$F$38,'Menu déroulant'!$AA$22:$AD$24,4,0))</f>
        <v>#N/A</v>
      </c>
      <c r="L73" s="415" t="e" cm="1">
        <f t="array" aca="1" ref="L73" ca="1">IF('Saisie de données'!$K$60='Menu déroulant'!$AA$34,VLOOKUP(MAX(IF(INDIRECT("Noroc4_"&amp;'Saisie de données'!$H$61&amp;"_"&amp;'Saisie de données'!$I$61&amp;"_S")&lt;='Synthèse résultat'!$E73,INDIRECT("Noroc4_"&amp;'Saisie de données'!$H$61&amp;"_"&amp;'Saisie de données'!$I$61&amp;"_S"))),'Courbe Déflexion'!$CC$5:$CL$306,10,0)*VLOOKUP('Saisie de données'!$F$38,'Menu déroulant'!$AA$22:$AD$24,4,0),VLOOKUP(MAX(IF(INDIRECT("Noroc4_"&amp;'Saisie de données'!$H$61&amp;"_"&amp;'Saisie de données'!$I$61&amp;"_M")&lt;='Synthèse résultat'!$E73,INDIRECT("Noroc4_"&amp;'Saisie de données'!$H$61&amp;"_"&amp;'Saisie de données'!$I$61&amp;"_M"))),'Courbe Déflexion'!$GK$5:$GT$286,10,0)*VLOOKUP('Saisie de données'!$F$38,'Menu déroulant'!$AA$22:$AD$24,4,0))</f>
        <v>#N/A</v>
      </c>
      <c r="M73" s="415" t="e" cm="1">
        <f t="array" aca="1" ref="M73" ca="1">IF('Saisie de données'!$K$60='Menu déroulant'!$AA$34,VLOOKUP(MAX(IF(INDIRECT("Noroc5_"&amp;'Saisie de données'!$H$61&amp;"_"&amp;'Saisie de données'!$I$61&amp;"_S")&lt;='Synthèse résultat'!$E73,INDIRECT("Noroc5_"&amp;'Saisie de données'!$H$61&amp;"_"&amp;'Saisie de données'!$I$61&amp;"_S"))),'Courbe Déflexion'!$CN$5:$CW$306,10,0)*VLOOKUP('Saisie de données'!$F$38,'Menu déroulant'!$AA$22:$AD$24,4,0),VLOOKUP(MAX(IF(INDIRECT("Noroc5_"&amp;'Saisie de données'!$H$61&amp;"_"&amp;'Saisie de données'!$I$61&amp;"_M")&lt;='Synthèse résultat'!$E73,INDIRECT("Noroc5_"&amp;'Saisie de données'!$H$61&amp;"_"&amp;'Saisie de données'!$I$61&amp;"_M"))),'Courbe Déflexion'!$GV$5:$HE$286,10,0)*VLOOKUP('Saisie de données'!$F$38,'Menu déroulant'!$AA$22:$AD$24,4,0))</f>
        <v>#N/A</v>
      </c>
      <c r="N73" s="415" t="e" cm="1">
        <f t="array" aca="1" ref="N73" ca="1">IF('Saisie de données'!$K$60='Menu déroulant'!$AA$34,VLOOKUP(MAX(IF(INDIRECT("Noroc6_"&amp;'Saisie de données'!$H$61&amp;"_"&amp;'Saisie de données'!$I$61&amp;"_S")&lt;='Synthèse résultat'!$E73,INDIRECT("Noroc6_"&amp;'Saisie de données'!$H$61&amp;"_"&amp;'Saisie de données'!$I$61&amp;"_S"))),'Courbe Déflexion'!$CY$5:$DH$306,10,0)*VLOOKUP('Saisie de données'!$F$38,'Menu déroulant'!$AA$22:$AD$24,4,0),VLOOKUP(MAX(IF(INDIRECT("Noroc6_"&amp;'Saisie de données'!$H$61&amp;"_"&amp;'Saisie de données'!$I$61&amp;"_M")&lt;='Synthèse résultat'!$E73,INDIRECT("Noroc6_"&amp;'Saisie de données'!$H$61&amp;"_"&amp;'Saisie de données'!$I$61&amp;"_M"))),'Courbe Déflexion'!$HG$5:$HP$286,10,0)*VLOOKUP('Saisie de données'!$F$38,'Menu déroulant'!$AA$22:$AD$24,4,0))</f>
        <v>#N/A</v>
      </c>
      <c r="O73" s="415" t="e" cm="1">
        <f t="array" aca="1" ref="O73" ca="1">IF('Saisie de données'!$K$60='Menu déroulant'!$AA$34,VLOOKUP(MAX(IF(INDIRECT("Noroc8_"&amp;'Saisie de données'!$H$61&amp;"_"&amp;'Saisie de données'!$I$61&amp;"_S")&lt;='Synthèse résultat'!$E73,INDIRECT("Noroc8_"&amp;'Saisie de données'!$H$61&amp;"_"&amp;'Saisie de données'!$I$61&amp;"_S"))),'Courbe Déflexion'!$DJ$5:$DS$306,10,0)*VLOOKUP('Saisie de données'!$F$38,'Menu déroulant'!$AA$22:$AD$24,4,0),VLOOKUP(MAX(IF(INDIRECT("Noroc8_"&amp;'Saisie de données'!$H$61&amp;"_"&amp;'Saisie de données'!$I$61&amp;"_M")&lt;='Synthèse résultat'!$E73,INDIRECT("Noroc8_"&amp;'Saisie de données'!$H$61&amp;"_"&amp;'Saisie de données'!$I$61&amp;"_M"))),'Courbe Déflexion'!$HR$5:$IA$286,10,0)*VLOOKUP('Saisie de données'!$F$38,'Menu déroulant'!$AA$22:$AD$24,4,0))</f>
        <v>#N/A</v>
      </c>
      <c r="P73" s="416">
        <f>VLOOKUP('Saisie de données'!$J$61,'Infos Techniques'!$U$15:$AF$43,12,0)*VLOOKUP('Saisie de données'!$F$38,'Menu déroulant'!$AA$22:$AD$24,4,0)</f>
        <v>10</v>
      </c>
      <c r="Q73" s="326" t="e">
        <f>IF('Saisie de données'!$C$61='Menu déroulant'!$AA$31,VLOOKUP(Q$29,'Infos Techniques'!$B$7:$H$12,2,0)/($E73*'Saisie de données'!$F$61/12),VLOOKUP(Q$29,'Infos Techniques'!$B$7:$H$12,5,0)/($E73*'Saisie de données'!$F$61/12))*VLOOKUP('Saisie de données'!$F$38,'Menu déroulant'!$AA$22:$AD$24,4,0)</f>
        <v>#N/A</v>
      </c>
      <c r="R73" s="326" t="e">
        <f>IF('Saisie de données'!$C$61='Menu déroulant'!$AA$31,VLOOKUP(R$29,'Infos Techniques'!$B$7:$H$12,2,0)/($E73*'Saisie de données'!$F$61/12),VLOOKUP(R$29,'Infos Techniques'!$B$7:$H$12,5,0)/($E73*'Saisie de données'!$F$61/12))*VLOOKUP('Saisie de données'!$F$38,'Menu déroulant'!$AA$22:$AD$24,4,0)</f>
        <v>#N/A</v>
      </c>
      <c r="S73" s="326" t="e">
        <f>IF('Saisie de données'!$C$61='Menu déroulant'!$AA$31,VLOOKUP(S$29,'Infos Techniques'!$B$7:$H$12,2,0)/($E73*'Saisie de données'!$F$61/12),VLOOKUP(S$29,'Infos Techniques'!$B$7:$H$12,5,0)/($E73*'Saisie de données'!$F$61/12))*VLOOKUP('Saisie de données'!$F$38,'Menu déroulant'!$AA$22:$AD$24,4,0)</f>
        <v>#N/A</v>
      </c>
      <c r="T73" s="326" t="e">
        <f>IF('Saisie de données'!$C$61='Menu déroulant'!$AA$31,VLOOKUP(T$29,'Infos Techniques'!$B$7:$H$12,2,0)/($E73*'Saisie de données'!$F$61/12),VLOOKUP(T$29,'Infos Techniques'!$B$7:$H$12,5,0)/($E73*'Saisie de données'!$F$61/12))*VLOOKUP('Saisie de données'!$F$38,'Menu déroulant'!$AA$22:$AD$24,4,0)</f>
        <v>#N/A</v>
      </c>
      <c r="U73" s="326" t="e">
        <f>IF('Saisie de données'!$C$61='Menu déroulant'!$AA$31,VLOOKUP(U$29,'Infos Techniques'!$B$7:$H$12,2,0)/($E73*'Saisie de données'!$F$61/12),VLOOKUP(U$29,'Infos Techniques'!$B$7:$H$12,5,0)/($E73*'Saisie de données'!$F$61/12))*VLOOKUP('Saisie de données'!$F$38,'Menu déroulant'!$AA$22:$AD$24,4,0)</f>
        <v>#N/A</v>
      </c>
      <c r="V73" s="326" t="e">
        <f>IF('Saisie de données'!$C$61='Menu déroulant'!$AA$31,VLOOKUP(V$29,'Infos Techniques'!$B$7:$H$12,4,0)/($E73*'Saisie de données'!$F$61/12),VLOOKUP(V$29,'Infos Techniques'!$B$7:$H$12,7,0)/($E73*'Saisie de données'!$F$61/12))*VLOOKUP('Saisie de données'!$F$38,'Menu déroulant'!$AA$22:$AD$24,4,0)</f>
        <v>#N/A</v>
      </c>
      <c r="W73" s="326" t="e">
        <f>IF('Saisie de données'!$C$61='Menu déroulant'!$AA$31,VLOOKUP(W$29,'Infos Techniques'!$B$7:$H$12,4,0)/($E73*'Saisie de données'!$F$61/12),VLOOKUP(W$29,'Infos Techniques'!$B$7:$H$12,7,0)/($E73*'Saisie de données'!$F$61/12))*VLOOKUP('Saisie de données'!$F$38,'Menu déroulant'!$AA$22:$AD$24,4,0)</f>
        <v>#N/A</v>
      </c>
      <c r="X73" s="326" t="e">
        <f>IF('Saisie de données'!$C$61='Menu déroulant'!$AA$31,VLOOKUP(X$29,'Infos Techniques'!$B$7:$H$12,4,0)/($E73*'Saisie de données'!$F$61/12),VLOOKUP(X$29,'Infos Techniques'!$B$7:$H$12,7,0)/($E73*'Saisie de données'!$F$61/12))*VLOOKUP('Saisie de données'!$F$38,'Menu déroulant'!$AA$22:$AD$24,4,0)</f>
        <v>#N/A</v>
      </c>
      <c r="Y73" s="326" t="e">
        <f>IF('Saisie de données'!$C$61='Menu déroulant'!$AA$31,VLOOKUP(Y$29,'Infos Techniques'!$B$7:$H$12,4,0)/($E73*'Saisie de données'!$F$61/12),VLOOKUP(Y$29,'Infos Techniques'!$B$7:$H$12,7,0)/($E73*'Saisie de données'!$F$61/12))*VLOOKUP('Saisie de données'!$F$38,'Menu déroulant'!$AA$22:$AD$24,4,0)</f>
        <v>#N/A</v>
      </c>
      <c r="Z73" s="417" t="e">
        <f>IF('Saisie de données'!$C$61='Menu déroulant'!$AA$31,VLOOKUP(Z$29,'Infos Techniques'!$B$7:$H$12,4,0)/($E73*'Saisie de données'!$F$61/12),VLOOKUP(Z$29,'Infos Techniques'!$B$7:$H$12,7,0)/($E73*'Saisie de données'!$F$61/12))*VLOOKUP('Saisie de données'!$F$38,'Menu déroulant'!$AA$22:$AD$24,4,0)</f>
        <v>#N/A</v>
      </c>
    </row>
    <row r="74" spans="2:26">
      <c r="B74" s="1568"/>
      <c r="C74" s="1572" t="s">
        <v>111</v>
      </c>
      <c r="D74" s="28" t="s">
        <v>346</v>
      </c>
      <c r="E74" s="43"/>
      <c r="F74" s="415" t="e" cm="1">
        <f t="array" aca="1" ref="F74" ca="1">VLOOKUP(MAX(IF(INDIRECT("Norex2_"&amp;'Saisie de données'!$H$61&amp;"_"&amp;'Saisie de données'!$I$61&amp;"_S")&lt;='Synthèse résultat'!$E74,INDIRECT("Norex2_"&amp;'Saisie de données'!$H$61&amp;"_"&amp;'Saisie de données'!$I$61&amp;"_S"))),'Courbe Déflexion'!O$5:$X$285,10,0)*0.3798*VLOOKUP('Saisie de données'!$F$38,'Menu déroulant'!$AA$22:$AD$24,4,0)</f>
        <v>#N/A</v>
      </c>
      <c r="G74" s="415" t="e" cm="1">
        <f t="array" aca="1" ref="G74" ca="1">VLOOKUP(MAX(IF(INDIRECT("Norex3_"&amp;'Saisie de données'!$H$61&amp;"_"&amp;'Saisie de données'!$I$61&amp;"_S")&lt;='Synthèse résultat'!$E74,INDIRECT("Norex3_"&amp;'Saisie de données'!$H$61&amp;"_"&amp;'Saisie de données'!$I$61&amp;"_S"))),'Courbe Déflexion'!Z$5:$AI$285,10,0)*0.3798*VLOOKUP('Saisie de données'!$F$38,'Menu déroulant'!$AA$22:$AD$24,4,0)</f>
        <v>#N/A</v>
      </c>
      <c r="H74" s="415" t="e" cm="1">
        <f t="array" aca="1" ref="H74" ca="1">VLOOKUP(MAX(IF(INDIRECT("Norex4_"&amp;'Saisie de données'!$H$61&amp;"_"&amp;'Saisie de données'!$I$61&amp;"_S")&lt;='Synthèse résultat'!$E74,INDIRECT("Norex4_"&amp;'Saisie de données'!$H$61&amp;"_"&amp;'Saisie de données'!$I$61&amp;"_S"))),'Courbe Déflexion'!$AK$5:$AT$306,10,0)*0.3798*VLOOKUP('Saisie de données'!$F$38,'Menu déroulant'!$AA$22:$AD$24,4,0)</f>
        <v>#N/A</v>
      </c>
      <c r="I74" s="415" t="e" cm="1">
        <f t="array" aca="1" ref="I74" ca="1">VLOOKUP(MAX(IF(INDIRECT("Norex5_"&amp;'Saisie de données'!$H$61&amp;"_"&amp;'Saisie de données'!$I$61&amp;"_S")&lt;='Synthèse résultat'!$E74,INDIRECT("Norex5_"&amp;'Saisie de données'!$H$61&amp;"_"&amp;'Saisie de données'!$I$61&amp;"_S"))),'Courbe Déflexion'!$AV$5:$BE$306,10,0)*0.3798*VLOOKUP('Saisie de données'!$F$38,'Menu déroulant'!$AA$22:$AD$24,4,0)</f>
        <v>#N/A</v>
      </c>
      <c r="J74" s="415" t="e" cm="1">
        <f t="array" aca="1" ref="J74" ca="1">VLOOKUP(MAX(IF(INDIRECT("Norex6_"&amp;'Saisie de données'!$H$61&amp;"_"&amp;'Saisie de données'!$I$61&amp;"_S")&lt;='Synthèse résultat'!$E74,INDIRECT("Norex6_"&amp;'Saisie de données'!$H$61&amp;"_"&amp;'Saisie de données'!$I$61&amp;"_S"))),'Courbe Déflexion'!$BG$5:$BP$306,10,0)*0.3798*VLOOKUP('Saisie de données'!$F$38,'Menu déroulant'!$AA$22:$AD$24,4,0)</f>
        <v>#N/A</v>
      </c>
      <c r="K74" s="415" t="e" cm="1">
        <f t="array" aca="1" ref="K74" ca="1">VLOOKUP(MAX(IF(INDIRECT("Norex8_"&amp;'Saisie de données'!$H$61&amp;"_"&amp;'Saisie de données'!$I$61&amp;"_S")&lt;='Synthèse résultat'!$E74,INDIRECT("Norex8_"&amp;'Saisie de données'!$H$61&amp;"_"&amp;'Saisie de données'!$I$61&amp;"_S"))),'Courbe Déflexion'!$BR$5:$CA$306,10,0)*0.3798*VLOOKUP('Saisie de données'!$F$38,'Menu déroulant'!$AA$22:$AD$24,4,0)</f>
        <v>#N/A</v>
      </c>
      <c r="L74" s="415" t="e" cm="1">
        <f t="array" aca="1" ref="L74" ca="1">VLOOKUP(MAX(IF(INDIRECT("Noroc4_"&amp;'Saisie de données'!$H$61&amp;"_"&amp;'Saisie de données'!$I$61&amp;"_S")&lt;='Synthèse résultat'!$E74,INDIRECT("Noroc4_"&amp;'Saisie de données'!$H$61&amp;"_"&amp;'Saisie de données'!$I$61&amp;"_S"))),'Courbe Déflexion'!$CC$5:$CL$306,10,0)*0.3798*VLOOKUP('Saisie de données'!$F$38,'Menu déroulant'!$AA$22:$AD$24,4,0)</f>
        <v>#N/A</v>
      </c>
      <c r="M74" s="415" t="e" cm="1">
        <f t="array" aca="1" ref="M74" ca="1">VLOOKUP(MAX(IF(INDIRECT("Noroc5_"&amp;'Saisie de données'!$H$60&amp;"_"&amp;'Saisie de données'!$I$60&amp;"_S")&lt;='Synthèse résultat'!$E74,INDIRECT("Noroc5_"&amp;'Saisie de données'!$H$60&amp;"_"&amp;'Saisie de données'!$I$60&amp;"_S"))),'Courbe Déflexion'!$CN$5:$CW$306,10,0)*0.3798*VLOOKUP('Saisie de données'!$F$38,'Menu déroulant'!$AA$22:$AD$24,4,0)</f>
        <v>#N/A</v>
      </c>
      <c r="N74" s="415" t="e" cm="1">
        <f t="array" aca="1" ref="N74" ca="1">VLOOKUP(MAX(IF(INDIRECT("Noroc6_"&amp;'Saisie de données'!$H$61&amp;"_"&amp;'Saisie de données'!$I$61&amp;"_S")&lt;='Synthèse résultat'!$E74,INDIRECT("Noroc6_"&amp;'Saisie de données'!$H$61&amp;"_"&amp;'Saisie de données'!$I$61&amp;"_S"))),'Courbe Déflexion'!$CY$5:$DH$306,10,0)*0.3798*VLOOKUP('Saisie de données'!$F$38,'Menu déroulant'!$AA$22:$AD$24,4,0)</f>
        <v>#N/A</v>
      </c>
      <c r="O74" s="415" t="e" cm="1">
        <f t="array" aca="1" ref="O74" ca="1">VLOOKUP(MAX(IF(INDIRECT("Noroc8_"&amp;'Saisie de données'!$H$61&amp;"_"&amp;'Saisie de données'!$I$61&amp;"_S")&lt;='Synthèse résultat'!$E74,INDIRECT("Noroc8_"&amp;'Saisie de données'!$H$61&amp;"_"&amp;'Saisie de données'!$I$61&amp;"_S"))),'Courbe Déflexion'!$DJ$5:$DS$306,10,0)*0.3798*VLOOKUP('Saisie de données'!$F$38,'Menu déroulant'!$AA$22:$AD$24,4,0)</f>
        <v>#N/A</v>
      </c>
      <c r="P74" s="416" t="e" cm="1">
        <f t="array" ref="P74">VLOOKUP(MAX(IF('Courbe Déflexion'!DK$5:DK$285&lt;=$E74,'Courbe Déflexion'!DK$5:DK$285)),'Courbe Déflexion'!DK$5:$DS$285,10,0)*0.3798*VLOOKUP('Saisie de données'!$F$38,'Menu déroulant'!$AA$22:$AD$24,4,0)</f>
        <v>#N/A</v>
      </c>
      <c r="Q74" s="326" t="e">
        <f>IF('Saisie de données'!$C$61='Menu déroulant'!$AA$31,VLOOKUP(Q$29,'Infos Techniques'!$B$7:$H$12,2,0)/($E74*'Saisie de données'!$F$61/12),VLOOKUP(Q$29,'Infos Techniques'!$B$7:$H$12,5,0)/($E74*'Saisie de données'!$F$61/12))*VLOOKUP('Saisie de données'!$F$38,'Menu déroulant'!$AA$22:$AD$24,4,0)</f>
        <v>#DIV/0!</v>
      </c>
      <c r="R74" s="326" t="e">
        <f>IF('Saisie de données'!$C$61='Menu déroulant'!$AA$31,VLOOKUP(R$29,'Infos Techniques'!$B$7:$H$12,2,0)/($E74*'Saisie de données'!$F$61/12),VLOOKUP(R$29,'Infos Techniques'!$B$7:$H$12,5,0)/($E74*'Saisie de données'!$F$61/12))*VLOOKUP('Saisie de données'!$F$38,'Menu déroulant'!$AA$22:$AD$24,4,0)</f>
        <v>#DIV/0!</v>
      </c>
      <c r="S74" s="326" t="e">
        <f>IF('Saisie de données'!$C$61='Menu déroulant'!$AA$31,VLOOKUP(S$29,'Infos Techniques'!$B$7:$H$12,2,0)/($E74*'Saisie de données'!$F$61/12),VLOOKUP(S$29,'Infos Techniques'!$B$7:$H$12,5,0)/($E74*'Saisie de données'!$F$61/12))*VLOOKUP('Saisie de données'!$F$38,'Menu déroulant'!$AA$22:$AD$24,4,0)</f>
        <v>#DIV/0!</v>
      </c>
      <c r="T74" s="326" t="e">
        <f>IF('Saisie de données'!$C$61='Menu déroulant'!$AA$31,VLOOKUP(T$29,'Infos Techniques'!$B$7:$H$12,2,0)/($E74*'Saisie de données'!$F$61/12),VLOOKUP(T$29,'Infos Techniques'!$B$7:$H$12,5,0)/($E74*'Saisie de données'!$F$61/12))*VLOOKUP('Saisie de données'!$F$38,'Menu déroulant'!$AA$22:$AD$24,4,0)</f>
        <v>#DIV/0!</v>
      </c>
      <c r="U74" s="326" t="e">
        <f>IF('Saisie de données'!$C$61='Menu déroulant'!$AA$31,VLOOKUP(U$29,'Infos Techniques'!$B$7:$H$12,2,0)/($E74*'Saisie de données'!$F$61/12),VLOOKUP(U$29,'Infos Techniques'!$B$7:$H$12,5,0)/($E74*'Saisie de données'!$F$61/12))*VLOOKUP('Saisie de données'!$F$38,'Menu déroulant'!$AA$22:$AD$24,4,0)</f>
        <v>#DIV/0!</v>
      </c>
      <c r="V74" s="326" t="e">
        <f>IF('Saisie de données'!$C$61='Menu déroulant'!$AA$31,VLOOKUP(V$29,'Infos Techniques'!$B$7:$H$12,4,0)/($E74*'Saisie de données'!$F$61/12),VLOOKUP(V$29,'Infos Techniques'!$B$7:$H$12,7,0)/($E74*'Saisie de données'!$F$61/12))*VLOOKUP('Saisie de données'!$F$38,'Menu déroulant'!$AA$22:$AD$24,4,0)</f>
        <v>#DIV/0!</v>
      </c>
      <c r="W74" s="326" t="e">
        <f>IF('Saisie de données'!$C$61='Menu déroulant'!$AA$31,VLOOKUP(W$29,'Infos Techniques'!$B$7:$H$12,4,0)/($E74*'Saisie de données'!$F$61/12),VLOOKUP(W$29,'Infos Techniques'!$B$7:$H$12,7,0)/($E74*'Saisie de données'!$F$61/12))*VLOOKUP('Saisie de données'!$F$38,'Menu déroulant'!$AA$22:$AD$24,4,0)</f>
        <v>#DIV/0!</v>
      </c>
      <c r="X74" s="326" t="e">
        <f>IF('Saisie de données'!$C$61='Menu déroulant'!$AA$31,VLOOKUP(X$29,'Infos Techniques'!$B$7:$H$12,4,0)/($E74*'Saisie de données'!$F$61/12),VLOOKUP(X$29,'Infos Techniques'!$B$7:$H$12,7,0)/($E74*'Saisie de données'!$F$61/12))*VLOOKUP('Saisie de données'!$F$38,'Menu déroulant'!$AA$22:$AD$24,4,0)</f>
        <v>#DIV/0!</v>
      </c>
      <c r="Y74" s="326" t="e">
        <f>IF('Saisie de données'!$C$61='Menu déroulant'!$AA$31,VLOOKUP(Y$29,'Infos Techniques'!$B$7:$H$12,4,0)/($E74*'Saisie de données'!$F$61/12),VLOOKUP(Y$29,'Infos Techniques'!$B$7:$H$12,7,0)/($E74*'Saisie de données'!$F$61/12))*VLOOKUP('Saisie de données'!$F$38,'Menu déroulant'!$AA$22:$AD$24,4,0)</f>
        <v>#DIV/0!</v>
      </c>
      <c r="Z74" s="417" t="e">
        <f>IF('Saisie de données'!$C$61='Menu déroulant'!$AA$31,VLOOKUP(Z$29,'Infos Techniques'!$B$7:$H$12,4,0)/($E74*'Saisie de données'!$F$61/12),VLOOKUP(Z$29,'Infos Techniques'!$B$7:$H$12,7,0)/($E74*'Saisie de données'!$F$61/12))*VLOOKUP('Saisie de données'!$F$38,'Menu déroulant'!$AA$22:$AD$24,4,0)</f>
        <v>#DIV/0!</v>
      </c>
    </row>
    <row r="75" spans="2:26" ht="15" thickBot="1">
      <c r="B75" s="1569"/>
      <c r="C75" s="1573"/>
      <c r="D75" s="50" t="s">
        <v>347</v>
      </c>
      <c r="E75" s="60"/>
      <c r="F75" s="415" t="e" cm="1">
        <f t="array" aca="1" ref="F75" ca="1">VLOOKUP(MAX(IF(INDIRECT("Norex2_"&amp;'Saisie de données'!$H$61&amp;"_"&amp;'Saisie de données'!$I$61&amp;"_S")&lt;='Synthèse résultat'!$E75,INDIRECT("Norex2_"&amp;'Saisie de données'!$H$61&amp;"_"&amp;'Saisie de données'!$I$61&amp;"_S"))),'Courbe Déflexion'!O$5:$X$285,10,0)*0.3798*VLOOKUP('Saisie de données'!$F$38,'Menu déroulant'!$AA$22:$AD$24,4,0)</f>
        <v>#N/A</v>
      </c>
      <c r="G75" s="415" t="e" cm="1">
        <f t="array" aca="1" ref="G75" ca="1">VLOOKUP(MAX(IF(INDIRECT("Norex3_"&amp;'Saisie de données'!$H$61&amp;"_"&amp;'Saisie de données'!$I$61&amp;"_S")&lt;='Synthèse résultat'!$E75,INDIRECT("Norex3_"&amp;'Saisie de données'!$H$61&amp;"_"&amp;'Saisie de données'!$I$61&amp;"_S"))),'Courbe Déflexion'!Z$5:$AI$285,10,0)*0.3798*VLOOKUP('Saisie de données'!$F$38,'Menu déroulant'!$AA$22:$AD$24,4,0)</f>
        <v>#N/A</v>
      </c>
      <c r="H75" s="415" t="e" cm="1">
        <f t="array" aca="1" ref="H75" ca="1">VLOOKUP(MAX(IF(INDIRECT("Norex4_"&amp;'Saisie de données'!$H$61&amp;"_"&amp;'Saisie de données'!$I$61&amp;"_S")&lt;='Synthèse résultat'!$E75,INDIRECT("Norex4_"&amp;'Saisie de données'!$H$61&amp;"_"&amp;'Saisie de données'!$I$61&amp;"_S"))),'Courbe Déflexion'!$AK$5:$AT$306,10,0)*0.3798*VLOOKUP('Saisie de données'!$F$38,'Menu déroulant'!$AA$22:$AD$24,4,0)</f>
        <v>#N/A</v>
      </c>
      <c r="I75" s="415" t="e" cm="1">
        <f t="array" aca="1" ref="I75" ca="1">VLOOKUP(MAX(IF(INDIRECT("Norex5_"&amp;'Saisie de données'!$H$61&amp;"_"&amp;'Saisie de données'!$I$61&amp;"_S")&lt;='Synthèse résultat'!$E75,INDIRECT("Norex5_"&amp;'Saisie de données'!$H$61&amp;"_"&amp;'Saisie de données'!$I$61&amp;"_S"))),'Courbe Déflexion'!$AV$5:$BE$306,10,0)*0.3798*VLOOKUP('Saisie de données'!$F$38,'Menu déroulant'!$AA$22:$AD$24,4,0)</f>
        <v>#N/A</v>
      </c>
      <c r="J75" s="415" t="e" cm="1">
        <f t="array" aca="1" ref="J75" ca="1">VLOOKUP(MAX(IF(INDIRECT("Norex6_"&amp;'Saisie de données'!$H$61&amp;"_"&amp;'Saisie de données'!$I$61&amp;"_S")&lt;='Synthèse résultat'!$E75,INDIRECT("Norex6_"&amp;'Saisie de données'!$H$61&amp;"_"&amp;'Saisie de données'!$I$61&amp;"_S"))),'Courbe Déflexion'!$BG$5:$BP$306,10,0)*0.3798*VLOOKUP('Saisie de données'!$F$38,'Menu déroulant'!$AA$22:$AD$24,4,0)</f>
        <v>#N/A</v>
      </c>
      <c r="K75" s="415" t="e" cm="1">
        <f t="array" aca="1" ref="K75" ca="1">VLOOKUP(MAX(IF(INDIRECT("Norex8_"&amp;'Saisie de données'!$H$61&amp;"_"&amp;'Saisie de données'!$I$61&amp;"_S")&lt;='Synthèse résultat'!$E75,INDIRECT("Norex8_"&amp;'Saisie de données'!$H$61&amp;"_"&amp;'Saisie de données'!$I$61&amp;"_S"))),'Courbe Déflexion'!$BR$5:$CA$306,10,0)*0.3798*VLOOKUP('Saisie de données'!$F$38,'Menu déroulant'!$AA$22:$AD$24,4,0)</f>
        <v>#N/A</v>
      </c>
      <c r="L75" s="415" t="e" cm="1">
        <f t="array" aca="1" ref="L75" ca="1">VLOOKUP(MAX(IF(INDIRECT("Noroc4_"&amp;'Saisie de données'!$H$61&amp;"_"&amp;'Saisie de données'!$I$61&amp;"_S")&lt;='Synthèse résultat'!$E75,INDIRECT("Noroc4_"&amp;'Saisie de données'!$H$61&amp;"_"&amp;'Saisie de données'!$I$61&amp;"_S"))),'Courbe Déflexion'!$CC$5:$CL$306,10,0)*0.3798*VLOOKUP('Saisie de données'!$F$38,'Menu déroulant'!$AA$22:$AD$24,4,0)</f>
        <v>#N/A</v>
      </c>
      <c r="M75" s="415" t="e" cm="1">
        <f t="array" aca="1" ref="M75" ca="1">VLOOKUP(MAX(IF(INDIRECT("Noroc5_"&amp;'Saisie de données'!$H$60&amp;"_"&amp;'Saisie de données'!$I$60&amp;"_S")&lt;='Synthèse résultat'!$E75,INDIRECT("Noroc5_"&amp;'Saisie de données'!$H$60&amp;"_"&amp;'Saisie de données'!$I$60&amp;"_S"))),'Courbe Déflexion'!$CN$5:$CW$306,10,0)*0.3798*VLOOKUP('Saisie de données'!$F$38,'Menu déroulant'!$AA$22:$AD$24,4,0)</f>
        <v>#N/A</v>
      </c>
      <c r="N75" s="415" t="e" cm="1">
        <f t="array" aca="1" ref="N75" ca="1">VLOOKUP(MAX(IF(INDIRECT("Noroc6_"&amp;'Saisie de données'!$H$61&amp;"_"&amp;'Saisie de données'!$I$61&amp;"_S")&lt;='Synthèse résultat'!$E75,INDIRECT("Noroc6_"&amp;'Saisie de données'!$H$61&amp;"_"&amp;'Saisie de données'!$I$61&amp;"_S"))),'Courbe Déflexion'!$CY$5:$DH$306,10,0)*0.3798*VLOOKUP('Saisie de données'!$F$38,'Menu déroulant'!$AA$22:$AD$24,4,0)</f>
        <v>#N/A</v>
      </c>
      <c r="O75" s="415" t="e" cm="1">
        <f t="array" aca="1" ref="O75" ca="1">VLOOKUP(MAX(IF(INDIRECT("Noroc8_"&amp;'Saisie de données'!$H$61&amp;"_"&amp;'Saisie de données'!$I$61&amp;"_S")&lt;='Synthèse résultat'!$E75,INDIRECT("Noroc8_"&amp;'Saisie de données'!$H$61&amp;"_"&amp;'Saisie de données'!$I$61&amp;"_S"))),'Courbe Déflexion'!$DJ$5:$DS$306,10,0)*0.3798*VLOOKUP('Saisie de données'!$F$38,'Menu déroulant'!$AA$22:$AD$24,4,0)</f>
        <v>#N/A</v>
      </c>
      <c r="P75" s="701" t="e" cm="1">
        <f t="array" ref="P75">VLOOKUP(MAX(IF('Courbe Déflexion'!DK$5:DK$285&lt;=$E75,'Courbe Déflexion'!DK$5:DK$285)),'Courbe Déflexion'!DK$5:$DS$285,10,0)*0.3798*VLOOKUP('Saisie de données'!$F$38,'Menu déroulant'!$AA$22:$AD$24,4,0)</f>
        <v>#N/A</v>
      </c>
      <c r="Q75" s="419" t="e">
        <f>IF('Saisie de données'!$C$61='Menu déroulant'!$AA$31,VLOOKUP(Q$29,'Infos Techniques'!$B$7:$H$12,2,0)/($E75*'Saisie de données'!$F$61/12),VLOOKUP(Q$29,'Infos Techniques'!$B$7:$H$12,5,0)/($E75*'Saisie de données'!$F$61/12))*VLOOKUP('Saisie de données'!$F$38,'Menu déroulant'!$AA$22:$AD$24,4,0)</f>
        <v>#DIV/0!</v>
      </c>
      <c r="R75" s="419" t="e">
        <f>IF('Saisie de données'!$C$61='Menu déroulant'!$AA$31,VLOOKUP(R$29,'Infos Techniques'!$B$7:$H$12,2,0)/($E75*'Saisie de données'!$F$61/12),VLOOKUP(R$29,'Infos Techniques'!$B$7:$H$12,5,0)/($E75*'Saisie de données'!$F$61/12))*VLOOKUP('Saisie de données'!$F$38,'Menu déroulant'!$AA$22:$AD$24,4,0)</f>
        <v>#DIV/0!</v>
      </c>
      <c r="S75" s="419" t="e">
        <f>IF('Saisie de données'!$C$61='Menu déroulant'!$AA$31,VLOOKUP(S$29,'Infos Techniques'!$B$7:$H$12,2,0)/($E75*'Saisie de données'!$F$61/12),VLOOKUP(S$29,'Infos Techniques'!$B$7:$H$12,5,0)/($E75*'Saisie de données'!$F$61/12))*VLOOKUP('Saisie de données'!$F$38,'Menu déroulant'!$AA$22:$AD$24,4,0)</f>
        <v>#DIV/0!</v>
      </c>
      <c r="T75" s="419" t="e">
        <f>IF('Saisie de données'!$C$61='Menu déroulant'!$AA$31,VLOOKUP(T$29,'Infos Techniques'!$B$7:$H$12,2,0)/($E75*'Saisie de données'!$F$61/12),VLOOKUP(T$29,'Infos Techniques'!$B$7:$H$12,5,0)/($E75*'Saisie de données'!$F$61/12))*VLOOKUP('Saisie de données'!$F$38,'Menu déroulant'!$AA$22:$AD$24,4,0)</f>
        <v>#DIV/0!</v>
      </c>
      <c r="U75" s="419" t="e">
        <f>IF('Saisie de données'!$C$61='Menu déroulant'!$AA$31,VLOOKUP(U$29,'Infos Techniques'!$B$7:$H$12,2,0)/($E75*'Saisie de données'!$F$61/12),VLOOKUP(U$29,'Infos Techniques'!$B$7:$H$12,5,0)/($E75*'Saisie de données'!$F$61/12))*VLOOKUP('Saisie de données'!$F$38,'Menu déroulant'!$AA$22:$AD$24,4,0)</f>
        <v>#DIV/0!</v>
      </c>
      <c r="V75" s="419" t="e">
        <f>IF('Saisie de données'!$C$61='Menu déroulant'!$AA$31,VLOOKUP(V$29,'Infos Techniques'!$B$7:$H$12,4,0)/($E75*'Saisie de données'!$F$61/12),VLOOKUP(V$29,'Infos Techniques'!$B$7:$H$12,7,0)/($E75*'Saisie de données'!$F$61/12))*VLOOKUP('Saisie de données'!$F$38,'Menu déroulant'!$AA$22:$AD$24,4,0)</f>
        <v>#DIV/0!</v>
      </c>
      <c r="W75" s="419" t="e">
        <f>IF('Saisie de données'!$C$61='Menu déroulant'!$AA$31,VLOOKUP(W$29,'Infos Techniques'!$B$7:$H$12,4,0)/($E75*'Saisie de données'!$F$61/12),VLOOKUP(W$29,'Infos Techniques'!$B$7:$H$12,7,0)/($E75*'Saisie de données'!$F$61/12))*VLOOKUP('Saisie de données'!$F$38,'Menu déroulant'!$AA$22:$AD$24,4,0)</f>
        <v>#DIV/0!</v>
      </c>
      <c r="X75" s="419" t="e">
        <f>IF('Saisie de données'!$C$61='Menu déroulant'!$AA$31,VLOOKUP(X$29,'Infos Techniques'!$B$7:$H$12,4,0)/($E75*'Saisie de données'!$F$61/12),VLOOKUP(X$29,'Infos Techniques'!$B$7:$H$12,7,0)/($E75*'Saisie de données'!$F$61/12))*VLOOKUP('Saisie de données'!$F$38,'Menu déroulant'!$AA$22:$AD$24,4,0)</f>
        <v>#DIV/0!</v>
      </c>
      <c r="Y75" s="419" t="e">
        <f>IF('Saisie de données'!$C$61='Menu déroulant'!$AA$31,VLOOKUP(Y$29,'Infos Techniques'!$B$7:$H$12,4,0)/($E75*'Saisie de données'!$F$61/12),VLOOKUP(Y$29,'Infos Techniques'!$B$7:$H$12,7,0)/($E75*'Saisie de données'!$F$61/12))*VLOOKUP('Saisie de données'!$F$38,'Menu déroulant'!$AA$22:$AD$24,4,0)</f>
        <v>#DIV/0!</v>
      </c>
      <c r="Z75" s="420" t="e">
        <f>IF('Saisie de données'!$C$61='Menu déroulant'!$AA$31,VLOOKUP(Z$29,'Infos Techniques'!$B$7:$H$12,4,0)/($E75*'Saisie de données'!$F$61/12),VLOOKUP(Z$29,'Infos Techniques'!$B$7:$H$12,7,0)/($E75*'Saisie de données'!$F$61/12))*VLOOKUP('Saisie de données'!$F$38,'Menu déroulant'!$AA$22:$AD$24,4,0)</f>
        <v>#DIV/0!</v>
      </c>
    </row>
    <row r="76" spans="2:26">
      <c r="B76" s="1567" t="s">
        <v>55</v>
      </c>
      <c r="C76" s="1570" t="s">
        <v>338</v>
      </c>
      <c r="D76" s="241" t="s">
        <v>346</v>
      </c>
      <c r="E76" s="59" t="e">
        <f>IF(ISBLANK('Saisie de données'!$E$31),'Charges de ventFM'!D40,'Saisie de données'!$E$31)</f>
        <v>#N/A</v>
      </c>
      <c r="F76" s="411" t="e" cm="1">
        <f t="array" aca="1" ref="F76" ca="1">IF('Saisie de données'!$K$62='Menu déroulant'!$AA$34,VLOOKUP(MAX(IF(INDIRECT("Norex2_"&amp;'Saisie de données'!$H$62&amp;"_"&amp;'Saisie de données'!$I$62&amp;"_S")&lt;='Synthèse résultat'!$E76,INDIRECT("Norex2_"&amp;'Saisie de données'!$H$62&amp;"_"&amp;'Saisie de données'!$I$62&amp;"_S"))),'Courbe Déflexion'!O$5:$X$285,10,0)*VLOOKUP('Saisie de données'!$F$38,'Menu déroulant'!$AA$22:$AD$24,4,0),VLOOKUP(MAX(IF(INDIRECT("Norex2_"&amp;'Saisie de données'!$H$62&amp;"_"&amp;'Saisie de données'!$I$62&amp;"_M")&lt;='Synthèse résultat'!$E76,INDIRECT("Norex2_"&amp;'Saisie de données'!$H$62&amp;"_"&amp;'Saisie de données'!$I$62&amp;"_M"))),'Courbe Déflexion'!$DW$5:$EF$217,10,0)*VLOOKUP('Saisie de données'!$F$38,'Menu déroulant'!$AA$22:$AD$24,4,0))</f>
        <v>#N/A</v>
      </c>
      <c r="G76" s="411" t="e" cm="1">
        <f t="array" aca="1" ref="G76" ca="1">IF('Saisie de données'!$K$60='Menu déroulant'!$AA$34,VLOOKUP(MAX(IF(INDIRECT("Norex3_"&amp;'Saisie de données'!$H$62&amp;"_"&amp;'Saisie de données'!$I$62&amp;"_S")&lt;='Synthèse résultat'!$E76,INDIRECT("Norex3_"&amp;'Saisie de données'!$H$62&amp;"_"&amp;'Saisie de données'!$I$62&amp;"_S"))),'Courbe Déflexion'!$Z$5:$AI$329,10,0)*VLOOKUP('Saisie de données'!$F$38,'Menu déroulant'!$AA$22:$AD$24,4,0),VLOOKUP(MAX(IF(INDIRECT("Norex3_"&amp;'Saisie de données'!$H$62&amp;"_"&amp;'Saisie de données'!$I$62&amp;"_M")&lt;='Synthèse résultat'!$E76,INDIRECT("Norex3_"&amp;'Saisie de données'!$H$62&amp;"_"&amp;'Saisie de données'!$I$62&amp;"_M"))),'Courbe Déflexion'!$EH$5:$EQ$309,10,0)*VLOOKUP('Saisie de données'!$F$38,'Menu déroulant'!$AA$22:$AD$24,4,0))</f>
        <v>#N/A</v>
      </c>
      <c r="H76" s="411" t="e" cm="1">
        <f t="array" aca="1" ref="H76" ca="1">IF('Saisie de données'!$K$60='Menu déroulant'!$AA$34,VLOOKUP(MAX(IF(INDIRECT("Norex4_"&amp;'Saisie de données'!$H$62&amp;"_"&amp;'Saisie de données'!$I$62&amp;"_S")&lt;='Synthèse résultat'!$E76,INDIRECT("Norex4_"&amp;'Saisie de données'!$H$62&amp;"_"&amp;'Saisie de données'!$I$62&amp;"_S"))),'Courbe Déflexion'!$AK$5:$AT$306,10,0)*VLOOKUP('Saisie de données'!$F$38,'Menu déroulant'!$AA$22:$AD$24,4,0),VLOOKUP(MAX(IF(INDIRECT("Norex4_"&amp;'Saisie de données'!$H$62&amp;"_"&amp;'Saisie de données'!$I$62&amp;"_M")&lt;='Synthèse résultat'!$E76,INDIRECT("Norex4_"&amp;'Saisie de données'!$H$62&amp;"_"&amp;'Saisie de données'!$I$62&amp;"_M"))),'Courbe Déflexion'!$ES$5:$FB$285,10,0)*VLOOKUP('Saisie de données'!$F$38,'Menu déroulant'!$AA$22:$AD$24,4,0))</f>
        <v>#N/A</v>
      </c>
      <c r="I76" s="411" t="e" cm="1">
        <f t="array" aca="1" ref="I76" ca="1">IF('Saisie de données'!$K$60='Menu déroulant'!$AA$34,VLOOKUP(MAX(IF(INDIRECT("Norex5_"&amp;'Saisie de données'!$H$62&amp;"_"&amp;'Saisie de données'!$I$62&amp;"_S")&lt;='Synthèse résultat'!$E76,INDIRECT("Norex5_"&amp;'Saisie de données'!$H$62&amp;"_"&amp;'Saisie de données'!$I$62&amp;"_S"))),'Courbe Déflexion'!$AV$5:$BE$306,10,0)*VLOOKUP('Saisie de données'!$F$38,'Menu déroulant'!$AA$22:$AD$24,4,0),VLOOKUP(MAX(IF(INDIRECT("Norex5_"&amp;'Saisie de données'!$H$62&amp;"_"&amp;'Saisie de données'!$I$62&amp;"_M")&lt;='Synthèse résultat'!$E76,INDIRECT("Norex5_"&amp;'Saisie de données'!$H$62&amp;"_"&amp;'Saisie de données'!$I$62&amp;"_M"))),'Courbe Déflexion'!$FD$5:$FM$285,10,0)*VLOOKUP('Saisie de données'!$F$38,'Menu déroulant'!$AA$22:$AD$24,4,0))</f>
        <v>#N/A</v>
      </c>
      <c r="J76" s="411" t="e" cm="1">
        <f t="array" aca="1" ref="J76" ca="1">IF('Saisie de données'!$K$60='Menu déroulant'!$AA$34,VLOOKUP(MAX(IF(INDIRECT("Norex6_"&amp;'Saisie de données'!$H$62&amp;"_"&amp;'Saisie de données'!$I$62&amp;"_S")&lt;='Synthèse résultat'!$E76,INDIRECT("Norex6_"&amp;'Saisie de données'!$H$62&amp;"_"&amp;'Saisie de données'!$I$62&amp;"_S"))),'Courbe Déflexion'!$BG$5:$BP$306,10,0)*VLOOKUP('Saisie de données'!$F$38,'Menu déroulant'!$AA$22:$AD$24,4,0),VLOOKUP(MAX(IF(INDIRECT("Norex6_"&amp;'Saisie de données'!$H$62&amp;"_"&amp;'Saisie de données'!$I$62&amp;"_M")&lt;='Synthèse résultat'!$E76,INDIRECT("Norex6_"&amp;'Saisie de données'!$H$62&amp;"_"&amp;'Saisie de données'!$I$62&amp;"_M"))),'Courbe Déflexion'!$FO$5:$FX$286,10,0)*VLOOKUP('Saisie de données'!$F$38,'Menu déroulant'!$AA$22:$AD$24,4,0))</f>
        <v>#N/A</v>
      </c>
      <c r="K76" s="411" t="e" cm="1">
        <f t="array" aca="1" ref="K76" ca="1">IF('Saisie de données'!$K$60='Menu déroulant'!$AA$34,VLOOKUP(MAX(IF(INDIRECT("Norex8_"&amp;'Saisie de données'!$H$62&amp;"_"&amp;'Saisie de données'!$I$62&amp;"_S")&lt;='Synthèse résultat'!$E76,INDIRECT("Norex8_"&amp;'Saisie de données'!$H$62&amp;"_"&amp;'Saisie de données'!$I$62&amp;"_S"))),'Courbe Déflexion'!$BR$5:$CA$306,10,0)*VLOOKUP('Saisie de données'!$F$38,'Menu déroulant'!$AA$22:$AD$24,4,0),VLOOKUP(MAX(IF(INDIRECT("Norex8_"&amp;'Saisie de données'!$H$62&amp;"_"&amp;'Saisie de données'!$I$62&amp;"_M")&lt;='Synthèse résultat'!$E76,INDIRECT("Norex8_"&amp;'Saisie de données'!$H$62&amp;"_"&amp;'Saisie de données'!$I$62&amp;"_M"))),'Courbe Déflexion'!$FZ$5:$GI$286,10,0)*VLOOKUP('Saisie de données'!$F$38,'Menu déroulant'!$AA$22:$AD$24,4,0))</f>
        <v>#N/A</v>
      </c>
      <c r="L76" s="411" t="e" cm="1">
        <f t="array" aca="1" ref="L76" ca="1">IF('Saisie de données'!$K$60='Menu déroulant'!$AA$34,VLOOKUP(MAX(IF(INDIRECT("Noroc4_"&amp;'Saisie de données'!$H$62&amp;"_"&amp;'Saisie de données'!$I$62&amp;"_S")&lt;='Synthèse résultat'!$E76,INDIRECT("Noroc4_"&amp;'Saisie de données'!$H$62&amp;"_"&amp;'Saisie de données'!$I$62&amp;"_S"))),'Courbe Déflexion'!$CC$5:$CL$306,10,0)*VLOOKUP('Saisie de données'!$F$38,'Menu déroulant'!$AA$22:$AD$24,4,0),VLOOKUP(MAX(IF(INDIRECT("Noroc4_"&amp;'Saisie de données'!$H$62&amp;"_"&amp;'Saisie de données'!$I$62&amp;"_M")&lt;='Synthèse résultat'!$E76,INDIRECT("Noroc4_"&amp;'Saisie de données'!$H$62&amp;"_"&amp;'Saisie de données'!$I$62&amp;"_M"))),'Courbe Déflexion'!$GK$5:$GT$286,10,0)*VLOOKUP('Saisie de données'!$F$38,'Menu déroulant'!$AA$22:$AD$24,4,0))</f>
        <v>#N/A</v>
      </c>
      <c r="M76" s="411" t="e" cm="1">
        <f t="array" aca="1" ref="M76" ca="1">IF('Saisie de données'!$K$60='Menu déroulant'!$AA$34,VLOOKUP(MAX(IF(INDIRECT("Noroc5_"&amp;'Saisie de données'!$H$62&amp;"_"&amp;'Saisie de données'!$I$62&amp;"_S")&lt;='Synthèse résultat'!$E76,INDIRECT("Noroc5_"&amp;'Saisie de données'!$H$62&amp;"_"&amp;'Saisie de données'!$I$62&amp;"_S"))),'Courbe Déflexion'!$CN$5:$CW$306,10,0)*VLOOKUP('Saisie de données'!$F$38,'Menu déroulant'!$AA$22:$AD$24,4,0),VLOOKUP(MAX(IF(INDIRECT("Noroc5_"&amp;'Saisie de données'!$H$62&amp;"_"&amp;'Saisie de données'!$I$62&amp;"_M")&lt;='Synthèse résultat'!$E76,INDIRECT("Noroc5_"&amp;'Saisie de données'!$H$62&amp;"_"&amp;'Saisie de données'!$I$62&amp;"_M"))),'Courbe Déflexion'!$GV$5:$HE$286,10,0)*VLOOKUP('Saisie de données'!$F$38,'Menu déroulant'!$AA$22:$AD$24,4,0))</f>
        <v>#N/A</v>
      </c>
      <c r="N76" s="411" t="e" cm="1">
        <f t="array" aca="1" ref="N76" ca="1">IF('Saisie de données'!$K$60='Menu déroulant'!$AA$34,VLOOKUP(MAX(IF(INDIRECT("Noroc6_"&amp;'Saisie de données'!$H$62&amp;"_"&amp;'Saisie de données'!$I$62&amp;"_S")&lt;='Synthèse résultat'!$E76,INDIRECT("Noroc6_"&amp;'Saisie de données'!$H$62&amp;"_"&amp;'Saisie de données'!$I$62&amp;"_S"))),'Courbe Déflexion'!$CY$5:$DH$306,10,0)*VLOOKUP('Saisie de données'!$F$38,'Menu déroulant'!$AA$22:$AD$24,4,0),VLOOKUP(MAX(IF(INDIRECT("Noroc6_"&amp;'Saisie de données'!$H$62&amp;"_"&amp;'Saisie de données'!$I$62&amp;"_M")&lt;='Synthèse résultat'!$E76,INDIRECT("Noroc6_"&amp;'Saisie de données'!$H$62&amp;"_"&amp;'Saisie de données'!$I$62&amp;"_M"))),'Courbe Déflexion'!$HG$5:$HP$286,10,0)*VLOOKUP('Saisie de données'!$F$38,'Menu déroulant'!$AA$22:$AD$24,4,0))</f>
        <v>#N/A</v>
      </c>
      <c r="O76" s="411" t="e" cm="1">
        <f t="array" aca="1" ref="O76" ca="1">IF('Saisie de données'!$K$60='Menu déroulant'!$AA$34,VLOOKUP(MAX(IF(INDIRECT("Noroc8_"&amp;'Saisie de données'!$H$62&amp;"_"&amp;'Saisie de données'!$I$62&amp;"_S")&lt;='Synthèse résultat'!$E76,INDIRECT("Noroc8_"&amp;'Saisie de données'!$H$62&amp;"_"&amp;'Saisie de données'!$I$62&amp;"_S"))),'Courbe Déflexion'!$DJ$5:$DS$306,10,0)*VLOOKUP('Saisie de données'!$F$38,'Menu déroulant'!$AA$22:$AD$24,4,0),VLOOKUP(MAX(IF(INDIRECT("Noroc8_"&amp;'Saisie de données'!$H$62&amp;"_"&amp;'Saisie de données'!$I$62&amp;"_M")&lt;='Synthèse résultat'!$E76,INDIRECT("Noroc8_"&amp;'Saisie de données'!$H$62&amp;"_"&amp;'Saisie de données'!$I$62&amp;"_M"))),'Courbe Déflexion'!$HR$5:$IA$286,10,0)*VLOOKUP('Saisie de données'!$F$38,'Menu déroulant'!$AA$22:$AD$24,4,0))</f>
        <v>#N/A</v>
      </c>
      <c r="P76" s="412">
        <f>VLOOKUP('Saisie de données'!$J$62,'Infos Techniques'!$U$15:$AF$43,12,0)*VLOOKUP('Saisie de données'!$F$38,'Menu déroulant'!$AA$22:$AD$24,4,0)</f>
        <v>11.76923076923077</v>
      </c>
      <c r="Q76" s="413" t="e">
        <f>IF('Saisie de données'!$C$62='Menu déroulant'!$AA$31,VLOOKUP(Q$29,'Infos Techniques'!$B$7:$H$12,2,0)/($E76*'Saisie de données'!$F$62/12),VLOOKUP(Q$29,'Infos Techniques'!$B$7:$H$12,5,0)/($E76*'Saisie de données'!$F$62/12))*VLOOKUP('Saisie de données'!$F$38,'Menu déroulant'!$AA$22:$AD$24,4,0)</f>
        <v>#N/A</v>
      </c>
      <c r="R76" s="413" t="e">
        <f>IF('Saisie de données'!$C$62='Menu déroulant'!$AA$31,VLOOKUP(R$29,'Infos Techniques'!$B$7:$H$12,2,0)/($E76*'Saisie de données'!$F$62/12),VLOOKUP(R$29,'Infos Techniques'!$B$7:$H$12,5,0)/($E76*'Saisie de données'!$F$62/12))*VLOOKUP('Saisie de données'!$F$38,'Menu déroulant'!$AA$22:$AD$24,4,0)</f>
        <v>#N/A</v>
      </c>
      <c r="S76" s="413" t="e">
        <f>IF('Saisie de données'!$C$62='Menu déroulant'!$AA$31,VLOOKUP(S$29,'Infos Techniques'!$B$7:$H$12,2,0)/($E76*'Saisie de données'!$F$62/12),VLOOKUP(S$29,'Infos Techniques'!$B$7:$H$12,5,0)/($E76*'Saisie de données'!$F$62/12))*VLOOKUP('Saisie de données'!$F$38,'Menu déroulant'!$AA$22:$AD$24,4,0)</f>
        <v>#N/A</v>
      </c>
      <c r="T76" s="413" t="e">
        <f>IF('Saisie de données'!$C$62='Menu déroulant'!$AA$31,VLOOKUP(T$29,'Infos Techniques'!$B$7:$H$12,2,0)/($E76*'Saisie de données'!$F$62/12),VLOOKUP(T$29,'Infos Techniques'!$B$7:$H$12,5,0)/($E76*'Saisie de données'!$F$62/12))*VLOOKUP('Saisie de données'!$F$38,'Menu déroulant'!$AA$22:$AD$24,4,0)</f>
        <v>#N/A</v>
      </c>
      <c r="U76" s="413" t="e">
        <f>IF('Saisie de données'!$C$62='Menu déroulant'!$AA$31,VLOOKUP(U$29,'Infos Techniques'!$B$7:$H$12,2,0)/($E76*'Saisie de données'!$F$62/12),VLOOKUP(U$29,'Infos Techniques'!$B$7:$H$12,5,0)/($E76*'Saisie de données'!$F$62/12))*VLOOKUP('Saisie de données'!$F$38,'Menu déroulant'!$AA$22:$AD$24,4,0)</f>
        <v>#N/A</v>
      </c>
      <c r="V76" s="413" t="e">
        <f>IF('Saisie de données'!$C$62='Menu déroulant'!$AA$31,VLOOKUP(V$29,'Infos Techniques'!$B$7:$H$12,4,0)/($E76*'Saisie de données'!$F$62/12),VLOOKUP(V$29,'Infos Techniques'!$B$7:$H$12,7,0)/($E76*'Saisie de données'!$F$62/12))*VLOOKUP('Saisie de données'!$F$38,'Menu déroulant'!$AA$22:$AD$24,4,0)</f>
        <v>#N/A</v>
      </c>
      <c r="W76" s="413" t="e">
        <f>IF('Saisie de données'!$C$62='Menu déroulant'!$AA$31,VLOOKUP(W$29,'Infos Techniques'!$B$7:$H$12,4,0)/($E76*'Saisie de données'!$F$62/12),VLOOKUP(W$29,'Infos Techniques'!$B$7:$H$12,7,0)/($E76*'Saisie de données'!$F$62/12))*VLOOKUP('Saisie de données'!$F$38,'Menu déroulant'!$AA$22:$AD$24,4,0)</f>
        <v>#N/A</v>
      </c>
      <c r="X76" s="413" t="e">
        <f>IF('Saisie de données'!$C$62='Menu déroulant'!$AA$31,VLOOKUP(X$29,'Infos Techniques'!$B$7:$H$12,4,0)/($E76*'Saisie de données'!$F$62/12),VLOOKUP(X$29,'Infos Techniques'!$B$7:$H$12,7,0)/($E76*'Saisie de données'!$F$62/12))*VLOOKUP('Saisie de données'!$F$38,'Menu déroulant'!$AA$22:$AD$24,4,0)</f>
        <v>#N/A</v>
      </c>
      <c r="Y76" s="413" t="e">
        <f>IF('Saisie de données'!$C$62='Menu déroulant'!$AA$31,VLOOKUP(Y$29,'Infos Techniques'!$B$7:$H$12,4,0)/($E76*'Saisie de données'!$F$62/12),VLOOKUP(Y$29,'Infos Techniques'!$B$7:$H$12,7,0)/($E76*'Saisie de données'!$F$62/12))*VLOOKUP('Saisie de données'!$F$38,'Menu déroulant'!$AA$22:$AD$24,4,0)</f>
        <v>#N/A</v>
      </c>
      <c r="Z76" s="414" t="e">
        <f>IF('Saisie de données'!$C$62='Menu déroulant'!$AA$31,VLOOKUP(Z$29,'Infos Techniques'!$B$7:$H$12,4,0)/($E76*'Saisie de données'!$F$62/12),VLOOKUP(Z$29,'Infos Techniques'!$B$7:$H$12,7,0)/($E76*'Saisie de données'!$F$62/12))*VLOOKUP('Saisie de données'!$F$38,'Menu déroulant'!$AA$22:$AD$24,4,0)</f>
        <v>#N/A</v>
      </c>
    </row>
    <row r="77" spans="2:26">
      <c r="B77" s="1568"/>
      <c r="C77" s="1571"/>
      <c r="D77" s="28" t="s">
        <v>347</v>
      </c>
      <c r="E77" s="43" t="e">
        <f>IF(ISBLANK('Saisie de données'!$E$30),'Charges de ventFM'!E40,'Saisie de données'!$E$30)</f>
        <v>#N/A</v>
      </c>
      <c r="F77" s="415" t="e" cm="1">
        <f t="array" aca="1" ref="F77" ca="1">IF('Saisie de données'!$K$62='Menu déroulant'!$AA$34,VLOOKUP(MAX(IF(INDIRECT("Norex2_"&amp;'Saisie de données'!$H$62&amp;"_"&amp;'Saisie de données'!$I$62&amp;"_S")&lt;='Synthèse résultat'!$E77,INDIRECT("Norex2_"&amp;'Saisie de données'!$H$62&amp;"_"&amp;'Saisie de données'!$I$62&amp;"_S"))),'Courbe Déflexion'!O$5:$X$285,10,0)*VLOOKUP('Saisie de données'!$F$38,'Menu déroulant'!$AA$22:$AD$24,4,0),VLOOKUP(MAX(IF(INDIRECT("Norex2_"&amp;'Saisie de données'!$H$62&amp;"_"&amp;'Saisie de données'!$I$62&amp;"_M")&lt;='Synthèse résultat'!$E77,INDIRECT("Norex2_"&amp;'Saisie de données'!$H$62&amp;"_"&amp;'Saisie de données'!$I$62&amp;"_M"))),'Courbe Déflexion'!$DW$5:$EF$217,10,0)*VLOOKUP('Saisie de données'!$F$38,'Menu déroulant'!$AA$22:$AD$24,4,0))</f>
        <v>#N/A</v>
      </c>
      <c r="G77" s="415" t="e" cm="1">
        <f t="array" aca="1" ref="G77" ca="1">IF('Saisie de données'!$K$60='Menu déroulant'!$AA$34,VLOOKUP(MAX(IF(INDIRECT("Norex3_"&amp;'Saisie de données'!$H$62&amp;"_"&amp;'Saisie de données'!$I$62&amp;"_S")&lt;='Synthèse résultat'!$E77,INDIRECT("Norex3_"&amp;'Saisie de données'!$H$62&amp;"_"&amp;'Saisie de données'!$I$62&amp;"_S"))),'Courbe Déflexion'!$Z$5:$AI$329,10,0)*VLOOKUP('Saisie de données'!$F$38,'Menu déroulant'!$AA$22:$AD$24,4,0),VLOOKUP(MAX(IF(INDIRECT("Norex3_"&amp;'Saisie de données'!$H$62&amp;"_"&amp;'Saisie de données'!$I$62&amp;"_M")&lt;='Synthèse résultat'!$E77,INDIRECT("Norex3_"&amp;'Saisie de données'!$H$62&amp;"_"&amp;'Saisie de données'!$I$62&amp;"_M"))),'Courbe Déflexion'!$EH$5:$EQ$309,10,0)*VLOOKUP('Saisie de données'!$F$38,'Menu déroulant'!$AA$22:$AD$24,4,0))</f>
        <v>#N/A</v>
      </c>
      <c r="H77" s="415" t="e" cm="1">
        <f t="array" aca="1" ref="H77" ca="1">IF('Saisie de données'!$K$60='Menu déroulant'!$AA$34,VLOOKUP(MAX(IF(INDIRECT("Norex4_"&amp;'Saisie de données'!$H$62&amp;"_"&amp;'Saisie de données'!$I$62&amp;"_S")&lt;='Synthèse résultat'!$E77,INDIRECT("Norex4_"&amp;'Saisie de données'!$H$62&amp;"_"&amp;'Saisie de données'!$I$62&amp;"_S"))),'Courbe Déflexion'!$AK$5:$AT$306,10,0)*VLOOKUP('Saisie de données'!$F$38,'Menu déroulant'!$AA$22:$AD$24,4,0),VLOOKUP(MAX(IF(INDIRECT("Norex4_"&amp;'Saisie de données'!$H$62&amp;"_"&amp;'Saisie de données'!$I$62&amp;"_M")&lt;='Synthèse résultat'!$E77,INDIRECT("Norex4_"&amp;'Saisie de données'!$H$62&amp;"_"&amp;'Saisie de données'!$I$62&amp;"_M"))),'Courbe Déflexion'!$ES$5:$FB$285,10,0)*VLOOKUP('Saisie de données'!$F$38,'Menu déroulant'!$AA$22:$AD$24,4,0))</f>
        <v>#N/A</v>
      </c>
      <c r="I77" s="415" t="e" cm="1">
        <f t="array" aca="1" ref="I77" ca="1">IF('Saisie de données'!$K$60='Menu déroulant'!$AA$34,VLOOKUP(MAX(IF(INDIRECT("Norex5_"&amp;'Saisie de données'!$H$62&amp;"_"&amp;'Saisie de données'!$I$62&amp;"_S")&lt;='Synthèse résultat'!$E77,INDIRECT("Norex5_"&amp;'Saisie de données'!$H$62&amp;"_"&amp;'Saisie de données'!$I$62&amp;"_S"))),'Courbe Déflexion'!$AV$5:$BE$306,10,0)*VLOOKUP('Saisie de données'!$F$38,'Menu déroulant'!$AA$22:$AD$24,4,0),VLOOKUP(MAX(IF(INDIRECT("Norex5_"&amp;'Saisie de données'!$H$62&amp;"_"&amp;'Saisie de données'!$I$62&amp;"_M")&lt;='Synthèse résultat'!$E77,INDIRECT("Norex5_"&amp;'Saisie de données'!$H$62&amp;"_"&amp;'Saisie de données'!$I$62&amp;"_M"))),'Courbe Déflexion'!$FD$5:$FM$285,10,0)*VLOOKUP('Saisie de données'!$F$38,'Menu déroulant'!$AA$22:$AD$24,4,0))</f>
        <v>#N/A</v>
      </c>
      <c r="J77" s="415" t="e" cm="1">
        <f t="array" aca="1" ref="J77" ca="1">IF('Saisie de données'!$K$60='Menu déroulant'!$AA$34,VLOOKUP(MAX(IF(INDIRECT("Norex6_"&amp;'Saisie de données'!$H$62&amp;"_"&amp;'Saisie de données'!$I$62&amp;"_S")&lt;='Synthèse résultat'!$E77,INDIRECT("Norex6_"&amp;'Saisie de données'!$H$62&amp;"_"&amp;'Saisie de données'!$I$62&amp;"_S"))),'Courbe Déflexion'!$BG$5:$BP$306,10,0)*VLOOKUP('Saisie de données'!$F$38,'Menu déroulant'!$AA$22:$AD$24,4,0),VLOOKUP(MAX(IF(INDIRECT("Norex6_"&amp;'Saisie de données'!$H$62&amp;"_"&amp;'Saisie de données'!$I$62&amp;"_M")&lt;='Synthèse résultat'!$E77,INDIRECT("Norex6_"&amp;'Saisie de données'!$H$62&amp;"_"&amp;'Saisie de données'!$I$62&amp;"_M"))),'Courbe Déflexion'!$FO$5:$FX$286,10,0)*VLOOKUP('Saisie de données'!$F$38,'Menu déroulant'!$AA$22:$AD$24,4,0))</f>
        <v>#N/A</v>
      </c>
      <c r="K77" s="415" t="e" cm="1">
        <f t="array" aca="1" ref="K77" ca="1">IF('Saisie de données'!$K$60='Menu déroulant'!$AA$34,VLOOKUP(MAX(IF(INDIRECT("Norex8_"&amp;'Saisie de données'!$H$62&amp;"_"&amp;'Saisie de données'!$I$62&amp;"_S")&lt;='Synthèse résultat'!$E77,INDIRECT("Norex8_"&amp;'Saisie de données'!$H$62&amp;"_"&amp;'Saisie de données'!$I$62&amp;"_S"))),'Courbe Déflexion'!$BR$5:$CA$306,10,0)*VLOOKUP('Saisie de données'!$F$38,'Menu déroulant'!$AA$22:$AD$24,4,0),VLOOKUP(MAX(IF(INDIRECT("Norex8_"&amp;'Saisie de données'!$H$62&amp;"_"&amp;'Saisie de données'!$I$62&amp;"_M")&lt;='Synthèse résultat'!$E77,INDIRECT("Norex8_"&amp;'Saisie de données'!$H$62&amp;"_"&amp;'Saisie de données'!$I$62&amp;"_M"))),'Courbe Déflexion'!$FZ$5:$GI$286,10,0)*VLOOKUP('Saisie de données'!$F$38,'Menu déroulant'!$AA$22:$AD$24,4,0))</f>
        <v>#N/A</v>
      </c>
      <c r="L77" s="415" t="e" cm="1">
        <f t="array" aca="1" ref="L77" ca="1">IF('Saisie de données'!$K$60='Menu déroulant'!$AA$34,VLOOKUP(MAX(IF(INDIRECT("Noroc4_"&amp;'Saisie de données'!$H$62&amp;"_"&amp;'Saisie de données'!$I$62&amp;"_S")&lt;='Synthèse résultat'!$E77,INDIRECT("Noroc4_"&amp;'Saisie de données'!$H$62&amp;"_"&amp;'Saisie de données'!$I$62&amp;"_S"))),'Courbe Déflexion'!$CC$5:$CL$306,10,0)*VLOOKUP('Saisie de données'!$F$38,'Menu déroulant'!$AA$22:$AD$24,4,0),VLOOKUP(MAX(IF(INDIRECT("Noroc4_"&amp;'Saisie de données'!$H$62&amp;"_"&amp;'Saisie de données'!$I$62&amp;"_M")&lt;='Synthèse résultat'!$E77,INDIRECT("Noroc4_"&amp;'Saisie de données'!$H$62&amp;"_"&amp;'Saisie de données'!$I$62&amp;"_M"))),'Courbe Déflexion'!$GK$5:$GT$286,10,0)*VLOOKUP('Saisie de données'!$F$38,'Menu déroulant'!$AA$22:$AD$24,4,0))</f>
        <v>#N/A</v>
      </c>
      <c r="M77" s="415" t="e" cm="1">
        <f t="array" aca="1" ref="M77" ca="1">IF('Saisie de données'!$K$60='Menu déroulant'!$AA$34,VLOOKUP(MAX(IF(INDIRECT("Noroc5_"&amp;'Saisie de données'!$H$62&amp;"_"&amp;'Saisie de données'!$I$62&amp;"_S")&lt;='Synthèse résultat'!$E77,INDIRECT("Noroc5_"&amp;'Saisie de données'!$H$62&amp;"_"&amp;'Saisie de données'!$I$62&amp;"_S"))),'Courbe Déflexion'!$CN$5:$CW$306,10,0)*VLOOKUP('Saisie de données'!$F$38,'Menu déroulant'!$AA$22:$AD$24,4,0),VLOOKUP(MAX(IF(INDIRECT("Noroc5_"&amp;'Saisie de données'!$H$62&amp;"_"&amp;'Saisie de données'!$I$62&amp;"_M")&lt;='Synthèse résultat'!$E77,INDIRECT("Noroc5_"&amp;'Saisie de données'!$H$62&amp;"_"&amp;'Saisie de données'!$I$62&amp;"_M"))),'Courbe Déflexion'!$GV$5:$HE$286,10,0)*VLOOKUP('Saisie de données'!$F$38,'Menu déroulant'!$AA$22:$AD$24,4,0))</f>
        <v>#N/A</v>
      </c>
      <c r="N77" s="415" t="e" cm="1">
        <f t="array" aca="1" ref="N77" ca="1">IF('Saisie de données'!$K$60='Menu déroulant'!$AA$34,VLOOKUP(MAX(IF(INDIRECT("Noroc6_"&amp;'Saisie de données'!$H$62&amp;"_"&amp;'Saisie de données'!$I$62&amp;"_S")&lt;='Synthèse résultat'!$E77,INDIRECT("Noroc6_"&amp;'Saisie de données'!$H$62&amp;"_"&amp;'Saisie de données'!$I$62&amp;"_S"))),'Courbe Déflexion'!$CY$5:$DH$306,10,0)*VLOOKUP('Saisie de données'!$F$38,'Menu déroulant'!$AA$22:$AD$24,4,0),VLOOKUP(MAX(IF(INDIRECT("Noroc6_"&amp;'Saisie de données'!$H$62&amp;"_"&amp;'Saisie de données'!$I$62&amp;"_M")&lt;='Synthèse résultat'!$E77,INDIRECT("Noroc6_"&amp;'Saisie de données'!$H$62&amp;"_"&amp;'Saisie de données'!$I$62&amp;"_M"))),'Courbe Déflexion'!$HG$5:$HP$286,10,0)*VLOOKUP('Saisie de données'!$F$38,'Menu déroulant'!$AA$22:$AD$24,4,0))</f>
        <v>#N/A</v>
      </c>
      <c r="O77" s="415" t="e" cm="1">
        <f t="array" aca="1" ref="O77" ca="1">IF('Saisie de données'!$K$60='Menu déroulant'!$AA$34,VLOOKUP(MAX(IF(INDIRECT("Noroc8_"&amp;'Saisie de données'!$H$62&amp;"_"&amp;'Saisie de données'!$I$62&amp;"_S")&lt;='Synthèse résultat'!$E77,INDIRECT("Noroc8_"&amp;'Saisie de données'!$H$62&amp;"_"&amp;'Saisie de données'!$I$62&amp;"_S"))),'Courbe Déflexion'!$DJ$5:$DS$306,10,0)*VLOOKUP('Saisie de données'!$F$38,'Menu déroulant'!$AA$22:$AD$24,4,0),VLOOKUP(MAX(IF(INDIRECT("Noroc8_"&amp;'Saisie de données'!$H$62&amp;"_"&amp;'Saisie de données'!$I$62&amp;"_M")&lt;='Synthèse résultat'!$E77,INDIRECT("Noroc8_"&amp;'Saisie de données'!$H$62&amp;"_"&amp;'Saisie de données'!$I$62&amp;"_M"))),'Courbe Déflexion'!$HR$5:$IA$286,10,0)*VLOOKUP('Saisie de données'!$F$38,'Menu déroulant'!$AA$22:$AD$24,4,0))</f>
        <v>#N/A</v>
      </c>
      <c r="P77" s="416">
        <f>VLOOKUP('Saisie de données'!$J$62,'Infos Techniques'!$U$15:$AF$43,12,0)*VLOOKUP('Saisie de données'!$F$38,'Menu déroulant'!$AA$22:$AD$24,4,0)</f>
        <v>11.76923076923077</v>
      </c>
      <c r="Q77" s="326" t="e">
        <f>IF('Saisie de données'!$C$62='Menu déroulant'!$AA$31,VLOOKUP(Q$29,'Infos Techniques'!$B$7:$H$12,2,0)/($E77*'Saisie de données'!$F$62/12),VLOOKUP(Q$29,'Infos Techniques'!$B$7:$H$12,5,0)/($E77*'Saisie de données'!$F$62/12))*VLOOKUP('Saisie de données'!$F$38,'Menu déroulant'!$AA$22:$AD$24,4,0)</f>
        <v>#N/A</v>
      </c>
      <c r="R77" s="326" t="e">
        <f>IF('Saisie de données'!$C$62='Menu déroulant'!$AA$31,VLOOKUP(R$29,'Infos Techniques'!$B$7:$H$12,2,0)/($E77*'Saisie de données'!$F$62/12),VLOOKUP(R$29,'Infos Techniques'!$B$7:$H$12,5,0)/($E77*'Saisie de données'!$F$62/12))*VLOOKUP('Saisie de données'!$F$38,'Menu déroulant'!$AA$22:$AD$24,4,0)</f>
        <v>#N/A</v>
      </c>
      <c r="S77" s="326" t="e">
        <f>IF('Saisie de données'!$C$62='Menu déroulant'!$AA$31,VLOOKUP(S$29,'Infos Techniques'!$B$7:$H$12,2,0)/($E77*'Saisie de données'!$F$62/12),VLOOKUP(S$29,'Infos Techniques'!$B$7:$H$12,5,0)/($E77*'Saisie de données'!$F$62/12))*VLOOKUP('Saisie de données'!$F$38,'Menu déroulant'!$AA$22:$AD$24,4,0)</f>
        <v>#N/A</v>
      </c>
      <c r="T77" s="326" t="e">
        <f>IF('Saisie de données'!$C$62='Menu déroulant'!$AA$31,VLOOKUP(T$29,'Infos Techniques'!$B$7:$H$12,2,0)/($E77*'Saisie de données'!$F$62/12),VLOOKUP(T$29,'Infos Techniques'!$B$7:$H$12,5,0)/($E77*'Saisie de données'!$F$62/12))*VLOOKUP('Saisie de données'!$F$38,'Menu déroulant'!$AA$22:$AD$24,4,0)</f>
        <v>#N/A</v>
      </c>
      <c r="U77" s="326" t="e">
        <f>IF('Saisie de données'!$C$62='Menu déroulant'!$AA$31,VLOOKUP(U$29,'Infos Techniques'!$B$7:$H$12,2,0)/($E77*'Saisie de données'!$F$62/12),VLOOKUP(U$29,'Infos Techniques'!$B$7:$H$12,5,0)/($E77*'Saisie de données'!$F$62/12))*VLOOKUP('Saisie de données'!$F$38,'Menu déroulant'!$AA$22:$AD$24,4,0)</f>
        <v>#N/A</v>
      </c>
      <c r="V77" s="326" t="e">
        <f>IF('Saisie de données'!$C$62='Menu déroulant'!$AA$31,VLOOKUP(V$29,'Infos Techniques'!$B$7:$H$12,4,0)/($E77*'Saisie de données'!$F$62/12),VLOOKUP(V$29,'Infos Techniques'!$B$7:$H$12,7,0)/($E77*'Saisie de données'!$F$62/12))*VLOOKUP('Saisie de données'!$F$38,'Menu déroulant'!$AA$22:$AD$24,4,0)</f>
        <v>#N/A</v>
      </c>
      <c r="W77" s="326" t="e">
        <f>IF('Saisie de données'!$C$62='Menu déroulant'!$AA$31,VLOOKUP(W$29,'Infos Techniques'!$B$7:$H$12,4,0)/($E77*'Saisie de données'!$F$62/12),VLOOKUP(W$29,'Infos Techniques'!$B$7:$H$12,7,0)/($E77*'Saisie de données'!$F$62/12))*VLOOKUP('Saisie de données'!$F$38,'Menu déroulant'!$AA$22:$AD$24,4,0)</f>
        <v>#N/A</v>
      </c>
      <c r="X77" s="326" t="e">
        <f>IF('Saisie de données'!$C$62='Menu déroulant'!$AA$31,VLOOKUP(X$29,'Infos Techniques'!$B$7:$H$12,4,0)/($E77*'Saisie de données'!$F$62/12),VLOOKUP(X$29,'Infos Techniques'!$B$7:$H$12,7,0)/($E77*'Saisie de données'!$F$62/12))*VLOOKUP('Saisie de données'!$F$38,'Menu déroulant'!$AA$22:$AD$24,4,0)</f>
        <v>#N/A</v>
      </c>
      <c r="Y77" s="326" t="e">
        <f>IF('Saisie de données'!$C$62='Menu déroulant'!$AA$31,VLOOKUP(Y$29,'Infos Techniques'!$B$7:$H$12,4,0)/($E77*'Saisie de données'!$F$62/12),VLOOKUP(Y$29,'Infos Techniques'!$B$7:$H$12,7,0)/($E77*'Saisie de données'!$F$62/12))*VLOOKUP('Saisie de données'!$F$38,'Menu déroulant'!$AA$22:$AD$24,4,0)</f>
        <v>#N/A</v>
      </c>
      <c r="Z77" s="417" t="e">
        <f>IF('Saisie de données'!$C$62='Menu déroulant'!$AA$31,VLOOKUP(Z$29,'Infos Techniques'!$B$7:$H$12,4,0)/($E77*'Saisie de données'!$F$62/12),VLOOKUP(Z$29,'Infos Techniques'!$B$7:$H$12,7,0)/($E77*'Saisie de données'!$F$62/12))*VLOOKUP('Saisie de données'!$F$38,'Menu déroulant'!$AA$22:$AD$24,4,0)</f>
        <v>#N/A</v>
      </c>
    </row>
    <row r="78" spans="2:26">
      <c r="B78" s="1568"/>
      <c r="C78" s="1572" t="s">
        <v>111</v>
      </c>
      <c r="D78" s="28" t="s">
        <v>346</v>
      </c>
      <c r="E78" s="43"/>
      <c r="F78" s="415" t="e" cm="1">
        <f t="array" aca="1" ref="F78" ca="1">VLOOKUP(MAX(IF(INDIRECT("Norex2_"&amp;'Saisie de données'!$H$62&amp;"_"&amp;'Saisie de données'!$I$62&amp;"_S")&lt;='Synthèse résultat'!$E78,INDIRECT("Norex2_"&amp;'Saisie de données'!$H$62&amp;"_"&amp;'Saisie de données'!$I$62&amp;"_S"))),'Courbe Déflexion'!O$5:$X$285,10,0)*0.3798*VLOOKUP('Saisie de données'!$F$38,'Menu déroulant'!$AA$22:$AD$24,4,0)</f>
        <v>#N/A</v>
      </c>
      <c r="G78" s="415" t="e" cm="1">
        <f t="array" aca="1" ref="G78" ca="1">VLOOKUP(MAX(IF(INDIRECT("Norex3_"&amp;'Saisie de données'!$H$62&amp;"_"&amp;'Saisie de données'!$I$62&amp;"_S")&lt;='Synthèse résultat'!$E78,INDIRECT("Norex3_"&amp;'Saisie de données'!$H$62&amp;"_"&amp;'Saisie de données'!$I$62&amp;"_S"))),'Courbe Déflexion'!Z$5:$AI$285,10,0)*0.3798*VLOOKUP('Saisie de données'!$F$38,'Menu déroulant'!$AA$22:$AD$24,4,0)</f>
        <v>#N/A</v>
      </c>
      <c r="H78" s="415" t="e" cm="1">
        <f t="array" aca="1" ref="H78" ca="1">VLOOKUP(MAX(IF(INDIRECT("Norex4_"&amp;'Saisie de données'!$H$62&amp;"_"&amp;'Saisie de données'!$I$62&amp;"_S")&lt;='Synthèse résultat'!$E78,INDIRECT("Norex4_"&amp;'Saisie de données'!$H$62&amp;"_"&amp;'Saisie de données'!$I$62&amp;"_S"))),'Courbe Déflexion'!$AK$5:$AT$306,10,0)*0.3798*VLOOKUP('Saisie de données'!$F$38,'Menu déroulant'!$AA$22:$AD$24,4,0)</f>
        <v>#N/A</v>
      </c>
      <c r="I78" s="415" t="e" cm="1">
        <f t="array" aca="1" ref="I78" ca="1">VLOOKUP(MAX(IF(INDIRECT("Norex5_"&amp;'Saisie de données'!$H$62&amp;"_"&amp;'Saisie de données'!$I$62&amp;"_S")&lt;='Synthèse résultat'!$E78,INDIRECT("Norex5_"&amp;'Saisie de données'!$H$62&amp;"_"&amp;'Saisie de données'!$I$62&amp;"_S"))),'Courbe Déflexion'!$AV$5:$BE$306,10,0)*0.3798*VLOOKUP('Saisie de données'!$F$38,'Menu déroulant'!$AA$22:$AD$24,4,0)</f>
        <v>#N/A</v>
      </c>
      <c r="J78" s="415" t="e" cm="1">
        <f t="array" aca="1" ref="J78" ca="1">VLOOKUP(MAX(IF(INDIRECT("Norex6_"&amp;'Saisie de données'!$H$62&amp;"_"&amp;'Saisie de données'!$I$62&amp;"_S")&lt;='Synthèse résultat'!$E78,INDIRECT("Norex6_"&amp;'Saisie de données'!$H$62&amp;"_"&amp;'Saisie de données'!$I$62&amp;"_S"))),'Courbe Déflexion'!$BG$5:$BP$306,10,0)*0.3798*VLOOKUP('Saisie de données'!$F$38,'Menu déroulant'!$AA$22:$AD$24,4,0)</f>
        <v>#N/A</v>
      </c>
      <c r="K78" s="415" t="e" cm="1">
        <f t="array" aca="1" ref="K78" ca="1">VLOOKUP(MAX(IF(INDIRECT("Norex8_"&amp;'Saisie de données'!$H$62&amp;"_"&amp;'Saisie de données'!$I$62&amp;"_S")&lt;='Synthèse résultat'!$E78,INDIRECT("Norex8_"&amp;'Saisie de données'!$H$62&amp;"_"&amp;'Saisie de données'!$I$62&amp;"_S"))),'Courbe Déflexion'!$BR$5:$CA$306,10,0)*0.3798*VLOOKUP('Saisie de données'!$F$38,'Menu déroulant'!$AA$22:$AD$24,4,0)</f>
        <v>#N/A</v>
      </c>
      <c r="L78" s="415" t="e" cm="1">
        <f t="array" aca="1" ref="L78" ca="1">VLOOKUP(MAX(IF(INDIRECT("Noroc4_"&amp;'Saisie de données'!$H$62&amp;"_"&amp;'Saisie de données'!$I$62&amp;"_S")&lt;='Synthèse résultat'!$E78,INDIRECT("Noroc4_"&amp;'Saisie de données'!$H$62&amp;"_"&amp;'Saisie de données'!$I$62&amp;"_S"))),'Courbe Déflexion'!$CC$5:$CL$306,10,0)*0.3798*VLOOKUP('Saisie de données'!$F$38,'Menu déroulant'!$AA$22:$AD$24,4,0)</f>
        <v>#N/A</v>
      </c>
      <c r="M78" s="415" t="e" cm="1">
        <f t="array" aca="1" ref="M78" ca="1">VLOOKUP(MAX(IF(INDIRECT("Noroc5_"&amp;'Saisie de données'!$H$62&amp;"_"&amp;'Saisie de données'!$I$62&amp;"_S")&lt;='Synthèse résultat'!$E78,INDIRECT("Noroc5_"&amp;'Saisie de données'!$H$62&amp;"_"&amp;'Saisie de données'!$I$62&amp;"_S"))),'Courbe Déflexion'!$CN$5:$CW$306,10,0)*0.3798*VLOOKUP('Saisie de données'!$F$38,'Menu déroulant'!$AA$22:$AD$24,4,0)</f>
        <v>#N/A</v>
      </c>
      <c r="N78" s="415" t="e" cm="1">
        <f t="array" aca="1" ref="N78" ca="1">VLOOKUP(MAX(IF(INDIRECT("Noroc6_"&amp;'Saisie de données'!$H$62&amp;"_"&amp;'Saisie de données'!$I$62&amp;"_S")&lt;='Synthèse résultat'!$E78,INDIRECT("Noroc6_"&amp;'Saisie de données'!$H$62&amp;"_"&amp;'Saisie de données'!$I$62&amp;"_S"))),'Courbe Déflexion'!$CY$5:$DH$306,10,0)*0.3798*VLOOKUP('Saisie de données'!$F$38,'Menu déroulant'!$AA$22:$AD$24,4,0)</f>
        <v>#N/A</v>
      </c>
      <c r="O78" s="415" t="e" cm="1">
        <f t="array" aca="1" ref="O78" ca="1">VLOOKUP(MAX(IF(INDIRECT("Noroc8_"&amp;'Saisie de données'!$H$62&amp;"_"&amp;'Saisie de données'!$I$62&amp;"_S")&lt;='Synthèse résultat'!$E78,INDIRECT("Noroc8_"&amp;'Saisie de données'!$H$62&amp;"_"&amp;'Saisie de données'!$I$62&amp;"_S"))),'Courbe Déflexion'!$DJ$5:$DS$306,10,0)*0.3798*VLOOKUP('Saisie de données'!$F$38,'Menu déroulant'!$AA$22:$AD$24,4,0)</f>
        <v>#N/A</v>
      </c>
      <c r="P78" s="416" t="e" cm="1">
        <f t="array" ref="P78">VLOOKUP(MAX(IF('Courbe Déflexion'!DK$5:DK$285&lt;=$E78,'Courbe Déflexion'!DK$5:DK$285)),'Courbe Déflexion'!DK$5:$DS$285,10,0)*0.3798*VLOOKUP('Saisie de données'!$F$38,'Menu déroulant'!$AA$22:$AD$24,4,0)</f>
        <v>#N/A</v>
      </c>
      <c r="Q78" s="326" t="e">
        <f>IF('Saisie de données'!$C$62='Menu déroulant'!$AA$31,VLOOKUP(Q$29,'Infos Techniques'!$B$7:$H$12,2,0)/($E78*'Saisie de données'!$F$62/12),VLOOKUP(Q$29,'Infos Techniques'!$B$7:$H$12,5,0)/($E78*'Saisie de données'!$F$62/12))*VLOOKUP('Saisie de données'!$F$38,'Menu déroulant'!$AA$22:$AD$24,4,0)</f>
        <v>#DIV/0!</v>
      </c>
      <c r="R78" s="326" t="e">
        <f>IF('Saisie de données'!$C$62='Menu déroulant'!$AA$31,VLOOKUP(R$29,'Infos Techniques'!$B$7:$H$12,2,0)/($E78*'Saisie de données'!$F$62/12),VLOOKUP(R$29,'Infos Techniques'!$B$7:$H$12,5,0)/($E78*'Saisie de données'!$F$62/12))*VLOOKUP('Saisie de données'!$F$38,'Menu déroulant'!$AA$22:$AD$24,4,0)</f>
        <v>#DIV/0!</v>
      </c>
      <c r="S78" s="326" t="e">
        <f>IF('Saisie de données'!$C$62='Menu déroulant'!$AA$31,VLOOKUP(S$29,'Infos Techniques'!$B$7:$H$12,2,0)/($E78*'Saisie de données'!$F$62/12),VLOOKUP(S$29,'Infos Techniques'!$B$7:$H$12,5,0)/($E78*'Saisie de données'!$F$62/12))*VLOOKUP('Saisie de données'!$F$38,'Menu déroulant'!$AA$22:$AD$24,4,0)</f>
        <v>#DIV/0!</v>
      </c>
      <c r="T78" s="326" t="e">
        <f>IF('Saisie de données'!$C$62='Menu déroulant'!$AA$31,VLOOKUP(T$29,'Infos Techniques'!$B$7:$H$12,2,0)/($E78*'Saisie de données'!$F$62/12),VLOOKUP(T$29,'Infos Techniques'!$B$7:$H$12,5,0)/($E78*'Saisie de données'!$F$62/12))*VLOOKUP('Saisie de données'!$F$38,'Menu déroulant'!$AA$22:$AD$24,4,0)</f>
        <v>#DIV/0!</v>
      </c>
      <c r="U78" s="326" t="e">
        <f>IF('Saisie de données'!$C$62='Menu déroulant'!$AA$31,VLOOKUP(U$29,'Infos Techniques'!$B$7:$H$12,2,0)/($E78*'Saisie de données'!$F$62/12),VLOOKUP(U$29,'Infos Techniques'!$B$7:$H$12,5,0)/($E78*'Saisie de données'!$F$62/12))*VLOOKUP('Saisie de données'!$F$38,'Menu déroulant'!$AA$22:$AD$24,4,0)</f>
        <v>#DIV/0!</v>
      </c>
      <c r="V78" s="326" t="e">
        <f>IF('Saisie de données'!$C$62='Menu déroulant'!$AA$31,VLOOKUP(V$29,'Infos Techniques'!$B$7:$H$12,4,0)/($E78*'Saisie de données'!$F$62/12),VLOOKUP(V$29,'Infos Techniques'!$B$7:$H$12,7,0)/($E78*'Saisie de données'!$F$62/12))*VLOOKUP('Saisie de données'!$F$38,'Menu déroulant'!$AA$22:$AD$24,4,0)</f>
        <v>#DIV/0!</v>
      </c>
      <c r="W78" s="326" t="e">
        <f>IF('Saisie de données'!$C$62='Menu déroulant'!$AA$31,VLOOKUP(W$29,'Infos Techniques'!$B$7:$H$12,4,0)/($E78*'Saisie de données'!$F$62/12),VLOOKUP(W$29,'Infos Techniques'!$B$7:$H$12,7,0)/($E78*'Saisie de données'!$F$62/12))*VLOOKUP('Saisie de données'!$F$38,'Menu déroulant'!$AA$22:$AD$24,4,0)</f>
        <v>#DIV/0!</v>
      </c>
      <c r="X78" s="326" t="e">
        <f>IF('Saisie de données'!$C$62='Menu déroulant'!$AA$31,VLOOKUP(X$29,'Infos Techniques'!$B$7:$H$12,4,0)/($E78*'Saisie de données'!$F$62/12),VLOOKUP(X$29,'Infos Techniques'!$B$7:$H$12,7,0)/($E78*'Saisie de données'!$F$62/12))*VLOOKUP('Saisie de données'!$F$38,'Menu déroulant'!$AA$22:$AD$24,4,0)</f>
        <v>#DIV/0!</v>
      </c>
      <c r="Y78" s="326" t="e">
        <f>IF('Saisie de données'!$C$62='Menu déroulant'!$AA$31,VLOOKUP(Y$29,'Infos Techniques'!$B$7:$H$12,4,0)/($E78*'Saisie de données'!$F$62/12),VLOOKUP(Y$29,'Infos Techniques'!$B$7:$H$12,7,0)/($E78*'Saisie de données'!$F$62/12))*VLOOKUP('Saisie de données'!$F$38,'Menu déroulant'!$AA$22:$AD$24,4,0)</f>
        <v>#DIV/0!</v>
      </c>
      <c r="Z78" s="417" t="e">
        <f>IF('Saisie de données'!$C$62='Menu déroulant'!$AA$31,VLOOKUP(Z$29,'Infos Techniques'!$B$7:$H$12,4,0)/($E78*'Saisie de données'!$F$62/12),VLOOKUP(Z$29,'Infos Techniques'!$B$7:$H$12,7,0)/($E78*'Saisie de données'!$F$62/12))*VLOOKUP('Saisie de données'!$F$38,'Menu déroulant'!$AA$22:$AD$24,4,0)</f>
        <v>#DIV/0!</v>
      </c>
    </row>
    <row r="79" spans="2:26" ht="15" thickBot="1">
      <c r="B79" s="1569"/>
      <c r="C79" s="1573"/>
      <c r="D79" s="50" t="s">
        <v>347</v>
      </c>
      <c r="E79" s="60"/>
      <c r="F79" s="676" t="e" cm="1">
        <f t="array" aca="1" ref="F79" ca="1">VLOOKUP(MAX(IF(INDIRECT("Norex2_"&amp;'Saisie de données'!$H$62&amp;"_"&amp;'Saisie de données'!$I$62&amp;"_S")&lt;='Synthèse résultat'!$E79,INDIRECT("Norex2_"&amp;'Saisie de données'!$H$62&amp;"_"&amp;'Saisie de données'!$I$62&amp;"_S"))),'Courbe Déflexion'!O$5:$X$285,10,0)*0.3798*VLOOKUP('Saisie de données'!$F$38,'Menu déroulant'!$AA$22:$AD$24,4,0)</f>
        <v>#N/A</v>
      </c>
      <c r="G79" s="676" t="e" cm="1">
        <f t="array" aca="1" ref="G79" ca="1">VLOOKUP(MAX(IF(INDIRECT("Norex3_"&amp;'Saisie de données'!$H$62&amp;"_"&amp;'Saisie de données'!$I$62&amp;"_S")&lt;='Synthèse résultat'!$E79,INDIRECT("Norex3_"&amp;'Saisie de données'!$H$62&amp;"_"&amp;'Saisie de données'!$I$62&amp;"_S"))),'Courbe Déflexion'!Z$5:$AI$285,10,0)*0.3798*VLOOKUP('Saisie de données'!$F$38,'Menu déroulant'!$AA$22:$AD$24,4,0)</f>
        <v>#N/A</v>
      </c>
      <c r="H79" s="676" t="e" cm="1">
        <f t="array" aca="1" ref="H79" ca="1">VLOOKUP(MAX(IF(INDIRECT("Norex4_"&amp;'Saisie de données'!$H$62&amp;"_"&amp;'Saisie de données'!$I$62&amp;"_S")&lt;='Synthèse résultat'!$E79,INDIRECT("Norex4_"&amp;'Saisie de données'!$H$62&amp;"_"&amp;'Saisie de données'!$I$62&amp;"_S"))),'Courbe Déflexion'!$AK$5:$AT$306,10,0)*0.3798*VLOOKUP('Saisie de données'!$F$38,'Menu déroulant'!$AA$22:$AD$24,4,0)</f>
        <v>#N/A</v>
      </c>
      <c r="I79" s="676" t="e" cm="1">
        <f t="array" aca="1" ref="I79" ca="1">VLOOKUP(MAX(IF(INDIRECT("Norex5_"&amp;'Saisie de données'!$H$62&amp;"_"&amp;'Saisie de données'!$I$62&amp;"_S")&lt;='Synthèse résultat'!$E79,INDIRECT("Norex5_"&amp;'Saisie de données'!$H$62&amp;"_"&amp;'Saisie de données'!$I$62&amp;"_S"))),'Courbe Déflexion'!$AV$5:$BE$306,10,0)*0.3798*VLOOKUP('Saisie de données'!$F$38,'Menu déroulant'!$AA$22:$AD$24,4,0)</f>
        <v>#N/A</v>
      </c>
      <c r="J79" s="676" t="e" cm="1">
        <f t="array" aca="1" ref="J79" ca="1">VLOOKUP(MAX(IF(INDIRECT("Norex6_"&amp;'Saisie de données'!$H$62&amp;"_"&amp;'Saisie de données'!$I$62&amp;"_S")&lt;='Synthèse résultat'!$E79,INDIRECT("Norex6_"&amp;'Saisie de données'!$H$62&amp;"_"&amp;'Saisie de données'!$I$62&amp;"_S"))),'Courbe Déflexion'!$BG$5:$BP$306,10,0)*0.3798*VLOOKUP('Saisie de données'!$F$38,'Menu déroulant'!$AA$22:$AD$24,4,0)</f>
        <v>#N/A</v>
      </c>
      <c r="K79" s="676" t="e" cm="1">
        <f t="array" aca="1" ref="K79" ca="1">VLOOKUP(MAX(IF(INDIRECT("Norex8_"&amp;'Saisie de données'!$H$62&amp;"_"&amp;'Saisie de données'!$I$62&amp;"_S")&lt;='Synthèse résultat'!$E79,INDIRECT("Norex8_"&amp;'Saisie de données'!$H$62&amp;"_"&amp;'Saisie de données'!$I$62&amp;"_S"))),'Courbe Déflexion'!$BR$5:$CA$306,10,0)*0.3798*VLOOKUP('Saisie de données'!$F$38,'Menu déroulant'!$AA$22:$AD$24,4,0)</f>
        <v>#N/A</v>
      </c>
      <c r="L79" s="676" t="e" cm="1">
        <f t="array" aca="1" ref="L79" ca="1">VLOOKUP(MAX(IF(INDIRECT("Noroc4_"&amp;'Saisie de données'!$H$62&amp;"_"&amp;'Saisie de données'!$I$62&amp;"_S")&lt;='Synthèse résultat'!$E79,INDIRECT("Noroc4_"&amp;'Saisie de données'!$H$62&amp;"_"&amp;'Saisie de données'!$I$62&amp;"_S"))),'Courbe Déflexion'!$CC$5:$CL$306,10,0)*0.3798*VLOOKUP('Saisie de données'!$F$38,'Menu déroulant'!$AA$22:$AD$24,4,0)</f>
        <v>#N/A</v>
      </c>
      <c r="M79" s="676" t="e" cm="1">
        <f t="array" aca="1" ref="M79" ca="1">VLOOKUP(MAX(IF(INDIRECT("Noroc5_"&amp;'Saisie de données'!$H$62&amp;"_"&amp;'Saisie de données'!$I$62&amp;"_S")&lt;='Synthèse résultat'!$E79,INDIRECT("Noroc5_"&amp;'Saisie de données'!$H$62&amp;"_"&amp;'Saisie de données'!$I$62&amp;"_S"))),'Courbe Déflexion'!$CN$5:$CW$306,10,0)*0.3798*VLOOKUP('Saisie de données'!$F$38,'Menu déroulant'!$AA$22:$AD$24,4,0)</f>
        <v>#N/A</v>
      </c>
      <c r="N79" s="676" t="e" cm="1">
        <f t="array" aca="1" ref="N79" ca="1">VLOOKUP(MAX(IF(INDIRECT("Noroc6_"&amp;'Saisie de données'!$H$62&amp;"_"&amp;'Saisie de données'!$I$62&amp;"_S")&lt;='Synthèse résultat'!$E79,INDIRECT("Noroc6_"&amp;'Saisie de données'!$H$62&amp;"_"&amp;'Saisie de données'!$I$62&amp;"_S"))),'Courbe Déflexion'!$CY$5:$DH$306,10,0)*0.3798*VLOOKUP('Saisie de données'!$F$38,'Menu déroulant'!$AA$22:$AD$24,4,0)</f>
        <v>#N/A</v>
      </c>
      <c r="O79" s="676" t="e" cm="1">
        <f t="array" aca="1" ref="O79" ca="1">VLOOKUP(MAX(IF(INDIRECT("Noroc8_"&amp;'Saisie de données'!$H$62&amp;"_"&amp;'Saisie de données'!$I$62&amp;"_S")&lt;='Synthèse résultat'!$E79,INDIRECT("Noroc8_"&amp;'Saisie de données'!$H$62&amp;"_"&amp;'Saisie de données'!$I$62&amp;"_S"))),'Courbe Déflexion'!$DJ$5:$DS$306,10,0)*0.3798*VLOOKUP('Saisie de données'!$F$38,'Menu déroulant'!$AA$22:$AD$24,4,0)</f>
        <v>#N/A</v>
      </c>
      <c r="P79" s="677" t="e" cm="1">
        <f t="array" ref="P79">VLOOKUP(MAX(IF('Courbe Déflexion'!DK$5:DK$285&lt;=$E79,'Courbe Déflexion'!DK$5:DK$285)),'Courbe Déflexion'!DK$5:$DS$285,10,0)*0.3798*VLOOKUP('Saisie de données'!$F$38,'Menu déroulant'!$AA$22:$AD$24,4,0)</f>
        <v>#N/A</v>
      </c>
      <c r="Q79" s="678" t="e">
        <f>IF('Saisie de données'!$C$62='Menu déroulant'!$AA$31,VLOOKUP(Q$29,'Infos Techniques'!$B$7:$H$12,2,0)/($E79*'Saisie de données'!$F$62/12),VLOOKUP(Q$29,'Infos Techniques'!$B$7:$H$12,5,0)/($E79*'Saisie de données'!$F$62/12))*VLOOKUP('Saisie de données'!$F$38,'Menu déroulant'!$AA$22:$AD$24,4,0)</f>
        <v>#DIV/0!</v>
      </c>
      <c r="R79" s="678" t="e">
        <f>IF('Saisie de données'!$C$62='Menu déroulant'!$AA$31,VLOOKUP(R$29,'Infos Techniques'!$B$7:$H$12,2,0)/($E79*'Saisie de données'!$F$62/12),VLOOKUP(R$29,'Infos Techniques'!$B$7:$H$12,5,0)/($E79*'Saisie de données'!$F$62/12))*VLOOKUP('Saisie de données'!$F$38,'Menu déroulant'!$AA$22:$AD$24,4,0)</f>
        <v>#DIV/0!</v>
      </c>
      <c r="S79" s="678" t="e">
        <f>IF('Saisie de données'!$C$62='Menu déroulant'!$AA$31,VLOOKUP(S$29,'Infos Techniques'!$B$7:$H$12,2,0)/($E79*'Saisie de données'!$F$62/12),VLOOKUP(S$29,'Infos Techniques'!$B$7:$H$12,5,0)/($E79*'Saisie de données'!$F$62/12))*VLOOKUP('Saisie de données'!$F$38,'Menu déroulant'!$AA$22:$AD$24,4,0)</f>
        <v>#DIV/0!</v>
      </c>
      <c r="T79" s="678" t="e">
        <f>IF('Saisie de données'!$C$62='Menu déroulant'!$AA$31,VLOOKUP(T$29,'Infos Techniques'!$B$7:$H$12,2,0)/($E79*'Saisie de données'!$F$62/12),VLOOKUP(T$29,'Infos Techniques'!$B$7:$H$12,5,0)/($E79*'Saisie de données'!$F$62/12))*VLOOKUP('Saisie de données'!$F$38,'Menu déroulant'!$AA$22:$AD$24,4,0)</f>
        <v>#DIV/0!</v>
      </c>
      <c r="U79" s="678" t="e">
        <f>IF('Saisie de données'!$C$62='Menu déroulant'!$AA$31,VLOOKUP(U$29,'Infos Techniques'!$B$7:$H$12,2,0)/($E79*'Saisie de données'!$F$62/12),VLOOKUP(U$29,'Infos Techniques'!$B$7:$H$12,5,0)/($E79*'Saisie de données'!$F$62/12))*VLOOKUP('Saisie de données'!$F$38,'Menu déroulant'!$AA$22:$AD$24,4,0)</f>
        <v>#DIV/0!</v>
      </c>
      <c r="V79" s="678" t="e">
        <f>IF('Saisie de données'!$C$62='Menu déroulant'!$AA$31,VLOOKUP(V$29,'Infos Techniques'!$B$7:$H$12,4,0)/($E79*'Saisie de données'!$F$62/12),VLOOKUP(V$29,'Infos Techniques'!$B$7:$H$12,7,0)/($E79*'Saisie de données'!$F$62/12))*VLOOKUP('Saisie de données'!$F$38,'Menu déroulant'!$AA$22:$AD$24,4,0)</f>
        <v>#DIV/0!</v>
      </c>
      <c r="W79" s="678" t="e">
        <f>IF('Saisie de données'!$C$62='Menu déroulant'!$AA$31,VLOOKUP(W$29,'Infos Techniques'!$B$7:$H$12,4,0)/($E79*'Saisie de données'!$F$62/12),VLOOKUP(W$29,'Infos Techniques'!$B$7:$H$12,7,0)/($E79*'Saisie de données'!$F$62/12))*VLOOKUP('Saisie de données'!$F$38,'Menu déroulant'!$AA$22:$AD$24,4,0)</f>
        <v>#DIV/0!</v>
      </c>
      <c r="X79" s="678" t="e">
        <f>IF('Saisie de données'!$C$62='Menu déroulant'!$AA$31,VLOOKUP(X$29,'Infos Techniques'!$B$7:$H$12,4,0)/($E79*'Saisie de données'!$F$62/12),VLOOKUP(X$29,'Infos Techniques'!$B$7:$H$12,7,0)/($E79*'Saisie de données'!$F$62/12))*VLOOKUP('Saisie de données'!$F$38,'Menu déroulant'!$AA$22:$AD$24,4,0)</f>
        <v>#DIV/0!</v>
      </c>
      <c r="Y79" s="678" t="e">
        <f>IF('Saisie de données'!$C$62='Menu déroulant'!$AA$31,VLOOKUP(Y$29,'Infos Techniques'!$B$7:$H$12,4,0)/($E79*'Saisie de données'!$F$62/12),VLOOKUP(Y$29,'Infos Techniques'!$B$7:$H$12,7,0)/($E79*'Saisie de données'!$F$62/12))*VLOOKUP('Saisie de données'!$F$38,'Menu déroulant'!$AA$22:$AD$24,4,0)</f>
        <v>#DIV/0!</v>
      </c>
      <c r="Z79" s="679" t="e">
        <f>IF('Saisie de données'!$C$62='Menu déroulant'!$AA$31,VLOOKUP(Z$29,'Infos Techniques'!$B$7:$H$12,4,0)/($E79*'Saisie de données'!$F$62/12),VLOOKUP(Z$29,'Infos Techniques'!$B$7:$H$12,7,0)/($E79*'Saisie de données'!$F$62/12))*VLOOKUP('Saisie de données'!$F$38,'Menu déroulant'!$AA$22:$AD$24,4,0)</f>
        <v>#DIV/0!</v>
      </c>
    </row>
    <row r="82" spans="1:25">
      <c r="B82" s="1562" t="s">
        <v>349</v>
      </c>
      <c r="C82" s="1562"/>
      <c r="D82" s="1562"/>
      <c r="E82" s="1562"/>
      <c r="F82" s="1562"/>
      <c r="G82" s="1562"/>
      <c r="K82" s="1562" t="s">
        <v>350</v>
      </c>
      <c r="L82" s="1562"/>
      <c r="M82" s="1562"/>
      <c r="N82" s="1562"/>
      <c r="O82" s="1562"/>
      <c r="P82" s="1562"/>
      <c r="T82" s="1562" t="s">
        <v>351</v>
      </c>
      <c r="U82" s="1562"/>
      <c r="V82" s="1562"/>
      <c r="W82" s="1562"/>
      <c r="X82" s="1562"/>
      <c r="Y82" s="1562"/>
    </row>
    <row r="83" spans="1:25" ht="15" thickBot="1">
      <c r="B83" s="1563"/>
      <c r="C83" s="1563"/>
      <c r="D83" s="1563"/>
      <c r="E83" s="1563"/>
      <c r="F83" s="1563"/>
      <c r="G83" s="1563"/>
      <c r="K83" s="1563"/>
      <c r="L83" s="1563"/>
      <c r="M83" s="1563"/>
      <c r="N83" s="1563"/>
      <c r="O83" s="1563"/>
      <c r="P83" s="1563"/>
      <c r="T83" s="1563"/>
      <c r="U83" s="1563"/>
      <c r="V83" s="1563"/>
      <c r="W83" s="1563"/>
      <c r="X83" s="1563"/>
      <c r="Y83" s="1563"/>
    </row>
    <row r="84" spans="1:25">
      <c r="B84" s="1564" t="s">
        <v>48</v>
      </c>
      <c r="C84" s="1565"/>
      <c r="D84" s="1565" t="s">
        <v>54</v>
      </c>
      <c r="E84" s="1565"/>
      <c r="F84" s="1565" t="s">
        <v>55</v>
      </c>
      <c r="G84" s="1566"/>
      <c r="K84" s="1564" t="s">
        <v>48</v>
      </c>
      <c r="L84" s="1565"/>
      <c r="M84" s="1565" t="s">
        <v>54</v>
      </c>
      <c r="N84" s="1565"/>
      <c r="O84" s="1565" t="s">
        <v>55</v>
      </c>
      <c r="P84" s="1566"/>
      <c r="T84" s="1564" t="s">
        <v>48</v>
      </c>
      <c r="U84" s="1565"/>
      <c r="V84" s="1565" t="s">
        <v>54</v>
      </c>
      <c r="W84" s="1565"/>
      <c r="X84" s="1565" t="s">
        <v>55</v>
      </c>
      <c r="Y84" s="1566"/>
    </row>
    <row r="85" spans="1:25">
      <c r="B85" s="514" t="s">
        <v>342</v>
      </c>
      <c r="C85" s="28" t="s">
        <v>343</v>
      </c>
      <c r="D85" s="28" t="s">
        <v>342</v>
      </c>
      <c r="E85" s="28" t="s">
        <v>343</v>
      </c>
      <c r="F85" s="28" t="s">
        <v>342</v>
      </c>
      <c r="G85" s="452" t="s">
        <v>343</v>
      </c>
      <c r="H85" s="129"/>
      <c r="I85" s="129"/>
      <c r="K85" s="514" t="s">
        <v>342</v>
      </c>
      <c r="L85" s="28" t="s">
        <v>343</v>
      </c>
      <c r="M85" s="28" t="s">
        <v>342</v>
      </c>
      <c r="N85" s="28" t="s">
        <v>343</v>
      </c>
      <c r="O85" s="28" t="s">
        <v>342</v>
      </c>
      <c r="P85" s="452" t="s">
        <v>343</v>
      </c>
      <c r="T85" s="514" t="s">
        <v>342</v>
      </c>
      <c r="U85" s="28" t="s">
        <v>343</v>
      </c>
      <c r="V85" s="28" t="s">
        <v>342</v>
      </c>
      <c r="W85" s="28" t="s">
        <v>343</v>
      </c>
      <c r="X85" s="28" t="s">
        <v>342</v>
      </c>
      <c r="Y85" s="452" t="s">
        <v>343</v>
      </c>
    </row>
    <row r="86" spans="1:25">
      <c r="A86" t="s">
        <v>352</v>
      </c>
      <c r="B86" s="572">
        <f ca="1">HLOOKUP('Saisie de données'!$C$60&amp;'Saisie de données'!$E$60,'Synthèse résultat'!$F$10:$O$22,2)</f>
        <v>100000</v>
      </c>
      <c r="C86" s="573">
        <f ca="1">HLOOKUP('Saisie de données'!$C$60&amp;'Saisie de données'!$E$60,'Synthèse résultat'!$F$10:$O$22,3)</f>
        <v>100000</v>
      </c>
      <c r="D86" s="573">
        <f ca="1">HLOOKUP('Saisie de données'!$C$61&amp;'Saisie de données'!$E$61,'Synthèse résultat'!$F$10:$O$22,6)</f>
        <v>100000</v>
      </c>
      <c r="E86" s="573">
        <f ca="1">HLOOKUP('Saisie de données'!C61&amp;'Saisie de données'!E61,'Synthèse résultat'!$F$10:$O$22,7)</f>
        <v>100000</v>
      </c>
      <c r="F86" s="573">
        <f ca="1">HLOOKUP('Saisie de données'!C62&amp;'Saisie de données'!E62,'Synthèse résultat'!$F$10:$O$22,10)</f>
        <v>100000</v>
      </c>
      <c r="G86" s="538">
        <f ca="1">HLOOKUP('Saisie de données'!C62&amp;'Saisie de données'!E62,'Synthèse résultat'!$F$10:$O$22,11)</f>
        <v>100000</v>
      </c>
      <c r="H86" s="423"/>
      <c r="I86" s="423"/>
      <c r="J86" t="s">
        <v>352</v>
      </c>
      <c r="K86" s="715" t="e">
        <f ca="1">HLOOKUP('Saisie de données'!C60&amp;'Saisie de données'!E60,'Synthèse résultat'!$AA$10:$AH$22,2,0)</f>
        <v>#NAME?</v>
      </c>
      <c r="L86" s="716" t="e">
        <f ca="1">HLOOKUP('Saisie de données'!C60&amp;'Saisie de données'!E60,'Synthèse résultat'!$AA$10:$AH$22,3,0)</f>
        <v>#NAME?</v>
      </c>
      <c r="M86" s="716" t="e">
        <f ca="1">HLOOKUP('Saisie de données'!C61&amp;'Saisie de données'!E61,'Synthèse résultat'!$AA$10:$AH$22,6,0)</f>
        <v>#N/A</v>
      </c>
      <c r="N86" s="716" t="e">
        <f ca="1">HLOOKUP('Saisie de données'!C61&amp;'Saisie de données'!E61,'Synthèse résultat'!$AA$10:$AH$22,7,0)</f>
        <v>#N/A</v>
      </c>
      <c r="O86" s="716" t="e">
        <f ca="1">HLOOKUP('Saisie de données'!C62&amp;'Saisie de données'!E62,'Synthèse résultat'!$AA$10:$AH$22,10,0)</f>
        <v>#N/A</v>
      </c>
      <c r="P86" s="536" t="e">
        <f ca="1">HLOOKUP('Saisie de données'!C62&amp;'Saisie de données'!E62,'Synthèse résultat'!$AA$10:$AH$22,11,0)</f>
        <v>#N/A</v>
      </c>
      <c r="S86" t="s">
        <v>352</v>
      </c>
      <c r="T86" s="715" t="e">
        <f ca="1">HLOOKUP('Saisie de données'!C60&amp;'Saisie de données'!E60,'Synthèse résultat'!$AI$10:$AP$22,2,0)</f>
        <v>#N/A</v>
      </c>
      <c r="U86" s="716" t="e">
        <f ca="1">HLOOKUP('Saisie de données'!C60&amp;'Saisie de données'!E60,'Synthèse résultat'!$AI$10:$AP$22,3,0)</f>
        <v>#N/A</v>
      </c>
      <c r="V86" s="716" t="e">
        <f ca="1">HLOOKUP('Saisie de données'!C61&amp;'Saisie de données'!E61,'Synthèse résultat'!$AI$10:$AP$22,6,0)</f>
        <v>#N/A</v>
      </c>
      <c r="W86" s="716" t="e">
        <f ca="1">HLOOKUP('Saisie de données'!C61&amp;'Saisie de données'!E61,'Synthèse résultat'!$AI$10:$AP$22,7,0)</f>
        <v>#N/A</v>
      </c>
      <c r="X86" s="716" t="e">
        <f ca="1">HLOOKUP('Saisie de données'!C62&amp;'Saisie de données'!E62,'Synthèse résultat'!$AI$10:$AP$22,10,0)</f>
        <v>#N/A</v>
      </c>
      <c r="Y86" s="536" t="e">
        <f ca="1">HLOOKUP('Saisie de données'!C62&amp;'Saisie de données'!E62,'Synthèse résultat'!$AI$10:$AP$22,11,0)</f>
        <v>#N/A</v>
      </c>
    </row>
    <row r="87" spans="1:25" ht="15" thickBot="1">
      <c r="A87" t="s">
        <v>353</v>
      </c>
      <c r="B87" s="574">
        <f ca="1">HLOOKUP('Saisie de données'!$C$60&amp;'Saisie de données'!$E$60,'Synthèse résultat'!$F$10:$O$22,4)</f>
        <v>100000</v>
      </c>
      <c r="C87" s="575">
        <f ca="1">HLOOKUP('Saisie de données'!$C$60&amp;'Saisie de données'!$E$60,'Synthèse résultat'!$F$10:$O$22,5)</f>
        <v>100000</v>
      </c>
      <c r="D87" s="575">
        <f ca="1">HLOOKUP('Saisie de données'!C61&amp;'Saisie de données'!E61,'Synthèse résultat'!$F$10:$O$22,8)</f>
        <v>100000</v>
      </c>
      <c r="E87" s="575">
        <f ca="1">HLOOKUP('Saisie de données'!C61&amp;'Saisie de données'!E61,'Synthèse résultat'!$F$10:$O$22,9)</f>
        <v>100000</v>
      </c>
      <c r="F87" s="575">
        <f ca="1">HLOOKUP('Saisie de données'!C62&amp;'Saisie de données'!E62,'Synthèse résultat'!$F$10:$O$22,12)</f>
        <v>100000</v>
      </c>
      <c r="G87" s="576">
        <f ca="1">HLOOKUP('Saisie de données'!C62&amp;'Saisie de données'!E62,'Synthèse résultat'!$F$10:$O$22,13)</f>
        <v>100000</v>
      </c>
      <c r="H87" s="423"/>
      <c r="I87" s="423"/>
      <c r="J87" t="s">
        <v>353</v>
      </c>
      <c r="K87" s="717" t="e">
        <f ca="1">HLOOKUP('Saisie de données'!C60&amp;'Saisie de données'!E60,'Synthèse résultat'!$AA$10:$AH$22,4,0)</f>
        <v>#NAME?</v>
      </c>
      <c r="L87" s="718" t="e">
        <f ca="1">HLOOKUP('Saisie de données'!C60&amp;'Saisie de données'!E60,'Synthèse résultat'!$AA$10:$AH$22,5,0)</f>
        <v>#NAME?</v>
      </c>
      <c r="M87" s="718" t="e">
        <f ca="1">HLOOKUP('Saisie de données'!C61&amp;'Saisie de données'!E61,'Synthèse résultat'!$AA$10:$AH$22,8,0)</f>
        <v>#VALUE!</v>
      </c>
      <c r="N87" s="718" t="e">
        <f ca="1">HLOOKUP('Saisie de données'!C61&amp;'Saisie de données'!E61,'Synthèse résultat'!$AA$10:$AH$22,9,0)</f>
        <v>#VALUE!</v>
      </c>
      <c r="O87" s="718" t="e">
        <f ca="1">HLOOKUP('Saisie de données'!C62&amp;'Saisie de données'!E62,'Synthèse résultat'!$AA$10:$AH$22,12,0)</f>
        <v>#N/A</v>
      </c>
      <c r="P87" s="719" t="e">
        <f ca="1">HLOOKUP('Saisie de données'!C62&amp;'Saisie de données'!E62,'Synthèse résultat'!$AA$10:$AH$22,13,0)</f>
        <v>#N/A</v>
      </c>
      <c r="S87" t="s">
        <v>353</v>
      </c>
      <c r="T87" s="717" t="e">
        <f ca="1">HLOOKUP('Saisie de données'!C60&amp;'Saisie de données'!E60,'Synthèse résultat'!$AI$10:$AP$22,4,0)</f>
        <v>#VALUE!</v>
      </c>
      <c r="U87" s="718" t="e">
        <f ca="1">HLOOKUP('Saisie de données'!C60&amp;'Saisie de données'!E60,'Synthèse résultat'!$AI$10:$AP$22,5,0)</f>
        <v>#VALUE!</v>
      </c>
      <c r="V87" s="718" t="e">
        <f ca="1">HLOOKUP('Saisie de données'!C61&amp;'Saisie de données'!E61,'Synthèse résultat'!$AI$10:$AP$22,8,0)</f>
        <v>#VALUE!</v>
      </c>
      <c r="W87" s="718" t="e">
        <f ca="1">HLOOKUP('Saisie de données'!C61&amp;'Saisie de données'!E61,'Synthèse résultat'!$AI$10:$AP$22,9,0)</f>
        <v>#VALUE!</v>
      </c>
      <c r="X87" s="718" t="e">
        <f ca="1">HLOOKUP('Saisie de données'!C62&amp;'Saisie de données'!E62,'Synthèse résultat'!$AI$10:$AP$22,12,0)</f>
        <v>#N/A</v>
      </c>
      <c r="Y87" s="719" t="e">
        <f ca="1">HLOOKUP('Saisie de données'!C62&amp;'Saisie de données'!E62,'Synthèse résultat'!$AI$10:$AP$22,13,0)</f>
        <v>#N/A</v>
      </c>
    </row>
    <row r="88" spans="1:25">
      <c r="G88" s="322"/>
    </row>
  </sheetData>
  <sheetProtection algorithmName="SHA-512" hashValue="TGicYli4u5/o8xHiJ5peE2tbrDxR2dTMTZZmLdhGZV1zxeeS5NWi02hF4irP2lOlVf7mN2HWJRz0ACn3m1PKfw==" saltValue="J2xh59TJrkvE/3fmKkXVww==" spinCount="100000" sheet="1" objects="1" scenarios="1"/>
  <mergeCells count="86">
    <mergeCell ref="AA8:AP8"/>
    <mergeCell ref="AA9:AH9"/>
    <mergeCell ref="AI9:AP9"/>
    <mergeCell ref="P8:P9"/>
    <mergeCell ref="Q8:Z8"/>
    <mergeCell ref="Q9:U9"/>
    <mergeCell ref="V9:Z9"/>
    <mergeCell ref="AA27:AP27"/>
    <mergeCell ref="AA28:AH28"/>
    <mergeCell ref="AI28:AP28"/>
    <mergeCell ref="AA47:AP47"/>
    <mergeCell ref="AA48:AH48"/>
    <mergeCell ref="AI48:AP48"/>
    <mergeCell ref="B54:B57"/>
    <mergeCell ref="B58:B61"/>
    <mergeCell ref="P47:P48"/>
    <mergeCell ref="C54:C55"/>
    <mergeCell ref="C56:C57"/>
    <mergeCell ref="C58:C59"/>
    <mergeCell ref="C60:C61"/>
    <mergeCell ref="B50:B53"/>
    <mergeCell ref="C50:C51"/>
    <mergeCell ref="C52:C53"/>
    <mergeCell ref="Q47:Z47"/>
    <mergeCell ref="Q48:U48"/>
    <mergeCell ref="V48:Z48"/>
    <mergeCell ref="P27:P28"/>
    <mergeCell ref="Q27:Z27"/>
    <mergeCell ref="Q28:U28"/>
    <mergeCell ref="V28:Z28"/>
    <mergeCell ref="F27:O28"/>
    <mergeCell ref="F47:O48"/>
    <mergeCell ref="C36:C37"/>
    <mergeCell ref="E47:E49"/>
    <mergeCell ref="B47:D49"/>
    <mergeCell ref="B8:D10"/>
    <mergeCell ref="B11:B14"/>
    <mergeCell ref="C11:C12"/>
    <mergeCell ref="C13:C14"/>
    <mergeCell ref="B15:B18"/>
    <mergeCell ref="C15:C16"/>
    <mergeCell ref="C17:C18"/>
    <mergeCell ref="B3:G4"/>
    <mergeCell ref="B38:B41"/>
    <mergeCell ref="C38:C39"/>
    <mergeCell ref="C40:C41"/>
    <mergeCell ref="B27:D29"/>
    <mergeCell ref="E27:E29"/>
    <mergeCell ref="B19:B22"/>
    <mergeCell ref="C19:C20"/>
    <mergeCell ref="C21:C22"/>
    <mergeCell ref="E8:E10"/>
    <mergeCell ref="B30:B33"/>
    <mergeCell ref="C30:C31"/>
    <mergeCell ref="C32:C33"/>
    <mergeCell ref="B34:B37"/>
    <mergeCell ref="C34:C35"/>
    <mergeCell ref="F8:O9"/>
    <mergeCell ref="B65:D67"/>
    <mergeCell ref="E65:E67"/>
    <mergeCell ref="F65:O66"/>
    <mergeCell ref="P65:P66"/>
    <mergeCell ref="Q65:Z65"/>
    <mergeCell ref="Q66:U66"/>
    <mergeCell ref="V66:Z66"/>
    <mergeCell ref="B68:B71"/>
    <mergeCell ref="C68:C69"/>
    <mergeCell ref="C70:C71"/>
    <mergeCell ref="B72:B75"/>
    <mergeCell ref="C72:C73"/>
    <mergeCell ref="C74:C75"/>
    <mergeCell ref="T82:Y83"/>
    <mergeCell ref="T84:U84"/>
    <mergeCell ref="V84:W84"/>
    <mergeCell ref="X84:Y84"/>
    <mergeCell ref="B76:B79"/>
    <mergeCell ref="C76:C77"/>
    <mergeCell ref="C78:C79"/>
    <mergeCell ref="B84:C84"/>
    <mergeCell ref="D84:E84"/>
    <mergeCell ref="F84:G84"/>
    <mergeCell ref="K84:L84"/>
    <mergeCell ref="M84:N84"/>
    <mergeCell ref="O84:P84"/>
    <mergeCell ref="B82:G83"/>
    <mergeCell ref="K82:P83"/>
  </mergeCells>
  <phoneticPr fontId="33" type="noConversion"/>
  <conditionalFormatting sqref="H86:I87">
    <cfRule type="cellIs" dxfId="165" priority="1" operator="equal">
      <formula>$P$19</formula>
    </cfRule>
  </conditionalFormatting>
  <dataValidations count="1">
    <dataValidation type="decimal" operator="lessThanOrEqual" allowBlank="1" showInputMessage="1" showErrorMessage="1" sqref="B43" xr:uid="{EA3931CD-D993-45FA-A226-0907BFBC8154}">
      <formula1>84</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2520D-700E-45A9-87D3-F244469B0195}">
  <sheetPr published="0" codeName="Feuil111"/>
  <dimension ref="A1:AT219"/>
  <sheetViews>
    <sheetView workbookViewId="0">
      <selection activeCell="B3" sqref="B3:K6"/>
    </sheetView>
  </sheetViews>
  <sheetFormatPr defaultColWidth="11.42578125" defaultRowHeight="14.45"/>
  <cols>
    <col min="2" max="2" width="15.42578125" customWidth="1"/>
    <col min="11" max="11" width="11" customWidth="1"/>
    <col min="21" max="21" width="27.5703125" customWidth="1"/>
    <col min="23" max="23" width="27.7109375" customWidth="1"/>
    <col min="24" max="24" width="12.28515625" customWidth="1"/>
    <col min="25" max="25" width="14" customWidth="1"/>
    <col min="26" max="26" width="20.42578125" customWidth="1"/>
    <col min="27" max="27" width="15.42578125" customWidth="1"/>
    <col min="28" max="28" width="18.5703125" customWidth="1"/>
    <col min="29" max="29" width="20.7109375" customWidth="1"/>
    <col min="30" max="30" width="20.5703125" customWidth="1"/>
    <col min="31" max="31" width="20.7109375" customWidth="1"/>
    <col min="32" max="32" width="20.85546875" customWidth="1"/>
    <col min="33" max="33" width="20.7109375" customWidth="1"/>
    <col min="34" max="37" width="20.5703125" customWidth="1"/>
    <col min="39" max="41" width="11" style="129"/>
    <col min="45" max="45" width="13.7109375" customWidth="1"/>
    <col min="46" max="46" width="17" customWidth="1"/>
  </cols>
  <sheetData>
    <row r="1" spans="1:46" ht="15" thickTop="1">
      <c r="A1" s="1562" t="s">
        <v>354</v>
      </c>
      <c r="B1" s="1562"/>
      <c r="C1" s="1562"/>
      <c r="D1" s="1562"/>
      <c r="E1" s="1562"/>
      <c r="F1" s="1562"/>
      <c r="G1" s="1562"/>
      <c r="H1" s="1562"/>
      <c r="I1" s="1562"/>
      <c r="J1" s="1562"/>
      <c r="K1" s="1562"/>
      <c r="AM1" s="1623" t="s">
        <v>355</v>
      </c>
      <c r="AN1" s="1624"/>
      <c r="AO1" s="1625"/>
    </row>
    <row r="2" spans="1:46">
      <c r="A2" s="1562"/>
      <c r="B2" s="1562"/>
      <c r="C2" s="1562"/>
      <c r="D2" s="1562"/>
      <c r="E2" s="1562"/>
      <c r="F2" s="1562"/>
      <c r="G2" s="1562"/>
      <c r="H2" s="1562"/>
      <c r="I2" s="1562"/>
      <c r="J2" s="1562"/>
      <c r="K2" s="1562"/>
      <c r="AC2" s="1397"/>
      <c r="AD2" s="1397"/>
      <c r="AE2" s="1397"/>
      <c r="AF2" s="1397"/>
      <c r="AG2" s="1397"/>
      <c r="AH2" s="1397"/>
      <c r="AI2" s="129"/>
      <c r="AJ2" s="129"/>
      <c r="AK2" s="129"/>
      <c r="AM2" s="1626"/>
      <c r="AN2" s="1627"/>
      <c r="AO2" s="1628"/>
    </row>
    <row r="3" spans="1:46" ht="15" thickBot="1">
      <c r="B3" s="1666" t="s">
        <v>106</v>
      </c>
      <c r="C3" s="1667" t="s">
        <v>356</v>
      </c>
      <c r="D3" s="1667"/>
      <c r="E3" s="1667"/>
      <c r="F3" s="1667" t="s">
        <v>357</v>
      </c>
      <c r="G3" s="1667"/>
      <c r="H3" s="1667"/>
      <c r="I3" s="1668" t="s">
        <v>358</v>
      </c>
      <c r="J3" s="1668"/>
      <c r="K3" s="1668"/>
      <c r="AC3" s="1397"/>
      <c r="AD3" s="1397"/>
      <c r="AE3" s="1397"/>
      <c r="AF3" s="1397"/>
      <c r="AG3" s="1397"/>
      <c r="AH3" s="1397"/>
      <c r="AI3" s="129"/>
      <c r="AJ3" s="129"/>
      <c r="AK3" s="129"/>
      <c r="AM3" s="258" t="s">
        <v>314</v>
      </c>
      <c r="AN3" s="28" t="s">
        <v>154</v>
      </c>
      <c r="AO3" s="40" t="s">
        <v>155</v>
      </c>
    </row>
    <row r="4" spans="1:46" ht="18" customHeight="1" thickTop="1">
      <c r="B4" s="1666"/>
      <c r="C4" s="1113" t="s">
        <v>359</v>
      </c>
      <c r="D4" s="1113"/>
      <c r="E4" s="1603" t="s">
        <v>360</v>
      </c>
      <c r="F4" s="1113" t="s">
        <v>359</v>
      </c>
      <c r="G4" s="1113"/>
      <c r="H4" s="1603" t="s">
        <v>360</v>
      </c>
      <c r="I4" s="28"/>
      <c r="J4" s="28" t="s">
        <v>361</v>
      </c>
      <c r="K4" s="28" t="s">
        <v>362</v>
      </c>
      <c r="M4" s="1652" t="s">
        <v>363</v>
      </c>
      <c r="N4" s="1653"/>
      <c r="O4" s="1653"/>
      <c r="P4" s="1654"/>
      <c r="AA4" s="1332"/>
      <c r="AB4" s="1632"/>
      <c r="AC4" s="1332"/>
      <c r="AD4" s="1332"/>
      <c r="AE4" s="1332"/>
      <c r="AF4" s="1332"/>
      <c r="AG4" s="1332"/>
      <c r="AH4" s="1332"/>
      <c r="AI4" s="132"/>
      <c r="AJ4" s="132"/>
      <c r="AK4" s="132"/>
      <c r="AM4" s="258">
        <v>1</v>
      </c>
      <c r="AN4" s="342">
        <v>6.9999900000000004</v>
      </c>
      <c r="AO4" s="813">
        <v>9.9999900000000004</v>
      </c>
      <c r="AS4" s="793"/>
      <c r="AT4" s="15"/>
    </row>
    <row r="5" spans="1:46" ht="18" customHeight="1">
      <c r="B5" s="1666"/>
      <c r="C5" s="28"/>
      <c r="D5" s="28"/>
      <c r="E5" s="1603"/>
      <c r="F5" s="28"/>
      <c r="G5" s="28"/>
      <c r="H5" s="1603"/>
      <c r="I5" s="28" t="s">
        <v>323</v>
      </c>
      <c r="J5" s="28">
        <v>441</v>
      </c>
      <c r="K5" s="28">
        <v>773</v>
      </c>
      <c r="M5" s="1655"/>
      <c r="N5" s="1562"/>
      <c r="O5" s="1562"/>
      <c r="P5" s="1656"/>
      <c r="AA5" s="1332"/>
      <c r="AB5" s="1632"/>
      <c r="AC5" s="1332"/>
      <c r="AD5" s="1332"/>
      <c r="AE5" s="1332"/>
      <c r="AF5" s="1332"/>
      <c r="AG5" s="1332"/>
      <c r="AH5" s="1332"/>
      <c r="AI5" s="132"/>
      <c r="AJ5" s="132"/>
      <c r="AK5" s="132"/>
      <c r="AM5" s="258">
        <v>2</v>
      </c>
      <c r="AN5" s="342">
        <v>6.9999900000000004</v>
      </c>
      <c r="AO5" s="813">
        <v>9.9999900000000004</v>
      </c>
      <c r="AS5" s="793"/>
      <c r="AT5" s="15"/>
    </row>
    <row r="6" spans="1:46" ht="18" customHeight="1" thickBot="1">
      <c r="B6" s="1666"/>
      <c r="C6" s="28" t="s">
        <v>364</v>
      </c>
      <c r="D6" s="28" t="s">
        <v>365</v>
      </c>
      <c r="E6" s="1603"/>
      <c r="F6" s="28" t="s">
        <v>364</v>
      </c>
      <c r="G6" s="28" t="s">
        <v>365</v>
      </c>
      <c r="H6" s="1603"/>
      <c r="I6" s="28" t="s">
        <v>324</v>
      </c>
      <c r="J6" s="28">
        <v>441</v>
      </c>
      <c r="K6" s="28">
        <v>773</v>
      </c>
      <c r="M6" s="787" t="s">
        <v>366</v>
      </c>
      <c r="N6" s="788">
        <f>IF('Saisie de données'!$D$16='Menu déroulant'!$B$21,('Saisie de données'!$D$38/(MIN('Saisie de données'!D36,'Saisie de données'!J36))),('Saisie de données'!$D$38/(MIN('Saisie de données'!AF65:AG68))))</f>
        <v>0.36249999999999999</v>
      </c>
      <c r="O6" s="789" t="s">
        <v>367</v>
      </c>
      <c r="P6" s="790">
        <f>IF('Saisie de données'!$D$16='Menu déroulant'!$B$21,'Saisie de données'!D38/AVERAGE('Saisie de données'!D36,'Saisie de données'!J36),'Saisie de données'!D38/AVERAGE('Saisie de données'!AF65:AG68))</f>
        <v>0.36249999999999999</v>
      </c>
      <c r="AA6" s="1332"/>
      <c r="AB6" s="129"/>
      <c r="AC6" s="129"/>
      <c r="AD6" s="129"/>
      <c r="AE6" s="129"/>
      <c r="AF6" s="129"/>
      <c r="AG6" s="129"/>
      <c r="AH6" s="129"/>
      <c r="AI6" s="129"/>
      <c r="AJ6" s="129"/>
      <c r="AK6" s="129"/>
      <c r="AM6" s="258">
        <v>3</v>
      </c>
      <c r="AN6" s="342">
        <v>6.9999900000000004</v>
      </c>
      <c r="AO6" s="813">
        <v>9.9999900000000004</v>
      </c>
      <c r="AS6" s="793"/>
      <c r="AT6" s="15"/>
    </row>
    <row r="7" spans="1:46" ht="15" thickTop="1">
      <c r="A7" s="28">
        <v>0.25</v>
      </c>
      <c r="B7" s="28">
        <v>0.25</v>
      </c>
      <c r="C7" s="28">
        <v>1200</v>
      </c>
      <c r="D7" s="28">
        <v>1000</v>
      </c>
      <c r="E7" s="28">
        <v>1500</v>
      </c>
      <c r="F7" s="28">
        <v>750</v>
      </c>
      <c r="G7" s="28" t="s">
        <v>368</v>
      </c>
      <c r="H7" s="28">
        <v>1000</v>
      </c>
      <c r="I7" s="28" t="s">
        <v>325</v>
      </c>
      <c r="J7" s="28">
        <v>441</v>
      </c>
      <c r="K7" s="28">
        <v>899</v>
      </c>
      <c r="AA7" s="1332"/>
      <c r="AB7" s="129"/>
      <c r="AC7" s="129"/>
      <c r="AD7" s="129"/>
      <c r="AE7" s="129"/>
      <c r="AF7" s="129"/>
      <c r="AG7" s="129"/>
      <c r="AH7" s="129"/>
      <c r="AI7" s="129"/>
      <c r="AJ7" s="129"/>
      <c r="AK7" s="129"/>
      <c r="AM7" s="258">
        <v>4</v>
      </c>
      <c r="AN7" s="342">
        <v>6.9999900000000004</v>
      </c>
      <c r="AO7" s="813">
        <v>9.9999900000000004</v>
      </c>
      <c r="AS7" s="793"/>
      <c r="AT7" s="15"/>
    </row>
    <row r="8" spans="1:46">
      <c r="A8" s="28">
        <v>0.1875</v>
      </c>
      <c r="B8" s="28">
        <v>0.1875</v>
      </c>
      <c r="C8" s="28">
        <v>1200</v>
      </c>
      <c r="D8" s="28">
        <v>1000</v>
      </c>
      <c r="E8" s="28">
        <v>1500</v>
      </c>
      <c r="F8" s="28">
        <v>750</v>
      </c>
      <c r="G8" s="28" t="s">
        <v>368</v>
      </c>
      <c r="H8" s="28">
        <v>1000</v>
      </c>
      <c r="I8" s="28" t="s">
        <v>326</v>
      </c>
      <c r="J8" s="28">
        <v>441</v>
      </c>
      <c r="K8" s="28">
        <v>899</v>
      </c>
      <c r="M8" s="1661" t="s">
        <v>369</v>
      </c>
      <c r="N8" s="1661"/>
      <c r="O8" s="305">
        <f>IF('Saisie de données'!$K$16='Menu déroulant'!$AA$55,'Saisie de données'!$D$38*'Menu déroulant'!$AE$24,'Saisie de données'!$D$38)</f>
        <v>29</v>
      </c>
      <c r="P8" s="305" t="s">
        <v>92</v>
      </c>
      <c r="Q8" s="746"/>
      <c r="R8" s="746"/>
      <c r="S8" s="746"/>
      <c r="AA8" s="1332"/>
      <c r="AB8" s="129"/>
      <c r="AC8" s="129"/>
      <c r="AD8" s="129"/>
      <c r="AE8" s="129"/>
      <c r="AF8" s="129"/>
      <c r="AG8" s="129"/>
      <c r="AH8" s="129"/>
      <c r="AI8" s="129"/>
      <c r="AJ8" s="129"/>
      <c r="AK8" s="129"/>
      <c r="AM8" s="258">
        <v>5</v>
      </c>
      <c r="AN8" s="342">
        <v>6.9999900000000004</v>
      </c>
      <c r="AO8" s="813">
        <v>9.9999900000000004</v>
      </c>
      <c r="AS8" s="129"/>
      <c r="AT8" s="129"/>
    </row>
    <row r="9" spans="1:46">
      <c r="A9" s="29" t="s">
        <v>370</v>
      </c>
      <c r="B9" s="29" t="s">
        <v>334</v>
      </c>
      <c r="C9" s="28">
        <f>1200</f>
        <v>1200</v>
      </c>
      <c r="D9" s="28">
        <v>690</v>
      </c>
      <c r="E9" s="28">
        <v>1500</v>
      </c>
      <c r="F9" s="28">
        <v>750</v>
      </c>
      <c r="G9" s="28" t="s">
        <v>368</v>
      </c>
      <c r="H9" s="28">
        <v>1000</v>
      </c>
      <c r="I9" s="28" t="s">
        <v>327</v>
      </c>
      <c r="J9" s="28" t="s">
        <v>371</v>
      </c>
      <c r="K9" s="28">
        <v>899</v>
      </c>
      <c r="P9" s="760"/>
      <c r="S9" s="15"/>
      <c r="AA9" s="1332"/>
      <c r="AB9" s="129"/>
      <c r="AC9" s="129"/>
      <c r="AD9" s="129"/>
      <c r="AE9" s="129"/>
      <c r="AF9" s="129"/>
      <c r="AG9" s="129"/>
      <c r="AH9" s="129"/>
      <c r="AI9" s="129"/>
      <c r="AJ9" s="129"/>
      <c r="AK9" s="129"/>
      <c r="AM9" s="258">
        <v>6</v>
      </c>
      <c r="AN9" s="342">
        <v>6.9999900000000004</v>
      </c>
      <c r="AO9" s="813">
        <v>9.9999900000000004</v>
      </c>
      <c r="AS9" s="129"/>
      <c r="AT9" s="129"/>
    </row>
    <row r="10" spans="1:46">
      <c r="A10" s="29" t="s">
        <v>372</v>
      </c>
      <c r="B10" s="29" t="s">
        <v>335</v>
      </c>
      <c r="C10" s="28">
        <v>1160</v>
      </c>
      <c r="D10" s="28">
        <v>580</v>
      </c>
      <c r="E10" s="28">
        <v>1500</v>
      </c>
      <c r="F10" s="28">
        <v>750</v>
      </c>
      <c r="G10" s="28" t="s">
        <v>368</v>
      </c>
      <c r="H10" s="28">
        <v>1000</v>
      </c>
      <c r="I10" s="28" t="s">
        <v>329</v>
      </c>
      <c r="J10" s="28">
        <v>441</v>
      </c>
      <c r="K10" s="28">
        <v>700</v>
      </c>
      <c r="P10" s="760"/>
      <c r="Q10" s="129"/>
      <c r="R10" s="129"/>
      <c r="S10" s="15"/>
      <c r="AM10" s="258">
        <v>7</v>
      </c>
      <c r="AN10" s="342">
        <v>6.9999900000000004</v>
      </c>
      <c r="AO10" s="813">
        <v>9.9999900000000004</v>
      </c>
      <c r="AS10" s="132"/>
      <c r="AT10" s="129"/>
    </row>
    <row r="11" spans="1:46">
      <c r="A11" s="29" t="s">
        <v>373</v>
      </c>
      <c r="B11" s="29" t="s">
        <v>336</v>
      </c>
      <c r="C11" s="28">
        <v>829</v>
      </c>
      <c r="D11" s="28">
        <v>414</v>
      </c>
      <c r="E11" s="28">
        <f>C11</f>
        <v>829</v>
      </c>
      <c r="F11" s="28">
        <v>750</v>
      </c>
      <c r="G11" s="28" t="s">
        <v>374</v>
      </c>
      <c r="H11" s="28">
        <f>F11</f>
        <v>750</v>
      </c>
      <c r="I11" s="28" t="s">
        <v>330</v>
      </c>
      <c r="J11" s="28">
        <v>441</v>
      </c>
      <c r="K11" s="28">
        <v>700</v>
      </c>
      <c r="P11" s="760"/>
      <c r="Q11" s="129"/>
      <c r="R11" s="129"/>
      <c r="S11" s="15"/>
      <c r="AM11" s="258">
        <v>8</v>
      </c>
      <c r="AN11" s="342">
        <v>6.9999900000000004</v>
      </c>
      <c r="AO11" s="813">
        <v>9.9999900000000004</v>
      </c>
      <c r="AS11" s="132"/>
      <c r="AT11" s="129"/>
    </row>
    <row r="12" spans="1:46">
      <c r="A12" s="29" t="s">
        <v>375</v>
      </c>
      <c r="B12" s="29" t="s">
        <v>337</v>
      </c>
      <c r="C12" s="28">
        <v>663</v>
      </c>
      <c r="D12" s="28">
        <v>331</v>
      </c>
      <c r="E12" s="28">
        <f>C12</f>
        <v>663</v>
      </c>
      <c r="F12" s="28">
        <v>663</v>
      </c>
      <c r="G12" s="28" t="s">
        <v>368</v>
      </c>
      <c r="H12" s="28">
        <f>F12</f>
        <v>663</v>
      </c>
      <c r="I12" s="28" t="s">
        <v>331</v>
      </c>
      <c r="J12" s="28" t="s">
        <v>371</v>
      </c>
      <c r="K12" s="28">
        <v>700</v>
      </c>
      <c r="P12" s="129"/>
      <c r="Q12" s="129"/>
      <c r="R12" s="129"/>
      <c r="S12" s="129"/>
      <c r="T12" s="1562" t="s">
        <v>376</v>
      </c>
      <c r="U12" s="1562"/>
      <c r="V12" s="1562"/>
      <c r="W12" s="1562"/>
      <c r="X12" s="1562"/>
      <c r="Y12" s="1562"/>
      <c r="Z12" s="1562"/>
      <c r="AA12" s="1562"/>
      <c r="AB12" s="1562"/>
      <c r="AC12" s="1562"/>
      <c r="AD12" s="1562"/>
      <c r="AE12" s="1562"/>
      <c r="AF12" s="1562"/>
      <c r="AM12" s="258">
        <v>9</v>
      </c>
      <c r="AN12" s="342">
        <v>6.9999900000000004</v>
      </c>
      <c r="AO12" s="813">
        <v>9.9999900000000004</v>
      </c>
      <c r="AS12" s="132"/>
      <c r="AT12" s="129"/>
    </row>
    <row r="13" spans="1:46" ht="15" thickBot="1">
      <c r="P13" s="129"/>
      <c r="Q13" s="129"/>
      <c r="R13" s="129"/>
      <c r="S13" s="129"/>
      <c r="T13" s="1562"/>
      <c r="U13" s="1562"/>
      <c r="V13" s="1562"/>
      <c r="W13" s="1562"/>
      <c r="X13" s="1562"/>
      <c r="Y13" s="1562"/>
      <c r="Z13" s="1562"/>
      <c r="AA13" s="1562"/>
      <c r="AB13" s="1562"/>
      <c r="AC13" s="1562"/>
      <c r="AD13" s="1562"/>
      <c r="AE13" s="1562"/>
      <c r="AF13" s="1562"/>
      <c r="AM13" s="258">
        <v>10</v>
      </c>
      <c r="AN13" s="342">
        <v>6.9999900000000004</v>
      </c>
      <c r="AO13" s="813">
        <v>9.9999900000000004</v>
      </c>
      <c r="AS13" s="132"/>
      <c r="AT13" s="129"/>
    </row>
    <row r="14" spans="1:46" ht="30.6" customHeight="1" thickTop="1" thickBot="1">
      <c r="A14" s="1623" t="s">
        <v>377</v>
      </c>
      <c r="B14" s="1624"/>
      <c r="C14" s="1624"/>
      <c r="D14" s="1624"/>
      <c r="E14" s="1624"/>
      <c r="F14" s="1625"/>
      <c r="G14" s="1623" t="s">
        <v>89</v>
      </c>
      <c r="H14" s="1624"/>
      <c r="I14" s="1625"/>
      <c r="K14" s="1397"/>
      <c r="L14" s="1397"/>
      <c r="M14" s="1397"/>
      <c r="N14" s="1397"/>
      <c r="O14" s="1397"/>
      <c r="P14" s="132"/>
      <c r="Q14" s="129"/>
      <c r="R14" s="129"/>
      <c r="S14" s="129"/>
      <c r="U14" s="459" t="s">
        <v>378</v>
      </c>
      <c r="V14" s="460" t="s">
        <v>379</v>
      </c>
      <c r="W14" s="461" t="s">
        <v>380</v>
      </c>
      <c r="X14" s="548" t="s">
        <v>381</v>
      </c>
      <c r="Y14" s="548" t="s">
        <v>382</v>
      </c>
      <c r="Z14" s="549" t="s">
        <v>383</v>
      </c>
      <c r="AA14" s="807" t="s">
        <v>384</v>
      </c>
      <c r="AB14" s="808" t="s">
        <v>385</v>
      </c>
      <c r="AC14" s="809" t="s">
        <v>386</v>
      </c>
      <c r="AD14" s="810" t="s">
        <v>387</v>
      </c>
      <c r="AE14" s="811"/>
      <c r="AF14" s="812" t="s">
        <v>388</v>
      </c>
      <c r="AM14" s="258">
        <v>11</v>
      </c>
      <c r="AN14" s="342">
        <v>6.9999900000000004</v>
      </c>
      <c r="AO14" s="813">
        <v>9.9999900000000004</v>
      </c>
    </row>
    <row r="15" spans="1:46" ht="13.9" customHeight="1" thickTop="1" thickBot="1">
      <c r="A15" s="1626"/>
      <c r="B15" s="1627"/>
      <c r="C15" s="1627"/>
      <c r="D15" s="1627"/>
      <c r="E15" s="1627"/>
      <c r="F15" s="1645"/>
      <c r="G15" s="1626"/>
      <c r="H15" s="1627"/>
      <c r="I15" s="1628"/>
      <c r="K15" s="129"/>
      <c r="L15" s="129"/>
      <c r="M15" s="129"/>
      <c r="N15" s="129"/>
      <c r="O15" s="129"/>
      <c r="P15" s="132"/>
      <c r="Q15" s="129"/>
      <c r="R15" s="129"/>
      <c r="S15" s="129"/>
      <c r="U15" s="885" t="s">
        <v>51</v>
      </c>
      <c r="V15" s="886">
        <v>0.05</v>
      </c>
      <c r="W15" s="887" t="s">
        <v>389</v>
      </c>
      <c r="X15" s="888">
        <v>0.81</v>
      </c>
      <c r="Y15" s="465" t="s">
        <v>390</v>
      </c>
      <c r="Z15" s="883">
        <f t="shared" ref="Z15:Z26" si="0">(309.07+((1066*(1-V15)-31.98*X15)/(6.78*X15+$U$44))+((890*((1-V15)^2)-2153.86*(1-V15)*X15)/((6.78*X15+$U$44)^2)))-273.15</f>
        <v>89.543045582460707</v>
      </c>
      <c r="AA15" s="884">
        <f t="shared" ref="AA15:AA26" si="1">$U$45*(Z15-$U$47)</f>
        <v>6.3815363331479029E-4</v>
      </c>
      <c r="AB15" s="802">
        <f t="shared" ref="AB15:AB43" si="2">AA15*$U$50</f>
        <v>134.01226299610596</v>
      </c>
      <c r="AC15" s="803">
        <f>AA15*$U$49*1.5</f>
        <v>29155.253179262334</v>
      </c>
      <c r="AD15" s="804">
        <v>-1</v>
      </c>
      <c r="AE15" s="805"/>
      <c r="AF15" s="806">
        <f t="shared" ref="AF15:AF42" si="3">($T$56*AD15)+$U$56</f>
        <v>10</v>
      </c>
      <c r="AM15" s="258">
        <v>12</v>
      </c>
      <c r="AN15" s="342">
        <v>6.9999900000000004</v>
      </c>
      <c r="AO15" s="813">
        <v>9.9999900000000004</v>
      </c>
    </row>
    <row r="16" spans="1:46" ht="15" thickTop="1">
      <c r="A16" s="1646" t="s">
        <v>391</v>
      </c>
      <c r="B16" s="1113" t="s">
        <v>49</v>
      </c>
      <c r="C16" s="1113"/>
      <c r="D16" s="1113" t="s">
        <v>56</v>
      </c>
      <c r="E16" s="1662"/>
      <c r="F16" s="781"/>
      <c r="G16" s="1646" t="s">
        <v>391</v>
      </c>
      <c r="H16" s="28" t="s">
        <v>49</v>
      </c>
      <c r="I16" s="40" t="s">
        <v>56</v>
      </c>
      <c r="L16" s="129"/>
      <c r="M16" s="129"/>
      <c r="N16" s="129"/>
      <c r="P16" s="132"/>
      <c r="Q16" s="129"/>
      <c r="R16" s="129"/>
      <c r="S16" s="129"/>
      <c r="T16" s="1663" t="s">
        <v>392</v>
      </c>
      <c r="U16" s="329" t="s">
        <v>393</v>
      </c>
      <c r="V16" s="330">
        <v>0.56000000000000005</v>
      </c>
      <c r="W16" s="889">
        <v>28317</v>
      </c>
      <c r="X16" s="764">
        <v>0.86</v>
      </c>
      <c r="Y16" s="462"/>
      <c r="Z16" s="342">
        <f t="shared" si="0"/>
        <v>58.661093782785827</v>
      </c>
      <c r="AA16" s="463">
        <f t="shared" si="1"/>
        <v>2.7683479725859416E-4</v>
      </c>
      <c r="AB16" s="375">
        <f t="shared" si="2"/>
        <v>58.13530742430477</v>
      </c>
      <c r="AC16" s="545">
        <f t="shared" ref="AC16:AC43" si="4">AA16*$U$49*1.5</f>
        <v>12647.720206464281</v>
      </c>
      <c r="AD16" s="882">
        <v>65</v>
      </c>
      <c r="AE16" s="800"/>
      <c r="AF16" s="806">
        <f t="shared" si="3"/>
        <v>11.692307692307692</v>
      </c>
      <c r="AM16" s="258">
        <v>13</v>
      </c>
      <c r="AN16" s="342">
        <v>6.9999900000000004</v>
      </c>
      <c r="AO16" s="813">
        <v>9.9999900000000004</v>
      </c>
    </row>
    <row r="17" spans="1:41">
      <c r="A17" s="1646"/>
      <c r="B17" s="28" t="s">
        <v>394</v>
      </c>
      <c r="C17" s="28" t="s">
        <v>395</v>
      </c>
      <c r="D17" s="28" t="s">
        <v>394</v>
      </c>
      <c r="E17" s="337" t="s">
        <v>395</v>
      </c>
      <c r="F17" s="782" t="s">
        <v>396</v>
      </c>
      <c r="G17" s="1646"/>
      <c r="H17" s="28" t="s">
        <v>397</v>
      </c>
      <c r="I17" s="40" t="s">
        <v>397</v>
      </c>
      <c r="K17" s="129"/>
      <c r="L17" s="129"/>
      <c r="M17" s="129"/>
      <c r="N17" s="129"/>
      <c r="P17" s="132"/>
      <c r="Q17" s="129"/>
      <c r="R17" s="129"/>
      <c r="S17" s="129"/>
      <c r="T17" s="1664"/>
      <c r="U17" s="890" t="s">
        <v>398</v>
      </c>
      <c r="V17" s="891">
        <v>0.64</v>
      </c>
      <c r="W17" s="889">
        <v>28783</v>
      </c>
      <c r="X17" s="764">
        <v>0.86</v>
      </c>
      <c r="Y17" s="339"/>
      <c r="Z17" s="342">
        <f t="shared" si="0"/>
        <v>54.165287604462264</v>
      </c>
      <c r="AA17" s="463">
        <f t="shared" si="1"/>
        <v>2.242338649722085E-4</v>
      </c>
      <c r="AB17" s="375">
        <f t="shared" si="2"/>
        <v>47.089111644163786</v>
      </c>
      <c r="AC17" s="545">
        <f t="shared" si="4"/>
        <v>10244.547336776468</v>
      </c>
      <c r="AD17" s="880">
        <v>77</v>
      </c>
      <c r="AE17" s="800"/>
      <c r="AF17" s="806">
        <f t="shared" si="3"/>
        <v>12</v>
      </c>
      <c r="AM17" s="258">
        <v>14</v>
      </c>
      <c r="AN17" s="342">
        <v>6.9999900000000004</v>
      </c>
      <c r="AO17" s="813">
        <v>9.9999900000000004</v>
      </c>
    </row>
    <row r="18" spans="1:41">
      <c r="A18" s="775">
        <v>2</v>
      </c>
      <c r="B18" s="776">
        <v>14.82</v>
      </c>
      <c r="C18" s="863" t="s">
        <v>399</v>
      </c>
      <c r="D18" s="776" t="s">
        <v>371</v>
      </c>
      <c r="E18" s="779" t="s">
        <v>371</v>
      </c>
      <c r="F18" s="783">
        <v>10.79</v>
      </c>
      <c r="G18" s="775">
        <v>2</v>
      </c>
      <c r="H18" s="776">
        <v>0</v>
      </c>
      <c r="I18" s="40" t="s">
        <v>371</v>
      </c>
      <c r="K18" s="129"/>
      <c r="L18" s="129"/>
      <c r="M18" s="129"/>
      <c r="N18" s="129"/>
      <c r="R18" s="22"/>
      <c r="T18" s="1664"/>
      <c r="U18" s="890" t="s">
        <v>400</v>
      </c>
      <c r="V18" s="891">
        <v>0.5</v>
      </c>
      <c r="W18" s="889">
        <v>28273</v>
      </c>
      <c r="X18" s="764">
        <v>0.87</v>
      </c>
      <c r="Y18" s="340"/>
      <c r="Z18" s="342">
        <f t="shared" si="0"/>
        <v>61.91432569612374</v>
      </c>
      <c r="AA18" s="463">
        <f t="shared" si="1"/>
        <v>3.1489761064464777E-4</v>
      </c>
      <c r="AB18" s="375">
        <f t="shared" si="2"/>
        <v>66.128498235376028</v>
      </c>
      <c r="AC18" s="545">
        <f t="shared" si="4"/>
        <v>14386.69167517015</v>
      </c>
      <c r="AD18" s="880">
        <v>57</v>
      </c>
      <c r="AE18" s="800"/>
      <c r="AF18" s="806">
        <f t="shared" si="3"/>
        <v>11.487179487179487</v>
      </c>
      <c r="AM18" s="258">
        <v>15</v>
      </c>
      <c r="AN18" s="342">
        <v>6.9999900000000004</v>
      </c>
      <c r="AO18" s="813">
        <v>9.9999900000000004</v>
      </c>
    </row>
    <row r="19" spans="1:41">
      <c r="A19" s="775">
        <v>3</v>
      </c>
      <c r="B19" s="776">
        <v>22.35</v>
      </c>
      <c r="C19" s="776">
        <v>18.32</v>
      </c>
      <c r="D19" s="776" t="s">
        <v>371</v>
      </c>
      <c r="E19" s="779" t="s">
        <v>371</v>
      </c>
      <c r="F19" s="782" t="s">
        <v>329</v>
      </c>
      <c r="G19" s="775">
        <v>3</v>
      </c>
      <c r="H19" s="776">
        <v>0</v>
      </c>
      <c r="I19" s="40" t="s">
        <v>371</v>
      </c>
      <c r="L19" s="129"/>
      <c r="M19" s="129"/>
      <c r="N19" s="129"/>
      <c r="R19" s="22"/>
      <c r="T19" s="1664"/>
      <c r="U19" s="890" t="s">
        <v>401</v>
      </c>
      <c r="V19" s="891">
        <v>0.45</v>
      </c>
      <c r="W19" s="889">
        <v>28305</v>
      </c>
      <c r="X19" s="764">
        <v>0.87</v>
      </c>
      <c r="Y19" s="341"/>
      <c r="Z19" s="342">
        <f t="shared" si="0"/>
        <v>64.745602397971368</v>
      </c>
      <c r="AA19" s="463">
        <f t="shared" si="1"/>
        <v>3.4802354805626501E-4</v>
      </c>
      <c r="AB19" s="375">
        <f t="shared" si="2"/>
        <v>73.084945091815655</v>
      </c>
      <c r="AC19" s="545">
        <f t="shared" si="4"/>
        <v>15900.112647200704</v>
      </c>
      <c r="AD19" s="880">
        <v>51</v>
      </c>
      <c r="AE19" s="800"/>
      <c r="AF19" s="806">
        <f t="shared" si="3"/>
        <v>11.333333333333334</v>
      </c>
      <c r="AM19" s="258">
        <v>16</v>
      </c>
      <c r="AN19" s="342">
        <v>6.9999900000000004</v>
      </c>
      <c r="AO19" s="813">
        <v>9.9999900000000004</v>
      </c>
    </row>
    <row r="20" spans="1:41" ht="38.1" customHeight="1" thickBot="1">
      <c r="A20" s="775">
        <v>4</v>
      </c>
      <c r="B20" s="776">
        <v>29.8</v>
      </c>
      <c r="C20" s="776">
        <v>25.77</v>
      </c>
      <c r="D20" s="776">
        <v>16</v>
      </c>
      <c r="E20" s="338" t="s">
        <v>399</v>
      </c>
      <c r="F20" s="783">
        <v>13.21</v>
      </c>
      <c r="G20" s="775">
        <v>4</v>
      </c>
      <c r="H20" s="776">
        <v>0</v>
      </c>
      <c r="I20" s="40">
        <v>0.75</v>
      </c>
      <c r="L20" s="129"/>
      <c r="M20" s="129"/>
      <c r="N20" s="129"/>
      <c r="R20" s="22"/>
      <c r="T20" s="1665"/>
      <c r="U20" s="892" t="s">
        <v>402</v>
      </c>
      <c r="V20" s="893">
        <v>0.34</v>
      </c>
      <c r="W20" s="894">
        <v>28315</v>
      </c>
      <c r="X20" s="877">
        <v>0.87</v>
      </c>
      <c r="Y20" s="345" t="s">
        <v>403</v>
      </c>
      <c r="Z20" s="344">
        <f t="shared" si="0"/>
        <v>71.023306153184762</v>
      </c>
      <c r="AA20" s="464">
        <f t="shared" si="1"/>
        <v>4.214726819922617E-4</v>
      </c>
      <c r="AB20" s="375">
        <f t="shared" si="2"/>
        <v>88.509263218374954</v>
      </c>
      <c r="AC20" s="545">
        <f t="shared" si="4"/>
        <v>19255.774957823643</v>
      </c>
      <c r="AD20" s="881">
        <v>36</v>
      </c>
      <c r="AE20" s="800"/>
      <c r="AF20" s="806">
        <f t="shared" si="3"/>
        <v>10.948717948717949</v>
      </c>
      <c r="AM20" s="258">
        <v>17</v>
      </c>
      <c r="AN20" s="342">
        <v>6.9999900000000004</v>
      </c>
      <c r="AO20" s="813">
        <v>9.9999900000000004</v>
      </c>
    </row>
    <row r="21" spans="1:41">
      <c r="A21" s="775">
        <v>5</v>
      </c>
      <c r="B21" s="776">
        <v>37.25</v>
      </c>
      <c r="C21" s="776">
        <v>33.22</v>
      </c>
      <c r="D21" s="776">
        <v>20</v>
      </c>
      <c r="E21" s="779">
        <v>16.64</v>
      </c>
      <c r="F21" s="782"/>
      <c r="G21" s="775">
        <v>5</v>
      </c>
      <c r="H21" s="776">
        <v>0</v>
      </c>
      <c r="I21" s="40">
        <v>1</v>
      </c>
      <c r="L21" s="129"/>
      <c r="M21" s="129"/>
      <c r="N21" s="129"/>
      <c r="R21" s="22"/>
      <c r="T21" s="1669" t="s">
        <v>404</v>
      </c>
      <c r="U21" s="331" t="s">
        <v>405</v>
      </c>
      <c r="V21" s="332">
        <v>0.28000000000000003</v>
      </c>
      <c r="W21" s="895" t="s">
        <v>406</v>
      </c>
      <c r="X21" s="896">
        <v>0.87</v>
      </c>
      <c r="Y21" s="346"/>
      <c r="Z21" s="343">
        <f t="shared" si="0"/>
        <v>74.475845082944033</v>
      </c>
      <c r="AA21" s="372">
        <f t="shared" si="1"/>
        <v>4.6186738747044519E-4</v>
      </c>
      <c r="AB21" s="375">
        <f t="shared" si="2"/>
        <v>96.992151368793486</v>
      </c>
      <c r="AC21" s="545">
        <f t="shared" si="4"/>
        <v>21101.283317935457</v>
      </c>
      <c r="AD21" s="882">
        <v>28</v>
      </c>
      <c r="AE21" s="800"/>
      <c r="AF21" s="806">
        <f t="shared" si="3"/>
        <v>10.743589743589743</v>
      </c>
      <c r="AM21" s="258">
        <v>18</v>
      </c>
      <c r="AN21" s="342">
        <v>6.9999900000000004</v>
      </c>
      <c r="AO21" s="813">
        <v>9.9999900000000004</v>
      </c>
    </row>
    <row r="22" spans="1:41">
      <c r="A22" s="775">
        <v>6</v>
      </c>
      <c r="B22" s="776">
        <v>44.7</v>
      </c>
      <c r="C22" s="776">
        <v>40.67</v>
      </c>
      <c r="D22" s="776">
        <v>24</v>
      </c>
      <c r="E22" s="779">
        <v>19.91</v>
      </c>
      <c r="F22" s="782"/>
      <c r="G22" s="775">
        <v>6</v>
      </c>
      <c r="H22" s="776">
        <v>0</v>
      </c>
      <c r="I22" s="40">
        <v>2</v>
      </c>
      <c r="L22" s="129"/>
      <c r="M22" s="129"/>
      <c r="N22" s="129"/>
      <c r="R22" s="22"/>
      <c r="T22" s="1669"/>
      <c r="U22" s="890" t="s">
        <v>407</v>
      </c>
      <c r="V22" s="891">
        <v>0.26</v>
      </c>
      <c r="W22" s="889">
        <v>7602</v>
      </c>
      <c r="X22" s="878">
        <v>0.88</v>
      </c>
      <c r="Y22" s="347"/>
      <c r="Z22" s="342">
        <f t="shared" si="0"/>
        <v>75.424654194999619</v>
      </c>
      <c r="AA22" s="373">
        <f t="shared" si="1"/>
        <v>4.7296845408149554E-4</v>
      </c>
      <c r="AB22" s="375">
        <f t="shared" si="2"/>
        <v>99.32337535711406</v>
      </c>
      <c r="AC22" s="545">
        <f t="shared" si="4"/>
        <v>21608.456498042346</v>
      </c>
      <c r="AD22" s="880">
        <v>26</v>
      </c>
      <c r="AE22" s="800"/>
      <c r="AF22" s="806">
        <f t="shared" si="3"/>
        <v>10.692307692307692</v>
      </c>
      <c r="AM22" s="258">
        <v>19</v>
      </c>
      <c r="AN22" s="342">
        <v>6.9999900000000004</v>
      </c>
      <c r="AO22" s="813">
        <v>9.9999900000000004</v>
      </c>
    </row>
    <row r="23" spans="1:41" ht="15" thickBot="1">
      <c r="A23" s="777">
        <v>8</v>
      </c>
      <c r="B23" s="778">
        <v>59.6</v>
      </c>
      <c r="C23" s="778">
        <v>55.57</v>
      </c>
      <c r="D23" s="778">
        <v>32</v>
      </c>
      <c r="E23" s="780">
        <v>26.44</v>
      </c>
      <c r="F23" s="784"/>
      <c r="G23" s="777">
        <v>8</v>
      </c>
      <c r="H23" s="778">
        <v>0</v>
      </c>
      <c r="I23" s="785">
        <v>3</v>
      </c>
      <c r="T23" s="1669"/>
      <c r="U23" s="329" t="s">
        <v>408</v>
      </c>
      <c r="V23" s="330">
        <v>0.64</v>
      </c>
      <c r="W23" s="889" t="s">
        <v>409</v>
      </c>
      <c r="X23" s="878">
        <v>0.87</v>
      </c>
      <c r="Y23" s="348"/>
      <c r="Z23" s="342">
        <f t="shared" si="0"/>
        <v>54.060649072800061</v>
      </c>
      <c r="AA23" s="373">
        <f t="shared" si="1"/>
        <v>2.230095941517607E-4</v>
      </c>
      <c r="AB23" s="375">
        <f t="shared" si="2"/>
        <v>46.832014771869744</v>
      </c>
      <c r="AC23" s="545">
        <f t="shared" si="4"/>
        <v>10188.61421367454</v>
      </c>
      <c r="AD23" s="880">
        <v>77</v>
      </c>
      <c r="AE23" s="800"/>
      <c r="AF23" s="806">
        <f t="shared" si="3"/>
        <v>12</v>
      </c>
      <c r="AM23" s="258">
        <v>20</v>
      </c>
      <c r="AN23" s="342">
        <v>6.9999900000000004</v>
      </c>
      <c r="AO23" s="813">
        <v>9.9999900000000004</v>
      </c>
    </row>
    <row r="24" spans="1:41" ht="16.899999999999999" thickTop="1" thickBot="1">
      <c r="A24" s="176"/>
      <c r="B24" s="1647" t="s">
        <v>410</v>
      </c>
      <c r="C24" s="1648"/>
      <c r="D24" s="1648"/>
      <c r="E24" s="1648"/>
      <c r="F24" s="1649"/>
      <c r="G24" s="176"/>
      <c r="H24" s="176"/>
      <c r="I24" s="176"/>
      <c r="T24" s="1669"/>
      <c r="U24" s="890" t="s">
        <v>411</v>
      </c>
      <c r="V24" s="891">
        <v>0.54</v>
      </c>
      <c r="W24" s="889" t="s">
        <v>412</v>
      </c>
      <c r="X24" s="878">
        <v>0.86</v>
      </c>
      <c r="Y24" s="349"/>
      <c r="Z24" s="342">
        <f t="shared" si="0"/>
        <v>59.790643913250733</v>
      </c>
      <c r="AA24" s="373">
        <f t="shared" si="1"/>
        <v>2.9005053378503357E-4</v>
      </c>
      <c r="AB24" s="375">
        <f t="shared" si="2"/>
        <v>60.910612094857051</v>
      </c>
      <c r="AC24" s="545">
        <f t="shared" si="4"/>
        <v>13251.506072850942</v>
      </c>
      <c r="AD24" s="880">
        <v>63</v>
      </c>
      <c r="AE24" s="800"/>
      <c r="AF24" s="806">
        <f t="shared" si="3"/>
        <v>11.641025641025641</v>
      </c>
      <c r="AG24" s="15"/>
      <c r="AH24" s="129"/>
      <c r="AI24" s="129"/>
      <c r="AJ24" s="129"/>
      <c r="AK24" s="129"/>
      <c r="AM24" s="258">
        <v>21</v>
      </c>
      <c r="AN24" s="342">
        <v>6.9999900000000004</v>
      </c>
      <c r="AO24" s="813">
        <v>9.9999900000000004</v>
      </c>
    </row>
    <row r="25" spans="1:41" ht="35.450000000000003" customHeight="1" thickTop="1">
      <c r="B25" s="775"/>
      <c r="C25" s="1113" t="s">
        <v>413</v>
      </c>
      <c r="D25" s="1113"/>
      <c r="E25" s="1113"/>
      <c r="F25" s="829"/>
      <c r="J25" s="1652" t="s">
        <v>414</v>
      </c>
      <c r="K25" s="1653"/>
      <c r="L25" s="1653"/>
      <c r="M25" s="1653"/>
      <c r="N25" s="1654"/>
      <c r="T25" s="1669"/>
      <c r="U25" s="329" t="s">
        <v>415</v>
      </c>
      <c r="V25" s="330">
        <v>0.35</v>
      </c>
      <c r="W25" s="889" t="s">
        <v>416</v>
      </c>
      <c r="X25" s="878">
        <v>0.87</v>
      </c>
      <c r="Y25" s="350" t="s">
        <v>403</v>
      </c>
      <c r="Z25" s="342">
        <f t="shared" si="0"/>
        <v>70.449827686168248</v>
      </c>
      <c r="AA25" s="373">
        <f t="shared" si="1"/>
        <v>4.1476298392816848E-4</v>
      </c>
      <c r="AB25" s="375">
        <f t="shared" si="2"/>
        <v>87.100226624915379</v>
      </c>
      <c r="AC25" s="545">
        <f t="shared" si="4"/>
        <v>18949.229737985417</v>
      </c>
      <c r="AD25" s="880">
        <v>37</v>
      </c>
      <c r="AE25" s="800"/>
      <c r="AF25" s="806">
        <f t="shared" si="3"/>
        <v>10.974358974358974</v>
      </c>
      <c r="AG25" s="15"/>
      <c r="AH25" s="129"/>
      <c r="AI25" s="129"/>
      <c r="AJ25" s="129"/>
      <c r="AK25" s="129"/>
      <c r="AM25" s="258">
        <v>22</v>
      </c>
      <c r="AN25" s="342">
        <v>6.9999900000000004</v>
      </c>
      <c r="AO25" s="813">
        <v>9.9999900000000004</v>
      </c>
    </row>
    <row r="26" spans="1:41" ht="15" thickBot="1">
      <c r="B26" s="258" t="s">
        <v>417</v>
      </c>
      <c r="C26" s="28" t="s">
        <v>418</v>
      </c>
      <c r="D26" s="28" t="s">
        <v>419</v>
      </c>
      <c r="E26" s="28" t="s">
        <v>420</v>
      </c>
      <c r="F26" s="830"/>
      <c r="J26" s="178"/>
      <c r="K26" s="305"/>
      <c r="L26" s="305" t="s">
        <v>421</v>
      </c>
      <c r="M26" s="305"/>
      <c r="N26" s="786"/>
      <c r="R26" s="22"/>
      <c r="T26" s="1670"/>
      <c r="U26" s="897" t="s">
        <v>422</v>
      </c>
      <c r="V26" s="898">
        <v>0.44</v>
      </c>
      <c r="W26" s="899">
        <v>10557</v>
      </c>
      <c r="X26" s="879">
        <v>0.87</v>
      </c>
      <c r="Y26" s="351" t="s">
        <v>403</v>
      </c>
      <c r="Z26" s="342">
        <f t="shared" si="0"/>
        <v>65.313524613720972</v>
      </c>
      <c r="AA26" s="373">
        <f t="shared" si="1"/>
        <v>3.5466823798053538E-4</v>
      </c>
      <c r="AB26" s="375">
        <f t="shared" si="2"/>
        <v>74.480329975912426</v>
      </c>
      <c r="AC26" s="545">
        <f t="shared" si="4"/>
        <v>16203.687847475767</v>
      </c>
      <c r="AD26" s="881">
        <v>49</v>
      </c>
      <c r="AE26" s="800"/>
      <c r="AF26" s="806">
        <f t="shared" si="3"/>
        <v>11.282051282051281</v>
      </c>
      <c r="AG26" s="15"/>
      <c r="AH26" s="132"/>
      <c r="AI26" s="132"/>
      <c r="AJ26" s="132"/>
      <c r="AK26" s="132"/>
      <c r="AM26" s="258">
        <v>23</v>
      </c>
      <c r="AN26" s="342">
        <v>6.9999900000000004</v>
      </c>
      <c r="AO26" s="813">
        <v>9.9999900000000004</v>
      </c>
    </row>
    <row r="27" spans="1:41">
      <c r="B27" s="258">
        <v>0</v>
      </c>
      <c r="C27" s="28">
        <v>0.7</v>
      </c>
      <c r="D27" s="28">
        <v>0.85</v>
      </c>
      <c r="E27" s="28">
        <v>1.03</v>
      </c>
      <c r="F27" s="830"/>
      <c r="J27" s="178"/>
      <c r="K27" s="305"/>
      <c r="L27" s="305">
        <v>22</v>
      </c>
      <c r="M27" s="305">
        <f>489.6*(0.0336/12)</f>
        <v>1.3708800000000001</v>
      </c>
      <c r="N27" s="786"/>
      <c r="T27" s="1671" t="s">
        <v>423</v>
      </c>
      <c r="U27" s="331" t="s">
        <v>424</v>
      </c>
      <c r="V27" s="332">
        <v>0.28999999999999998</v>
      </c>
      <c r="W27" s="895">
        <v>28260</v>
      </c>
      <c r="X27" s="896">
        <v>0.87</v>
      </c>
      <c r="Y27" s="352"/>
      <c r="Z27" s="343">
        <f t="shared" ref="Z27:Z35" si="5">(309.07+((1066*(1-V27)-31.98*X27)/(6.78*X27+$U$44))+((890*((1-V27)^2)-2153.86*(1-V27)*X27)/((6.78*X27+$U$44)^2)))-273.15</f>
        <v>73.899032865167442</v>
      </c>
      <c r="AA27" s="372">
        <f t="shared" ref="AA27:AA35" si="6">$U$45*(Z27-$U$47)</f>
        <v>4.5511868452245908E-4</v>
      </c>
      <c r="AB27" s="375">
        <f t="shared" si="2"/>
        <v>95.574923749716405</v>
      </c>
      <c r="AC27" s="545">
        <f t="shared" si="4"/>
        <v>20792.956086359372</v>
      </c>
      <c r="AD27" s="882">
        <v>29</v>
      </c>
      <c r="AE27" s="800"/>
      <c r="AF27" s="806">
        <f t="shared" si="3"/>
        <v>10.76923076923077</v>
      </c>
      <c r="AG27" s="15"/>
      <c r="AH27" s="132"/>
      <c r="AI27" s="132"/>
      <c r="AJ27" s="132"/>
      <c r="AK27" s="132"/>
      <c r="AM27" s="258">
        <v>24</v>
      </c>
      <c r="AN27" s="342">
        <v>6.9999900000000004</v>
      </c>
      <c r="AO27" s="813">
        <v>9.9999900000000004</v>
      </c>
    </row>
    <row r="28" spans="1:41">
      <c r="B28" s="258">
        <v>5</v>
      </c>
      <c r="C28" s="28">
        <v>0.7</v>
      </c>
      <c r="D28" s="28">
        <v>0.85</v>
      </c>
      <c r="E28" s="28">
        <v>1.03</v>
      </c>
      <c r="F28" s="830"/>
      <c r="J28" s="178"/>
      <c r="K28" s="305"/>
      <c r="L28" s="305">
        <v>24</v>
      </c>
      <c r="M28" s="305">
        <f>(0.0276/12)*489.6</f>
        <v>1.12608</v>
      </c>
      <c r="N28" s="786"/>
      <c r="T28" s="1671"/>
      <c r="U28" s="329" t="s">
        <v>425</v>
      </c>
      <c r="V28" s="330">
        <v>0.23</v>
      </c>
      <c r="W28" s="889">
        <v>28330</v>
      </c>
      <c r="X28" s="878">
        <v>0.87</v>
      </c>
      <c r="Y28" s="353"/>
      <c r="Z28" s="342">
        <f t="shared" si="5"/>
        <v>77.368240548727442</v>
      </c>
      <c r="AA28" s="373">
        <f t="shared" si="6"/>
        <v>4.9570841442011105E-4</v>
      </c>
      <c r="AB28" s="375">
        <f t="shared" si="2"/>
        <v>104.09876702822332</v>
      </c>
      <c r="AC28" s="545">
        <f t="shared" si="4"/>
        <v>22647.374505160671</v>
      </c>
      <c r="AD28" s="880">
        <v>21</v>
      </c>
      <c r="AE28" s="800"/>
      <c r="AF28" s="806">
        <f t="shared" si="3"/>
        <v>10.564102564102564</v>
      </c>
      <c r="AG28" s="15"/>
      <c r="AH28" s="132"/>
      <c r="AI28" s="132"/>
      <c r="AJ28" s="132"/>
      <c r="AK28" s="132"/>
      <c r="AM28" s="258">
        <v>25</v>
      </c>
      <c r="AN28" s="342">
        <v>6.9999900000000004</v>
      </c>
      <c r="AO28" s="813">
        <v>9.9999900000000004</v>
      </c>
    </row>
    <row r="29" spans="1:41">
      <c r="B29" s="258">
        <v>10</v>
      </c>
      <c r="C29" s="28">
        <v>0.7</v>
      </c>
      <c r="D29" s="28">
        <v>0.85</v>
      </c>
      <c r="E29" s="28">
        <v>1.03</v>
      </c>
      <c r="F29" s="830"/>
      <c r="J29" s="178"/>
      <c r="K29" s="305"/>
      <c r="L29" s="305">
        <v>26</v>
      </c>
      <c r="M29" s="305">
        <f>(0.0217/12)*489.6</f>
        <v>0.88536000000000015</v>
      </c>
      <c r="N29" s="786"/>
      <c r="T29" s="1671"/>
      <c r="U29" s="329" t="s">
        <v>426</v>
      </c>
      <c r="V29" s="330">
        <v>0.15</v>
      </c>
      <c r="W29" s="889">
        <v>28229</v>
      </c>
      <c r="X29" s="878">
        <v>0.87</v>
      </c>
      <c r="Y29" s="354"/>
      <c r="Z29" s="342">
        <f t="shared" si="5"/>
        <v>82.024965800568623</v>
      </c>
      <c r="AA29" s="373">
        <f t="shared" si="6"/>
        <v>5.5019209986665284E-4</v>
      </c>
      <c r="AB29" s="375">
        <f t="shared" si="2"/>
        <v>115.5403409719971</v>
      </c>
      <c r="AC29" s="545">
        <f t="shared" si="4"/>
        <v>25136.564506449344</v>
      </c>
      <c r="AD29" s="880">
        <v>11</v>
      </c>
      <c r="AE29" s="800"/>
      <c r="AF29" s="806">
        <f t="shared" si="3"/>
        <v>10.307692307692308</v>
      </c>
      <c r="AG29" s="15"/>
      <c r="AH29" s="132"/>
      <c r="AI29" s="132"/>
      <c r="AJ29" s="132"/>
      <c r="AK29" s="132"/>
      <c r="AM29" s="258">
        <v>26</v>
      </c>
      <c r="AN29" s="342">
        <v>6.9999900000000004</v>
      </c>
      <c r="AO29" s="813">
        <v>9.9999900000000004</v>
      </c>
    </row>
    <row r="30" spans="1:41">
      <c r="B30" s="258">
        <v>15</v>
      </c>
      <c r="C30" s="28">
        <v>0.7</v>
      </c>
      <c r="D30" s="28">
        <v>0.85</v>
      </c>
      <c r="E30" s="28">
        <v>1.03</v>
      </c>
      <c r="F30" s="830"/>
      <c r="J30" s="178"/>
      <c r="K30" s="305"/>
      <c r="L30" s="305"/>
      <c r="M30" s="305"/>
      <c r="N30" s="786"/>
      <c r="T30" s="1671"/>
      <c r="U30" s="329" t="s">
        <v>427</v>
      </c>
      <c r="V30" s="330">
        <v>0.28000000000000003</v>
      </c>
      <c r="W30" s="889">
        <v>28258</v>
      </c>
      <c r="X30" s="878">
        <v>0.9</v>
      </c>
      <c r="Y30" s="355" t="s">
        <v>403</v>
      </c>
      <c r="Z30" s="342">
        <f t="shared" si="5"/>
        <v>73.878431225376346</v>
      </c>
      <c r="AA30" s="373">
        <f t="shared" si="6"/>
        <v>4.5487764533690323E-4</v>
      </c>
      <c r="AB30" s="375">
        <f t="shared" si="2"/>
        <v>95.524305520749678</v>
      </c>
      <c r="AC30" s="545">
        <f t="shared" si="4"/>
        <v>20781.943756233632</v>
      </c>
      <c r="AD30" s="880">
        <v>27</v>
      </c>
      <c r="AE30" s="800"/>
      <c r="AF30" s="806">
        <f t="shared" si="3"/>
        <v>10.717948717948717</v>
      </c>
      <c r="AM30" s="258">
        <v>27</v>
      </c>
      <c r="AN30" s="342">
        <v>6.9999900000000004</v>
      </c>
      <c r="AO30" s="813">
        <v>9.9999900000000004</v>
      </c>
    </row>
    <row r="31" spans="1:41" ht="25.9" customHeight="1" thickBot="1">
      <c r="B31" s="258">
        <v>16</v>
      </c>
      <c r="C31" s="28">
        <v>0.7</v>
      </c>
      <c r="D31" s="28">
        <f>D30+(((B31-B30)/($B$35-B30))*($D$35-D30))</f>
        <v>0.86</v>
      </c>
      <c r="E31" s="28">
        <f>E30+(((B31-B30)/($B$35-B30))*($E$35-E30))</f>
        <v>1.04</v>
      </c>
      <c r="F31" s="830"/>
      <c r="J31" s="178"/>
      <c r="K31" s="305" t="s">
        <v>428</v>
      </c>
      <c r="L31" s="305"/>
      <c r="M31" s="305"/>
      <c r="N31" s="786"/>
      <c r="T31" s="1672"/>
      <c r="U31" s="900" t="s">
        <v>429</v>
      </c>
      <c r="V31" s="901">
        <v>0.38</v>
      </c>
      <c r="W31" s="899" t="s">
        <v>430</v>
      </c>
      <c r="X31" s="879">
        <v>0.87</v>
      </c>
      <c r="Y31" s="356" t="s">
        <v>403</v>
      </c>
      <c r="Z31" s="342">
        <f t="shared" si="5"/>
        <v>68.732726035878954</v>
      </c>
      <c r="AA31" s="373">
        <f t="shared" si="6"/>
        <v>3.9467289461978374E-4</v>
      </c>
      <c r="AB31" s="375">
        <f t="shared" si="2"/>
        <v>82.881307870154586</v>
      </c>
      <c r="AC31" s="545">
        <f t="shared" si="4"/>
        <v>18031.376090208694</v>
      </c>
      <c r="AD31" s="881">
        <v>41</v>
      </c>
      <c r="AE31" s="800"/>
      <c r="AF31" s="806">
        <f t="shared" si="3"/>
        <v>11.076923076923077</v>
      </c>
      <c r="AM31" s="258">
        <v>28</v>
      </c>
      <c r="AN31" s="342">
        <v>6.9999900000000004</v>
      </c>
      <c r="AO31" s="813">
        <v>9.9999900000000004</v>
      </c>
    </row>
    <row r="32" spans="1:41">
      <c r="B32" s="258">
        <v>17</v>
      </c>
      <c r="C32" s="28">
        <v>0.7</v>
      </c>
      <c r="D32" s="28">
        <f>D31+(((B32-B31)/($B$35-B31))*($D$35-D31))</f>
        <v>0.87</v>
      </c>
      <c r="E32" s="28">
        <f>E31+(((B32-B31)/($B$35-B31))*($E$35-E31))</f>
        <v>1.05</v>
      </c>
      <c r="F32" s="830"/>
      <c r="J32" s="178"/>
      <c r="K32" s="305"/>
      <c r="L32" s="305"/>
      <c r="M32" s="305"/>
      <c r="N32" s="786"/>
      <c r="T32" s="1673" t="s">
        <v>431</v>
      </c>
      <c r="U32" s="331" t="s">
        <v>432</v>
      </c>
      <c r="V32" s="332">
        <v>0.2</v>
      </c>
      <c r="W32" s="895">
        <v>5636</v>
      </c>
      <c r="X32" s="896">
        <v>0.86</v>
      </c>
      <c r="Y32" s="357"/>
      <c r="Z32" s="343">
        <f t="shared" si="5"/>
        <v>79.335629587259575</v>
      </c>
      <c r="AA32" s="372">
        <f t="shared" si="6"/>
        <v>5.1872686617093701E-4</v>
      </c>
      <c r="AB32" s="375">
        <f t="shared" si="2"/>
        <v>108.93264189589678</v>
      </c>
      <c r="AC32" s="545">
        <f t="shared" si="4"/>
        <v>23699.015918066201</v>
      </c>
      <c r="AD32" s="882">
        <v>17</v>
      </c>
      <c r="AE32" s="800"/>
      <c r="AF32" s="806">
        <f t="shared" si="3"/>
        <v>10.461538461538462</v>
      </c>
      <c r="AM32" s="258">
        <v>29</v>
      </c>
      <c r="AN32" s="342">
        <v>6.9999900000000004</v>
      </c>
      <c r="AO32" s="813">
        <v>9.9999900000000004</v>
      </c>
    </row>
    <row r="33" spans="2:41">
      <c r="B33" s="258">
        <v>18</v>
      </c>
      <c r="C33" s="28">
        <v>0.7</v>
      </c>
      <c r="D33" s="28">
        <f>D32+(((B33-B32)/($B$35-B32))*($D$35-D32))</f>
        <v>0.88</v>
      </c>
      <c r="E33" s="28">
        <f>E32+(((B33-B32)/($B$35-B32))*($E$35-E32))</f>
        <v>1.06</v>
      </c>
      <c r="F33" s="830"/>
      <c r="J33" s="178"/>
      <c r="K33" s="305"/>
      <c r="L33" s="305" t="s">
        <v>433</v>
      </c>
      <c r="M33" s="305"/>
      <c r="N33" s="786"/>
      <c r="T33" s="1674"/>
      <c r="U33" s="329" t="s">
        <v>434</v>
      </c>
      <c r="V33" s="330">
        <v>0.28000000000000003</v>
      </c>
      <c r="W33" s="889">
        <v>10032</v>
      </c>
      <c r="X33" s="878">
        <v>0.84</v>
      </c>
      <c r="Y33" s="358"/>
      <c r="Z33" s="342">
        <f t="shared" si="5"/>
        <v>75.089607956449925</v>
      </c>
      <c r="AA33" s="373">
        <f t="shared" si="6"/>
        <v>4.6904841309046408E-4</v>
      </c>
      <c r="AB33" s="375">
        <f t="shared" si="2"/>
        <v>98.500166748997458</v>
      </c>
      <c r="AC33" s="545">
        <f t="shared" si="4"/>
        <v>21429.362026742467</v>
      </c>
      <c r="AD33" s="880">
        <v>27</v>
      </c>
      <c r="AE33" s="800"/>
      <c r="AF33" s="806">
        <f t="shared" si="3"/>
        <v>10.717948717948717</v>
      </c>
      <c r="AM33" s="258">
        <v>30</v>
      </c>
      <c r="AN33" s="342">
        <v>6.9999900000000004</v>
      </c>
      <c r="AO33" s="813">
        <v>9.9999900000000004</v>
      </c>
    </row>
    <row r="34" spans="2:41">
      <c r="B34" s="258">
        <v>19</v>
      </c>
      <c r="C34" s="28">
        <v>0.7</v>
      </c>
      <c r="D34" s="28">
        <f>D33+(((B34-B33)/($B$35-B33))*($D$35-D33))</f>
        <v>0.89</v>
      </c>
      <c r="E34" s="28">
        <f>E33+(((B34-B33)/($B$35-B33))*($E$35-E33))</f>
        <v>1.07</v>
      </c>
      <c r="F34" s="830"/>
      <c r="J34" s="178"/>
      <c r="K34" s="305"/>
      <c r="L34" s="305" t="s">
        <v>56</v>
      </c>
      <c r="M34" s="305" t="s">
        <v>49</v>
      </c>
      <c r="N34" s="786"/>
      <c r="T34" s="1674"/>
      <c r="U34" s="329" t="s">
        <v>435</v>
      </c>
      <c r="V34" s="330">
        <v>0.28999999999999998</v>
      </c>
      <c r="W34" s="889">
        <v>9742</v>
      </c>
      <c r="X34" s="878">
        <v>0.86</v>
      </c>
      <c r="Y34" s="359"/>
      <c r="Z34" s="342">
        <f t="shared" si="5"/>
        <v>74.098972817649724</v>
      </c>
      <c r="AA34" s="373">
        <f t="shared" si="6"/>
        <v>4.5745798196650175E-4</v>
      </c>
      <c r="AB34" s="375">
        <f t="shared" si="2"/>
        <v>96.06617621296536</v>
      </c>
      <c r="AC34" s="545">
        <f t="shared" si="4"/>
        <v>20899.831305244199</v>
      </c>
      <c r="AD34" s="880">
        <v>29</v>
      </c>
      <c r="AE34" s="800"/>
      <c r="AF34" s="806">
        <f t="shared" si="3"/>
        <v>10.76923076923077</v>
      </c>
      <c r="AG34" s="1332"/>
      <c r="AH34" s="1632"/>
      <c r="AI34" s="792"/>
      <c r="AJ34" s="792"/>
      <c r="AK34" s="792"/>
      <c r="AM34" s="258">
        <v>31</v>
      </c>
      <c r="AN34" s="342">
        <v>6.9999900000000004</v>
      </c>
      <c r="AO34" s="813">
        <v>9.9999900000000004</v>
      </c>
    </row>
    <row r="35" spans="2:41">
      <c r="B35" s="258">
        <v>20</v>
      </c>
      <c r="C35" s="28">
        <v>0.7</v>
      </c>
      <c r="D35" s="28">
        <v>0.9</v>
      </c>
      <c r="E35" s="28">
        <v>1.08</v>
      </c>
      <c r="F35" s="830"/>
      <c r="J35" s="178"/>
      <c r="K35" s="305">
        <v>2</v>
      </c>
      <c r="L35" s="305" t="s">
        <v>371</v>
      </c>
      <c r="M35" s="305">
        <f t="shared" ref="M35:M40" si="7">2.5*(K35/12)</f>
        <v>0.41666666666666663</v>
      </c>
      <c r="N35" s="786"/>
      <c r="T35" s="1674"/>
      <c r="U35" s="329" t="s">
        <v>57</v>
      </c>
      <c r="V35" s="330">
        <v>0.56999999999999995</v>
      </c>
      <c r="W35" s="889" t="s">
        <v>436</v>
      </c>
      <c r="X35" s="878">
        <v>0.89</v>
      </c>
      <c r="Y35" s="360" t="s">
        <v>403</v>
      </c>
      <c r="Z35" s="342">
        <f t="shared" si="5"/>
        <v>57.730566932841896</v>
      </c>
      <c r="AA35" s="373">
        <f t="shared" si="6"/>
        <v>2.659476331142502E-4</v>
      </c>
      <c r="AB35" s="375">
        <f t="shared" si="2"/>
        <v>55.849002953992539</v>
      </c>
      <c r="AC35" s="545">
        <f t="shared" si="4"/>
        <v>12150.319564265072</v>
      </c>
      <c r="AD35" s="880">
        <v>68</v>
      </c>
      <c r="AE35" s="800"/>
      <c r="AF35" s="806">
        <f t="shared" si="3"/>
        <v>11.76923076923077</v>
      </c>
      <c r="AG35" s="1332"/>
      <c r="AH35" s="1632"/>
      <c r="AI35" s="792"/>
      <c r="AJ35" s="792"/>
      <c r="AK35" s="792"/>
      <c r="AM35" s="258">
        <v>32</v>
      </c>
      <c r="AN35" s="342">
        <v>6.9999900000000004</v>
      </c>
      <c r="AO35" s="813">
        <v>9.9999900000000004</v>
      </c>
    </row>
    <row r="36" spans="2:41" ht="29.65" customHeight="1" thickBot="1">
      <c r="B36" s="258">
        <v>21</v>
      </c>
      <c r="C36" s="28">
        <v>0.7</v>
      </c>
      <c r="D36" s="28">
        <f>D35+(((B36-B35)/($B$40-B35))*($D$40-D35))</f>
        <v>0.90800000000000003</v>
      </c>
      <c r="E36" s="28">
        <f>E35+(((B36-B35)/($B$40-B35))*($E$40-E35))</f>
        <v>1.0880000000000001</v>
      </c>
      <c r="F36" s="830"/>
      <c r="J36" s="178"/>
      <c r="K36" s="305">
        <v>3</v>
      </c>
      <c r="L36" s="305" t="s">
        <v>371</v>
      </c>
      <c r="M36" s="305">
        <f t="shared" si="7"/>
        <v>0.625</v>
      </c>
      <c r="N36" s="786"/>
      <c r="T36" s="1675"/>
      <c r="U36" s="902" t="s">
        <v>437</v>
      </c>
      <c r="V36" s="903">
        <v>0.25</v>
      </c>
      <c r="W36" s="894">
        <v>9935</v>
      </c>
      <c r="X36" s="879">
        <v>0.86</v>
      </c>
      <c r="Y36" s="361" t="s">
        <v>403</v>
      </c>
      <c r="Z36" s="344">
        <f t="shared" ref="Z36:Z43" si="8">(309.07+((1066*(1-V36)-31.98*X36)/(6.78*X36+$U$44))+((890*((1-V36)^2)-2153.86*(1-V36)*X36)/((6.78*X36+$U$44)^2)))-273.15</f>
        <v>76.420777240481129</v>
      </c>
      <c r="AA36" s="374">
        <f t="shared" ref="AA36:AA43" si="9">$U$45*(Z36-$U$47)</f>
        <v>4.8462309371362919E-4</v>
      </c>
      <c r="AB36" s="375">
        <f t="shared" si="2"/>
        <v>101.77084967986212</v>
      </c>
      <c r="AC36" s="545">
        <f t="shared" si="4"/>
        <v>22140.920706422567</v>
      </c>
      <c r="AD36" s="881">
        <v>24</v>
      </c>
      <c r="AE36" s="800"/>
      <c r="AF36" s="806">
        <f t="shared" si="3"/>
        <v>10.641025641025641</v>
      </c>
      <c r="AG36" s="1332"/>
      <c r="AH36" s="129"/>
      <c r="AI36" s="129"/>
      <c r="AJ36" s="129"/>
      <c r="AK36" s="129"/>
      <c r="AM36" s="258">
        <v>33</v>
      </c>
      <c r="AN36" s="342">
        <v>6.9999900000000004</v>
      </c>
      <c r="AO36" s="813">
        <v>9.9999900000000004</v>
      </c>
    </row>
    <row r="37" spans="2:41">
      <c r="B37" s="258">
        <v>22</v>
      </c>
      <c r="C37" s="28">
        <v>0.7</v>
      </c>
      <c r="D37" s="28">
        <f>D36+(((B37-B36)/($B$40-B36))*($D$40-D36))</f>
        <v>0.91600000000000004</v>
      </c>
      <c r="E37" s="28">
        <f>E36+(((B37-B36)/($B$40-B36))*($E$40-E36))</f>
        <v>1.0960000000000001</v>
      </c>
      <c r="F37" s="830"/>
      <c r="J37" s="178"/>
      <c r="K37" s="305">
        <v>4</v>
      </c>
      <c r="L37" s="305">
        <f>8.5*(K37/12)</f>
        <v>2.833333333333333</v>
      </c>
      <c r="M37" s="305">
        <f t="shared" si="7"/>
        <v>0.83333333333333326</v>
      </c>
      <c r="N37" s="786"/>
      <c r="T37" s="1676" t="s">
        <v>438</v>
      </c>
      <c r="U37" s="331" t="s">
        <v>439</v>
      </c>
      <c r="V37" s="332">
        <v>0.28999999999999998</v>
      </c>
      <c r="W37" s="895" t="s">
        <v>440</v>
      </c>
      <c r="X37" s="896">
        <v>0.86</v>
      </c>
      <c r="Y37" s="362"/>
      <c r="Z37" s="343">
        <f t="shared" si="8"/>
        <v>74.098972817649724</v>
      </c>
      <c r="AA37" s="372">
        <f t="shared" si="9"/>
        <v>4.5745798196650175E-4</v>
      </c>
      <c r="AB37" s="375">
        <f t="shared" si="2"/>
        <v>96.06617621296536</v>
      </c>
      <c r="AC37" s="545">
        <f t="shared" si="4"/>
        <v>20899.831305244199</v>
      </c>
      <c r="AD37" s="882">
        <v>29</v>
      </c>
      <c r="AE37" s="800"/>
      <c r="AF37" s="806">
        <f t="shared" si="3"/>
        <v>10.76923076923077</v>
      </c>
      <c r="AG37" s="1332"/>
      <c r="AH37" s="129"/>
      <c r="AI37" s="129"/>
      <c r="AJ37" s="129"/>
      <c r="AK37" s="129"/>
      <c r="AM37" s="258">
        <v>34</v>
      </c>
      <c r="AN37" s="342">
        <v>6.9999900000000004</v>
      </c>
      <c r="AO37" s="813">
        <v>9.9999900000000004</v>
      </c>
    </row>
    <row r="38" spans="2:41">
      <c r="B38" s="258">
        <v>23</v>
      </c>
      <c r="C38" s="28">
        <v>0.7</v>
      </c>
      <c r="D38" s="28">
        <f>D37+(((B38-B37)/($B$40-B37))*($D$40-D37))</f>
        <v>0.92400000000000004</v>
      </c>
      <c r="E38" s="28">
        <f>E37+(((B38-B37)/($B$40-B37))*($E$40-E37))</f>
        <v>1.1040000000000001</v>
      </c>
      <c r="F38" s="830"/>
      <c r="J38" s="178"/>
      <c r="K38" s="305">
        <v>5</v>
      </c>
      <c r="L38" s="305">
        <f>8.5*(K38/12)</f>
        <v>3.541666666666667</v>
      </c>
      <c r="M38" s="305">
        <f t="shared" si="7"/>
        <v>1.0416666666666667</v>
      </c>
      <c r="N38" s="786"/>
      <c r="T38" s="1676"/>
      <c r="U38" s="329" t="s">
        <v>441</v>
      </c>
      <c r="V38" s="330">
        <v>0.24</v>
      </c>
      <c r="W38" s="889">
        <v>9789</v>
      </c>
      <c r="X38" s="878">
        <v>0.86</v>
      </c>
      <c r="Y38" s="363"/>
      <c r="Z38" s="342">
        <f t="shared" si="8"/>
        <v>77.002627992659995</v>
      </c>
      <c r="AA38" s="373">
        <f t="shared" si="9"/>
        <v>4.9143074751412195E-4</v>
      </c>
      <c r="AB38" s="375">
        <f t="shared" si="2"/>
        <v>103.20045697796562</v>
      </c>
      <c r="AC38" s="545">
        <f t="shared" si="4"/>
        <v>22451.941218958345</v>
      </c>
      <c r="AD38" s="880">
        <v>22</v>
      </c>
      <c r="AE38" s="800"/>
      <c r="AF38" s="806">
        <f t="shared" si="3"/>
        <v>10.589743589743589</v>
      </c>
      <c r="AG38" s="1332"/>
      <c r="AH38" s="129"/>
      <c r="AI38" s="129"/>
      <c r="AJ38" s="129"/>
      <c r="AK38" s="129"/>
      <c r="AM38" s="258">
        <v>35</v>
      </c>
      <c r="AN38" s="342">
        <v>6.9999900000000004</v>
      </c>
      <c r="AO38" s="813">
        <v>9.9999900000000004</v>
      </c>
    </row>
    <row r="39" spans="2:41" ht="27.6">
      <c r="B39" s="258">
        <v>24</v>
      </c>
      <c r="C39" s="28">
        <v>0.7</v>
      </c>
      <c r="D39" s="28">
        <f>D38+(((B39-B38)/($B$40-B38))*($D$40-D38))</f>
        <v>0.93199999999999994</v>
      </c>
      <c r="E39" s="28">
        <f>E38+(((B39-B38)/($B$40-B38))*($E$40-E38))</f>
        <v>1.1120000000000001</v>
      </c>
      <c r="F39" s="830"/>
      <c r="J39" s="178"/>
      <c r="K39" s="305">
        <v>6</v>
      </c>
      <c r="L39" s="305">
        <f>8.5*(K39/12)</f>
        <v>4.25</v>
      </c>
      <c r="M39" s="305">
        <f t="shared" si="7"/>
        <v>1.25</v>
      </c>
      <c r="N39" s="786"/>
      <c r="T39" s="1676"/>
      <c r="U39" s="329" t="s">
        <v>442</v>
      </c>
      <c r="V39" s="330">
        <v>0.46</v>
      </c>
      <c r="W39" s="889" t="s">
        <v>443</v>
      </c>
      <c r="X39" s="878">
        <v>0.9</v>
      </c>
      <c r="Y39" s="364"/>
      <c r="Z39" s="342">
        <f t="shared" si="8"/>
        <v>63.727326376914675</v>
      </c>
      <c r="AA39" s="373">
        <f t="shared" si="9"/>
        <v>3.3610971860990169E-4</v>
      </c>
      <c r="AB39" s="375">
        <f t="shared" si="2"/>
        <v>70.583040908079354</v>
      </c>
      <c r="AC39" s="545">
        <f t="shared" si="4"/>
        <v>15355.806862966561</v>
      </c>
      <c r="AD39" s="880">
        <v>50</v>
      </c>
      <c r="AE39" s="800"/>
      <c r="AF39" s="806">
        <f t="shared" si="3"/>
        <v>11.307692307692307</v>
      </c>
      <c r="AG39" s="1332"/>
      <c r="AH39" s="129"/>
      <c r="AI39" s="129"/>
      <c r="AJ39" s="129"/>
      <c r="AK39" s="129"/>
      <c r="AM39" s="258">
        <v>36</v>
      </c>
      <c r="AN39" s="342">
        <v>6.9999900000000004</v>
      </c>
      <c r="AO39" s="813">
        <v>9.9999900000000004</v>
      </c>
    </row>
    <row r="40" spans="2:41" ht="27.95" customHeight="1">
      <c r="B40" s="258">
        <v>25</v>
      </c>
      <c r="C40" s="28">
        <v>0.7</v>
      </c>
      <c r="D40" s="28">
        <v>0.94</v>
      </c>
      <c r="E40" s="28">
        <v>1.1200000000000001</v>
      </c>
      <c r="F40" s="830"/>
      <c r="J40" s="178"/>
      <c r="K40" s="305">
        <v>8</v>
      </c>
      <c r="L40" s="305">
        <f>8.5*(K40/12)</f>
        <v>5.6666666666666661</v>
      </c>
      <c r="M40" s="305">
        <f t="shared" si="7"/>
        <v>1.6666666666666665</v>
      </c>
      <c r="N40" s="786"/>
      <c r="T40" s="1676"/>
      <c r="U40" s="329" t="s">
        <v>444</v>
      </c>
      <c r="V40" s="330">
        <v>0.35</v>
      </c>
      <c r="W40" s="889">
        <v>10321</v>
      </c>
      <c r="X40" s="904">
        <v>0.87</v>
      </c>
      <c r="Y40" s="365"/>
      <c r="Z40" s="342">
        <f t="shared" si="8"/>
        <v>70.449827686168248</v>
      </c>
      <c r="AA40" s="373">
        <f t="shared" si="9"/>
        <v>4.1476298392816848E-4</v>
      </c>
      <c r="AB40" s="375">
        <f t="shared" si="2"/>
        <v>87.100226624915379</v>
      </c>
      <c r="AC40" s="545">
        <f t="shared" si="4"/>
        <v>18949.229737985417</v>
      </c>
      <c r="AD40" s="880">
        <v>37</v>
      </c>
      <c r="AE40" s="800"/>
      <c r="AF40" s="806">
        <f t="shared" si="3"/>
        <v>10.974358974358974</v>
      </c>
      <c r="AM40" s="258">
        <v>37</v>
      </c>
      <c r="AN40" s="342">
        <v>6.9999900000000004</v>
      </c>
      <c r="AO40" s="813">
        <v>9.9999900000000004</v>
      </c>
    </row>
    <row r="41" spans="2:41">
      <c r="B41" s="258">
        <v>26</v>
      </c>
      <c r="C41" s="28">
        <v>0.7</v>
      </c>
      <c r="D41" s="28">
        <f>D40+(((B41-B40)/($B$45-B40))*($D$45-D40))</f>
        <v>0.94799999999999995</v>
      </c>
      <c r="E41" s="28">
        <f>E40+(((B41-B40)/($B$45-B40))*($E$45-E40))</f>
        <v>1.1280000000000001</v>
      </c>
      <c r="F41" s="830"/>
      <c r="J41" s="178" t="s">
        <v>445</v>
      </c>
      <c r="K41" s="305">
        <v>26</v>
      </c>
      <c r="L41" s="305">
        <v>1.5370833333333334E-2</v>
      </c>
      <c r="M41" s="305">
        <v>4.5208333333333333E-3</v>
      </c>
      <c r="N41" s="786"/>
      <c r="T41" s="1676"/>
      <c r="U41" s="329" t="s">
        <v>446</v>
      </c>
      <c r="V41" s="330">
        <v>0.4</v>
      </c>
      <c r="W41" s="889">
        <v>10437</v>
      </c>
      <c r="X41" s="878">
        <v>0.85</v>
      </c>
      <c r="Y41" s="366"/>
      <c r="Z41" s="342">
        <f t="shared" si="8"/>
        <v>67.931159725136638</v>
      </c>
      <c r="AA41" s="373">
        <f t="shared" si="9"/>
        <v>3.8529456878409865E-4</v>
      </c>
      <c r="AB41" s="375">
        <f t="shared" si="2"/>
        <v>80.91185944466072</v>
      </c>
      <c r="AC41" s="545">
        <f t="shared" si="4"/>
        <v>17602.909573898603</v>
      </c>
      <c r="AD41" s="880">
        <v>41</v>
      </c>
      <c r="AE41" s="800"/>
      <c r="AF41" s="806">
        <f t="shared" si="3"/>
        <v>11.076923076923077</v>
      </c>
      <c r="AM41" s="258">
        <v>38</v>
      </c>
      <c r="AN41" s="342">
        <v>6.9999900000000004</v>
      </c>
      <c r="AO41" s="813">
        <v>9.9999900000000004</v>
      </c>
    </row>
    <row r="42" spans="2:41" ht="35.450000000000003" customHeight="1">
      <c r="B42" s="258">
        <v>27</v>
      </c>
      <c r="C42" s="28">
        <v>0.7</v>
      </c>
      <c r="D42" s="28">
        <f>D41+(((B42-B41)/($B$45-B41))*($D$45-D41))</f>
        <v>0.95599999999999996</v>
      </c>
      <c r="E42" s="28">
        <f>E41+(((B42-B41)/($B$45-B41))*($E$45-E41))</f>
        <v>1.1360000000000001</v>
      </c>
      <c r="F42" s="830"/>
      <c r="J42" s="178" t="s">
        <v>445</v>
      </c>
      <c r="K42" s="305">
        <v>24</v>
      </c>
      <c r="L42" s="305">
        <v>1.9549999999999998E-2</v>
      </c>
      <c r="M42" s="305">
        <v>5.7499999999999999E-3</v>
      </c>
      <c r="N42" s="786"/>
      <c r="T42" s="1676"/>
      <c r="U42" s="329" t="s">
        <v>447</v>
      </c>
      <c r="V42" s="330">
        <v>0.05</v>
      </c>
      <c r="W42" s="905">
        <v>28262</v>
      </c>
      <c r="X42" s="878">
        <v>0.81</v>
      </c>
      <c r="Y42" s="367"/>
      <c r="Z42" s="342">
        <f t="shared" si="8"/>
        <v>89.543045582460707</v>
      </c>
      <c r="AA42" s="373">
        <f t="shared" si="9"/>
        <v>6.3815363331479029E-4</v>
      </c>
      <c r="AB42" s="375">
        <f t="shared" si="2"/>
        <v>134.01226299610596</v>
      </c>
      <c r="AC42" s="545">
        <f t="shared" si="4"/>
        <v>29155.253179262334</v>
      </c>
      <c r="AD42" s="880">
        <v>-1</v>
      </c>
      <c r="AE42" s="800"/>
      <c r="AF42" s="806">
        <f t="shared" si="3"/>
        <v>10</v>
      </c>
      <c r="AM42" s="258">
        <v>39</v>
      </c>
      <c r="AN42" s="342">
        <v>6.9999900000000004</v>
      </c>
      <c r="AO42" s="813">
        <v>9.9999900000000004</v>
      </c>
    </row>
    <row r="43" spans="2:41" ht="28.15" thickBot="1">
      <c r="B43" s="258">
        <v>28</v>
      </c>
      <c r="C43" s="28">
        <v>0.7</v>
      </c>
      <c r="D43" s="28">
        <f>D42+(((B43-B42)/($B$45-B42))*($D$45-D42))</f>
        <v>0.96399999999999997</v>
      </c>
      <c r="E43" s="28">
        <f>E42+(((B43-B42)/($B$45-B42))*($E$45-E42))</f>
        <v>1.1440000000000001</v>
      </c>
      <c r="F43" s="830"/>
      <c r="J43" s="178" t="s">
        <v>445</v>
      </c>
      <c r="K43" s="305">
        <v>22</v>
      </c>
      <c r="L43" s="305">
        <v>2.3799999999999998E-2</v>
      </c>
      <c r="M43" s="305">
        <v>7.0000000000000001E-3</v>
      </c>
      <c r="N43" s="786"/>
      <c r="T43" s="1677"/>
      <c r="U43" s="906" t="s">
        <v>448</v>
      </c>
      <c r="V43" s="907">
        <v>0.73</v>
      </c>
      <c r="W43" s="899">
        <v>10856</v>
      </c>
      <c r="X43" s="879">
        <v>0.89</v>
      </c>
      <c r="Y43" s="368" t="s">
        <v>403</v>
      </c>
      <c r="Z43" s="342">
        <f t="shared" si="8"/>
        <v>48.909540012380205</v>
      </c>
      <c r="AA43" s="373">
        <f t="shared" si="9"/>
        <v>1.627416181448484E-4</v>
      </c>
      <c r="AB43" s="546">
        <f t="shared" si="2"/>
        <v>34.175739810418165</v>
      </c>
      <c r="AC43" s="547">
        <f t="shared" si="4"/>
        <v>7435.1579809549912</v>
      </c>
      <c r="AD43" s="881">
        <v>90</v>
      </c>
      <c r="AE43" s="801"/>
      <c r="AF43" s="806">
        <v>12</v>
      </c>
      <c r="AM43" s="258">
        <v>40</v>
      </c>
      <c r="AN43" s="342">
        <v>6.9999900000000004</v>
      </c>
      <c r="AO43" s="813">
        <v>9.9999900000000004</v>
      </c>
    </row>
    <row r="44" spans="2:41" ht="16.149999999999999" thickBot="1">
      <c r="B44" s="258">
        <v>29</v>
      </c>
      <c r="C44" s="28">
        <v>0.7</v>
      </c>
      <c r="D44" s="28">
        <f>D43+(((B44-B43)/($B$45-B43))*($D$45-D43))</f>
        <v>0.97199999999999998</v>
      </c>
      <c r="E44" s="28">
        <f>E43+(((B44-B43)/($B$45-B43))*($E$45-E43))</f>
        <v>1.1520000000000001</v>
      </c>
      <c r="F44" s="830"/>
      <c r="J44" s="181"/>
      <c r="K44" s="723"/>
      <c r="L44" s="723"/>
      <c r="M44" s="723"/>
      <c r="N44" s="724"/>
      <c r="T44" s="30" t="s">
        <v>449</v>
      </c>
      <c r="U44" s="327">
        <v>12</v>
      </c>
      <c r="AM44" s="258">
        <v>41</v>
      </c>
      <c r="AN44" s="342">
        <v>6.9999900000000004</v>
      </c>
      <c r="AO44" s="813">
        <v>9.9999900000000004</v>
      </c>
    </row>
    <row r="45" spans="2:41" ht="18.600000000000001" thickTop="1">
      <c r="B45" s="258">
        <v>30</v>
      </c>
      <c r="C45" s="28">
        <v>0.7</v>
      </c>
      <c r="D45" s="28">
        <v>0.98</v>
      </c>
      <c r="E45" s="28">
        <v>1.1599999999999999</v>
      </c>
      <c r="F45" s="830"/>
      <c r="T45" s="30" t="s">
        <v>450</v>
      </c>
      <c r="U45" s="327">
        <v>1.17E-5</v>
      </c>
      <c r="V45" t="s">
        <v>451</v>
      </c>
      <c r="Z45" s="313"/>
      <c r="AB45" s="816"/>
      <c r="AC45" s="816"/>
      <c r="AD45" s="816"/>
      <c r="AE45" s="816"/>
      <c r="AM45" s="258">
        <v>42</v>
      </c>
      <c r="AN45" s="342">
        <v>6.9999900000000004</v>
      </c>
      <c r="AO45" s="813">
        <v>9.9999900000000004</v>
      </c>
    </row>
    <row r="46" spans="2:41" ht="18.399999999999999" customHeight="1">
      <c r="B46" s="258">
        <v>31</v>
      </c>
      <c r="C46" s="28">
        <f t="shared" ref="C46:C54" si="10">C45+(((B46-B45)/($B$55-B45))*($C$55-C45))</f>
        <v>0.70599999999999996</v>
      </c>
      <c r="D46" s="28">
        <f t="shared" ref="D46:D54" si="11">D45+(((B46-B45)/($B$55-B45))*($D$55-D45))</f>
        <v>0.98599999999999999</v>
      </c>
      <c r="E46" s="28">
        <f t="shared" ref="E46:E54" si="12">E45+(((B46-B45)/($B$55-B45))*($E$55-E45))</f>
        <v>1.1659999999999999</v>
      </c>
      <c r="F46" s="830"/>
      <c r="U46" s="327">
        <v>1.73E-5</v>
      </c>
      <c r="V46" t="s">
        <v>452</v>
      </c>
      <c r="Z46" s="129"/>
      <c r="AA46" s="1633" t="s">
        <v>453</v>
      </c>
      <c r="AB46" s="1633"/>
      <c r="AC46" s="1633"/>
      <c r="AD46" s="1633"/>
      <c r="AE46" s="1633"/>
      <c r="AM46" s="258">
        <v>43</v>
      </c>
      <c r="AN46" s="342">
        <v>5.9999900000000004</v>
      </c>
      <c r="AO46" s="813">
        <v>8.9999900000000004</v>
      </c>
    </row>
    <row r="47" spans="2:41" ht="18.600000000000001" thickBot="1">
      <c r="B47" s="258">
        <v>32</v>
      </c>
      <c r="C47" s="28">
        <f t="shared" si="10"/>
        <v>0.71199999999999997</v>
      </c>
      <c r="D47" s="28">
        <f t="shared" si="11"/>
        <v>0.99199999999999999</v>
      </c>
      <c r="E47" s="28">
        <f t="shared" si="12"/>
        <v>1.1719999999999999</v>
      </c>
      <c r="F47" s="830"/>
      <c r="I47" s="1657"/>
      <c r="J47" s="1657"/>
      <c r="K47" s="470"/>
      <c r="T47" s="30" t="s">
        <v>454</v>
      </c>
      <c r="U47" s="327">
        <v>35</v>
      </c>
      <c r="V47" t="s">
        <v>455</v>
      </c>
      <c r="AA47" s="1633"/>
      <c r="AB47" s="1633"/>
      <c r="AC47" s="1633"/>
      <c r="AD47" s="1633"/>
      <c r="AE47" s="1633"/>
      <c r="AM47" s="258">
        <v>44</v>
      </c>
      <c r="AN47" s="342">
        <v>5.9999900000000004</v>
      </c>
      <c r="AO47" s="813">
        <v>8.9999900000000004</v>
      </c>
    </row>
    <row r="48" spans="2:41">
      <c r="B48" s="258">
        <v>33</v>
      </c>
      <c r="C48" s="28">
        <f t="shared" si="10"/>
        <v>0.71799999999999997</v>
      </c>
      <c r="D48" s="28">
        <f t="shared" si="11"/>
        <v>0.998</v>
      </c>
      <c r="E48" s="28">
        <f t="shared" si="12"/>
        <v>1.1779999999999999</v>
      </c>
      <c r="F48" s="830"/>
      <c r="I48" s="299"/>
      <c r="J48" s="471"/>
      <c r="K48" s="472"/>
      <c r="T48" t="s">
        <v>456</v>
      </c>
      <c r="AA48" s="137"/>
      <c r="AB48" s="137"/>
      <c r="AC48" s="1642" t="s">
        <v>457</v>
      </c>
      <c r="AD48" s="1643"/>
      <c r="AE48" s="1644"/>
      <c r="AM48" s="258">
        <v>45</v>
      </c>
      <c r="AN48" s="342">
        <v>5.9999900000000004</v>
      </c>
      <c r="AO48" s="813">
        <v>8.9999900000000004</v>
      </c>
    </row>
    <row r="49" spans="2:41" ht="15" thickBot="1">
      <c r="B49" s="258">
        <v>34</v>
      </c>
      <c r="C49" s="28">
        <f t="shared" si="10"/>
        <v>0.72399999999999998</v>
      </c>
      <c r="D49" s="28">
        <f t="shared" si="11"/>
        <v>1.004</v>
      </c>
      <c r="E49" s="28">
        <f t="shared" si="12"/>
        <v>1.1839999999999999</v>
      </c>
      <c r="F49" s="830"/>
      <c r="I49" s="1650" t="s">
        <v>458</v>
      </c>
      <c r="J49" s="1650"/>
      <c r="K49" s="1650"/>
      <c r="T49" s="30" t="s">
        <v>459</v>
      </c>
      <c r="U49" s="327">
        <v>30457924.923</v>
      </c>
      <c r="V49" t="s">
        <v>460</v>
      </c>
      <c r="AA49" s="137"/>
      <c r="AB49" s="137"/>
      <c r="AC49" s="1629" t="s">
        <v>461</v>
      </c>
      <c r="AD49" s="1630"/>
      <c r="AE49" s="1631"/>
      <c r="AM49" s="258">
        <v>46</v>
      </c>
      <c r="AN49" s="342">
        <v>5.9999900000000004</v>
      </c>
      <c r="AO49" s="813">
        <v>8.9999900000000004</v>
      </c>
    </row>
    <row r="50" spans="2:41" ht="15" thickBot="1">
      <c r="B50" s="258">
        <v>35</v>
      </c>
      <c r="C50" s="28">
        <f t="shared" si="10"/>
        <v>0.73</v>
      </c>
      <c r="D50" s="28">
        <f t="shared" si="11"/>
        <v>1.01</v>
      </c>
      <c r="E50" s="28">
        <f t="shared" si="12"/>
        <v>1.19</v>
      </c>
      <c r="F50" s="830"/>
      <c r="I50" s="1651"/>
      <c r="J50" s="1651"/>
      <c r="K50" s="1651"/>
      <c r="U50" s="327">
        <v>210000</v>
      </c>
      <c r="V50" t="s">
        <v>462</v>
      </c>
      <c r="AA50" s="1634" t="s">
        <v>121</v>
      </c>
      <c r="AB50" s="1636" t="s">
        <v>463</v>
      </c>
      <c r="AC50" s="1634">
        <v>2</v>
      </c>
      <c r="AD50" s="1634">
        <v>3</v>
      </c>
      <c r="AE50" s="1634">
        <v>4</v>
      </c>
      <c r="AM50" s="258">
        <v>47</v>
      </c>
      <c r="AN50" s="342">
        <v>5.9999900000000004</v>
      </c>
      <c r="AO50" s="813">
        <v>8.9999900000000004</v>
      </c>
    </row>
    <row r="51" spans="2:41" ht="15" thickBot="1">
      <c r="B51" s="258">
        <v>36</v>
      </c>
      <c r="C51" s="28">
        <f t="shared" si="10"/>
        <v>0.73599999999999999</v>
      </c>
      <c r="D51" s="28">
        <f t="shared" si="11"/>
        <v>1.016</v>
      </c>
      <c r="E51" s="28">
        <f t="shared" si="12"/>
        <v>1.196</v>
      </c>
      <c r="F51" s="830"/>
      <c r="I51" s="1658" t="s">
        <v>464</v>
      </c>
      <c r="J51" s="1659"/>
      <c r="K51" s="1660"/>
      <c r="AA51" s="1635"/>
      <c r="AB51" s="1637"/>
      <c r="AC51" s="1635"/>
      <c r="AD51" s="1635"/>
      <c r="AE51" s="1635"/>
      <c r="AM51" s="258">
        <v>48</v>
      </c>
      <c r="AN51" s="342">
        <v>5.9999900000000004</v>
      </c>
      <c r="AO51" s="813">
        <v>8.9999900000000004</v>
      </c>
    </row>
    <row r="52" spans="2:41" ht="29.45" thickBot="1">
      <c r="B52" s="258">
        <v>37</v>
      </c>
      <c r="C52" s="28">
        <f t="shared" si="10"/>
        <v>0.74199999999999999</v>
      </c>
      <c r="D52" s="28">
        <f t="shared" si="11"/>
        <v>1.022</v>
      </c>
      <c r="E52" s="28">
        <f t="shared" si="12"/>
        <v>1.202</v>
      </c>
      <c r="F52" s="830"/>
      <c r="I52" s="469" t="s">
        <v>465</v>
      </c>
      <c r="J52" s="468">
        <v>0.4</v>
      </c>
      <c r="K52" s="467">
        <f>32*($J$52^2)+12*$J$52</f>
        <v>9.9200000000000017</v>
      </c>
      <c r="AA52" s="1634" t="s">
        <v>466</v>
      </c>
      <c r="AB52" s="333" t="s">
        <v>467</v>
      </c>
      <c r="AC52" s="333" t="s">
        <v>468</v>
      </c>
      <c r="AD52" s="336" t="s">
        <v>469</v>
      </c>
      <c r="AE52" s="335" t="s">
        <v>399</v>
      </c>
      <c r="AM52" s="258">
        <v>49</v>
      </c>
      <c r="AN52" s="342">
        <v>5.9999900000000004</v>
      </c>
      <c r="AO52" s="813">
        <v>8.9999900000000004</v>
      </c>
    </row>
    <row r="53" spans="2:41" ht="14.45" customHeight="1" thickBot="1">
      <c r="B53" s="258">
        <v>38</v>
      </c>
      <c r="C53" s="28">
        <f t="shared" si="10"/>
        <v>0.748</v>
      </c>
      <c r="D53" s="28">
        <f t="shared" si="11"/>
        <v>1.028</v>
      </c>
      <c r="E53" s="28">
        <f t="shared" si="12"/>
        <v>1.208</v>
      </c>
      <c r="F53" s="830"/>
      <c r="AA53" s="1635"/>
      <c r="AB53" s="333" t="s">
        <v>128</v>
      </c>
      <c r="AC53" s="333" t="s">
        <v>470</v>
      </c>
      <c r="AD53" s="336" t="s">
        <v>471</v>
      </c>
      <c r="AE53" s="333" t="s">
        <v>472</v>
      </c>
      <c r="AM53" s="258">
        <v>50</v>
      </c>
      <c r="AN53" s="342">
        <v>5.9999900000000004</v>
      </c>
      <c r="AO53" s="813">
        <v>8.9999900000000004</v>
      </c>
    </row>
    <row r="54" spans="2:41" ht="14.65" customHeight="1" thickBot="1">
      <c r="B54" s="258">
        <v>39</v>
      </c>
      <c r="C54" s="28">
        <f t="shared" si="10"/>
        <v>0.754</v>
      </c>
      <c r="D54" s="28">
        <f t="shared" si="11"/>
        <v>1.034</v>
      </c>
      <c r="E54" s="28">
        <f t="shared" si="12"/>
        <v>1.214</v>
      </c>
      <c r="F54" s="830"/>
      <c r="T54">
        <v>-1</v>
      </c>
      <c r="U54">
        <v>10</v>
      </c>
      <c r="AA54" s="1634" t="s">
        <v>130</v>
      </c>
      <c r="AB54" s="333" t="s">
        <v>467</v>
      </c>
      <c r="AC54" s="336" t="s">
        <v>473</v>
      </c>
      <c r="AD54" s="333" t="s">
        <v>474</v>
      </c>
      <c r="AE54" s="333" t="s">
        <v>475</v>
      </c>
      <c r="AM54" s="258">
        <v>51</v>
      </c>
      <c r="AN54" s="342">
        <v>5.9999900000000004</v>
      </c>
      <c r="AO54" s="813">
        <v>8.9999900000000004</v>
      </c>
    </row>
    <row r="55" spans="2:41" ht="15" thickBot="1">
      <c r="B55" s="258">
        <v>40</v>
      </c>
      <c r="C55" s="28">
        <v>0.76</v>
      </c>
      <c r="D55" s="28">
        <v>1.04</v>
      </c>
      <c r="E55" s="28">
        <v>1.22</v>
      </c>
      <c r="F55" s="830"/>
      <c r="T55">
        <v>77</v>
      </c>
      <c r="U55">
        <v>12</v>
      </c>
      <c r="AA55" s="1635"/>
      <c r="AB55" s="333" t="s">
        <v>128</v>
      </c>
      <c r="AC55" s="333" t="s">
        <v>476</v>
      </c>
      <c r="AD55" s="333" t="s">
        <v>477</v>
      </c>
      <c r="AE55" s="333" t="s">
        <v>478</v>
      </c>
      <c r="AM55" s="258">
        <v>52</v>
      </c>
      <c r="AN55" s="342">
        <v>5.9999900000000004</v>
      </c>
      <c r="AO55" s="813">
        <v>8.9999900000000004</v>
      </c>
    </row>
    <row r="56" spans="2:41" ht="15" thickBot="1">
      <c r="B56" s="258">
        <v>41</v>
      </c>
      <c r="C56" s="28">
        <f t="shared" ref="C56:C64" si="13">C55+(((B56-B55)/($B$65-B55))*($C$65-C55))</f>
        <v>0.76500000000000001</v>
      </c>
      <c r="D56" s="28">
        <f t="shared" ref="D56:D64" si="14">D55+(((B56-B55)/($B$65-B55))*($D$65-D55))</f>
        <v>1.0449999999999999</v>
      </c>
      <c r="E56" s="28">
        <f t="shared" ref="E56:E64" si="15">E55+(((B56-B55)/($B$65-B55))*($E$65-E55))</f>
        <v>1.2250000000000001</v>
      </c>
      <c r="F56" s="830"/>
      <c r="T56" cm="1">
        <f t="array" ref="T56:U56">LINEST(U54:U55,T54:T55,TRUE,FALSE)</f>
        <v>2.564102564102564E-2</v>
      </c>
      <c r="U56">
        <v>10.025641025641026</v>
      </c>
      <c r="AA56" s="1515" t="s">
        <v>133</v>
      </c>
      <c r="AB56" s="759" t="s">
        <v>134</v>
      </c>
      <c r="AC56" s="333" t="s">
        <v>479</v>
      </c>
      <c r="AD56" s="333" t="s">
        <v>480</v>
      </c>
      <c r="AE56" s="333" t="s">
        <v>481</v>
      </c>
      <c r="AM56" s="258">
        <v>53</v>
      </c>
      <c r="AN56" s="342">
        <v>5.9999900000000004</v>
      </c>
      <c r="AO56" s="813">
        <v>8.9999900000000004</v>
      </c>
    </row>
    <row r="57" spans="2:41" ht="15" thickBot="1">
      <c r="B57" s="258">
        <v>42</v>
      </c>
      <c r="C57" s="28">
        <f t="shared" si="13"/>
        <v>0.77</v>
      </c>
      <c r="D57" s="28">
        <f t="shared" si="14"/>
        <v>1.05</v>
      </c>
      <c r="E57" s="28">
        <f t="shared" si="15"/>
        <v>1.23</v>
      </c>
      <c r="F57" s="830"/>
      <c r="AA57" s="1515"/>
      <c r="AB57" s="759" t="s">
        <v>135</v>
      </c>
      <c r="AC57" s="333" t="s">
        <v>482</v>
      </c>
      <c r="AD57" s="333" t="s">
        <v>480</v>
      </c>
      <c r="AE57" s="333" t="s">
        <v>481</v>
      </c>
      <c r="AM57" s="258">
        <v>54</v>
      </c>
      <c r="AN57" s="342">
        <v>5.9999900000000004</v>
      </c>
      <c r="AO57" s="813">
        <v>8.9999900000000004</v>
      </c>
    </row>
    <row r="58" spans="2:41" ht="15" thickBot="1">
      <c r="B58" s="258">
        <v>43</v>
      </c>
      <c r="C58" s="28">
        <f t="shared" si="13"/>
        <v>0.77500000000000002</v>
      </c>
      <c r="D58" s="28">
        <f t="shared" si="14"/>
        <v>1.0550000000000002</v>
      </c>
      <c r="E58" s="28">
        <f t="shared" si="15"/>
        <v>1.2349999999999999</v>
      </c>
      <c r="F58" s="830"/>
      <c r="AA58" s="1638" t="s">
        <v>137</v>
      </c>
      <c r="AB58" s="759" t="s">
        <v>138</v>
      </c>
      <c r="AC58" s="791" t="s">
        <v>479</v>
      </c>
      <c r="AD58" s="791" t="s">
        <v>480</v>
      </c>
      <c r="AE58" s="791" t="s">
        <v>481</v>
      </c>
      <c r="AM58" s="258">
        <v>55</v>
      </c>
      <c r="AN58" s="342">
        <v>5.9999900000000004</v>
      </c>
      <c r="AO58" s="813">
        <v>8.9999900000000004</v>
      </c>
    </row>
    <row r="59" spans="2:41" ht="15" thickBot="1">
      <c r="B59" s="258">
        <v>44</v>
      </c>
      <c r="C59" s="28">
        <f t="shared" si="13"/>
        <v>0.78</v>
      </c>
      <c r="D59" s="28">
        <f t="shared" si="14"/>
        <v>1.06</v>
      </c>
      <c r="E59" s="28">
        <f t="shared" si="15"/>
        <v>1.24</v>
      </c>
      <c r="F59" s="830"/>
      <c r="AA59" s="1639"/>
      <c r="AB59" s="759" t="s">
        <v>139</v>
      </c>
      <c r="AC59" s="791" t="s">
        <v>482</v>
      </c>
      <c r="AD59" s="791" t="s">
        <v>480</v>
      </c>
      <c r="AE59" s="791" t="s">
        <v>481</v>
      </c>
      <c r="AM59" s="258">
        <v>56</v>
      </c>
      <c r="AN59" s="342">
        <v>5.9999900000000004</v>
      </c>
      <c r="AO59" s="813">
        <v>8.9999900000000004</v>
      </c>
    </row>
    <row r="60" spans="2:41" ht="15" thickBot="1">
      <c r="B60" s="258">
        <v>45</v>
      </c>
      <c r="C60" s="28">
        <f t="shared" si="13"/>
        <v>0.78500000000000003</v>
      </c>
      <c r="D60" s="28">
        <f t="shared" si="14"/>
        <v>1.0649999999999999</v>
      </c>
      <c r="E60" s="28">
        <f t="shared" si="15"/>
        <v>1.2450000000000001</v>
      </c>
      <c r="F60" s="830"/>
      <c r="AA60" s="847" t="s">
        <v>483</v>
      </c>
      <c r="AB60" s="333" t="s">
        <v>141</v>
      </c>
      <c r="AC60" s="847" t="s">
        <v>484</v>
      </c>
      <c r="AD60" s="847" t="s">
        <v>485</v>
      </c>
      <c r="AE60" s="847" t="s">
        <v>481</v>
      </c>
      <c r="AM60" s="258">
        <v>57</v>
      </c>
      <c r="AN60" s="342">
        <v>4.9999900000000004</v>
      </c>
      <c r="AO60" s="813">
        <v>7.9999900000000004</v>
      </c>
    </row>
    <row r="61" spans="2:41">
      <c r="B61" s="258">
        <v>46</v>
      </c>
      <c r="C61" s="28">
        <f t="shared" si="13"/>
        <v>0.79</v>
      </c>
      <c r="D61" s="28">
        <f t="shared" si="14"/>
        <v>1.07</v>
      </c>
      <c r="E61" s="28">
        <f t="shared" si="15"/>
        <v>1.25</v>
      </c>
      <c r="F61" s="830"/>
      <c r="AM61" s="258">
        <v>58</v>
      </c>
      <c r="AN61" s="342">
        <v>4.9999900000000004</v>
      </c>
      <c r="AO61" s="813">
        <v>7.9999900000000004</v>
      </c>
    </row>
    <row r="62" spans="2:41">
      <c r="B62" s="258">
        <v>47</v>
      </c>
      <c r="C62" s="28">
        <f t="shared" si="13"/>
        <v>0.79500000000000004</v>
      </c>
      <c r="D62" s="28">
        <f t="shared" si="14"/>
        <v>1.0750000000000002</v>
      </c>
      <c r="E62" s="28">
        <f t="shared" si="15"/>
        <v>1.2549999999999999</v>
      </c>
      <c r="F62" s="830"/>
      <c r="AG62" s="796"/>
      <c r="AM62" s="258">
        <v>59</v>
      </c>
      <c r="AN62" s="342">
        <v>4.9999900000000004</v>
      </c>
      <c r="AO62" s="813">
        <v>7.9999900000000004</v>
      </c>
    </row>
    <row r="63" spans="2:41">
      <c r="B63" s="258">
        <v>48</v>
      </c>
      <c r="C63" s="28">
        <f t="shared" si="13"/>
        <v>0.8</v>
      </c>
      <c r="D63" s="28">
        <f t="shared" si="14"/>
        <v>1.08</v>
      </c>
      <c r="E63" s="28">
        <f t="shared" si="15"/>
        <v>1.26</v>
      </c>
      <c r="F63" s="830"/>
      <c r="AM63" s="258">
        <v>60</v>
      </c>
      <c r="AN63" s="342">
        <v>4.9999900000000004</v>
      </c>
      <c r="AO63" s="813">
        <v>7.9999900000000004</v>
      </c>
    </row>
    <row r="64" spans="2:41">
      <c r="B64" s="258">
        <v>49</v>
      </c>
      <c r="C64" s="28">
        <f t="shared" si="13"/>
        <v>0.80500000000000005</v>
      </c>
      <c r="D64" s="28">
        <f t="shared" si="14"/>
        <v>1.085</v>
      </c>
      <c r="E64" s="28">
        <f t="shared" si="15"/>
        <v>1.2650000000000001</v>
      </c>
      <c r="F64" s="830"/>
      <c r="AM64" s="258">
        <v>61</v>
      </c>
      <c r="AN64" s="342">
        <v>4.9999900000000004</v>
      </c>
      <c r="AO64" s="813">
        <v>7.9999900000000004</v>
      </c>
    </row>
    <row r="65" spans="2:42" ht="18">
      <c r="B65" s="258">
        <v>50</v>
      </c>
      <c r="C65" s="28">
        <v>0.81</v>
      </c>
      <c r="D65" s="28">
        <v>1.0900000000000001</v>
      </c>
      <c r="E65" s="28">
        <v>1.27</v>
      </c>
      <c r="F65" s="830"/>
      <c r="AA65" s="1562" t="s">
        <v>486</v>
      </c>
      <c r="AB65" s="1562"/>
      <c r="AC65" s="1562"/>
      <c r="AD65" s="1562"/>
      <c r="AE65" s="1562"/>
      <c r="AF65" s="1562"/>
      <c r="AG65" s="1562"/>
      <c r="AH65" s="1562"/>
      <c r="AI65" s="849"/>
      <c r="AJ65" s="849"/>
      <c r="AK65" s="849"/>
      <c r="AM65" s="258">
        <v>62</v>
      </c>
      <c r="AN65" s="342">
        <v>4.9999900000000004</v>
      </c>
      <c r="AO65" s="813">
        <v>7.9999900000000004</v>
      </c>
    </row>
    <row r="66" spans="2:42" ht="18">
      <c r="B66" s="258">
        <v>51</v>
      </c>
      <c r="C66" s="28">
        <f t="shared" ref="C66:C74" si="16">C65+(((B66-B65)/($B$75-B65))*($C$75-C65))</f>
        <v>0.81400000000000006</v>
      </c>
      <c r="D66" s="28">
        <f t="shared" ref="D66:D74" si="17">D65+(((B66-B65)/($B$75-B65))*($D$75-D65))</f>
        <v>1.0940000000000001</v>
      </c>
      <c r="E66" s="28">
        <f t="shared" ref="E66:E74" si="18">E65+(((B66-B65)/($B$75-B65))*($E$75-E65))</f>
        <v>1.274</v>
      </c>
      <c r="F66" s="830"/>
      <c r="AA66" s="1562"/>
      <c r="AB66" s="1562"/>
      <c r="AC66" s="1562"/>
      <c r="AD66" s="1562"/>
      <c r="AE66" s="1562"/>
      <c r="AF66" s="1562"/>
      <c r="AG66" s="1562"/>
      <c r="AH66" s="1562"/>
      <c r="AI66" s="849"/>
      <c r="AJ66" s="849"/>
      <c r="AK66" s="849"/>
      <c r="AM66" s="258">
        <v>63</v>
      </c>
      <c r="AN66" s="342">
        <v>4.9999900000000004</v>
      </c>
      <c r="AO66" s="813">
        <v>7.9999900000000004</v>
      </c>
    </row>
    <row r="67" spans="2:42" ht="15" thickBot="1">
      <c r="B67" s="258">
        <v>52</v>
      </c>
      <c r="C67" s="28">
        <f t="shared" si="16"/>
        <v>0.81800000000000006</v>
      </c>
      <c r="D67" s="28">
        <f t="shared" si="17"/>
        <v>1.0980000000000001</v>
      </c>
      <c r="E67" s="28">
        <f t="shared" si="18"/>
        <v>1.278</v>
      </c>
      <c r="F67" s="830"/>
      <c r="AM67" s="258">
        <v>64</v>
      </c>
      <c r="AN67" s="342">
        <v>3.9999899999999999</v>
      </c>
      <c r="AO67" s="813">
        <v>6.9999900000000004</v>
      </c>
    </row>
    <row r="68" spans="2:42">
      <c r="B68" s="258">
        <v>53</v>
      </c>
      <c r="C68" s="28">
        <f t="shared" si="16"/>
        <v>0.82200000000000006</v>
      </c>
      <c r="D68" s="28">
        <f t="shared" si="17"/>
        <v>1.1020000000000001</v>
      </c>
      <c r="E68" s="28">
        <f t="shared" si="18"/>
        <v>1.282</v>
      </c>
      <c r="F68" s="830"/>
      <c r="AA68" s="137"/>
      <c r="AB68" s="137"/>
      <c r="AC68" s="1642" t="s">
        <v>487</v>
      </c>
      <c r="AD68" s="1643"/>
      <c r="AE68" s="1643"/>
      <c r="AF68" s="1643"/>
      <c r="AG68" s="1643"/>
      <c r="AH68" s="1644"/>
      <c r="AI68" s="129"/>
      <c r="AJ68" s="129"/>
      <c r="AK68" s="129"/>
      <c r="AM68" s="258">
        <v>65</v>
      </c>
      <c r="AN68" s="342">
        <v>3.9999899999999999</v>
      </c>
      <c r="AO68" s="813">
        <v>6.9999900000000004</v>
      </c>
    </row>
    <row r="69" spans="2:42" ht="15" thickBot="1">
      <c r="B69" s="258">
        <v>54</v>
      </c>
      <c r="C69" s="28">
        <f t="shared" si="16"/>
        <v>0.82600000000000007</v>
      </c>
      <c r="D69" s="28">
        <f t="shared" si="17"/>
        <v>1.1060000000000001</v>
      </c>
      <c r="E69" s="28">
        <f t="shared" si="18"/>
        <v>1.286</v>
      </c>
      <c r="F69" s="830"/>
      <c r="AA69" s="137"/>
      <c r="AB69" s="137"/>
      <c r="AC69" s="1629" t="s">
        <v>461</v>
      </c>
      <c r="AD69" s="1630"/>
      <c r="AE69" s="1630"/>
      <c r="AF69" s="1630"/>
      <c r="AG69" s="1630"/>
      <c r="AH69" s="1631"/>
      <c r="AI69" s="129"/>
      <c r="AJ69" s="129"/>
      <c r="AK69" s="129"/>
      <c r="AM69" s="258">
        <v>66</v>
      </c>
      <c r="AN69" s="342">
        <v>3.9999899999999999</v>
      </c>
      <c r="AO69" s="813">
        <v>6.9999900000000004</v>
      </c>
    </row>
    <row r="70" spans="2:42">
      <c r="B70" s="258">
        <v>55</v>
      </c>
      <c r="C70" s="28">
        <f t="shared" si="16"/>
        <v>0.83000000000000007</v>
      </c>
      <c r="D70" s="28">
        <f t="shared" si="17"/>
        <v>1.1100000000000001</v>
      </c>
      <c r="E70" s="28">
        <f t="shared" si="18"/>
        <v>1.29</v>
      </c>
      <c r="F70" s="830"/>
      <c r="AA70" s="1638" t="s">
        <v>121</v>
      </c>
      <c r="AB70" s="1640" t="s">
        <v>158</v>
      </c>
      <c r="AC70" s="1634">
        <v>2</v>
      </c>
      <c r="AD70" s="1634">
        <v>3</v>
      </c>
      <c r="AE70" s="1634">
        <v>4</v>
      </c>
      <c r="AF70" s="1634">
        <v>5</v>
      </c>
      <c r="AG70" s="1634">
        <v>6</v>
      </c>
      <c r="AH70" s="1634">
        <v>8</v>
      </c>
      <c r="AI70" s="132"/>
      <c r="AJ70" s="132"/>
      <c r="AK70" s="132"/>
      <c r="AL70" s="15"/>
      <c r="AM70" s="814">
        <v>67</v>
      </c>
      <c r="AN70" s="342">
        <v>3.9999899999999999</v>
      </c>
      <c r="AO70" s="813">
        <v>6.9999900000000004</v>
      </c>
      <c r="AP70" s="15"/>
    </row>
    <row r="71" spans="2:42" ht="15" thickBot="1">
      <c r="B71" s="258">
        <v>56</v>
      </c>
      <c r="C71" s="28">
        <f t="shared" si="16"/>
        <v>0.83400000000000007</v>
      </c>
      <c r="D71" s="28">
        <f t="shared" si="17"/>
        <v>1.1140000000000001</v>
      </c>
      <c r="E71" s="28">
        <f t="shared" si="18"/>
        <v>1.294</v>
      </c>
      <c r="F71" s="830"/>
      <c r="AA71" s="1639"/>
      <c r="AB71" s="1641"/>
      <c r="AC71" s="1635"/>
      <c r="AD71" s="1635"/>
      <c r="AE71" s="1635"/>
      <c r="AF71" s="1635"/>
      <c r="AG71" s="1635"/>
      <c r="AH71" s="1635"/>
      <c r="AI71" s="850"/>
      <c r="AJ71" s="132"/>
      <c r="AK71" s="132"/>
      <c r="AL71" s="15"/>
      <c r="AM71" s="814">
        <v>68</v>
      </c>
      <c r="AN71" s="342">
        <v>3.9999899999999999</v>
      </c>
      <c r="AO71" s="813">
        <v>6.9999900000000004</v>
      </c>
      <c r="AP71" s="15"/>
    </row>
    <row r="72" spans="2:42" ht="15" thickBot="1">
      <c r="B72" s="258">
        <v>57</v>
      </c>
      <c r="C72" s="28">
        <f t="shared" si="16"/>
        <v>0.83800000000000008</v>
      </c>
      <c r="D72" s="28">
        <f t="shared" si="17"/>
        <v>1.1180000000000001</v>
      </c>
      <c r="E72" s="28">
        <f t="shared" si="18"/>
        <v>1.298</v>
      </c>
      <c r="F72" s="830"/>
      <c r="AA72" s="1678" t="s">
        <v>466</v>
      </c>
      <c r="AB72" s="333" t="s">
        <v>126</v>
      </c>
      <c r="AC72" s="333" t="s">
        <v>488</v>
      </c>
      <c r="AD72" s="336" t="s">
        <v>468</v>
      </c>
      <c r="AE72" s="333" t="s">
        <v>469</v>
      </c>
      <c r="AF72" s="334" t="s">
        <v>399</v>
      </c>
      <c r="AG72" s="334" t="s">
        <v>399</v>
      </c>
      <c r="AH72" s="335" t="s">
        <v>399</v>
      </c>
      <c r="AI72" s="794"/>
      <c r="AK72" s="129"/>
      <c r="AL72" s="129"/>
      <c r="AM72" s="258">
        <v>69</v>
      </c>
      <c r="AN72" s="342">
        <v>3.9999899999999999</v>
      </c>
      <c r="AO72" s="813">
        <v>6.9999900000000004</v>
      </c>
      <c r="AP72" s="129"/>
    </row>
    <row r="73" spans="2:42" ht="15" thickBot="1">
      <c r="B73" s="258">
        <v>58</v>
      </c>
      <c r="C73" s="28">
        <f t="shared" si="16"/>
        <v>0.84200000000000008</v>
      </c>
      <c r="D73" s="28">
        <f t="shared" si="17"/>
        <v>1.1220000000000001</v>
      </c>
      <c r="E73" s="28">
        <f t="shared" si="18"/>
        <v>1.302</v>
      </c>
      <c r="F73" s="830"/>
      <c r="AA73" s="1635"/>
      <c r="AB73" s="333" t="s">
        <v>233</v>
      </c>
      <c r="AC73" s="333" t="s">
        <v>470</v>
      </c>
      <c r="AD73" s="336" t="s">
        <v>471</v>
      </c>
      <c r="AE73" s="333" t="s">
        <v>472</v>
      </c>
      <c r="AF73" s="336" t="s">
        <v>489</v>
      </c>
      <c r="AG73" s="333" t="s">
        <v>490</v>
      </c>
      <c r="AH73" s="335" t="s">
        <v>399</v>
      </c>
      <c r="AI73" s="794"/>
      <c r="AK73" s="129"/>
      <c r="AL73" s="129"/>
      <c r="AM73" s="258">
        <v>70</v>
      </c>
      <c r="AN73" s="342">
        <v>3.9999899999999999</v>
      </c>
      <c r="AO73" s="813">
        <v>6.9999900000000004</v>
      </c>
      <c r="AP73" s="129"/>
    </row>
    <row r="74" spans="2:42" ht="15" thickBot="1">
      <c r="B74" s="258">
        <v>59</v>
      </c>
      <c r="C74" s="28">
        <f t="shared" si="16"/>
        <v>0.84600000000000009</v>
      </c>
      <c r="D74" s="28">
        <f t="shared" si="17"/>
        <v>1.1259999999999999</v>
      </c>
      <c r="E74" s="28">
        <f t="shared" si="18"/>
        <v>1.306</v>
      </c>
      <c r="F74" s="830"/>
      <c r="AA74" s="1634" t="s">
        <v>130</v>
      </c>
      <c r="AB74" s="333" t="s">
        <v>491</v>
      </c>
      <c r="AC74" s="333" t="s">
        <v>492</v>
      </c>
      <c r="AD74" s="336" t="s">
        <v>473</v>
      </c>
      <c r="AE74" s="333" t="s">
        <v>474</v>
      </c>
      <c r="AF74" s="336" t="s">
        <v>493</v>
      </c>
      <c r="AG74" s="333" t="s">
        <v>493</v>
      </c>
      <c r="AH74" s="335" t="s">
        <v>399</v>
      </c>
      <c r="AI74" s="794"/>
      <c r="AK74" s="129"/>
      <c r="AL74" s="129"/>
      <c r="AM74" s="258">
        <v>71</v>
      </c>
      <c r="AN74" s="342">
        <v>3.9999899999999999</v>
      </c>
      <c r="AO74" s="813">
        <v>5.9999900000000004</v>
      </c>
      <c r="AP74" s="129"/>
    </row>
    <row r="75" spans="2:42" ht="15" thickBot="1">
      <c r="B75" s="258">
        <v>60</v>
      </c>
      <c r="C75" s="28">
        <v>0.85</v>
      </c>
      <c r="D75" s="28">
        <v>1.1299999999999999</v>
      </c>
      <c r="E75" s="28">
        <v>1.31</v>
      </c>
      <c r="F75" s="830"/>
      <c r="AA75" s="1635"/>
      <c r="AB75" s="333" t="s">
        <v>234</v>
      </c>
      <c r="AC75" s="333" t="s">
        <v>494</v>
      </c>
      <c r="AD75" s="333" t="s">
        <v>494</v>
      </c>
      <c r="AE75" s="333" t="s">
        <v>495</v>
      </c>
      <c r="AF75" s="336" t="s">
        <v>496</v>
      </c>
      <c r="AG75" s="333" t="s">
        <v>497</v>
      </c>
      <c r="AH75" s="333" t="s">
        <v>498</v>
      </c>
      <c r="AI75" s="794"/>
      <c r="AK75" s="129"/>
      <c r="AL75" s="129"/>
      <c r="AM75" s="258">
        <v>72</v>
      </c>
      <c r="AN75" s="342">
        <v>3.9999899999999999</v>
      </c>
      <c r="AO75" s="813">
        <v>5.9999900000000004</v>
      </c>
      <c r="AP75" s="129"/>
    </row>
    <row r="76" spans="2:42" ht="15" thickBot="1">
      <c r="B76" s="258">
        <v>70</v>
      </c>
      <c r="C76" s="28">
        <v>0.89</v>
      </c>
      <c r="D76" s="28">
        <v>1.17</v>
      </c>
      <c r="E76" s="28">
        <v>1.34</v>
      </c>
      <c r="F76" s="830"/>
      <c r="AA76" s="1636" t="s">
        <v>133</v>
      </c>
      <c r="AB76" s="759" t="s">
        <v>134</v>
      </c>
      <c r="AC76" s="382" t="s">
        <v>479</v>
      </c>
      <c r="AD76" s="761" t="s">
        <v>480</v>
      </c>
      <c r="AE76" s="761" t="s">
        <v>481</v>
      </c>
      <c r="AF76" s="336" t="s">
        <v>499</v>
      </c>
      <c r="AG76" s="759" t="s">
        <v>500</v>
      </c>
      <c r="AH76" s="847" t="s">
        <v>501</v>
      </c>
      <c r="AI76" s="794"/>
      <c r="AJ76" s="15"/>
      <c r="AK76" s="129"/>
      <c r="AL76" s="129"/>
      <c r="AM76" s="258">
        <v>73</v>
      </c>
      <c r="AN76" s="342">
        <v>3.9999899999999999</v>
      </c>
      <c r="AO76" s="813">
        <v>5.9999900000000004</v>
      </c>
      <c r="AP76" s="129"/>
    </row>
    <row r="77" spans="2:42" ht="15" thickBot="1">
      <c r="B77" s="258">
        <v>80</v>
      </c>
      <c r="C77" s="28">
        <v>0.93</v>
      </c>
      <c r="D77" s="28">
        <v>1.21</v>
      </c>
      <c r="E77" s="28">
        <v>1.38</v>
      </c>
      <c r="F77" s="830"/>
      <c r="AA77" s="1637"/>
      <c r="AB77" s="759" t="s">
        <v>135</v>
      </c>
      <c r="AC77" s="834" t="s">
        <v>484</v>
      </c>
      <c r="AD77" s="845" t="s">
        <v>480</v>
      </c>
      <c r="AE77" s="845" t="s">
        <v>481</v>
      </c>
      <c r="AF77" s="846" t="s">
        <v>499</v>
      </c>
      <c r="AG77" s="833" t="s">
        <v>502</v>
      </c>
      <c r="AH77" s="848" t="s">
        <v>399</v>
      </c>
      <c r="AI77" s="794"/>
      <c r="AJ77" s="851"/>
      <c r="AK77" s="129"/>
      <c r="AL77" s="129"/>
      <c r="AM77" s="258">
        <v>74</v>
      </c>
      <c r="AN77" s="342">
        <v>3.9999899999999999</v>
      </c>
      <c r="AO77" s="813">
        <v>5.9999900000000004</v>
      </c>
      <c r="AP77" s="129"/>
    </row>
    <row r="78" spans="2:42" ht="15" thickBot="1">
      <c r="B78" s="258">
        <v>90</v>
      </c>
      <c r="C78" s="28">
        <v>0.96</v>
      </c>
      <c r="D78" s="28">
        <v>1.24</v>
      </c>
      <c r="E78" s="28">
        <v>1.4</v>
      </c>
      <c r="F78" s="830"/>
      <c r="AA78" s="1636" t="s">
        <v>137</v>
      </c>
      <c r="AB78" s="759" t="s">
        <v>138</v>
      </c>
      <c r="AC78" s="853" t="s">
        <v>479</v>
      </c>
      <c r="AD78" s="854" t="s">
        <v>480</v>
      </c>
      <c r="AE78" s="854" t="s">
        <v>481</v>
      </c>
      <c r="AF78" s="855" t="s">
        <v>499</v>
      </c>
      <c r="AG78" s="856" t="s">
        <v>500</v>
      </c>
      <c r="AH78" s="857" t="s">
        <v>501</v>
      </c>
      <c r="AI78" s="850" t="s">
        <v>503</v>
      </c>
      <c r="AJ78" s="132"/>
      <c r="AK78" s="15"/>
      <c r="AL78" s="129"/>
      <c r="AM78" s="258">
        <v>75</v>
      </c>
      <c r="AN78" s="342">
        <v>3.9999899999999999</v>
      </c>
      <c r="AO78" s="813">
        <v>5.9999900000000004</v>
      </c>
      <c r="AP78" s="15"/>
    </row>
    <row r="79" spans="2:42" ht="15" thickBot="1">
      <c r="B79" s="258">
        <v>100</v>
      </c>
      <c r="C79" s="28">
        <v>0.99</v>
      </c>
      <c r="D79" s="28">
        <v>1.26</v>
      </c>
      <c r="E79" s="28">
        <v>1.43</v>
      </c>
      <c r="F79" s="830"/>
      <c r="AA79" s="1637"/>
      <c r="AB79" s="759" t="s">
        <v>139</v>
      </c>
      <c r="AC79" s="858" t="s">
        <v>484</v>
      </c>
      <c r="AD79" s="859" t="s">
        <v>480</v>
      </c>
      <c r="AE79" s="859" t="s">
        <v>481</v>
      </c>
      <c r="AF79" s="860" t="s">
        <v>499</v>
      </c>
      <c r="AG79" s="861" t="s">
        <v>502</v>
      </c>
      <c r="AH79" s="862" t="s">
        <v>399</v>
      </c>
      <c r="AI79" s="850"/>
      <c r="AJ79" s="132"/>
      <c r="AK79" s="15"/>
      <c r="AL79" s="129"/>
      <c r="AM79" s="258">
        <v>76</v>
      </c>
      <c r="AN79" s="342">
        <v>3.9999899999999999</v>
      </c>
      <c r="AO79" s="813">
        <v>5.9999900000000004</v>
      </c>
      <c r="AP79" s="15"/>
    </row>
    <row r="80" spans="2:42" ht="15" thickBot="1">
      <c r="B80" s="258">
        <v>120</v>
      </c>
      <c r="C80" s="28">
        <v>1.04</v>
      </c>
      <c r="D80" s="28">
        <v>1.31</v>
      </c>
      <c r="E80" s="28">
        <v>1.48</v>
      </c>
      <c r="F80" s="830"/>
      <c r="AA80" s="847" t="s">
        <v>140</v>
      </c>
      <c r="AB80" s="333" t="s">
        <v>141</v>
      </c>
      <c r="AC80" s="333" t="s">
        <v>484</v>
      </c>
      <c r="AD80" s="333" t="s">
        <v>485</v>
      </c>
      <c r="AE80" s="333" t="s">
        <v>481</v>
      </c>
      <c r="AF80" s="336" t="s">
        <v>499</v>
      </c>
      <c r="AG80" s="333" t="s">
        <v>504</v>
      </c>
      <c r="AH80" s="333" t="s">
        <v>505</v>
      </c>
      <c r="AI80" s="794"/>
      <c r="AK80" s="15"/>
      <c r="AL80" s="129"/>
      <c r="AM80" s="258">
        <v>77</v>
      </c>
      <c r="AN80" s="342">
        <v>3.9999899999999999</v>
      </c>
      <c r="AO80" s="813">
        <v>5.9999900000000004</v>
      </c>
      <c r="AP80" s="15"/>
    </row>
    <row r="81" spans="2:42">
      <c r="B81" s="258">
        <v>140</v>
      </c>
      <c r="C81" s="28">
        <v>1.0900000000000001</v>
      </c>
      <c r="D81" s="28">
        <v>1.36</v>
      </c>
      <c r="E81" s="28">
        <v>1.52</v>
      </c>
      <c r="F81" s="830"/>
      <c r="AA81" s="15"/>
      <c r="AB81" s="15"/>
      <c r="AC81" s="129"/>
      <c r="AD81" s="129"/>
      <c r="AE81" s="129"/>
      <c r="AF81" s="129"/>
      <c r="AG81" s="15"/>
      <c r="AH81" s="15"/>
      <c r="AI81" s="15"/>
      <c r="AJ81" s="15"/>
      <c r="AK81" s="15"/>
      <c r="AL81" s="129"/>
      <c r="AM81" s="258">
        <v>78</v>
      </c>
      <c r="AN81" s="342">
        <v>3.9999899999999999</v>
      </c>
      <c r="AO81" s="813">
        <v>5.9999900000000004</v>
      </c>
      <c r="AP81" s="15"/>
    </row>
    <row r="82" spans="2:42">
      <c r="B82" s="258">
        <v>160</v>
      </c>
      <c r="C82" s="28">
        <v>1.1299999999999999</v>
      </c>
      <c r="D82" s="28">
        <v>1.39</v>
      </c>
      <c r="E82" s="28">
        <v>1.55</v>
      </c>
      <c r="F82" s="830"/>
      <c r="AA82" s="1332"/>
      <c r="AB82" s="129"/>
      <c r="AM82" s="258">
        <v>79</v>
      </c>
      <c r="AN82" s="342">
        <v>3.9999899999999999</v>
      </c>
      <c r="AO82" s="813">
        <v>5.9999900000000004</v>
      </c>
    </row>
    <row r="83" spans="2:42" ht="15" thickBot="1">
      <c r="B83" s="815">
        <v>180</v>
      </c>
      <c r="C83" s="44">
        <v>1.17</v>
      </c>
      <c r="D83" s="44">
        <v>1.43</v>
      </c>
      <c r="E83" s="44">
        <v>1.58</v>
      </c>
      <c r="F83" s="831"/>
      <c r="AA83" s="1332"/>
      <c r="AB83" s="129"/>
      <c r="AM83" s="258">
        <v>80</v>
      </c>
      <c r="AN83" s="342">
        <v>3.9999899999999999</v>
      </c>
      <c r="AO83" s="813">
        <v>5.9999900000000004</v>
      </c>
    </row>
    <row r="84" spans="2:42" ht="15" thickTop="1">
      <c r="AE84" s="186"/>
      <c r="AM84" s="258">
        <v>81</v>
      </c>
      <c r="AN84" s="342">
        <v>3.9999899999999999</v>
      </c>
      <c r="AO84" s="813">
        <v>5.9999900000000004</v>
      </c>
    </row>
    <row r="85" spans="2:42">
      <c r="AA85" s="1633" t="s">
        <v>506</v>
      </c>
      <c r="AB85" s="1633"/>
      <c r="AC85" s="1633"/>
      <c r="AD85" s="1633"/>
      <c r="AE85" s="1633"/>
      <c r="AF85" s="1633"/>
      <c r="AM85" s="258">
        <v>82</v>
      </c>
      <c r="AN85" s="342">
        <v>3.9999899999999999</v>
      </c>
      <c r="AO85" s="813">
        <v>5.9999900000000004</v>
      </c>
    </row>
    <row r="86" spans="2:42" ht="15" thickBot="1">
      <c r="AA86" s="1633"/>
      <c r="AB86" s="1633"/>
      <c r="AC86" s="1633"/>
      <c r="AD86" s="1633"/>
      <c r="AE86" s="1633"/>
      <c r="AF86" s="1633"/>
      <c r="AM86" s="258">
        <v>83</v>
      </c>
      <c r="AN86" s="342">
        <v>3.9999899999999999</v>
      </c>
      <c r="AO86" s="813">
        <v>5.9999900000000004</v>
      </c>
    </row>
    <row r="87" spans="2:42">
      <c r="AA87" s="137"/>
      <c r="AB87" s="1642" t="s">
        <v>507</v>
      </c>
      <c r="AC87" s="1643"/>
      <c r="AD87" s="1643"/>
      <c r="AE87" s="1643"/>
      <c r="AF87" s="1644"/>
      <c r="AG87" s="794"/>
      <c r="AM87" s="258">
        <v>84</v>
      </c>
      <c r="AN87" s="342">
        <v>3.9999899999999999</v>
      </c>
      <c r="AO87" s="813">
        <v>5.9999900000000004</v>
      </c>
    </row>
    <row r="88" spans="2:42" ht="15" thickBot="1">
      <c r="AA88" s="137"/>
      <c r="AB88" s="1629" t="s">
        <v>461</v>
      </c>
      <c r="AC88" s="1630"/>
      <c r="AD88" s="1630"/>
      <c r="AE88" s="1630"/>
      <c r="AF88" s="1631"/>
      <c r="AG88" s="794"/>
      <c r="AM88" s="258">
        <v>85</v>
      </c>
      <c r="AN88" s="28" t="s">
        <v>508</v>
      </c>
      <c r="AO88" s="40" t="s">
        <v>508</v>
      </c>
    </row>
    <row r="89" spans="2:42">
      <c r="AA89" s="1638" t="s">
        <v>121</v>
      </c>
      <c r="AB89" s="1634">
        <v>2</v>
      </c>
      <c r="AC89" s="1679">
        <v>3</v>
      </c>
      <c r="AD89" s="1634">
        <v>4</v>
      </c>
      <c r="AE89" s="1634">
        <v>5</v>
      </c>
      <c r="AF89" s="1634">
        <v>6</v>
      </c>
      <c r="AG89" s="795"/>
      <c r="AH89" s="15"/>
      <c r="AI89" s="15"/>
      <c r="AJ89" s="15"/>
      <c r="AK89" s="15"/>
      <c r="AM89" s="258">
        <v>86</v>
      </c>
      <c r="AN89" s="28" t="s">
        <v>508</v>
      </c>
      <c r="AO89" s="40" t="s">
        <v>508</v>
      </c>
    </row>
    <row r="90" spans="2:42" ht="15" thickBot="1">
      <c r="AA90" s="1639"/>
      <c r="AB90" s="1635"/>
      <c r="AC90" s="1680"/>
      <c r="AD90" s="1635"/>
      <c r="AE90" s="1635"/>
      <c r="AF90" s="1635"/>
      <c r="AG90" s="795"/>
      <c r="AH90" s="15"/>
      <c r="AI90" s="15"/>
      <c r="AJ90" s="15"/>
      <c r="AK90" s="15"/>
      <c r="AM90" s="258">
        <v>87</v>
      </c>
      <c r="AN90" s="28" t="s">
        <v>508</v>
      </c>
      <c r="AO90" s="40" t="s">
        <v>508</v>
      </c>
    </row>
    <row r="91" spans="2:42" ht="43.9" thickBot="1">
      <c r="AA91" s="446" t="s">
        <v>509</v>
      </c>
      <c r="AB91" s="447" t="s">
        <v>510</v>
      </c>
      <c r="AC91" s="447" t="s">
        <v>511</v>
      </c>
      <c r="AD91" s="447" t="s">
        <v>512</v>
      </c>
      <c r="AE91" s="447" t="s">
        <v>513</v>
      </c>
      <c r="AF91" s="335" t="s">
        <v>399</v>
      </c>
      <c r="AG91" s="796"/>
      <c r="AH91" s="129"/>
      <c r="AI91" s="129"/>
      <c r="AJ91" s="129"/>
      <c r="AK91" s="129"/>
      <c r="AM91" s="258">
        <v>88</v>
      </c>
      <c r="AN91" s="28" t="s">
        <v>508</v>
      </c>
      <c r="AO91" s="40" t="s">
        <v>508</v>
      </c>
    </row>
    <row r="92" spans="2:42" ht="43.9" thickBot="1">
      <c r="AA92" s="446" t="s">
        <v>514</v>
      </c>
      <c r="AB92" s="447" t="s">
        <v>510</v>
      </c>
      <c r="AC92" s="447" t="s">
        <v>511</v>
      </c>
      <c r="AD92" s="447" t="s">
        <v>513</v>
      </c>
      <c r="AE92" s="447" t="s">
        <v>515</v>
      </c>
      <c r="AF92" s="447" t="s">
        <v>516</v>
      </c>
      <c r="AG92" s="796"/>
      <c r="AH92" s="129"/>
      <c r="AI92" s="129"/>
      <c r="AJ92" s="129"/>
      <c r="AK92" s="129"/>
      <c r="AM92" s="258">
        <v>89</v>
      </c>
      <c r="AN92" s="28" t="s">
        <v>508</v>
      </c>
      <c r="AO92" s="40" t="s">
        <v>508</v>
      </c>
    </row>
    <row r="93" spans="2:42">
      <c r="AA93" s="448"/>
      <c r="AB93" s="797"/>
      <c r="AC93" s="797"/>
      <c r="AD93" s="798"/>
      <c r="AE93" s="129"/>
      <c r="AF93" s="797"/>
      <c r="AG93" s="129"/>
      <c r="AH93" s="129"/>
      <c r="AI93" s="129"/>
      <c r="AJ93" s="129"/>
      <c r="AK93" s="129"/>
      <c r="AM93" s="258">
        <v>90</v>
      </c>
      <c r="AN93" s="28" t="s">
        <v>508</v>
      </c>
      <c r="AO93" s="40" t="s">
        <v>508</v>
      </c>
    </row>
    <row r="94" spans="2:42">
      <c r="AA94" s="408"/>
      <c r="AB94" s="129"/>
      <c r="AC94" s="129"/>
      <c r="AD94" s="799"/>
      <c r="AE94" s="129"/>
      <c r="AF94" s="799"/>
      <c r="AG94" s="129"/>
      <c r="AH94" s="129"/>
      <c r="AI94" s="129"/>
      <c r="AJ94" s="129"/>
      <c r="AK94" s="129"/>
      <c r="AM94" s="258">
        <v>91</v>
      </c>
      <c r="AN94" s="28" t="s">
        <v>508</v>
      </c>
      <c r="AO94" s="40" t="s">
        <v>508</v>
      </c>
    </row>
    <row r="95" spans="2:42">
      <c r="AA95" s="1332"/>
      <c r="AB95" s="129"/>
      <c r="AC95" s="129"/>
      <c r="AD95" s="129"/>
      <c r="AE95" s="129"/>
      <c r="AF95" s="129"/>
      <c r="AG95" s="129"/>
      <c r="AH95" s="129"/>
      <c r="AI95" s="129"/>
      <c r="AJ95" s="129"/>
      <c r="AK95" s="129"/>
      <c r="AM95" s="258">
        <v>92</v>
      </c>
      <c r="AN95" s="28" t="s">
        <v>508</v>
      </c>
      <c r="AO95" s="40" t="s">
        <v>508</v>
      </c>
    </row>
    <row r="96" spans="2:42">
      <c r="AA96" s="1332"/>
      <c r="AB96" s="129"/>
      <c r="AC96" s="129"/>
      <c r="AD96" s="129"/>
      <c r="AE96" s="129"/>
      <c r="AF96" s="129"/>
      <c r="AG96" s="129"/>
      <c r="AH96" s="129"/>
      <c r="AI96" s="129"/>
      <c r="AJ96" s="129"/>
      <c r="AK96" s="129"/>
      <c r="AM96" s="258">
        <v>93</v>
      </c>
      <c r="AN96" s="28" t="s">
        <v>508</v>
      </c>
      <c r="AO96" s="40" t="s">
        <v>508</v>
      </c>
    </row>
    <row r="97" spans="27:41">
      <c r="AA97" s="1332"/>
      <c r="AB97" s="1332"/>
      <c r="AC97" s="129"/>
      <c r="AD97" s="129"/>
      <c r="AE97" s="129"/>
      <c r="AF97" s="129"/>
      <c r="AG97" s="1332"/>
      <c r="AH97" s="1332"/>
      <c r="AI97" s="132"/>
      <c r="AJ97" s="132"/>
      <c r="AK97" s="132"/>
      <c r="AM97" s="258">
        <v>94</v>
      </c>
      <c r="AN97" s="28" t="s">
        <v>508</v>
      </c>
      <c r="AO97" s="40" t="s">
        <v>508</v>
      </c>
    </row>
    <row r="98" spans="27:41">
      <c r="AA98" s="1332"/>
      <c r="AB98" s="1332"/>
      <c r="AC98" s="132"/>
      <c r="AD98" s="129"/>
      <c r="AF98" s="129"/>
      <c r="AG98" s="1332"/>
      <c r="AH98" s="1332"/>
      <c r="AI98" s="132"/>
      <c r="AJ98" s="132"/>
      <c r="AK98" s="132"/>
      <c r="AM98" s="258">
        <v>95</v>
      </c>
      <c r="AN98" s="28" t="s">
        <v>508</v>
      </c>
      <c r="AO98" s="40" t="s">
        <v>508</v>
      </c>
    </row>
    <row r="99" spans="27:41">
      <c r="AA99" s="1332"/>
      <c r="AB99" s="1332"/>
      <c r="AC99" s="129"/>
      <c r="AD99" s="129"/>
      <c r="AF99" s="129"/>
      <c r="AG99" s="1332"/>
      <c r="AH99" s="1332"/>
      <c r="AI99" s="132"/>
      <c r="AJ99" s="132"/>
      <c r="AK99" s="132"/>
      <c r="AM99" s="258">
        <v>96</v>
      </c>
      <c r="AN99" s="28" t="s">
        <v>508</v>
      </c>
      <c r="AO99" s="40" t="s">
        <v>508</v>
      </c>
    </row>
    <row r="100" spans="27:41">
      <c r="AA100" s="1332"/>
      <c r="AB100" s="1332"/>
      <c r="AC100" s="129"/>
      <c r="AD100" s="129"/>
      <c r="AF100" s="129"/>
      <c r="AG100" s="1332"/>
      <c r="AH100" s="1332"/>
      <c r="AI100" s="132"/>
      <c r="AJ100" s="132"/>
      <c r="AK100" s="132"/>
      <c r="AM100" s="258">
        <v>97</v>
      </c>
      <c r="AN100" s="28" t="s">
        <v>508</v>
      </c>
      <c r="AO100" s="40" t="s">
        <v>508</v>
      </c>
    </row>
    <row r="101" spans="27:41">
      <c r="AA101" s="1332"/>
      <c r="AB101" s="129"/>
      <c r="AM101" s="258">
        <v>98</v>
      </c>
      <c r="AN101" s="28" t="s">
        <v>508</v>
      </c>
      <c r="AO101" s="40" t="s">
        <v>508</v>
      </c>
    </row>
    <row r="102" spans="27:41">
      <c r="AA102" s="1332"/>
      <c r="AB102" s="129"/>
      <c r="AM102" s="258">
        <v>99</v>
      </c>
      <c r="AN102" s="28" t="s">
        <v>508</v>
      </c>
      <c r="AO102" s="40" t="s">
        <v>508</v>
      </c>
    </row>
    <row r="103" spans="27:41">
      <c r="AM103" s="258">
        <v>100</v>
      </c>
      <c r="AN103" s="28" t="s">
        <v>508</v>
      </c>
      <c r="AO103" s="40" t="s">
        <v>508</v>
      </c>
    </row>
    <row r="104" spans="27:41">
      <c r="AM104" s="258">
        <v>101</v>
      </c>
      <c r="AN104" s="28" t="s">
        <v>508</v>
      </c>
      <c r="AO104" s="40" t="s">
        <v>508</v>
      </c>
    </row>
    <row r="105" spans="27:41">
      <c r="AM105" s="258">
        <v>102</v>
      </c>
      <c r="AN105" s="28" t="s">
        <v>508</v>
      </c>
      <c r="AO105" s="40" t="s">
        <v>508</v>
      </c>
    </row>
    <row r="106" spans="27:41">
      <c r="AM106" s="258">
        <v>103</v>
      </c>
      <c r="AN106" s="28" t="s">
        <v>508</v>
      </c>
      <c r="AO106" s="40" t="s">
        <v>508</v>
      </c>
    </row>
    <row r="107" spans="27:41">
      <c r="AM107" s="258">
        <v>104</v>
      </c>
      <c r="AN107" s="28" t="s">
        <v>508</v>
      </c>
      <c r="AO107" s="40" t="s">
        <v>508</v>
      </c>
    </row>
    <row r="108" spans="27:41">
      <c r="AM108" s="258">
        <v>105</v>
      </c>
      <c r="AN108" s="28" t="s">
        <v>508</v>
      </c>
      <c r="AO108" s="40" t="s">
        <v>508</v>
      </c>
    </row>
    <row r="109" spans="27:41">
      <c r="AM109" s="258">
        <v>106</v>
      </c>
      <c r="AN109" s="28" t="s">
        <v>508</v>
      </c>
      <c r="AO109" s="40" t="s">
        <v>508</v>
      </c>
    </row>
    <row r="110" spans="27:41">
      <c r="AM110" s="258">
        <v>107</v>
      </c>
      <c r="AN110" s="28" t="s">
        <v>508</v>
      </c>
      <c r="AO110" s="40" t="s">
        <v>508</v>
      </c>
    </row>
    <row r="111" spans="27:41">
      <c r="AM111" s="258">
        <v>108</v>
      </c>
      <c r="AN111" s="28" t="s">
        <v>508</v>
      </c>
      <c r="AO111" s="40" t="s">
        <v>508</v>
      </c>
    </row>
    <row r="112" spans="27:41">
      <c r="AM112" s="258">
        <v>109</v>
      </c>
      <c r="AN112" s="28" t="s">
        <v>508</v>
      </c>
      <c r="AO112" s="40" t="s">
        <v>508</v>
      </c>
    </row>
    <row r="113" spans="39:41">
      <c r="AM113" s="258">
        <v>110</v>
      </c>
      <c r="AN113" s="28" t="s">
        <v>508</v>
      </c>
      <c r="AO113" s="40" t="s">
        <v>508</v>
      </c>
    </row>
    <row r="114" spans="39:41">
      <c r="AM114" s="258">
        <v>111</v>
      </c>
      <c r="AN114" s="28" t="s">
        <v>508</v>
      </c>
      <c r="AO114" s="40" t="s">
        <v>508</v>
      </c>
    </row>
    <row r="115" spans="39:41">
      <c r="AM115" s="258">
        <v>112</v>
      </c>
      <c r="AN115" s="28" t="s">
        <v>508</v>
      </c>
      <c r="AO115" s="40" t="s">
        <v>508</v>
      </c>
    </row>
    <row r="116" spans="39:41">
      <c r="AM116" s="258">
        <v>113</v>
      </c>
      <c r="AN116" s="28" t="s">
        <v>508</v>
      </c>
      <c r="AO116" s="40" t="s">
        <v>508</v>
      </c>
    </row>
    <row r="117" spans="39:41">
      <c r="AM117" s="258">
        <v>114</v>
      </c>
      <c r="AN117" s="28" t="s">
        <v>508</v>
      </c>
      <c r="AO117" s="40" t="s">
        <v>508</v>
      </c>
    </row>
    <row r="118" spans="39:41">
      <c r="AM118" s="258">
        <v>115</v>
      </c>
      <c r="AN118" s="28" t="s">
        <v>508</v>
      </c>
      <c r="AO118" s="40" t="s">
        <v>508</v>
      </c>
    </row>
    <row r="119" spans="39:41">
      <c r="AM119" s="258">
        <v>116</v>
      </c>
      <c r="AN119" s="28" t="s">
        <v>508</v>
      </c>
      <c r="AO119" s="40" t="s">
        <v>508</v>
      </c>
    </row>
    <row r="120" spans="39:41">
      <c r="AM120" s="258">
        <v>117</v>
      </c>
      <c r="AN120" s="28" t="s">
        <v>508</v>
      </c>
      <c r="AO120" s="40" t="s">
        <v>508</v>
      </c>
    </row>
    <row r="121" spans="39:41">
      <c r="AM121" s="258">
        <v>118</v>
      </c>
      <c r="AN121" s="28" t="s">
        <v>508</v>
      </c>
      <c r="AO121" s="40" t="s">
        <v>508</v>
      </c>
    </row>
    <row r="122" spans="39:41">
      <c r="AM122" s="258">
        <v>119</v>
      </c>
      <c r="AN122" s="28" t="s">
        <v>508</v>
      </c>
      <c r="AO122" s="40" t="s">
        <v>508</v>
      </c>
    </row>
    <row r="123" spans="39:41" ht="15" thickBot="1">
      <c r="AM123" s="815">
        <v>120</v>
      </c>
      <c r="AN123" s="44" t="s">
        <v>508</v>
      </c>
      <c r="AO123" s="785" t="s">
        <v>508</v>
      </c>
    </row>
    <row r="124" spans="39:41" ht="15" thickTop="1"/>
    <row r="192" ht="12.95" customHeight="1"/>
    <row r="193" spans="3:4" hidden="1">
      <c r="C193" s="129"/>
    </row>
    <row r="194" spans="3:4" hidden="1">
      <c r="C194" s="129"/>
      <c r="D194" s="408" t="b">
        <f>IF('Saisie de données'!AI65&gt;1.1*('Saisie de données'!AI66+'Saisie de données'!AI67+'Saisie de données'!AI68+'Saisie de données'!AI69),TRUE(),FALSE())</f>
        <v>1</v>
      </c>
    </row>
    <row r="195" spans="3:4" hidden="1">
      <c r="C195" s="129"/>
      <c r="D195" t="b">
        <f>IF('Saisie de données'!AI66&gt;1.1*('Saisie de données'!AI65+'Saisie de données'!AI67+'Saisie de données'!AI68+'Saisie de données'!AI69),TRUE(),FALSE())</f>
        <v>0</v>
      </c>
    </row>
    <row r="196" spans="3:4" hidden="1">
      <c r="C196" s="129"/>
      <c r="D196" t="b">
        <f>IF('Saisie de données'!AI67&gt;1.1*('Saisie de données'!AI66+'Saisie de données'!AI65+'Saisie de données'!AI68+'Saisie de données'!AI69),TRUE(),FALSE())</f>
        <v>0</v>
      </c>
    </row>
    <row r="197" spans="3:4" hidden="1">
      <c r="C197" s="129"/>
      <c r="D197" t="b">
        <f>IF('Saisie de données'!AI68&gt;1.1*('Saisie de données'!AI66+'Saisie de données'!AI67+'Saisie de données'!AI65+'Saisie de données'!AI69),TRUE(),FALSE())</f>
        <v>0</v>
      </c>
    </row>
    <row r="198" spans="3:4" hidden="1">
      <c r="C198" s="129"/>
      <c r="D198" t="b">
        <f>IF('Saisie de données'!AI69&gt;1.1*('Saisie de données'!AI66+'Saisie de données'!AI67+'Saisie de données'!AI68+'Saisie de données'!AI65),TRUE(),FALSE())</f>
        <v>0</v>
      </c>
    </row>
    <row r="199" spans="3:4" hidden="1">
      <c r="C199" s="129"/>
    </row>
    <row r="200" spans="3:4" hidden="1">
      <c r="C200" s="129"/>
      <c r="D200" t="b">
        <f>IF('Saisie de données'!AI65&gt;4,TRUE(),FALSE())</f>
        <v>1</v>
      </c>
    </row>
    <row r="201" spans="3:4" hidden="1">
      <c r="C201" s="129"/>
      <c r="D201" t="b">
        <f>IF('Saisie de données'!AI66&gt;4,TRUE(),FALSE())</f>
        <v>0</v>
      </c>
    </row>
    <row r="202" spans="3:4" hidden="1">
      <c r="C202" s="129"/>
      <c r="D202" t="b">
        <f>IF('Saisie de données'!AI67&gt;4,TRUE(),FALSE())</f>
        <v>0</v>
      </c>
    </row>
    <row r="203" spans="3:4" hidden="1">
      <c r="C203" s="129"/>
      <c r="D203" t="b">
        <f>IF('Saisie de données'!AI68&gt;4,TRUE(),FALSE())</f>
        <v>0</v>
      </c>
    </row>
    <row r="204" spans="3:4" hidden="1">
      <c r="C204" s="129"/>
      <c r="D204" t="b">
        <f>IF('Saisie de données'!AI69&gt;4,TRUE(),FALSE())</f>
        <v>0</v>
      </c>
    </row>
    <row r="205" spans="3:4" hidden="1">
      <c r="C205" s="129"/>
    </row>
    <row r="206" spans="3:4" hidden="1">
      <c r="C206" s="129"/>
      <c r="D206" t="b">
        <f>IF(('Saisie de données'!AI66+'Saisie de données'!AI67+'Saisie de données'!AI68+'Saisie de données'!AI69)/('Saisie de données'!AH66+'Saisie de données'!AH67+'Saisie de données'!AH68+'Saisie de données'!AH69),TRUE(),FALSE())</f>
        <v>0</v>
      </c>
    </row>
    <row r="207" spans="3:4" hidden="1">
      <c r="C207" s="129"/>
      <c r="D207" t="b">
        <f>IF(('Saisie de données'!AI65+'Saisie de données'!AI67+'Saisie de données'!AI68+'Saisie de données'!AI69)/('Saisie de données'!AH65+'Saisie de données'!AH67+'Saisie de données'!AH68+'Saisie de données'!AH69),TRUE(),FALSE())</f>
        <v>1</v>
      </c>
    </row>
    <row r="208" spans="3:4" hidden="1">
      <c r="C208" s="129"/>
      <c r="D208" t="b">
        <f>IF(('Saisie de données'!AI66+'Saisie de données'!AI65+'Saisie de données'!AI68+'Saisie de données'!AI69)/('Saisie de données'!AH66+'Saisie de données'!AH65+'Saisie de données'!AH68+'Saisie de données'!AH69),TRUE(),FALSE())</f>
        <v>1</v>
      </c>
    </row>
    <row r="209" spans="3:4" hidden="1">
      <c r="C209" s="129"/>
      <c r="D209" t="b">
        <f>IF(('Saisie de données'!AI66+'Saisie de données'!AI67+'Saisie de données'!AI65+'Saisie de données'!AI69)/('Saisie de données'!AH66+'Saisie de données'!AH67+'Saisie de données'!AH65+'Saisie de données'!AH69),TRUE(),FALSE())</f>
        <v>1</v>
      </c>
    </row>
    <row r="210" spans="3:4" hidden="1">
      <c r="C210" s="129"/>
      <c r="D210" t="b">
        <f>IF(('Saisie de données'!AI66+'Saisie de données'!AI67+'Saisie de données'!AI68+'Saisie de données'!AI65)/('Saisie de données'!AH66+'Saisie de données'!AH67+'Saisie de données'!AH68+'Saisie de données'!AH65),TRUE(),FALSE())</f>
        <v>1</v>
      </c>
    </row>
    <row r="211" spans="3:4" hidden="1">
      <c r="C211" s="129"/>
    </row>
    <row r="212" spans="3:4" hidden="1">
      <c r="C212" s="129"/>
    </row>
    <row r="213" spans="3:4" hidden="1">
      <c r="C213" s="129"/>
    </row>
    <row r="214" spans="3:4" hidden="1">
      <c r="C214" s="129">
        <v>1</v>
      </c>
      <c r="D214" t="str" cm="1">
        <f t="array" ref="D214">_xlfn.IFS(D194=TRUE,"1",D195=TRUE,"1",D196=TRUE,"1",D197=TRUE,"1",D198=TRUE,"1")</f>
        <v>1</v>
      </c>
    </row>
    <row r="215" spans="3:4" hidden="1">
      <c r="C215" s="129" t="s">
        <v>517</v>
      </c>
      <c r="D215" t="str" cm="1">
        <f t="array" ref="D215">_xlfn.IFS(D200=TRUE,"1",D201=TRUE,"1",D202=TRUE,"1",D203=TRUE,"1",D204=TRUE,"1")</f>
        <v>1</v>
      </c>
    </row>
    <row r="216" spans="3:4" hidden="1">
      <c r="C216" s="129" t="s">
        <v>518</v>
      </c>
      <c r="D216" t="str" cm="1">
        <f t="array" ref="D216">_xlfn.IFS(D206=TRUE,"1",D207=TRUE,"1",D208=TRUE,"1",D209=TRUE,"1",D210=TRUE,"1")</f>
        <v>1</v>
      </c>
    </row>
    <row r="217" spans="3:4" hidden="1">
      <c r="C217" s="129"/>
    </row>
    <row r="218" spans="3:4" hidden="1">
      <c r="C218" s="129" t="str" cm="1">
        <f t="array" ref="C218">_xlfn.IFS(ISERROR(D214),"Partially Open / Enclosed",ISERROR(D215),"Partially Open / Enclosed",ISERROR(D216),"Partially Open / Enclosed",D214="1","Partially Enclosed")</f>
        <v>Partially Enclosed</v>
      </c>
    </row>
    <row r="219" spans="3:4">
      <c r="C219" s="129"/>
    </row>
  </sheetData>
  <sheetProtection algorithmName="SHA-512" hashValue="3yXX1ekFG7lqCY7HsBBjTPQiriMT96DNxP9vzT4RgjOwdDjSIyarm8ERD1XHuyHV3HD/ms+ZkO7gJHzA3lRZdQ==" saltValue="JP8rJmVkeNht98yWVTrfiA==" spinCount="100000" sheet="1" objects="1" scenarios="1"/>
  <mergeCells count="93">
    <mergeCell ref="AB87:AF87"/>
    <mergeCell ref="AB88:AF88"/>
    <mergeCell ref="AA101:AA102"/>
    <mergeCell ref="AG97:AG98"/>
    <mergeCell ref="AA95:AA96"/>
    <mergeCell ref="AA97:AA100"/>
    <mergeCell ref="AA89:AA90"/>
    <mergeCell ref="AH97:AH98"/>
    <mergeCell ref="AB99:AB100"/>
    <mergeCell ref="AG99:AG100"/>
    <mergeCell ref="AH99:AH100"/>
    <mergeCell ref="AF89:AF90"/>
    <mergeCell ref="AB97:AB98"/>
    <mergeCell ref="AB89:AB90"/>
    <mergeCell ref="AC89:AC90"/>
    <mergeCell ref="AD89:AD90"/>
    <mergeCell ref="AE89:AE90"/>
    <mergeCell ref="AA82:AA83"/>
    <mergeCell ref="AF70:AF71"/>
    <mergeCell ref="C25:E25"/>
    <mergeCell ref="AG36:AG37"/>
    <mergeCell ref="AG38:AG39"/>
    <mergeCell ref="AG34:AG35"/>
    <mergeCell ref="T21:T26"/>
    <mergeCell ref="T27:T31"/>
    <mergeCell ref="T32:T36"/>
    <mergeCell ref="T37:T43"/>
    <mergeCell ref="AA52:AA53"/>
    <mergeCell ref="AA54:AA55"/>
    <mergeCell ref="AA72:AA73"/>
    <mergeCell ref="AA74:AA75"/>
    <mergeCell ref="AA76:AA77"/>
    <mergeCell ref="AE70:AE71"/>
    <mergeCell ref="AC70:AC71"/>
    <mergeCell ref="T12:AF13"/>
    <mergeCell ref="AC2:AH2"/>
    <mergeCell ref="AC3:AH3"/>
    <mergeCell ref="AF4:AF5"/>
    <mergeCell ref="AG4:AG5"/>
    <mergeCell ref="AH4:AH5"/>
    <mergeCell ref="AD4:AD5"/>
    <mergeCell ref="AE4:AE5"/>
    <mergeCell ref="AC48:AE48"/>
    <mergeCell ref="AA46:AE47"/>
    <mergeCell ref="AA56:AA57"/>
    <mergeCell ref="AA58:AA59"/>
    <mergeCell ref="I51:K51"/>
    <mergeCell ref="AA6:AA7"/>
    <mergeCell ref="AA8:AA9"/>
    <mergeCell ref="M8:N8"/>
    <mergeCell ref="B16:C16"/>
    <mergeCell ref="D16:E16"/>
    <mergeCell ref="K14:O14"/>
    <mergeCell ref="T16:T20"/>
    <mergeCell ref="B3:B6"/>
    <mergeCell ref="C3:E3"/>
    <mergeCell ref="F3:H3"/>
    <mergeCell ref="C4:D4"/>
    <mergeCell ref="E4:E6"/>
    <mergeCell ref="F4:G4"/>
    <mergeCell ref="H4:H6"/>
    <mergeCell ref="I3:K3"/>
    <mergeCell ref="B24:F24"/>
    <mergeCell ref="I49:K50"/>
    <mergeCell ref="J25:N25"/>
    <mergeCell ref="M4:P5"/>
    <mergeCell ref="I47:J47"/>
    <mergeCell ref="A1:K2"/>
    <mergeCell ref="A14:F15"/>
    <mergeCell ref="G14:I15"/>
    <mergeCell ref="G16:G17"/>
    <mergeCell ref="A16:A17"/>
    <mergeCell ref="AA85:AF86"/>
    <mergeCell ref="AA65:AH66"/>
    <mergeCell ref="AH34:AH35"/>
    <mergeCell ref="AE50:AE51"/>
    <mergeCell ref="AD50:AD51"/>
    <mergeCell ref="AC50:AC51"/>
    <mergeCell ref="AB50:AB51"/>
    <mergeCell ref="AA78:AA79"/>
    <mergeCell ref="AA70:AA71"/>
    <mergeCell ref="AB70:AB71"/>
    <mergeCell ref="AG70:AG71"/>
    <mergeCell ref="AH70:AH71"/>
    <mergeCell ref="AA50:AA51"/>
    <mergeCell ref="AC68:AH68"/>
    <mergeCell ref="AC69:AH69"/>
    <mergeCell ref="AD70:AD71"/>
    <mergeCell ref="AM1:AO2"/>
    <mergeCell ref="AC49:AE49"/>
    <mergeCell ref="AA4:AA5"/>
    <mergeCell ref="AB4:AB5"/>
    <mergeCell ref="AC4:AC5"/>
  </mergeCells>
  <phoneticPr fontId="33" type="noConversion"/>
  <conditionalFormatting sqref="E17 A14 F20 G18:I23 A19:D23 A18:B18 D16:D18 F18 B16:B17">
    <cfRule type="containsText" dxfId="164" priority="9" operator="containsText" text="incompatible">
      <formula>NOT(ISERROR(SEARCH("incompatible",A14)))</formula>
    </cfRule>
  </conditionalFormatting>
  <conditionalFormatting sqref="E17 A14 A18:B23 B16:B17">
    <cfRule type="containsText" dxfId="163" priority="8" operator="containsText" text="Bâtiment compatible">
      <formula>NOT(ISERROR(SEARCH("Bâtiment compatible",A14)))</formula>
    </cfRule>
  </conditionalFormatting>
  <conditionalFormatting sqref="K17 G16:I16 G14 H17:I17">
    <cfRule type="containsText" dxfId="162" priority="7" operator="containsText" text="incompatible">
      <formula>NOT(ISERROR(SEARCH("incompatible",G14)))</formula>
    </cfRule>
  </conditionalFormatting>
  <conditionalFormatting sqref="K17 G14 G16:H16 G18:H23 H17">
    <cfRule type="containsText" dxfId="161" priority="6" operator="containsText" text="Bâtiment compatible">
      <formula>NOT(ISERROR(SEARCH("Bâtiment compatible",G14)))</formula>
    </cfRule>
  </conditionalFormatting>
  <conditionalFormatting sqref="M6:O6">
    <cfRule type="containsText" dxfId="160" priority="5" operator="containsText" text="Norbec">
      <formula>NOT(ISERROR(SEARCH("Norbec",M6)))</formula>
    </cfRule>
  </conditionalFormatting>
  <conditionalFormatting sqref="I48:I49 I51:I52">
    <cfRule type="containsText" dxfId="159" priority="3" operator="containsText" text="Bâtiment compatible">
      <formula>NOT(ISERROR(SEARCH("Bâtiment compatible",I48)))</formula>
    </cfRule>
  </conditionalFormatting>
  <conditionalFormatting sqref="I48:I49 I51:I52">
    <cfRule type="containsText" dxfId="158" priority="4" operator="containsText" text="incompatible">
      <formula>NOT(ISERROR(SEARCH("incompatible",I48)))</formula>
    </cfRule>
  </conditionalFormatting>
  <conditionalFormatting sqref="A16">
    <cfRule type="containsText" dxfId="157" priority="2" operator="containsText" text="incompatible">
      <formula>NOT(ISERROR(SEARCH("incompatible",A16)))</formula>
    </cfRule>
  </conditionalFormatting>
  <conditionalFormatting sqref="A16">
    <cfRule type="containsText" dxfId="156" priority="1" operator="containsText" text="Bâtiment compatible">
      <formula>NOT(ISERROR(SEARCH("Bâtiment compatible",A16)))</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931D7-937C-4E34-8D5B-67BE1A40889E}">
  <sheetPr published="0" codeName="Feuil101"/>
  <dimension ref="B1:IA310"/>
  <sheetViews>
    <sheetView topLeftCell="G1" workbookViewId="0">
      <selection activeCell="B3" sqref="B3:K6"/>
    </sheetView>
  </sheetViews>
  <sheetFormatPr defaultColWidth="11.42578125" defaultRowHeight="14.45"/>
  <cols>
    <col min="13" max="26" width="16.42578125" style="129" customWidth="1"/>
    <col min="27" max="36" width="11" style="129"/>
    <col min="37" max="37" width="16.42578125" style="129" customWidth="1"/>
    <col min="38" max="47" width="11" style="129"/>
    <col min="48" max="48" width="16.42578125" style="129" customWidth="1"/>
    <col min="49" max="51" width="11" style="129"/>
    <col min="52" max="56" width="16.42578125" style="129" customWidth="1"/>
    <col min="57" max="58" width="11" style="129"/>
    <col min="59" max="104" width="16.42578125" style="129" customWidth="1"/>
    <col min="105" max="108" width="11" style="129"/>
    <col min="109" max="182" width="16.42578125" style="129" customWidth="1"/>
    <col min="183" max="184" width="11" style="129"/>
    <col min="185" max="192" width="16.42578125" style="129" customWidth="1"/>
    <col min="193" max="201" width="11" style="129"/>
    <col min="202" max="202" width="16.42578125" style="129" customWidth="1"/>
    <col min="203" max="212" width="11" style="129"/>
    <col min="213" max="213" width="16.42578125" style="129" customWidth="1"/>
    <col min="214" max="223" width="11" style="129"/>
    <col min="224" max="224" width="16.42578125" style="129" customWidth="1"/>
    <col min="225" max="234" width="11" style="129"/>
    <col min="235" max="235" width="16.42578125" style="129" customWidth="1"/>
  </cols>
  <sheetData>
    <row r="1" spans="2:235" ht="19.899999999999999" customHeight="1">
      <c r="B1" s="508" t="s">
        <v>519</v>
      </c>
      <c r="M1" s="1397" t="s">
        <v>520</v>
      </c>
      <c r="N1" s="1397"/>
      <c r="O1" t="s">
        <v>520</v>
      </c>
      <c r="P1" t="s">
        <v>520</v>
      </c>
      <c r="Q1" t="s">
        <v>520</v>
      </c>
      <c r="R1" t="s">
        <v>520</v>
      </c>
      <c r="S1" t="s">
        <v>520</v>
      </c>
      <c r="T1" t="s">
        <v>520</v>
      </c>
      <c r="U1" t="s">
        <v>520</v>
      </c>
      <c r="V1" t="s">
        <v>520</v>
      </c>
      <c r="W1" t="s">
        <v>520</v>
      </c>
      <c r="Z1" s="1397" t="s">
        <v>521</v>
      </c>
      <c r="AA1" s="1397"/>
      <c r="AB1" s="1397"/>
      <c r="AC1" s="1397"/>
      <c r="AD1" s="1397"/>
      <c r="AE1" s="1397"/>
      <c r="AF1" s="1397"/>
      <c r="AG1" s="1397"/>
      <c r="AH1" s="1397"/>
      <c r="AK1" s="1397" t="s">
        <v>522</v>
      </c>
      <c r="AL1" s="1397"/>
      <c r="AM1" s="1397"/>
      <c r="AN1" s="1397"/>
      <c r="AO1" s="1397"/>
      <c r="AP1" s="1397"/>
      <c r="AQ1" s="1397"/>
      <c r="AR1" s="1397"/>
      <c r="AS1" s="1397"/>
      <c r="AV1" s="1397" t="s">
        <v>523</v>
      </c>
      <c r="AW1" s="1397"/>
      <c r="AX1" s="1397"/>
      <c r="AY1" s="1397"/>
      <c r="AZ1" s="1397"/>
      <c r="BA1" s="1397"/>
      <c r="BB1" s="1397"/>
      <c r="BC1" s="1397"/>
      <c r="BD1" s="1397"/>
      <c r="BG1" s="1397" t="s">
        <v>524</v>
      </c>
      <c r="BH1" s="1397"/>
      <c r="BI1" s="1397"/>
      <c r="BJ1" s="1397"/>
      <c r="BK1" s="1397"/>
      <c r="BL1" s="1397"/>
      <c r="BM1" s="1397"/>
      <c r="BN1" s="1397"/>
      <c r="BO1" s="1397"/>
      <c r="BR1" s="1397" t="s">
        <v>525</v>
      </c>
      <c r="BS1" s="1397"/>
      <c r="BT1" s="1397"/>
      <c r="BU1" s="1397"/>
      <c r="BV1" s="1397"/>
      <c r="BW1" s="1397"/>
      <c r="BX1" s="1397"/>
      <c r="BY1" s="1397"/>
      <c r="BZ1" s="1397"/>
      <c r="CC1" s="1397" t="s">
        <v>526</v>
      </c>
      <c r="CD1" s="1397"/>
      <c r="CE1" s="1397"/>
      <c r="CF1" s="1397"/>
      <c r="CG1" s="1397"/>
      <c r="CH1" s="1397"/>
      <c r="CI1" s="1397"/>
      <c r="CJ1" s="1397"/>
      <c r="CK1" s="1397"/>
      <c r="CN1" s="1397" t="s">
        <v>527</v>
      </c>
      <c r="CO1" s="1397"/>
      <c r="CP1" s="1397"/>
      <c r="CQ1" s="1397"/>
      <c r="CR1" s="1397"/>
      <c r="CS1" s="1397"/>
      <c r="CT1" s="1397"/>
      <c r="CU1" s="1397"/>
      <c r="CV1" s="1397"/>
      <c r="CY1" s="1397" t="s">
        <v>528</v>
      </c>
      <c r="CZ1" s="1397"/>
      <c r="DA1" s="1397"/>
      <c r="DB1" s="1397"/>
      <c r="DC1" s="1397"/>
      <c r="DD1" s="1397"/>
      <c r="DE1" s="1397"/>
      <c r="DF1" s="1397"/>
      <c r="DG1" s="1397"/>
      <c r="DJ1" s="1397" t="s">
        <v>529</v>
      </c>
      <c r="DK1" s="1397"/>
      <c r="DL1" s="1397"/>
      <c r="DM1" s="1397"/>
      <c r="DN1" s="1397"/>
      <c r="DO1" s="1397"/>
      <c r="DP1" s="1397"/>
      <c r="DQ1" s="1397"/>
      <c r="DR1" s="1397"/>
      <c r="DU1" s="1397" t="s">
        <v>530</v>
      </c>
      <c r="DV1" s="1397"/>
      <c r="DW1" s="1397" t="s">
        <v>531</v>
      </c>
      <c r="DX1" s="1397"/>
      <c r="DY1" s="1397"/>
      <c r="DZ1" s="1397"/>
      <c r="EA1" s="1397"/>
      <c r="EB1" s="1397"/>
      <c r="EC1" s="1397"/>
      <c r="ED1" s="1397"/>
      <c r="EE1" s="1397"/>
      <c r="EH1" s="1397" t="s">
        <v>521</v>
      </c>
      <c r="EI1" s="1397"/>
      <c r="EJ1" s="1397"/>
      <c r="EK1" s="1397"/>
      <c r="EL1" s="1397"/>
      <c r="EM1" s="1397"/>
      <c r="EN1" s="1397"/>
      <c r="EO1" s="1397"/>
      <c r="EP1" s="1397"/>
      <c r="ES1" s="1397" t="s">
        <v>522</v>
      </c>
      <c r="ET1" s="1397"/>
      <c r="EU1" s="1397"/>
      <c r="EV1" s="1397"/>
      <c r="EW1" s="1397"/>
      <c r="EX1" s="1397"/>
      <c r="EY1" s="1397"/>
      <c r="EZ1" s="1397"/>
      <c r="FA1" s="1397"/>
      <c r="FD1" s="1397" t="s">
        <v>523</v>
      </c>
      <c r="FE1" s="1397"/>
      <c r="FF1" s="1397"/>
      <c r="FG1" s="1397"/>
      <c r="FH1" s="1397"/>
      <c r="FI1" s="1397"/>
      <c r="FJ1" s="1397"/>
      <c r="FK1" s="1397"/>
      <c r="FL1" s="1397"/>
      <c r="FO1" s="1397" t="s">
        <v>524</v>
      </c>
      <c r="FP1" s="1397"/>
      <c r="FQ1" s="1397"/>
      <c r="FR1" s="1397"/>
      <c r="FS1" s="1397"/>
      <c r="FT1" s="1397"/>
      <c r="FU1" s="1397"/>
      <c r="FV1" s="1397"/>
      <c r="FW1" s="1397"/>
      <c r="FZ1" s="1397" t="s">
        <v>525</v>
      </c>
      <c r="GA1" s="1397"/>
      <c r="GB1" s="1397"/>
      <c r="GC1" s="1397"/>
      <c r="GD1" s="1397"/>
      <c r="GE1" s="1397"/>
      <c r="GF1" s="1397"/>
      <c r="GG1" s="1397"/>
      <c r="GH1" s="1397"/>
      <c r="GK1" s="1397" t="s">
        <v>526</v>
      </c>
      <c r="GL1" s="1397"/>
      <c r="GM1" s="1397"/>
      <c r="GN1" s="1397"/>
      <c r="GO1" s="1397"/>
      <c r="GP1" s="1397"/>
      <c r="GQ1" s="1397"/>
      <c r="GR1" s="1397"/>
      <c r="GS1" s="1397"/>
      <c r="GV1" s="1397" t="s">
        <v>527</v>
      </c>
      <c r="GW1" s="1397"/>
      <c r="GX1" s="1397"/>
      <c r="GY1" s="1397"/>
      <c r="GZ1" s="1397"/>
      <c r="HA1" s="1397"/>
      <c r="HB1" s="1397"/>
      <c r="HC1" s="1397"/>
      <c r="HD1" s="1397"/>
      <c r="HG1" s="1397" t="s">
        <v>528</v>
      </c>
      <c r="HH1" s="1397"/>
      <c r="HI1" s="1397"/>
      <c r="HJ1" s="1397"/>
      <c r="HK1" s="1397"/>
      <c r="HL1" s="1397"/>
      <c r="HM1" s="1397"/>
      <c r="HN1" s="1397"/>
      <c r="HO1" s="1397"/>
      <c r="HR1" s="1397" t="s">
        <v>529</v>
      </c>
      <c r="HS1" s="1397"/>
      <c r="HT1" s="1397"/>
      <c r="HU1" s="1397"/>
      <c r="HV1" s="1397"/>
      <c r="HW1" s="1397"/>
      <c r="HX1" s="1397"/>
      <c r="HY1" s="1397"/>
      <c r="HZ1" s="1397"/>
    </row>
    <row r="2" spans="2:235" ht="19.899999999999999" customHeight="1" thickBot="1">
      <c r="B2" s="508"/>
      <c r="O2" t="s">
        <v>531</v>
      </c>
      <c r="P2" t="s">
        <v>531</v>
      </c>
      <c r="Q2" t="s">
        <v>531</v>
      </c>
      <c r="R2" t="s">
        <v>531</v>
      </c>
      <c r="S2" t="s">
        <v>531</v>
      </c>
      <c r="T2" t="s">
        <v>531</v>
      </c>
      <c r="U2" t="s">
        <v>531</v>
      </c>
      <c r="V2" t="s">
        <v>531</v>
      </c>
      <c r="W2" t="s">
        <v>531</v>
      </c>
    </row>
    <row r="3" spans="2:235" ht="15" thickBot="1">
      <c r="B3" s="1681" t="s">
        <v>532</v>
      </c>
      <c r="C3" s="1681"/>
      <c r="D3" s="1681"/>
      <c r="E3" s="1681"/>
      <c r="F3" s="1681"/>
      <c r="G3" s="1681"/>
      <c r="H3" s="1681"/>
      <c r="I3" s="1681"/>
      <c r="J3" s="1681"/>
      <c r="K3" s="1681"/>
      <c r="O3" s="129" t="s">
        <v>533</v>
      </c>
      <c r="P3" s="27" t="s">
        <v>534</v>
      </c>
      <c r="Q3" s="27" t="s">
        <v>535</v>
      </c>
      <c r="R3" s="27" t="s">
        <v>536</v>
      </c>
      <c r="S3" s="27" t="s">
        <v>537</v>
      </c>
      <c r="T3" s="27" t="s">
        <v>538</v>
      </c>
      <c r="U3" s="27" t="s">
        <v>539</v>
      </c>
      <c r="V3" s="27" t="s">
        <v>540</v>
      </c>
      <c r="W3" s="27" t="s">
        <v>541</v>
      </c>
      <c r="Z3" s="1397" t="s">
        <v>542</v>
      </c>
      <c r="AA3" s="1397"/>
      <c r="AB3" s="1397"/>
      <c r="AC3" s="1397"/>
      <c r="AD3" s="1397"/>
      <c r="AE3" s="1397"/>
      <c r="AF3" s="1397"/>
      <c r="AG3" s="1397"/>
      <c r="AH3" s="1397"/>
      <c r="AK3" s="1397" t="s">
        <v>542</v>
      </c>
      <c r="AL3" s="1397"/>
      <c r="AM3" s="1397"/>
      <c r="AN3" s="1397"/>
      <c r="AO3" s="1397"/>
      <c r="AP3" s="1397"/>
      <c r="AQ3" s="1397"/>
      <c r="AR3" s="1397"/>
      <c r="AS3" s="1397"/>
      <c r="AV3" s="1397" t="s">
        <v>542</v>
      </c>
      <c r="AW3" s="1397"/>
      <c r="AX3" s="1397"/>
      <c r="AY3" s="1397"/>
      <c r="AZ3" s="1397"/>
      <c r="BA3" s="1397"/>
      <c r="BB3" s="1397"/>
      <c r="BC3" s="1397"/>
      <c r="BD3" s="1397"/>
      <c r="BG3" s="1397" t="s">
        <v>542</v>
      </c>
      <c r="BH3" s="1397"/>
      <c r="BI3" s="1397"/>
      <c r="BJ3" s="1397"/>
      <c r="BK3" s="1397"/>
      <c r="BL3" s="1397"/>
      <c r="BM3" s="1397"/>
      <c r="BN3" s="1397"/>
      <c r="BO3" s="1397"/>
      <c r="BR3" s="1397" t="s">
        <v>542</v>
      </c>
      <c r="BS3" s="1397"/>
      <c r="BT3" s="1397"/>
      <c r="BU3" s="1397"/>
      <c r="BV3" s="1397"/>
      <c r="BW3" s="1397"/>
      <c r="BX3" s="1397"/>
      <c r="BY3" s="1397"/>
      <c r="BZ3" s="1397"/>
      <c r="CC3" s="1397" t="s">
        <v>542</v>
      </c>
      <c r="CD3" s="1397"/>
      <c r="CE3" s="1397"/>
      <c r="CF3" s="1397"/>
      <c r="CG3" s="1397"/>
      <c r="CH3" s="1397"/>
      <c r="CI3" s="1397"/>
      <c r="CJ3" s="1397"/>
      <c r="CK3" s="1397"/>
      <c r="CN3" s="1397" t="s">
        <v>542</v>
      </c>
      <c r="CO3" s="1397"/>
      <c r="CP3" s="1397"/>
      <c r="CQ3" s="1397"/>
      <c r="CR3" s="1397"/>
      <c r="CS3" s="1397"/>
      <c r="CT3" s="1397"/>
      <c r="CU3" s="1397"/>
      <c r="CV3" s="1397"/>
      <c r="CY3" s="1397" t="s">
        <v>542</v>
      </c>
      <c r="CZ3" s="1397"/>
      <c r="DA3" s="1397"/>
      <c r="DB3" s="1397"/>
      <c r="DC3" s="1397"/>
      <c r="DD3" s="1397"/>
      <c r="DE3" s="1397"/>
      <c r="DF3" s="1397"/>
      <c r="DG3" s="1397"/>
      <c r="DJ3" s="1397" t="s">
        <v>542</v>
      </c>
      <c r="DK3" s="1397"/>
      <c r="DL3" s="1397"/>
      <c r="DM3" s="1397"/>
      <c r="DN3" s="1397"/>
      <c r="DO3" s="1397"/>
      <c r="DP3" s="1397"/>
      <c r="DQ3" s="1397"/>
      <c r="DR3" s="1397"/>
      <c r="DW3" s="1397" t="s">
        <v>542</v>
      </c>
      <c r="DX3" s="1397"/>
      <c r="DY3" s="1397"/>
      <c r="DZ3" s="1397"/>
      <c r="EA3" s="1397"/>
      <c r="EB3" s="1397"/>
      <c r="EC3" s="1397"/>
      <c r="ED3" s="1397"/>
      <c r="EE3" s="1397"/>
      <c r="EH3" s="1397" t="s">
        <v>542</v>
      </c>
      <c r="EI3" s="1397"/>
      <c r="EJ3" s="1397"/>
      <c r="EK3" s="1397"/>
      <c r="EL3" s="1397"/>
      <c r="EM3" s="1397"/>
      <c r="EN3" s="1397"/>
      <c r="EO3" s="1397"/>
      <c r="EP3" s="1397"/>
      <c r="ES3" s="1397" t="s">
        <v>542</v>
      </c>
      <c r="ET3" s="1397"/>
      <c r="EU3" s="1397"/>
      <c r="EV3" s="1397"/>
      <c r="EW3" s="1397"/>
      <c r="EX3" s="1397"/>
      <c r="EY3" s="1397"/>
      <c r="EZ3" s="1397"/>
      <c r="FA3" s="1397"/>
      <c r="FD3" s="1397" t="s">
        <v>542</v>
      </c>
      <c r="FE3" s="1397"/>
      <c r="FF3" s="1397"/>
      <c r="FG3" s="1397"/>
      <c r="FH3" s="1397"/>
      <c r="FI3" s="1397"/>
      <c r="FJ3" s="1397"/>
      <c r="FK3" s="1397"/>
      <c r="FL3" s="1397"/>
      <c r="FO3" s="1397" t="s">
        <v>542</v>
      </c>
      <c r="FP3" s="1397"/>
      <c r="FQ3" s="1397"/>
      <c r="FR3" s="1397"/>
      <c r="FS3" s="1397"/>
      <c r="FT3" s="1397"/>
      <c r="FU3" s="1397"/>
      <c r="FV3" s="1397"/>
      <c r="FW3" s="1397"/>
      <c r="FZ3" s="1397" t="s">
        <v>542</v>
      </c>
      <c r="GA3" s="1397"/>
      <c r="GB3" s="1397"/>
      <c r="GC3" s="1397"/>
      <c r="GD3" s="1397"/>
      <c r="GE3" s="1397"/>
      <c r="GF3" s="1397"/>
      <c r="GG3" s="1397"/>
      <c r="GH3" s="1397"/>
      <c r="GK3" s="1397" t="s">
        <v>542</v>
      </c>
      <c r="GL3" s="1397"/>
      <c r="GM3" s="1397"/>
      <c r="GN3" s="1397"/>
      <c r="GO3" s="1397"/>
      <c r="GP3" s="1397"/>
      <c r="GQ3" s="1397"/>
      <c r="GR3" s="1397"/>
      <c r="GS3" s="1397"/>
      <c r="GV3" s="1397" t="s">
        <v>542</v>
      </c>
      <c r="GW3" s="1397"/>
      <c r="GX3" s="1397"/>
      <c r="GY3" s="1397"/>
      <c r="GZ3" s="1397"/>
      <c r="HA3" s="1397"/>
      <c r="HB3" s="1397"/>
      <c r="HC3" s="1397"/>
      <c r="HD3" s="1397"/>
      <c r="HG3" s="1397" t="s">
        <v>542</v>
      </c>
      <c r="HH3" s="1397"/>
      <c r="HI3" s="1397"/>
      <c r="HJ3" s="1397"/>
      <c r="HK3" s="1397"/>
      <c r="HL3" s="1397"/>
      <c r="HM3" s="1397"/>
      <c r="HN3" s="1397"/>
      <c r="HO3" s="1397"/>
      <c r="HR3" s="1397" t="s">
        <v>542</v>
      </c>
      <c r="HS3" s="1397"/>
      <c r="HT3" s="1397"/>
      <c r="HU3" s="1397"/>
      <c r="HV3" s="1397"/>
      <c r="HW3" s="1397"/>
      <c r="HX3" s="1397"/>
      <c r="HY3" s="1397"/>
      <c r="HZ3" s="1397"/>
    </row>
    <row r="4" spans="2:235" ht="15" thickBot="1">
      <c r="B4" s="1682" t="s">
        <v>49</v>
      </c>
      <c r="C4" s="1682"/>
      <c r="D4" s="1682"/>
      <c r="E4" s="1682"/>
      <c r="F4" s="1682"/>
      <c r="G4" s="1682"/>
      <c r="H4" s="1682" t="s">
        <v>56</v>
      </c>
      <c r="I4" s="1682"/>
      <c r="J4" s="1682"/>
      <c r="K4" s="1682"/>
      <c r="O4" s="24"/>
      <c r="P4" s="24"/>
      <c r="Q4" s="24"/>
      <c r="R4" s="24"/>
      <c r="S4" s="24"/>
      <c r="T4" s="24"/>
      <c r="U4" s="24"/>
      <c r="V4" s="24"/>
      <c r="W4" s="24"/>
      <c r="X4" s="24"/>
      <c r="Y4" s="27"/>
      <c r="Z4" s="129" t="s">
        <v>543</v>
      </c>
      <c r="AA4" s="27" t="s">
        <v>544</v>
      </c>
      <c r="AB4" s="27" t="s">
        <v>545</v>
      </c>
      <c r="AC4" s="27" t="s">
        <v>546</v>
      </c>
      <c r="AD4" s="27" t="s">
        <v>547</v>
      </c>
      <c r="AE4" s="27" t="s">
        <v>548</v>
      </c>
      <c r="AF4" s="27" t="s">
        <v>549</v>
      </c>
      <c r="AG4" s="27" t="s">
        <v>550</v>
      </c>
      <c r="AH4" s="27" t="s">
        <v>551</v>
      </c>
      <c r="AK4" s="129" t="s">
        <v>552</v>
      </c>
      <c r="AL4" s="27" t="s">
        <v>553</v>
      </c>
      <c r="AM4" s="27" t="s">
        <v>554</v>
      </c>
      <c r="AN4" s="27" t="s">
        <v>555</v>
      </c>
      <c r="AO4" s="27" t="s">
        <v>556</v>
      </c>
      <c r="AP4" s="27" t="s">
        <v>557</v>
      </c>
      <c r="AQ4" s="27" t="s">
        <v>558</v>
      </c>
      <c r="AR4" s="27" t="s">
        <v>559</v>
      </c>
      <c r="AS4" s="27" t="s">
        <v>560</v>
      </c>
      <c r="AV4" s="129" t="s">
        <v>561</v>
      </c>
      <c r="AW4" s="27" t="s">
        <v>562</v>
      </c>
      <c r="AX4" s="27" t="s">
        <v>563</v>
      </c>
      <c r="AY4" s="27" t="s">
        <v>564</v>
      </c>
      <c r="AZ4" s="27" t="s">
        <v>565</v>
      </c>
      <c r="BA4" s="27" t="s">
        <v>566</v>
      </c>
      <c r="BB4" s="27" t="s">
        <v>567</v>
      </c>
      <c r="BC4" s="27" t="s">
        <v>568</v>
      </c>
      <c r="BD4" s="27" t="s">
        <v>569</v>
      </c>
      <c r="BF4" s="17">
        <f>MAX($BG$5:$BP$306)</f>
        <v>10000</v>
      </c>
      <c r="BG4" s="129" t="s">
        <v>570</v>
      </c>
      <c r="BH4" s="27" t="s">
        <v>571</v>
      </c>
      <c r="BI4" s="27" t="s">
        <v>572</v>
      </c>
      <c r="BJ4" s="27" t="s">
        <v>573</v>
      </c>
      <c r="BK4" s="27" t="s">
        <v>574</v>
      </c>
      <c r="BL4" s="27" t="s">
        <v>575</v>
      </c>
      <c r="BM4" s="27" t="s">
        <v>576</v>
      </c>
      <c r="BN4" s="27" t="s">
        <v>577</v>
      </c>
      <c r="BO4" s="27" t="s">
        <v>578</v>
      </c>
      <c r="BR4" s="129" t="s">
        <v>579</v>
      </c>
      <c r="BS4" s="27" t="s">
        <v>580</v>
      </c>
      <c r="BT4" s="27" t="s">
        <v>581</v>
      </c>
      <c r="BU4" s="27" t="s">
        <v>582</v>
      </c>
      <c r="BV4" s="27" t="s">
        <v>583</v>
      </c>
      <c r="BW4" s="27" t="s">
        <v>584</v>
      </c>
      <c r="BX4" s="27" t="s">
        <v>585</v>
      </c>
      <c r="BY4" s="27" t="s">
        <v>586</v>
      </c>
      <c r="BZ4" s="27" t="s">
        <v>587</v>
      </c>
      <c r="CC4" s="129" t="s">
        <v>543</v>
      </c>
      <c r="CD4" s="27" t="s">
        <v>544</v>
      </c>
      <c r="CE4" s="27" t="s">
        <v>545</v>
      </c>
      <c r="CF4" s="27" t="s">
        <v>546</v>
      </c>
      <c r="CG4" s="27" t="s">
        <v>547</v>
      </c>
      <c r="CH4" s="27" t="s">
        <v>548</v>
      </c>
      <c r="CI4" s="27" t="s">
        <v>549</v>
      </c>
      <c r="CJ4" s="27" t="s">
        <v>550</v>
      </c>
      <c r="CK4" s="27" t="s">
        <v>551</v>
      </c>
      <c r="CN4" s="129" t="s">
        <v>588</v>
      </c>
      <c r="CO4" s="27" t="s">
        <v>589</v>
      </c>
      <c r="CP4" s="27" t="s">
        <v>590</v>
      </c>
      <c r="CQ4" s="27" t="s">
        <v>591</v>
      </c>
      <c r="CR4" s="27" t="s">
        <v>592</v>
      </c>
      <c r="CS4" s="27" t="s">
        <v>593</v>
      </c>
      <c r="CT4" s="27" t="s">
        <v>594</v>
      </c>
      <c r="CU4" s="27" t="s">
        <v>595</v>
      </c>
      <c r="CV4" s="27" t="s">
        <v>596</v>
      </c>
      <c r="CY4" s="129" t="s">
        <v>597</v>
      </c>
      <c r="CZ4" s="27" t="s">
        <v>598</v>
      </c>
      <c r="DA4" s="27" t="s">
        <v>599</v>
      </c>
      <c r="DB4" s="27" t="s">
        <v>600</v>
      </c>
      <c r="DC4" s="27" t="s">
        <v>601</v>
      </c>
      <c r="DD4" s="27" t="s">
        <v>602</v>
      </c>
      <c r="DE4" s="27" t="s">
        <v>603</v>
      </c>
      <c r="DF4" s="27" t="s">
        <v>604</v>
      </c>
      <c r="DG4" s="27" t="s">
        <v>605</v>
      </c>
      <c r="DJ4" s="129" t="s">
        <v>606</v>
      </c>
      <c r="DK4" s="27" t="s">
        <v>607</v>
      </c>
      <c r="DL4" s="27" t="s">
        <v>608</v>
      </c>
      <c r="DM4" s="27" t="s">
        <v>609</v>
      </c>
      <c r="DN4" s="27" t="s">
        <v>610</v>
      </c>
      <c r="DO4" s="27" t="s">
        <v>611</v>
      </c>
      <c r="DP4" s="27" t="s">
        <v>612</v>
      </c>
      <c r="DQ4" s="27" t="s">
        <v>613</v>
      </c>
      <c r="DR4" s="27" t="s">
        <v>614</v>
      </c>
      <c r="DW4" s="129" t="s">
        <v>615</v>
      </c>
      <c r="DX4" s="129" t="s">
        <v>616</v>
      </c>
      <c r="DY4" s="129" t="s">
        <v>617</v>
      </c>
      <c r="DZ4" s="129" t="s">
        <v>618</v>
      </c>
      <c r="EA4" s="129" t="s">
        <v>619</v>
      </c>
      <c r="EB4" s="129" t="s">
        <v>620</v>
      </c>
      <c r="EC4" s="129" t="s">
        <v>621</v>
      </c>
      <c r="ED4" s="129" t="s">
        <v>622</v>
      </c>
      <c r="EE4" s="129" t="s">
        <v>623</v>
      </c>
      <c r="EH4" s="129" t="s">
        <v>624</v>
      </c>
      <c r="EI4" s="129" t="s">
        <v>625</v>
      </c>
      <c r="EJ4" s="129" t="s">
        <v>626</v>
      </c>
      <c r="EK4" s="129" t="s">
        <v>627</v>
      </c>
      <c r="EL4" s="129" t="s">
        <v>628</v>
      </c>
      <c r="EM4" s="129" t="s">
        <v>629</v>
      </c>
      <c r="EN4" s="129" t="s">
        <v>630</v>
      </c>
      <c r="EO4" s="129" t="s">
        <v>631</v>
      </c>
      <c r="EP4" s="129" t="s">
        <v>632</v>
      </c>
      <c r="ES4" s="129" t="s">
        <v>552</v>
      </c>
      <c r="ET4" s="129" t="s">
        <v>553</v>
      </c>
      <c r="EU4" s="129" t="s">
        <v>554</v>
      </c>
      <c r="EV4" s="129" t="s">
        <v>555</v>
      </c>
      <c r="EW4" s="129" t="s">
        <v>556</v>
      </c>
      <c r="EX4" s="129" t="s">
        <v>557</v>
      </c>
      <c r="EY4" s="129" t="s">
        <v>558</v>
      </c>
      <c r="EZ4" s="129" t="s">
        <v>559</v>
      </c>
      <c r="FA4" s="129" t="s">
        <v>560</v>
      </c>
      <c r="FD4" s="129" t="s">
        <v>561</v>
      </c>
      <c r="FE4" s="129" t="s">
        <v>562</v>
      </c>
      <c r="FF4" s="129" t="s">
        <v>563</v>
      </c>
      <c r="FG4" s="129" t="s">
        <v>564</v>
      </c>
      <c r="FH4" s="129" t="s">
        <v>565</v>
      </c>
      <c r="FI4" s="129" t="s">
        <v>566</v>
      </c>
      <c r="FJ4" s="129" t="s">
        <v>567</v>
      </c>
      <c r="FK4" s="129" t="s">
        <v>568</v>
      </c>
      <c r="FL4" s="129" t="s">
        <v>569</v>
      </c>
      <c r="FO4" s="129" t="s">
        <v>570</v>
      </c>
      <c r="FP4" s="129" t="s">
        <v>571</v>
      </c>
      <c r="FQ4" s="129" t="s">
        <v>572</v>
      </c>
      <c r="FR4" s="129" t="s">
        <v>573</v>
      </c>
      <c r="FS4" s="129" t="s">
        <v>574</v>
      </c>
      <c r="FT4" s="129" t="s">
        <v>575</v>
      </c>
      <c r="FU4" s="129" t="s">
        <v>576</v>
      </c>
      <c r="FV4" s="129" t="s">
        <v>577</v>
      </c>
      <c r="FW4" s="129" t="s">
        <v>578</v>
      </c>
      <c r="FZ4" s="129" t="s">
        <v>579</v>
      </c>
      <c r="GA4" s="129" t="s">
        <v>580</v>
      </c>
      <c r="GB4" s="129" t="s">
        <v>581</v>
      </c>
      <c r="GC4" s="129" t="s">
        <v>582</v>
      </c>
      <c r="GD4" s="129" t="s">
        <v>583</v>
      </c>
      <c r="GE4" s="129" t="s">
        <v>584</v>
      </c>
      <c r="GF4" s="129" t="s">
        <v>585</v>
      </c>
      <c r="GG4" s="129" t="s">
        <v>586</v>
      </c>
      <c r="GH4" s="129" t="s">
        <v>587</v>
      </c>
      <c r="GJ4" s="27"/>
      <c r="GK4" s="129" t="s">
        <v>633</v>
      </c>
      <c r="GL4" s="129" t="s">
        <v>634</v>
      </c>
      <c r="GM4" s="129" t="s">
        <v>635</v>
      </c>
      <c r="GN4" s="129" t="s">
        <v>636</v>
      </c>
      <c r="GO4" s="129" t="s">
        <v>637</v>
      </c>
      <c r="GP4" s="129" t="s">
        <v>638</v>
      </c>
      <c r="GQ4" s="129" t="s">
        <v>639</v>
      </c>
      <c r="GR4" s="129" t="s">
        <v>640</v>
      </c>
      <c r="GS4" s="129" t="s">
        <v>641</v>
      </c>
      <c r="GV4" s="129" t="s">
        <v>588</v>
      </c>
      <c r="GW4" s="129" t="s">
        <v>589</v>
      </c>
      <c r="GX4" s="129" t="s">
        <v>590</v>
      </c>
      <c r="GY4" s="129" t="s">
        <v>591</v>
      </c>
      <c r="GZ4" s="129" t="s">
        <v>592</v>
      </c>
      <c r="HA4" s="129" t="s">
        <v>593</v>
      </c>
      <c r="HB4" s="129" t="s">
        <v>594</v>
      </c>
      <c r="HC4" s="129" t="s">
        <v>595</v>
      </c>
      <c r="HD4" s="129" t="s">
        <v>596</v>
      </c>
      <c r="HG4" s="129" t="s">
        <v>597</v>
      </c>
      <c r="HH4" s="129" t="s">
        <v>598</v>
      </c>
      <c r="HI4" s="129" t="s">
        <v>599</v>
      </c>
      <c r="HJ4" s="129" t="s">
        <v>600</v>
      </c>
      <c r="HK4" s="129" t="s">
        <v>601</v>
      </c>
      <c r="HL4" s="129" t="s">
        <v>602</v>
      </c>
      <c r="HM4" s="129" t="s">
        <v>603</v>
      </c>
      <c r="HN4" s="129" t="s">
        <v>604</v>
      </c>
      <c r="HO4" s="129" t="s">
        <v>605</v>
      </c>
      <c r="HR4" s="129" t="s">
        <v>606</v>
      </c>
      <c r="HS4" s="129" t="s">
        <v>607</v>
      </c>
      <c r="HT4" s="129" t="s">
        <v>608</v>
      </c>
      <c r="HU4" s="129" t="s">
        <v>609</v>
      </c>
      <c r="HV4" s="129" t="s">
        <v>610</v>
      </c>
      <c r="HW4" s="129" t="s">
        <v>611</v>
      </c>
      <c r="HX4" s="129" t="s">
        <v>612</v>
      </c>
      <c r="HY4" s="129" t="s">
        <v>613</v>
      </c>
      <c r="HZ4" s="129" t="s">
        <v>614</v>
      </c>
    </row>
    <row r="5" spans="2:235" ht="15" thickBot="1">
      <c r="B5" s="509">
        <v>2</v>
      </c>
      <c r="C5" s="510">
        <v>3</v>
      </c>
      <c r="D5" s="510">
        <v>4</v>
      </c>
      <c r="E5" s="510">
        <v>5</v>
      </c>
      <c r="F5" s="510">
        <v>6</v>
      </c>
      <c r="G5" s="510">
        <v>8</v>
      </c>
      <c r="H5" s="510">
        <v>4</v>
      </c>
      <c r="I5" s="510">
        <v>5</v>
      </c>
      <c r="J5" s="510">
        <v>6</v>
      </c>
      <c r="K5" s="511">
        <v>8</v>
      </c>
      <c r="O5" s="87">
        <v>10000</v>
      </c>
      <c r="P5" s="87">
        <v>10000</v>
      </c>
      <c r="Q5" s="87">
        <v>10000</v>
      </c>
      <c r="R5" s="87">
        <v>10000</v>
      </c>
      <c r="S5" s="87">
        <v>10000</v>
      </c>
      <c r="T5" s="87">
        <v>10000</v>
      </c>
      <c r="U5" s="87">
        <v>10000</v>
      </c>
      <c r="V5" s="87">
        <v>10000</v>
      </c>
      <c r="W5" s="87">
        <v>10000</v>
      </c>
      <c r="X5" s="129">
        <v>0</v>
      </c>
      <c r="Z5" s="87">
        <v>10000</v>
      </c>
      <c r="AA5" s="87">
        <v>10000</v>
      </c>
      <c r="AB5" s="87">
        <v>10000</v>
      </c>
      <c r="AC5" s="87">
        <v>10000</v>
      </c>
      <c r="AD5" s="87">
        <v>10000</v>
      </c>
      <c r="AE5" s="87">
        <v>10000</v>
      </c>
      <c r="AF5" s="87">
        <v>10000</v>
      </c>
      <c r="AG5" s="87">
        <v>10000</v>
      </c>
      <c r="AH5" s="87">
        <v>10000</v>
      </c>
      <c r="AI5" s="129">
        <v>0</v>
      </c>
      <c r="AK5" s="87">
        <v>10000</v>
      </c>
      <c r="AL5" s="87">
        <v>10000</v>
      </c>
      <c r="AM5" s="87">
        <v>10000</v>
      </c>
      <c r="AN5" s="87">
        <v>10000</v>
      </c>
      <c r="AO5" s="87">
        <v>10000</v>
      </c>
      <c r="AP5" s="87">
        <v>10000</v>
      </c>
      <c r="AQ5" s="87">
        <v>10000</v>
      </c>
      <c r="AR5" s="87">
        <v>10000</v>
      </c>
      <c r="AS5" s="87">
        <v>10000</v>
      </c>
      <c r="AT5" s="129">
        <v>0</v>
      </c>
      <c r="AU5" s="17">
        <f>MAX($AV$5:$BE$306)</f>
        <v>10000</v>
      </c>
      <c r="AV5" s="87">
        <v>10000</v>
      </c>
      <c r="AW5" s="87">
        <v>10000</v>
      </c>
      <c r="AX5" s="87">
        <v>10000</v>
      </c>
      <c r="AY5" s="87">
        <v>10000</v>
      </c>
      <c r="AZ5" s="87">
        <v>10000</v>
      </c>
      <c r="BA5" s="87">
        <v>10000</v>
      </c>
      <c r="BB5" s="87">
        <v>10000</v>
      </c>
      <c r="BC5" s="87">
        <v>10000</v>
      </c>
      <c r="BD5" s="87">
        <v>10000</v>
      </c>
      <c r="BE5" s="129">
        <v>0</v>
      </c>
      <c r="BG5" s="87">
        <v>10000</v>
      </c>
      <c r="BH5" s="87">
        <v>10000</v>
      </c>
      <c r="BI5" s="87">
        <v>10000</v>
      </c>
      <c r="BJ5" s="87">
        <v>10000</v>
      </c>
      <c r="BK5" s="87">
        <v>10000</v>
      </c>
      <c r="BL5" s="87">
        <v>10000</v>
      </c>
      <c r="BM5" s="87">
        <v>10000</v>
      </c>
      <c r="BN5" s="87">
        <v>10000</v>
      </c>
      <c r="BO5" s="87">
        <v>10000</v>
      </c>
      <c r="BP5" s="129">
        <v>0</v>
      </c>
      <c r="BQ5" s="17">
        <f>MAX($BR$5:$CA$306)</f>
        <v>10000</v>
      </c>
      <c r="BR5" s="87">
        <v>10000</v>
      </c>
      <c r="BS5" s="87">
        <v>10000</v>
      </c>
      <c r="BT5" s="87">
        <v>10000</v>
      </c>
      <c r="BU5" s="87">
        <v>10000</v>
      </c>
      <c r="BV5" s="87">
        <v>10000</v>
      </c>
      <c r="BW5" s="87">
        <v>10000</v>
      </c>
      <c r="BX5" s="87">
        <v>10000</v>
      </c>
      <c r="BY5" s="87">
        <v>10000</v>
      </c>
      <c r="BZ5" s="87">
        <v>10000</v>
      </c>
      <c r="CA5" s="129">
        <v>0</v>
      </c>
      <c r="CB5" s="17">
        <f>MAX($CC$5:$CL$306)</f>
        <v>10000</v>
      </c>
      <c r="CC5" s="87">
        <v>10000</v>
      </c>
      <c r="CD5" s="87">
        <v>10000</v>
      </c>
      <c r="CE5" s="87">
        <v>10000</v>
      </c>
      <c r="CF5" s="87">
        <v>10000</v>
      </c>
      <c r="CG5" s="87">
        <v>10000</v>
      </c>
      <c r="CH5" s="87">
        <v>10000</v>
      </c>
      <c r="CI5" s="87">
        <v>10000</v>
      </c>
      <c r="CJ5" s="87">
        <v>10000</v>
      </c>
      <c r="CK5" s="87">
        <v>10000</v>
      </c>
      <c r="CL5" s="129">
        <v>0</v>
      </c>
      <c r="CM5" s="17">
        <f>MAX($CN$5:$CW$306)</f>
        <v>10000</v>
      </c>
      <c r="CN5" s="87">
        <v>10000</v>
      </c>
      <c r="CO5" s="87">
        <v>10000</v>
      </c>
      <c r="CP5" s="87">
        <v>10000</v>
      </c>
      <c r="CQ5" s="87">
        <v>10000</v>
      </c>
      <c r="CR5" s="87">
        <v>10000</v>
      </c>
      <c r="CS5" s="87">
        <v>10000</v>
      </c>
      <c r="CT5" s="87">
        <v>10000</v>
      </c>
      <c r="CU5" s="87">
        <v>10000</v>
      </c>
      <c r="CV5" s="87">
        <v>10000</v>
      </c>
      <c r="CW5" s="129">
        <v>0</v>
      </c>
      <c r="CX5" s="17">
        <f>MAX($CY$5:$DH$306)</f>
        <v>10000</v>
      </c>
      <c r="CY5" s="87">
        <v>10000</v>
      </c>
      <c r="CZ5" s="87">
        <v>10000</v>
      </c>
      <c r="DA5" s="87">
        <v>10000</v>
      </c>
      <c r="DB5" s="87">
        <v>10000</v>
      </c>
      <c r="DC5" s="87">
        <v>10000</v>
      </c>
      <c r="DD5" s="87">
        <v>10000</v>
      </c>
      <c r="DE5" s="87">
        <v>10000</v>
      </c>
      <c r="DF5" s="87">
        <v>10000</v>
      </c>
      <c r="DG5" s="87">
        <v>10000</v>
      </c>
      <c r="DH5" s="129">
        <v>0</v>
      </c>
      <c r="DI5" s="17">
        <f>MAX($DJ$5:$DS$306)</f>
        <v>10000</v>
      </c>
      <c r="DJ5" s="87">
        <v>10000</v>
      </c>
      <c r="DK5" s="87">
        <v>10000</v>
      </c>
      <c r="DL5" s="87">
        <v>10000</v>
      </c>
      <c r="DM5" s="87">
        <v>10000</v>
      </c>
      <c r="DN5" s="87">
        <v>10000</v>
      </c>
      <c r="DO5" s="87">
        <v>10000</v>
      </c>
      <c r="DP5" s="87">
        <v>10000</v>
      </c>
      <c r="DQ5" s="87">
        <v>10000</v>
      </c>
      <c r="DR5" s="87">
        <v>10000</v>
      </c>
      <c r="DS5" s="129">
        <v>0</v>
      </c>
      <c r="DW5" s="27">
        <v>121.89457540870541</v>
      </c>
      <c r="DX5" s="27">
        <v>121.89457540870541</v>
      </c>
      <c r="DY5" s="27">
        <v>121.89457540870541</v>
      </c>
      <c r="DZ5" s="27">
        <v>121.89457540870541</v>
      </c>
      <c r="EA5" s="27">
        <v>121.89457540870541</v>
      </c>
      <c r="EB5" s="27">
        <v>121.89457540870541</v>
      </c>
      <c r="EC5" s="27">
        <v>121.89457540870541</v>
      </c>
      <c r="ED5" s="27">
        <v>121.89457540870541</v>
      </c>
      <c r="EE5" s="27">
        <v>121.89457540870541</v>
      </c>
      <c r="EF5" s="129">
        <v>2</v>
      </c>
      <c r="EH5" s="27">
        <v>216.20691258299414</v>
      </c>
      <c r="EI5" s="27">
        <v>216.20691258299414</v>
      </c>
      <c r="EJ5" s="27">
        <v>216.20691258299414</v>
      </c>
      <c r="EK5" s="27">
        <v>216.20691258299414</v>
      </c>
      <c r="EL5" s="27">
        <v>216.20691258299414</v>
      </c>
      <c r="EM5" s="27">
        <v>216.20691258299414</v>
      </c>
      <c r="EN5" s="27">
        <v>216.20691258299414</v>
      </c>
      <c r="EO5" s="27">
        <v>216.20691258299414</v>
      </c>
      <c r="EP5" s="27">
        <v>216.20691258299414</v>
      </c>
      <c r="EQ5" s="129">
        <v>2</v>
      </c>
      <c r="ES5" s="27">
        <v>240.14839169936505</v>
      </c>
      <c r="ET5" s="27">
        <v>240.14839169936505</v>
      </c>
      <c r="EU5" s="27">
        <v>240.14839169936505</v>
      </c>
      <c r="EV5" s="27">
        <v>240.14839169936505</v>
      </c>
      <c r="EW5" s="27">
        <v>240.14839169936505</v>
      </c>
      <c r="EX5" s="27">
        <v>240.14839169936505</v>
      </c>
      <c r="EY5" s="27">
        <v>240.14839169936505</v>
      </c>
      <c r="EZ5" s="27">
        <v>240.14839169936505</v>
      </c>
      <c r="FA5" s="27">
        <v>240.14839169936505</v>
      </c>
      <c r="FB5" s="129">
        <v>2</v>
      </c>
      <c r="FC5" s="129">
        <f>MAX($FD$5:$FM$285)</f>
        <v>250.83661848427349</v>
      </c>
      <c r="FD5" s="27">
        <v>250.83661848427349</v>
      </c>
      <c r="FE5" s="27">
        <v>250.83661848427349</v>
      </c>
      <c r="FF5" s="27">
        <v>250.83661848427349</v>
      </c>
      <c r="FG5" s="27">
        <v>250.83661848427349</v>
      </c>
      <c r="FH5" s="27">
        <v>250.83661848427349</v>
      </c>
      <c r="FI5" s="27">
        <v>250.83661848427349</v>
      </c>
      <c r="FJ5" s="27">
        <v>250.83661848427349</v>
      </c>
      <c r="FK5" s="27">
        <v>250.83661848427349</v>
      </c>
      <c r="FL5" s="27">
        <v>250.83661848427349</v>
      </c>
      <c r="FM5" s="129">
        <v>2</v>
      </c>
      <c r="FN5" s="129">
        <f>MAX($FO$5:$FX$286)</f>
        <v>398.5681705967491</v>
      </c>
      <c r="FO5" s="27">
        <v>398.5681705967491</v>
      </c>
      <c r="FP5" s="27">
        <v>398.5681705967491</v>
      </c>
      <c r="FQ5" s="27">
        <v>398.5681705967491</v>
      </c>
      <c r="FR5" s="27">
        <v>398.5681705967491</v>
      </c>
      <c r="FS5" s="27">
        <v>398.5681705967491</v>
      </c>
      <c r="FT5" s="27">
        <v>398.5681705967491</v>
      </c>
      <c r="FU5" s="27">
        <v>398.5681705967491</v>
      </c>
      <c r="FV5" s="27">
        <v>398.5681705967491</v>
      </c>
      <c r="FW5" s="27">
        <v>398.5681705967491</v>
      </c>
      <c r="FX5" s="129">
        <v>2</v>
      </c>
      <c r="FY5" s="129">
        <f>MAX(FZ5:GI286)</f>
        <v>398.5681705967491</v>
      </c>
      <c r="FZ5" s="27">
        <v>398.5681705967491</v>
      </c>
      <c r="GA5" s="27">
        <v>398.5681705967491</v>
      </c>
      <c r="GB5" s="27">
        <v>398.5681705967491</v>
      </c>
      <c r="GC5" s="27">
        <v>398.5681705967491</v>
      </c>
      <c r="GD5" s="27">
        <v>398.5681705967491</v>
      </c>
      <c r="GE5" s="27">
        <v>398.5681705967491</v>
      </c>
      <c r="GF5" s="27">
        <v>398.5681705967491</v>
      </c>
      <c r="GG5" s="27">
        <v>398.5681705967491</v>
      </c>
      <c r="GH5" s="27">
        <v>398.5681705967491</v>
      </c>
      <c r="GI5" s="129">
        <v>2</v>
      </c>
      <c r="GJ5" s="27">
        <f>MAX($GK$5:$GT$286)</f>
        <v>95.439997246029989</v>
      </c>
      <c r="GK5" s="27">
        <v>95.439997246029989</v>
      </c>
      <c r="GL5" s="27">
        <v>95.439997246029989</v>
      </c>
      <c r="GM5" s="27">
        <v>95.439997246029989</v>
      </c>
      <c r="GN5" s="27">
        <v>95.439997246029989</v>
      </c>
      <c r="GO5" s="27">
        <v>95.439997246029989</v>
      </c>
      <c r="GP5" s="27">
        <v>95.439997246029989</v>
      </c>
      <c r="GQ5" s="27">
        <v>95.439997246029989</v>
      </c>
      <c r="GR5" s="27">
        <v>95.439997246029989</v>
      </c>
      <c r="GS5" s="27">
        <v>95.439997246029989</v>
      </c>
      <c r="GT5" s="129">
        <v>2</v>
      </c>
      <c r="GU5" s="129">
        <f>MAX($GV$5:$HE$286)</f>
        <v>112.28151107426619</v>
      </c>
      <c r="GV5" s="27">
        <v>112.28151107426619</v>
      </c>
      <c r="GW5" s="27">
        <v>112.28151107426619</v>
      </c>
      <c r="GX5" s="27">
        <v>112.28151107426619</v>
      </c>
      <c r="GY5" s="27">
        <v>112.28151107426619</v>
      </c>
      <c r="GZ5" s="27">
        <v>112.28151107426619</v>
      </c>
      <c r="HA5" s="27">
        <v>112.28151107426619</v>
      </c>
      <c r="HB5" s="27">
        <v>112.28151107426619</v>
      </c>
      <c r="HC5" s="27">
        <v>112.28151107426619</v>
      </c>
      <c r="HD5" s="27">
        <v>112.28151107426619</v>
      </c>
      <c r="HE5" s="129">
        <v>2</v>
      </c>
      <c r="HF5" s="129">
        <f>MAX($HG$5:$HP$286)</f>
        <v>154.9508701521091</v>
      </c>
      <c r="HG5" s="27">
        <v>154.9508701521091</v>
      </c>
      <c r="HH5" s="27">
        <v>154.9508701521091</v>
      </c>
      <c r="HI5" s="27">
        <v>154.9508701521091</v>
      </c>
      <c r="HJ5" s="27">
        <v>154.9508701521091</v>
      </c>
      <c r="HK5" s="27">
        <v>154.9508701521091</v>
      </c>
      <c r="HL5" s="27">
        <v>154.9508701521091</v>
      </c>
      <c r="HM5" s="27">
        <v>154.9508701521091</v>
      </c>
      <c r="HN5" s="27">
        <v>154.9508701521091</v>
      </c>
      <c r="HO5" s="27">
        <v>154.9508701521091</v>
      </c>
      <c r="HP5" s="129">
        <v>2</v>
      </c>
      <c r="HQ5" s="129">
        <f>MAX($HR$5:$IA$286)</f>
        <v>154.9508701521091</v>
      </c>
      <c r="HR5" s="27">
        <v>154.9508701521091</v>
      </c>
      <c r="HS5" s="27">
        <v>154.9508701521091</v>
      </c>
      <c r="HT5" s="27">
        <v>154.9508701521091</v>
      </c>
      <c r="HU5" s="27">
        <v>154.9508701521091</v>
      </c>
      <c r="HV5" s="27">
        <v>154.9508701521091</v>
      </c>
      <c r="HW5" s="27">
        <v>154.9508701521091</v>
      </c>
      <c r="HX5" s="27">
        <v>154.9508701521091</v>
      </c>
      <c r="HY5" s="27">
        <v>154.9508701521091</v>
      </c>
      <c r="HZ5" s="27">
        <v>154.9508701521091</v>
      </c>
      <c r="IA5" s="129">
        <v>2</v>
      </c>
    </row>
    <row r="6" spans="2:235">
      <c r="B6" s="512" t="s">
        <v>543</v>
      </c>
      <c r="C6" s="257" t="s">
        <v>543</v>
      </c>
      <c r="D6" s="257" t="s">
        <v>543</v>
      </c>
      <c r="E6" s="257" t="s">
        <v>543</v>
      </c>
      <c r="F6" s="257" t="s">
        <v>543</v>
      </c>
      <c r="G6" s="257" t="s">
        <v>543</v>
      </c>
      <c r="H6" s="257" t="s">
        <v>543</v>
      </c>
      <c r="I6" s="257" t="s">
        <v>543</v>
      </c>
      <c r="J6" s="257" t="s">
        <v>543</v>
      </c>
      <c r="K6" s="513" t="s">
        <v>543</v>
      </c>
      <c r="O6" s="87">
        <v>9472.9071955053005</v>
      </c>
      <c r="P6" s="87">
        <v>9472.9071955053005</v>
      </c>
      <c r="Q6" s="87">
        <v>9472.9071955053005</v>
      </c>
      <c r="R6" s="87">
        <v>9472.9071955053005</v>
      </c>
      <c r="S6" s="87">
        <v>9472.9071955053005</v>
      </c>
      <c r="T6" s="87">
        <v>9472.9071955053005</v>
      </c>
      <c r="U6" s="87">
        <v>9472.9071955053005</v>
      </c>
      <c r="V6" s="87">
        <v>9472.9071955053005</v>
      </c>
      <c r="W6" s="87">
        <v>9472.9071955053005</v>
      </c>
      <c r="X6" s="129">
        <v>0.100000000000001</v>
      </c>
      <c r="Z6" s="87">
        <v>10660.798609863292</v>
      </c>
      <c r="AA6" s="87">
        <v>10660.798609863292</v>
      </c>
      <c r="AB6" s="87">
        <v>10660.798609863292</v>
      </c>
      <c r="AC6" s="87">
        <v>10660.798609863292</v>
      </c>
      <c r="AD6" s="87">
        <v>10660.798609863292</v>
      </c>
      <c r="AE6" s="87">
        <v>10660.798609863292</v>
      </c>
      <c r="AF6" s="87">
        <v>10660.798609863292</v>
      </c>
      <c r="AG6" s="87">
        <v>10660.798609863292</v>
      </c>
      <c r="AH6" s="87">
        <v>10660.798609863292</v>
      </c>
      <c r="AI6" s="129">
        <v>0.100000000000001</v>
      </c>
      <c r="AK6" s="87">
        <v>4631.2495324020847</v>
      </c>
      <c r="AL6" s="87">
        <v>4631.2495324020847</v>
      </c>
      <c r="AM6" s="87">
        <v>4631.2495324020847</v>
      </c>
      <c r="AN6" s="87">
        <v>4631.2495324020847</v>
      </c>
      <c r="AO6" s="87">
        <v>4631.2495324020847</v>
      </c>
      <c r="AP6" s="87">
        <v>4631.2495324020847</v>
      </c>
      <c r="AQ6" s="87">
        <v>4631.2495324020847</v>
      </c>
      <c r="AR6" s="87">
        <v>4631.2495324020847</v>
      </c>
      <c r="AS6" s="87">
        <v>4631.2495324020847</v>
      </c>
      <c r="AT6" s="129">
        <v>0.100000000000001</v>
      </c>
      <c r="AV6" s="87">
        <v>5054.6367368977835</v>
      </c>
      <c r="AW6" s="87">
        <v>5054.6367368977835</v>
      </c>
      <c r="AX6" s="87">
        <v>5054.6367368977835</v>
      </c>
      <c r="AY6" s="87">
        <v>5054.6367368977835</v>
      </c>
      <c r="AZ6" s="87">
        <v>5054.6367368977835</v>
      </c>
      <c r="BA6" s="87">
        <v>5054.6367368977835</v>
      </c>
      <c r="BB6" s="87">
        <v>5054.6367368977835</v>
      </c>
      <c r="BC6" s="87">
        <v>5054.6367368977835</v>
      </c>
      <c r="BD6" s="87">
        <v>5054.6367368977835</v>
      </c>
      <c r="BE6" s="129">
        <v>0.100000000000001</v>
      </c>
      <c r="BG6" s="87">
        <v>266.40029761904788</v>
      </c>
      <c r="BH6" s="87">
        <v>266.40029761904788</v>
      </c>
      <c r="BI6" s="87">
        <v>266.40029761904788</v>
      </c>
      <c r="BJ6" s="87">
        <v>266.40029761904788</v>
      </c>
      <c r="BK6" s="87">
        <v>266.40029761904788</v>
      </c>
      <c r="BL6" s="87">
        <v>266.40029761904788</v>
      </c>
      <c r="BM6" s="87">
        <v>266.40029761904788</v>
      </c>
      <c r="BN6" s="87">
        <v>266.40029761904788</v>
      </c>
      <c r="BO6" s="87">
        <v>266.40029761904788</v>
      </c>
      <c r="BP6" s="129">
        <v>0.100000000000001</v>
      </c>
      <c r="BR6" s="87">
        <v>266.40029761904788</v>
      </c>
      <c r="BS6" s="87">
        <v>266.40029761904788</v>
      </c>
      <c r="BT6" s="87">
        <v>266.40029761904788</v>
      </c>
      <c r="BU6" s="87">
        <v>266.40029761904788</v>
      </c>
      <c r="BV6" s="87">
        <v>266.40029761904788</v>
      </c>
      <c r="BW6" s="87">
        <v>266.40029761904788</v>
      </c>
      <c r="BX6" s="87">
        <v>266.40029761904788</v>
      </c>
      <c r="BY6" s="87">
        <v>266.40029761904788</v>
      </c>
      <c r="BZ6" s="87">
        <v>266.40029761904788</v>
      </c>
      <c r="CA6" s="129">
        <v>0.100000000000001</v>
      </c>
      <c r="CC6" s="87">
        <v>1805.7389368821289</v>
      </c>
      <c r="CD6" s="87">
        <v>1805.7389368821289</v>
      </c>
      <c r="CE6" s="87">
        <v>1805.7389368821289</v>
      </c>
      <c r="CF6" s="87">
        <v>1805.7389368821289</v>
      </c>
      <c r="CG6" s="87">
        <v>1805.7389368821289</v>
      </c>
      <c r="CH6" s="87">
        <v>1805.7389368821289</v>
      </c>
      <c r="CI6" s="87">
        <v>1805.7389368821289</v>
      </c>
      <c r="CJ6" s="87">
        <v>1805.7389368821289</v>
      </c>
      <c r="CK6" s="87">
        <v>1805.7389368821289</v>
      </c>
      <c r="CL6" s="129">
        <v>0.100000000000001</v>
      </c>
      <c r="CN6" s="87">
        <v>2137.2570498679966</v>
      </c>
      <c r="CO6" s="87">
        <v>2137.2570498679966</v>
      </c>
      <c r="CP6" s="87">
        <v>2137.2570498679966</v>
      </c>
      <c r="CQ6" s="87">
        <v>2137.2570498679966</v>
      </c>
      <c r="CR6" s="87">
        <v>2137.2570498679966</v>
      </c>
      <c r="CS6" s="87">
        <v>2137.2570498679966</v>
      </c>
      <c r="CT6" s="87">
        <v>2137.2570498679966</v>
      </c>
      <c r="CU6" s="87">
        <v>2137.2570498679966</v>
      </c>
      <c r="CV6" s="87">
        <v>2137.2570498679966</v>
      </c>
      <c r="CW6" s="129">
        <v>0.100000000000001</v>
      </c>
      <c r="CY6" s="87">
        <v>3178.7872770662716</v>
      </c>
      <c r="CZ6" s="87">
        <v>3178.7872770662716</v>
      </c>
      <c r="DA6" s="87">
        <v>3178.7872770662716</v>
      </c>
      <c r="DB6" s="87">
        <v>3178.7872770662716</v>
      </c>
      <c r="DC6" s="87">
        <v>3178.7872770662716</v>
      </c>
      <c r="DD6" s="87">
        <v>3178.7872770662716</v>
      </c>
      <c r="DE6" s="87">
        <v>3178.7872770662716</v>
      </c>
      <c r="DF6" s="87">
        <v>3178.7872770662716</v>
      </c>
      <c r="DG6" s="87">
        <v>3178.7872770662716</v>
      </c>
      <c r="DH6" s="129">
        <v>0.100000000000001</v>
      </c>
      <c r="DJ6" s="87">
        <v>3178.7872770662716</v>
      </c>
      <c r="DK6" s="87">
        <v>3178.7872770662716</v>
      </c>
      <c r="DL6" s="87">
        <v>3178.7872770662716</v>
      </c>
      <c r="DM6" s="87">
        <v>3178.7872770662716</v>
      </c>
      <c r="DN6" s="87">
        <v>3178.7872770662716</v>
      </c>
      <c r="DO6" s="87">
        <v>3178.7872770662716</v>
      </c>
      <c r="DP6" s="87">
        <v>3178.7872770662716</v>
      </c>
      <c r="DQ6" s="87">
        <v>3178.7872770662716</v>
      </c>
      <c r="DR6" s="87">
        <v>3178.7872770662716</v>
      </c>
      <c r="DS6" s="129">
        <v>0.100000000000001</v>
      </c>
      <c r="DW6" s="27">
        <v>116.05268514141073</v>
      </c>
      <c r="DX6" s="27">
        <v>116.05268514141073</v>
      </c>
      <c r="DY6" s="27">
        <v>116.05268514141073</v>
      </c>
      <c r="DZ6" s="27">
        <v>116.05268514141073</v>
      </c>
      <c r="EA6" s="27">
        <v>116.05268514141073</v>
      </c>
      <c r="EB6" s="27">
        <v>116.05268514141073</v>
      </c>
      <c r="EC6" s="27">
        <v>116.05268514141073</v>
      </c>
      <c r="ED6" s="27">
        <v>116.05268514141073</v>
      </c>
      <c r="EE6" s="27">
        <v>116.05268514141073</v>
      </c>
      <c r="EF6" s="129">
        <v>2.1</v>
      </c>
      <c r="EH6" s="27">
        <v>205.48175295297614</v>
      </c>
      <c r="EI6" s="27">
        <v>205.48175295297614</v>
      </c>
      <c r="EJ6" s="27">
        <v>205.48175295297614</v>
      </c>
      <c r="EK6" s="27">
        <v>205.48175295297614</v>
      </c>
      <c r="EL6" s="27">
        <v>205.48175295297614</v>
      </c>
      <c r="EM6" s="27">
        <v>205.48175295297614</v>
      </c>
      <c r="EN6" s="27">
        <v>205.48175295297614</v>
      </c>
      <c r="EO6" s="27">
        <v>205.48175295297614</v>
      </c>
      <c r="EP6" s="27">
        <v>205.48175295297614</v>
      </c>
      <c r="EQ6" s="129">
        <v>2.1</v>
      </c>
      <c r="ES6" s="27">
        <v>228.84202547765472</v>
      </c>
      <c r="ET6" s="27">
        <v>228.84202547765472</v>
      </c>
      <c r="EU6" s="27">
        <v>228.84202547765472</v>
      </c>
      <c r="EV6" s="27">
        <v>228.84202547765472</v>
      </c>
      <c r="EW6" s="27">
        <v>228.84202547765472</v>
      </c>
      <c r="EX6" s="27">
        <v>228.84202547765472</v>
      </c>
      <c r="EY6" s="27">
        <v>228.84202547765472</v>
      </c>
      <c r="EZ6" s="27">
        <v>228.84202547765472</v>
      </c>
      <c r="FA6" s="27">
        <v>228.84202547765472</v>
      </c>
      <c r="FB6" s="129">
        <v>2.1</v>
      </c>
      <c r="FD6" s="27">
        <v>238.96495153401693</v>
      </c>
      <c r="FE6" s="27">
        <v>238.96495153401693</v>
      </c>
      <c r="FF6" s="27">
        <v>238.96495153401693</v>
      </c>
      <c r="FG6" s="27">
        <v>238.96495153401693</v>
      </c>
      <c r="FH6" s="27">
        <v>238.96495153401693</v>
      </c>
      <c r="FI6" s="27">
        <v>238.96495153401693</v>
      </c>
      <c r="FJ6" s="27">
        <v>238.96495153401693</v>
      </c>
      <c r="FK6" s="27">
        <v>238.96495153401693</v>
      </c>
      <c r="FL6" s="27">
        <v>238.96495153401693</v>
      </c>
      <c r="FM6" s="129">
        <v>2.1</v>
      </c>
      <c r="FO6" s="27">
        <v>379.47962109742355</v>
      </c>
      <c r="FP6" s="27">
        <v>379.47962109742355</v>
      </c>
      <c r="FQ6" s="27">
        <v>379.47962109742355</v>
      </c>
      <c r="FR6" s="27">
        <v>379.47962109742355</v>
      </c>
      <c r="FS6" s="27">
        <v>379.47962109742355</v>
      </c>
      <c r="FT6" s="27">
        <v>379.47962109742355</v>
      </c>
      <c r="FU6" s="27">
        <v>379.47962109742355</v>
      </c>
      <c r="FV6" s="27">
        <v>379.47962109742355</v>
      </c>
      <c r="FW6" s="27">
        <v>379.47962109742355</v>
      </c>
      <c r="FX6" s="129">
        <v>2.1</v>
      </c>
      <c r="FZ6" s="27">
        <v>379.47962109742355</v>
      </c>
      <c r="GA6" s="27">
        <v>379.47962109742355</v>
      </c>
      <c r="GB6" s="27">
        <v>379.47962109742355</v>
      </c>
      <c r="GC6" s="27">
        <v>379.47962109742355</v>
      </c>
      <c r="GD6" s="27">
        <v>379.47962109742355</v>
      </c>
      <c r="GE6" s="27">
        <v>379.47962109742355</v>
      </c>
      <c r="GF6" s="27">
        <v>379.47962109742355</v>
      </c>
      <c r="GG6" s="27">
        <v>379.47962109742355</v>
      </c>
      <c r="GH6" s="27">
        <v>379.47962109742355</v>
      </c>
      <c r="GI6" s="129">
        <v>2.1</v>
      </c>
      <c r="GJ6" s="27"/>
      <c r="GK6" s="27">
        <v>90.860673171581084</v>
      </c>
      <c r="GL6" s="27">
        <v>90.860673171581084</v>
      </c>
      <c r="GM6" s="27">
        <v>90.860673171581084</v>
      </c>
      <c r="GN6" s="27">
        <v>90.860673171581084</v>
      </c>
      <c r="GO6" s="27">
        <v>90.860673171581084</v>
      </c>
      <c r="GP6" s="27">
        <v>90.860673171581084</v>
      </c>
      <c r="GQ6" s="27">
        <v>90.860673171581084</v>
      </c>
      <c r="GR6" s="27">
        <v>90.860673171581084</v>
      </c>
      <c r="GS6" s="27">
        <v>90.860673171581084</v>
      </c>
      <c r="GT6" s="129">
        <v>2.1</v>
      </c>
      <c r="GV6" s="27">
        <v>106.95203282135117</v>
      </c>
      <c r="GW6" s="27">
        <v>106.95203282135117</v>
      </c>
      <c r="GX6" s="27">
        <v>106.95203282135117</v>
      </c>
      <c r="GY6" s="27">
        <v>106.95203282135117</v>
      </c>
      <c r="GZ6" s="27">
        <v>106.95203282135117</v>
      </c>
      <c r="HA6" s="27">
        <v>106.95203282135117</v>
      </c>
      <c r="HB6" s="27">
        <v>106.95203282135117</v>
      </c>
      <c r="HC6" s="27">
        <v>106.95203282135117</v>
      </c>
      <c r="HD6" s="27">
        <v>106.95203282135117</v>
      </c>
      <c r="HE6" s="129">
        <v>2.1</v>
      </c>
      <c r="HG6" s="27">
        <v>147.58240147132966</v>
      </c>
      <c r="HH6" s="27">
        <v>147.58240147132966</v>
      </c>
      <c r="HI6" s="27">
        <v>147.58240147132966</v>
      </c>
      <c r="HJ6" s="27">
        <v>147.58240147132966</v>
      </c>
      <c r="HK6" s="27">
        <v>147.58240147132966</v>
      </c>
      <c r="HL6" s="27">
        <v>147.58240147132966</v>
      </c>
      <c r="HM6" s="27">
        <v>147.58240147132966</v>
      </c>
      <c r="HN6" s="27">
        <v>147.58240147132966</v>
      </c>
      <c r="HO6" s="27">
        <v>147.58240147132966</v>
      </c>
      <c r="HP6" s="129">
        <v>2.1</v>
      </c>
      <c r="HR6" s="27">
        <v>147.58240147132966</v>
      </c>
      <c r="HS6" s="27">
        <v>147.58240147132966</v>
      </c>
      <c r="HT6" s="27">
        <v>147.58240147132966</v>
      </c>
      <c r="HU6" s="27">
        <v>147.58240147132966</v>
      </c>
      <c r="HV6" s="27">
        <v>147.58240147132966</v>
      </c>
      <c r="HW6" s="27">
        <v>147.58240147132966</v>
      </c>
      <c r="HX6" s="27">
        <v>147.58240147132966</v>
      </c>
      <c r="HY6" s="27">
        <v>147.58240147132966</v>
      </c>
      <c r="HZ6" s="27">
        <v>147.58240147132966</v>
      </c>
      <c r="IA6" s="129">
        <v>2.1</v>
      </c>
    </row>
    <row r="7" spans="2:235">
      <c r="B7" s="514" t="s">
        <v>544</v>
      </c>
      <c r="C7" s="28" t="s">
        <v>544</v>
      </c>
      <c r="D7" s="28" t="s">
        <v>544</v>
      </c>
      <c r="E7" s="28" t="s">
        <v>544</v>
      </c>
      <c r="F7" s="28" t="s">
        <v>544</v>
      </c>
      <c r="G7" s="28" t="s">
        <v>544</v>
      </c>
      <c r="H7" s="28" t="s">
        <v>544</v>
      </c>
      <c r="I7" s="28" t="s">
        <v>544</v>
      </c>
      <c r="J7" s="28" t="s">
        <v>544</v>
      </c>
      <c r="K7" s="452" t="s">
        <v>544</v>
      </c>
      <c r="O7" s="87">
        <v>3777.8865724304624</v>
      </c>
      <c r="P7" s="87">
        <v>3777.8865724304624</v>
      </c>
      <c r="Q7" s="87">
        <v>3777.8865724304624</v>
      </c>
      <c r="R7" s="87">
        <v>3777.8865724304624</v>
      </c>
      <c r="S7" s="87">
        <v>3777.8865724304624</v>
      </c>
      <c r="T7" s="87">
        <v>3777.8865724304624</v>
      </c>
      <c r="U7" s="87">
        <v>3777.8865724304624</v>
      </c>
      <c r="V7" s="87">
        <v>3777.8865724304624</v>
      </c>
      <c r="W7" s="87">
        <v>3777.8865724304624</v>
      </c>
      <c r="X7" s="129">
        <v>0.20000000000000101</v>
      </c>
      <c r="Z7" s="87">
        <v>4552.5183337184881</v>
      </c>
      <c r="AA7" s="87">
        <v>4552.5183337184881</v>
      </c>
      <c r="AB7" s="87">
        <v>4552.5183337184881</v>
      </c>
      <c r="AC7" s="87">
        <v>4552.5183337184881</v>
      </c>
      <c r="AD7" s="87">
        <v>4552.5183337184881</v>
      </c>
      <c r="AE7" s="87">
        <v>4552.5183337184881</v>
      </c>
      <c r="AF7" s="87">
        <v>4552.5183337184881</v>
      </c>
      <c r="AG7" s="87">
        <v>4552.5183337184881</v>
      </c>
      <c r="AH7" s="87">
        <v>4552.5183337184881</v>
      </c>
      <c r="AI7" s="129">
        <v>0.20000000000000101</v>
      </c>
      <c r="AK7" s="87">
        <v>2334.9659176135556</v>
      </c>
      <c r="AL7" s="87">
        <v>2334.9659176135556</v>
      </c>
      <c r="AM7" s="87">
        <v>2334.9659176135556</v>
      </c>
      <c r="AN7" s="87">
        <v>2334.9659176135556</v>
      </c>
      <c r="AO7" s="87">
        <v>2334.9659176135556</v>
      </c>
      <c r="AP7" s="87">
        <v>2334.9659176135556</v>
      </c>
      <c r="AQ7" s="87">
        <v>2334.9659176135556</v>
      </c>
      <c r="AR7" s="87">
        <v>2334.9659176135556</v>
      </c>
      <c r="AS7" s="87">
        <v>2334.9659176135556</v>
      </c>
      <c r="AT7" s="129">
        <v>0.20000000000000101</v>
      </c>
      <c r="AV7" s="87">
        <v>2527.9411173797339</v>
      </c>
      <c r="AW7" s="87">
        <v>2527.9411173797339</v>
      </c>
      <c r="AX7" s="87">
        <v>2527.9411173797339</v>
      </c>
      <c r="AY7" s="87">
        <v>2527.9411173797339</v>
      </c>
      <c r="AZ7" s="87">
        <v>2527.9411173797339</v>
      </c>
      <c r="BA7" s="87">
        <v>2527.9411173797339</v>
      </c>
      <c r="BB7" s="87">
        <v>2527.9411173797339</v>
      </c>
      <c r="BC7" s="87">
        <v>2527.9411173797339</v>
      </c>
      <c r="BD7" s="87">
        <v>2527.9411173797339</v>
      </c>
      <c r="BE7" s="129">
        <v>0.20000000000000101</v>
      </c>
      <c r="BG7" s="87">
        <v>263.48214285714312</v>
      </c>
      <c r="BH7" s="87">
        <v>263.48214285714312</v>
      </c>
      <c r="BI7" s="87">
        <v>263.48214285714312</v>
      </c>
      <c r="BJ7" s="87">
        <v>263.48214285714312</v>
      </c>
      <c r="BK7" s="87">
        <v>263.48214285714312</v>
      </c>
      <c r="BL7" s="87">
        <v>263.48214285714312</v>
      </c>
      <c r="BM7" s="87">
        <v>263.48214285714312</v>
      </c>
      <c r="BN7" s="87">
        <v>263.48214285714312</v>
      </c>
      <c r="BO7" s="87">
        <v>263.48214285714312</v>
      </c>
      <c r="BP7" s="129">
        <v>0.20000000000000101</v>
      </c>
      <c r="BR7" s="87">
        <v>263.48214285714312</v>
      </c>
      <c r="BS7" s="87">
        <v>263.48214285714312</v>
      </c>
      <c r="BT7" s="87">
        <v>263.48214285714312</v>
      </c>
      <c r="BU7" s="87">
        <v>263.48214285714312</v>
      </c>
      <c r="BV7" s="87">
        <v>263.48214285714312</v>
      </c>
      <c r="BW7" s="87">
        <v>263.48214285714312</v>
      </c>
      <c r="BX7" s="87">
        <v>263.48214285714312</v>
      </c>
      <c r="BY7" s="87">
        <v>263.48214285714312</v>
      </c>
      <c r="BZ7" s="87">
        <v>263.48214285714312</v>
      </c>
      <c r="CA7" s="129">
        <v>0.20000000000000101</v>
      </c>
      <c r="CC7" s="87">
        <v>909.14942222349418</v>
      </c>
      <c r="CD7" s="87">
        <v>909.14942222349418</v>
      </c>
      <c r="CE7" s="87">
        <v>909.14942222349418</v>
      </c>
      <c r="CF7" s="87">
        <v>909.14942222349418</v>
      </c>
      <c r="CG7" s="87">
        <v>909.14942222349418</v>
      </c>
      <c r="CH7" s="87">
        <v>909.14942222349418</v>
      </c>
      <c r="CI7" s="87">
        <v>909.14942222349418</v>
      </c>
      <c r="CJ7" s="87">
        <v>909.14942222349418</v>
      </c>
      <c r="CK7" s="87">
        <v>909.14942222349418</v>
      </c>
      <c r="CL7" s="129">
        <v>0.20000000000000101</v>
      </c>
      <c r="CN7" s="87">
        <v>1078.3013590576877</v>
      </c>
      <c r="CO7" s="87">
        <v>1078.3013590576877</v>
      </c>
      <c r="CP7" s="87">
        <v>1078.3013590576877</v>
      </c>
      <c r="CQ7" s="87">
        <v>1078.3013590576877</v>
      </c>
      <c r="CR7" s="87">
        <v>1078.3013590576877</v>
      </c>
      <c r="CS7" s="87">
        <v>1078.3013590576877</v>
      </c>
      <c r="CT7" s="87">
        <v>1078.3013590576877</v>
      </c>
      <c r="CU7" s="87">
        <v>1078.3013590576877</v>
      </c>
      <c r="CV7" s="87">
        <v>1078.3013590576877</v>
      </c>
      <c r="CW7" s="129">
        <v>0.20000000000000101</v>
      </c>
      <c r="CY7" s="87">
        <v>1583.8947542807607</v>
      </c>
      <c r="CZ7" s="87">
        <v>1583.8947542807607</v>
      </c>
      <c r="DA7" s="87">
        <v>1583.8947542807607</v>
      </c>
      <c r="DB7" s="87">
        <v>1583.8947542807607</v>
      </c>
      <c r="DC7" s="87">
        <v>1583.8947542807607</v>
      </c>
      <c r="DD7" s="87">
        <v>1583.8947542807607</v>
      </c>
      <c r="DE7" s="87">
        <v>1583.8947542807607</v>
      </c>
      <c r="DF7" s="87">
        <v>1583.8947542807607</v>
      </c>
      <c r="DG7" s="87">
        <v>1583.8947542807607</v>
      </c>
      <c r="DH7" s="129">
        <v>0.20000000000000101</v>
      </c>
      <c r="DJ7" s="87">
        <v>1583.8947542807607</v>
      </c>
      <c r="DK7" s="87">
        <v>1583.8947542807607</v>
      </c>
      <c r="DL7" s="87">
        <v>1583.8947542807607</v>
      </c>
      <c r="DM7" s="87">
        <v>1583.8947542807607</v>
      </c>
      <c r="DN7" s="87">
        <v>1583.8947542807607</v>
      </c>
      <c r="DO7" s="87">
        <v>1583.8947542807607</v>
      </c>
      <c r="DP7" s="87">
        <v>1583.8947542807607</v>
      </c>
      <c r="DQ7" s="87">
        <v>1583.8947542807607</v>
      </c>
      <c r="DR7" s="87">
        <v>1583.8947542807607</v>
      </c>
      <c r="DS7" s="129">
        <v>0.20000000000000101</v>
      </c>
      <c r="DW7" s="27">
        <v>110.74354699786457</v>
      </c>
      <c r="DX7" s="27">
        <v>110.74354699786457</v>
      </c>
      <c r="DY7" s="27">
        <v>110.74354699786457</v>
      </c>
      <c r="DZ7" s="27">
        <v>110.74354699786457</v>
      </c>
      <c r="EA7" s="27">
        <v>110.74354699786457</v>
      </c>
      <c r="EB7" s="27">
        <v>110.74354699786457</v>
      </c>
      <c r="EC7" s="27">
        <v>110.74354699786457</v>
      </c>
      <c r="ED7" s="27">
        <v>110.74354699786457</v>
      </c>
      <c r="EE7" s="27">
        <v>110.74354699786457</v>
      </c>
      <c r="EF7" s="27">
        <v>2.2000000000000002</v>
      </c>
      <c r="EH7" s="27">
        <v>195.75148445484839</v>
      </c>
      <c r="EI7" s="27">
        <v>195.75148445484839</v>
      </c>
      <c r="EJ7" s="27">
        <v>195.75148445484839</v>
      </c>
      <c r="EK7" s="27">
        <v>195.75148445484839</v>
      </c>
      <c r="EL7" s="27">
        <v>195.75148445484839</v>
      </c>
      <c r="EM7" s="27">
        <v>195.75148445484839</v>
      </c>
      <c r="EN7" s="27">
        <v>195.75148445484839</v>
      </c>
      <c r="EO7" s="27">
        <v>195.75148445484839</v>
      </c>
      <c r="EP7" s="27">
        <v>195.75148445484839</v>
      </c>
      <c r="EQ7" s="27">
        <v>2.2000000000000002</v>
      </c>
      <c r="ES7" s="27">
        <v>218.5578342361184</v>
      </c>
      <c r="ET7" s="27">
        <v>218.5578342361184</v>
      </c>
      <c r="EU7" s="27">
        <v>218.5578342361184</v>
      </c>
      <c r="EV7" s="27">
        <v>218.5578342361184</v>
      </c>
      <c r="EW7" s="27">
        <v>218.5578342361184</v>
      </c>
      <c r="EX7" s="27">
        <v>218.5578342361184</v>
      </c>
      <c r="EY7" s="27">
        <v>218.5578342361184</v>
      </c>
      <c r="EZ7" s="27">
        <v>218.5578342361184</v>
      </c>
      <c r="FA7" s="27">
        <v>218.5578342361184</v>
      </c>
      <c r="FB7" s="27">
        <v>2.2000000000000002</v>
      </c>
      <c r="FD7" s="27">
        <v>228.1693075499106</v>
      </c>
      <c r="FE7" s="27">
        <v>228.1693075499106</v>
      </c>
      <c r="FF7" s="27">
        <v>228.1693075499106</v>
      </c>
      <c r="FG7" s="27">
        <v>228.1693075499106</v>
      </c>
      <c r="FH7" s="27">
        <v>228.1693075499106</v>
      </c>
      <c r="FI7" s="27">
        <v>228.1693075499106</v>
      </c>
      <c r="FJ7" s="27">
        <v>228.1693075499106</v>
      </c>
      <c r="FK7" s="27">
        <v>228.1693075499106</v>
      </c>
      <c r="FL7" s="27">
        <v>228.1693075499106</v>
      </c>
      <c r="FM7" s="27">
        <v>2.2000000000000002</v>
      </c>
      <c r="FO7" s="27">
        <v>362.13126828348845</v>
      </c>
      <c r="FP7" s="27">
        <v>362.13126828348845</v>
      </c>
      <c r="FQ7" s="27">
        <v>362.13126828348845</v>
      </c>
      <c r="FR7" s="27">
        <v>362.13126828348845</v>
      </c>
      <c r="FS7" s="27">
        <v>362.13126828348845</v>
      </c>
      <c r="FT7" s="27">
        <v>362.13126828348845</v>
      </c>
      <c r="FU7" s="27">
        <v>362.13126828348845</v>
      </c>
      <c r="FV7" s="27">
        <v>362.13126828348845</v>
      </c>
      <c r="FW7" s="27">
        <v>362.13126828348845</v>
      </c>
      <c r="FX7" s="27">
        <v>2.2000000000000002</v>
      </c>
      <c r="FZ7" s="27">
        <v>362.13126828348845</v>
      </c>
      <c r="GA7" s="27">
        <v>362.13126828348845</v>
      </c>
      <c r="GB7" s="27">
        <v>362.13126828348845</v>
      </c>
      <c r="GC7" s="27">
        <v>362.13126828348845</v>
      </c>
      <c r="GD7" s="27">
        <v>362.13126828348845</v>
      </c>
      <c r="GE7" s="27">
        <v>362.13126828348845</v>
      </c>
      <c r="GF7" s="27">
        <v>362.13126828348845</v>
      </c>
      <c r="GG7" s="27">
        <v>362.13126828348845</v>
      </c>
      <c r="GH7" s="27">
        <v>362.13126828348845</v>
      </c>
      <c r="GI7" s="27">
        <v>2.2000000000000002</v>
      </c>
      <c r="GJ7" s="27"/>
      <c r="GK7" s="27">
        <v>86.699198014049927</v>
      </c>
      <c r="GL7" s="27">
        <v>86.699198014049927</v>
      </c>
      <c r="GM7" s="27">
        <v>86.699198014049927</v>
      </c>
      <c r="GN7" s="27">
        <v>86.699198014049927</v>
      </c>
      <c r="GO7" s="27">
        <v>86.699198014049927</v>
      </c>
      <c r="GP7" s="27">
        <v>86.699198014049927</v>
      </c>
      <c r="GQ7" s="27">
        <v>86.699198014049927</v>
      </c>
      <c r="GR7" s="27">
        <v>86.699198014049927</v>
      </c>
      <c r="GS7" s="27">
        <v>86.699198014049927</v>
      </c>
      <c r="GT7" s="27">
        <v>2.2000000000000002</v>
      </c>
      <c r="GV7" s="27">
        <v>102.10628846826056</v>
      </c>
      <c r="GW7" s="27">
        <v>102.10628846826056</v>
      </c>
      <c r="GX7" s="27">
        <v>102.10628846826056</v>
      </c>
      <c r="GY7" s="27">
        <v>102.10628846826056</v>
      </c>
      <c r="GZ7" s="27">
        <v>102.10628846826056</v>
      </c>
      <c r="HA7" s="27">
        <v>102.10628846826056</v>
      </c>
      <c r="HB7" s="27">
        <v>102.10628846826056</v>
      </c>
      <c r="HC7" s="27">
        <v>102.10628846826056</v>
      </c>
      <c r="HD7" s="27">
        <v>102.10628846826056</v>
      </c>
      <c r="HE7" s="27">
        <v>2.2000000000000002</v>
      </c>
      <c r="HG7" s="27">
        <v>140.88334365715289</v>
      </c>
      <c r="HH7" s="27">
        <v>140.88334365715289</v>
      </c>
      <c r="HI7" s="27">
        <v>140.88334365715289</v>
      </c>
      <c r="HJ7" s="27">
        <v>140.88334365715289</v>
      </c>
      <c r="HK7" s="27">
        <v>140.88334365715289</v>
      </c>
      <c r="HL7" s="27">
        <v>140.88334365715289</v>
      </c>
      <c r="HM7" s="27">
        <v>140.88334365715289</v>
      </c>
      <c r="HN7" s="27">
        <v>140.88334365715289</v>
      </c>
      <c r="HO7" s="27">
        <v>140.88334365715289</v>
      </c>
      <c r="HP7" s="27">
        <v>2.2000000000000002</v>
      </c>
      <c r="HR7" s="27">
        <v>140.88334365715289</v>
      </c>
      <c r="HS7" s="27">
        <v>140.88334365715289</v>
      </c>
      <c r="HT7" s="27">
        <v>140.88334365715289</v>
      </c>
      <c r="HU7" s="27">
        <v>140.88334365715289</v>
      </c>
      <c r="HV7" s="27">
        <v>140.88334365715289</v>
      </c>
      <c r="HW7" s="27">
        <v>140.88334365715289</v>
      </c>
      <c r="HX7" s="27">
        <v>140.88334365715289</v>
      </c>
      <c r="HY7" s="27">
        <v>140.88334365715289</v>
      </c>
      <c r="HZ7" s="27">
        <v>140.88334365715289</v>
      </c>
      <c r="IA7" s="27">
        <v>2.2000000000000002</v>
      </c>
    </row>
    <row r="8" spans="2:235">
      <c r="B8" s="514" t="s">
        <v>545</v>
      </c>
      <c r="C8" s="28" t="s">
        <v>545</v>
      </c>
      <c r="D8" s="28" t="s">
        <v>545</v>
      </c>
      <c r="E8" s="28" t="s">
        <v>545</v>
      </c>
      <c r="F8" s="28" t="s">
        <v>545</v>
      </c>
      <c r="G8" s="28" t="s">
        <v>545</v>
      </c>
      <c r="H8" s="28" t="s">
        <v>545</v>
      </c>
      <c r="I8" s="28" t="s">
        <v>545</v>
      </c>
      <c r="J8" s="28" t="s">
        <v>545</v>
      </c>
      <c r="K8" s="452" t="s">
        <v>545</v>
      </c>
      <c r="O8" s="87">
        <v>2206.5398751269413</v>
      </c>
      <c r="P8" s="87">
        <v>2206.5398751269413</v>
      </c>
      <c r="Q8" s="87">
        <v>2206.5398751269413</v>
      </c>
      <c r="R8" s="87">
        <v>2206.5398751269413</v>
      </c>
      <c r="S8" s="87">
        <v>2206.5398751269413</v>
      </c>
      <c r="T8" s="87">
        <v>2206.5398751269413</v>
      </c>
      <c r="U8" s="87">
        <v>2206.5398751269413</v>
      </c>
      <c r="V8" s="87">
        <v>2206.5398751269413</v>
      </c>
      <c r="W8" s="87">
        <v>2206.5398751269413</v>
      </c>
      <c r="X8" s="129">
        <v>0.30000000000000099</v>
      </c>
      <c r="Z8" s="87">
        <v>2767.4884043564834</v>
      </c>
      <c r="AA8" s="87">
        <v>2767.4884043564834</v>
      </c>
      <c r="AB8" s="87">
        <v>2767.4884043564834</v>
      </c>
      <c r="AC8" s="87">
        <v>2767.4884043564834</v>
      </c>
      <c r="AD8" s="87">
        <v>2767.4884043564834</v>
      </c>
      <c r="AE8" s="87">
        <v>2767.4884043564834</v>
      </c>
      <c r="AF8" s="87">
        <v>2767.4884043564834</v>
      </c>
      <c r="AG8" s="87">
        <v>2767.4884043564834</v>
      </c>
      <c r="AH8" s="87">
        <v>2767.4884043564834</v>
      </c>
      <c r="AI8" s="129">
        <v>0.30000000000000099</v>
      </c>
      <c r="AK8" s="87">
        <v>1564.236378564085</v>
      </c>
      <c r="AL8" s="87">
        <v>1564.236378564085</v>
      </c>
      <c r="AM8" s="87">
        <v>1564.236378564085</v>
      </c>
      <c r="AN8" s="87">
        <v>1564.236378564085</v>
      </c>
      <c r="AO8" s="87">
        <v>1564.236378564085</v>
      </c>
      <c r="AP8" s="87">
        <v>1564.236378564085</v>
      </c>
      <c r="AQ8" s="87">
        <v>1564.236378564085</v>
      </c>
      <c r="AR8" s="87">
        <v>1564.236378564085</v>
      </c>
      <c r="AS8" s="87">
        <v>1564.236378564085</v>
      </c>
      <c r="AT8" s="129">
        <v>0.30000000000000099</v>
      </c>
      <c r="AV8" s="87">
        <v>1685.5369821894435</v>
      </c>
      <c r="AW8" s="87">
        <v>1685.5369821894435</v>
      </c>
      <c r="AX8" s="87">
        <v>1685.5369821894435</v>
      </c>
      <c r="AY8" s="87">
        <v>1685.5369821894435</v>
      </c>
      <c r="AZ8" s="87">
        <v>1685.5369821894435</v>
      </c>
      <c r="BA8" s="87">
        <v>1685.5369821894435</v>
      </c>
      <c r="BB8" s="87">
        <v>1685.5369821894435</v>
      </c>
      <c r="BC8" s="87">
        <v>1685.5369821894435</v>
      </c>
      <c r="BD8" s="87">
        <v>1685.5369821894435</v>
      </c>
      <c r="BE8" s="129">
        <v>0.30000000000000099</v>
      </c>
      <c r="BG8" s="87">
        <v>260.58482142857167</v>
      </c>
      <c r="BH8" s="87">
        <v>260.58482142857167</v>
      </c>
      <c r="BI8" s="87">
        <v>260.58482142857167</v>
      </c>
      <c r="BJ8" s="87">
        <v>260.58482142857167</v>
      </c>
      <c r="BK8" s="87">
        <v>260.58482142857167</v>
      </c>
      <c r="BL8" s="87">
        <v>260.58482142857167</v>
      </c>
      <c r="BM8" s="87">
        <v>260.58482142857167</v>
      </c>
      <c r="BN8" s="87">
        <v>260.58482142857167</v>
      </c>
      <c r="BO8" s="87">
        <v>260.58482142857167</v>
      </c>
      <c r="BP8" s="129">
        <v>0.30000000000000099</v>
      </c>
      <c r="BR8" s="87">
        <v>260.58482142857167</v>
      </c>
      <c r="BS8" s="87">
        <v>260.58482142857167</v>
      </c>
      <c r="BT8" s="87">
        <v>260.58482142857167</v>
      </c>
      <c r="BU8" s="87">
        <v>260.58482142857167</v>
      </c>
      <c r="BV8" s="87">
        <v>260.58482142857167</v>
      </c>
      <c r="BW8" s="87">
        <v>260.58482142857167</v>
      </c>
      <c r="BX8" s="87">
        <v>260.58482142857167</v>
      </c>
      <c r="BY8" s="87">
        <v>260.58482142857167</v>
      </c>
      <c r="BZ8" s="87">
        <v>260.58482142857167</v>
      </c>
      <c r="CA8" s="129">
        <v>0.30000000000000099</v>
      </c>
      <c r="CC8" s="87">
        <v>608.56212621268844</v>
      </c>
      <c r="CD8" s="87">
        <v>608.56212621268844</v>
      </c>
      <c r="CE8" s="87">
        <v>608.56212621268844</v>
      </c>
      <c r="CF8" s="87">
        <v>608.56212621268844</v>
      </c>
      <c r="CG8" s="87">
        <v>608.56212621268844</v>
      </c>
      <c r="CH8" s="87">
        <v>608.56212621268844</v>
      </c>
      <c r="CI8" s="87">
        <v>608.56212621268844</v>
      </c>
      <c r="CJ8" s="87">
        <v>608.56212621268844</v>
      </c>
      <c r="CK8" s="87">
        <v>608.56212621268844</v>
      </c>
      <c r="CL8" s="129">
        <v>0.30000000000000099</v>
      </c>
      <c r="CN8" s="87">
        <v>722.66676109298317</v>
      </c>
      <c r="CO8" s="87">
        <v>722.66676109298317</v>
      </c>
      <c r="CP8" s="87">
        <v>722.66676109298317</v>
      </c>
      <c r="CQ8" s="87">
        <v>722.66676109298317</v>
      </c>
      <c r="CR8" s="87">
        <v>722.66676109298317</v>
      </c>
      <c r="CS8" s="87">
        <v>722.66676109298317</v>
      </c>
      <c r="CT8" s="87">
        <v>722.66676109298317</v>
      </c>
      <c r="CU8" s="87">
        <v>722.66676109298317</v>
      </c>
      <c r="CV8" s="87">
        <v>722.66676109298317</v>
      </c>
      <c r="CW8" s="129">
        <v>0.30000000000000099</v>
      </c>
      <c r="CY8" s="87">
        <v>1053.7912911571943</v>
      </c>
      <c r="CZ8" s="87">
        <v>1053.7912911571943</v>
      </c>
      <c r="DA8" s="87">
        <v>1053.7912911571943</v>
      </c>
      <c r="DB8" s="87">
        <v>1053.7912911571943</v>
      </c>
      <c r="DC8" s="87">
        <v>1053.7912911571943</v>
      </c>
      <c r="DD8" s="87">
        <v>1053.7912911571943</v>
      </c>
      <c r="DE8" s="87">
        <v>1053.7912911571943</v>
      </c>
      <c r="DF8" s="87">
        <v>1053.7912911571943</v>
      </c>
      <c r="DG8" s="87">
        <v>1053.7912911571943</v>
      </c>
      <c r="DH8" s="129">
        <v>0.30000000000000099</v>
      </c>
      <c r="DJ8" s="87">
        <v>1053.7912911571943</v>
      </c>
      <c r="DK8" s="87">
        <v>1053.7912911571943</v>
      </c>
      <c r="DL8" s="87">
        <v>1053.7912911571943</v>
      </c>
      <c r="DM8" s="87">
        <v>1053.7912911571943</v>
      </c>
      <c r="DN8" s="87">
        <v>1053.7912911571943</v>
      </c>
      <c r="DO8" s="87">
        <v>1053.7912911571943</v>
      </c>
      <c r="DP8" s="87">
        <v>1053.7912911571943</v>
      </c>
      <c r="DQ8" s="87">
        <v>1053.7912911571943</v>
      </c>
      <c r="DR8" s="87">
        <v>1053.7912911571943</v>
      </c>
      <c r="DS8" s="129">
        <v>0.30000000000000099</v>
      </c>
      <c r="DW8" s="27">
        <v>105.89752895748686</v>
      </c>
      <c r="DX8" s="27">
        <v>105.89752895748686</v>
      </c>
      <c r="DY8" s="27">
        <v>105.89752895748686</v>
      </c>
      <c r="DZ8" s="27">
        <v>105.89752895748686</v>
      </c>
      <c r="EA8" s="27">
        <v>105.89752895748686</v>
      </c>
      <c r="EB8" s="27">
        <v>105.89752895748686</v>
      </c>
      <c r="EC8" s="27">
        <v>105.89752895748686</v>
      </c>
      <c r="ED8" s="27">
        <v>105.89752895748686</v>
      </c>
      <c r="EE8" s="27">
        <v>105.89752895748686</v>
      </c>
      <c r="EF8" s="27">
        <v>2.2999999999999998</v>
      </c>
      <c r="EH8" s="27">
        <v>186.88461329126693</v>
      </c>
      <c r="EI8" s="27">
        <v>186.88461329126693</v>
      </c>
      <c r="EJ8" s="27">
        <v>186.88461329126693</v>
      </c>
      <c r="EK8" s="27">
        <v>186.88461329126693</v>
      </c>
      <c r="EL8" s="27">
        <v>186.88461329126693</v>
      </c>
      <c r="EM8" s="27">
        <v>186.88461329126693</v>
      </c>
      <c r="EN8" s="27">
        <v>186.88461329126693</v>
      </c>
      <c r="EO8" s="27">
        <v>186.88461329126693</v>
      </c>
      <c r="EP8" s="27">
        <v>186.88461329126693</v>
      </c>
      <c r="EQ8" s="27">
        <v>2.2999999999999998</v>
      </c>
      <c r="ES8" s="27">
        <v>209.16297102181369</v>
      </c>
      <c r="ET8" s="27">
        <v>209.16297102181369</v>
      </c>
      <c r="EU8" s="27">
        <v>209.16297102181369</v>
      </c>
      <c r="EV8" s="27">
        <v>209.16297102181369</v>
      </c>
      <c r="EW8" s="27">
        <v>209.16297102181369</v>
      </c>
      <c r="EX8" s="27">
        <v>209.16297102181369</v>
      </c>
      <c r="EY8" s="27">
        <v>209.16297102181369</v>
      </c>
      <c r="EZ8" s="27">
        <v>209.16297102181369</v>
      </c>
      <c r="FA8" s="27">
        <v>209.16297102181369</v>
      </c>
      <c r="FB8" s="27">
        <v>2.2999999999999998</v>
      </c>
      <c r="FD8" s="27">
        <v>218.30960876774367</v>
      </c>
      <c r="FE8" s="27">
        <v>218.30960876774367</v>
      </c>
      <c r="FF8" s="27">
        <v>218.30960876774367</v>
      </c>
      <c r="FG8" s="27">
        <v>218.30960876774367</v>
      </c>
      <c r="FH8" s="27">
        <v>218.30960876774367</v>
      </c>
      <c r="FI8" s="27">
        <v>218.30960876774367</v>
      </c>
      <c r="FJ8" s="27">
        <v>218.30960876774367</v>
      </c>
      <c r="FK8" s="27">
        <v>218.30960876774367</v>
      </c>
      <c r="FL8" s="27">
        <v>218.30960876774367</v>
      </c>
      <c r="FM8" s="27">
        <v>2.2999999999999998</v>
      </c>
      <c r="FO8" s="27">
        <v>346.29571418972353</v>
      </c>
      <c r="FP8" s="27">
        <v>346.29571418972353</v>
      </c>
      <c r="FQ8" s="27">
        <v>346.29571418972353</v>
      </c>
      <c r="FR8" s="27">
        <v>346.29571418972353</v>
      </c>
      <c r="FS8" s="27">
        <v>346.29571418972353</v>
      </c>
      <c r="FT8" s="27">
        <v>346.29571418972353</v>
      </c>
      <c r="FU8" s="27">
        <v>346.29571418972353</v>
      </c>
      <c r="FV8" s="27">
        <v>346.29571418972353</v>
      </c>
      <c r="FW8" s="27">
        <v>346.29571418972353</v>
      </c>
      <c r="FX8" s="27">
        <v>2.2999999999999998</v>
      </c>
      <c r="FZ8" s="27">
        <v>346.29571418972353</v>
      </c>
      <c r="GA8" s="27">
        <v>346.29571418972353</v>
      </c>
      <c r="GB8" s="27">
        <v>346.29571418972353</v>
      </c>
      <c r="GC8" s="27">
        <v>346.29571418972353</v>
      </c>
      <c r="GD8" s="27">
        <v>346.29571418972353</v>
      </c>
      <c r="GE8" s="27">
        <v>346.29571418972353</v>
      </c>
      <c r="GF8" s="27">
        <v>346.29571418972353</v>
      </c>
      <c r="GG8" s="27">
        <v>346.29571418972353</v>
      </c>
      <c r="GH8" s="27">
        <v>346.29571418972353</v>
      </c>
      <c r="GI8" s="27">
        <v>2.2999999999999998</v>
      </c>
      <c r="GJ8" s="27"/>
      <c r="GK8" s="27">
        <v>82.900937673856845</v>
      </c>
      <c r="GL8" s="27">
        <v>82.900937673856845</v>
      </c>
      <c r="GM8" s="27">
        <v>82.900937673856845</v>
      </c>
      <c r="GN8" s="27">
        <v>82.900937673856845</v>
      </c>
      <c r="GO8" s="27">
        <v>82.900937673856845</v>
      </c>
      <c r="GP8" s="27">
        <v>82.900937673856845</v>
      </c>
      <c r="GQ8" s="27">
        <v>82.900937673856845</v>
      </c>
      <c r="GR8" s="27">
        <v>82.900937673856845</v>
      </c>
      <c r="GS8" s="27">
        <v>82.900937673856845</v>
      </c>
      <c r="GT8" s="27">
        <v>2.2999999999999998</v>
      </c>
      <c r="GV8" s="27">
        <v>97.681247188831804</v>
      </c>
      <c r="GW8" s="27">
        <v>97.681247188831804</v>
      </c>
      <c r="GX8" s="27">
        <v>97.681247188831804</v>
      </c>
      <c r="GY8" s="27">
        <v>97.681247188831804</v>
      </c>
      <c r="GZ8" s="27">
        <v>97.681247188831804</v>
      </c>
      <c r="HA8" s="27">
        <v>97.681247188831804</v>
      </c>
      <c r="HB8" s="27">
        <v>97.681247188831804</v>
      </c>
      <c r="HC8" s="27">
        <v>97.681247188831804</v>
      </c>
      <c r="HD8" s="27">
        <v>97.681247188831804</v>
      </c>
      <c r="HE8" s="27">
        <v>2.2999999999999998</v>
      </c>
      <c r="HG8" s="27">
        <v>134.76642049706666</v>
      </c>
      <c r="HH8" s="27">
        <v>134.76642049706666</v>
      </c>
      <c r="HI8" s="27">
        <v>134.76642049706666</v>
      </c>
      <c r="HJ8" s="27">
        <v>134.76642049706666</v>
      </c>
      <c r="HK8" s="27">
        <v>134.76642049706666</v>
      </c>
      <c r="HL8" s="27">
        <v>134.76642049706666</v>
      </c>
      <c r="HM8" s="27">
        <v>134.76642049706666</v>
      </c>
      <c r="HN8" s="27">
        <v>134.76642049706666</v>
      </c>
      <c r="HO8" s="27">
        <v>134.76642049706666</v>
      </c>
      <c r="HP8" s="27">
        <v>2.2999999999999998</v>
      </c>
      <c r="HR8" s="27">
        <v>134.76642049706666</v>
      </c>
      <c r="HS8" s="27">
        <v>134.76642049706666</v>
      </c>
      <c r="HT8" s="27">
        <v>134.76642049706666</v>
      </c>
      <c r="HU8" s="27">
        <v>134.76642049706666</v>
      </c>
      <c r="HV8" s="27">
        <v>134.76642049706666</v>
      </c>
      <c r="HW8" s="27">
        <v>134.76642049706666</v>
      </c>
      <c r="HX8" s="27">
        <v>134.76642049706666</v>
      </c>
      <c r="HY8" s="27">
        <v>134.76642049706666</v>
      </c>
      <c r="HZ8" s="27">
        <v>134.76642049706666</v>
      </c>
      <c r="IA8" s="27">
        <v>2.2999999999999998</v>
      </c>
    </row>
    <row r="9" spans="2:235">
      <c r="B9" s="514" t="s">
        <v>546</v>
      </c>
      <c r="C9" s="28" t="s">
        <v>546</v>
      </c>
      <c r="D9" s="28" t="s">
        <v>546</v>
      </c>
      <c r="E9" s="28" t="s">
        <v>546</v>
      </c>
      <c r="F9" s="28" t="s">
        <v>546</v>
      </c>
      <c r="G9" s="28" t="s">
        <v>546</v>
      </c>
      <c r="H9" s="28" t="s">
        <v>546</v>
      </c>
      <c r="I9" s="28" t="s">
        <v>546</v>
      </c>
      <c r="J9" s="28" t="s">
        <v>546</v>
      </c>
      <c r="K9" s="452" t="s">
        <v>546</v>
      </c>
      <c r="O9" s="87">
        <v>1506.6575296887022</v>
      </c>
      <c r="P9" s="87">
        <v>1506.6575296887022</v>
      </c>
      <c r="Q9" s="87">
        <v>1506.6575296887022</v>
      </c>
      <c r="R9" s="87">
        <v>1506.6575296887022</v>
      </c>
      <c r="S9" s="87">
        <v>1506.6575296887022</v>
      </c>
      <c r="T9" s="87">
        <v>1506.6575296887022</v>
      </c>
      <c r="U9" s="87">
        <v>1506.6575296887022</v>
      </c>
      <c r="V9" s="87">
        <v>1506.6575296887022</v>
      </c>
      <c r="W9" s="87">
        <v>1506.6575296887022</v>
      </c>
      <c r="X9" s="129">
        <v>0.40000000000000102</v>
      </c>
      <c r="Z9" s="87">
        <v>1944.0779192346699</v>
      </c>
      <c r="AA9" s="87">
        <v>1944.0779192346699</v>
      </c>
      <c r="AB9" s="87">
        <v>1944.0779192346699</v>
      </c>
      <c r="AC9" s="87">
        <v>1944.0779192346699</v>
      </c>
      <c r="AD9" s="87">
        <v>1944.0779192346699</v>
      </c>
      <c r="AE9" s="87">
        <v>1944.0779192346699</v>
      </c>
      <c r="AF9" s="87">
        <v>1944.0779192346699</v>
      </c>
      <c r="AG9" s="87">
        <v>1944.0779192346699</v>
      </c>
      <c r="AH9" s="87">
        <v>1944.0779192346699</v>
      </c>
      <c r="AI9" s="129">
        <v>0.40000000000000102</v>
      </c>
      <c r="AK9" s="87">
        <v>1177.2343075604226</v>
      </c>
      <c r="AL9" s="87">
        <v>1177.2343075604226</v>
      </c>
      <c r="AM9" s="87">
        <v>1177.2343075604226</v>
      </c>
      <c r="AN9" s="87">
        <v>1177.2343075604226</v>
      </c>
      <c r="AO9" s="87">
        <v>1177.2343075604226</v>
      </c>
      <c r="AP9" s="87">
        <v>1177.2343075604226</v>
      </c>
      <c r="AQ9" s="87">
        <v>1177.2343075604226</v>
      </c>
      <c r="AR9" s="87">
        <v>1177.2343075604226</v>
      </c>
      <c r="AS9" s="87">
        <v>1177.2343075604226</v>
      </c>
      <c r="AT9" s="129">
        <v>0.40000000000000102</v>
      </c>
      <c r="AV9" s="87">
        <v>1264.2820098801315</v>
      </c>
      <c r="AW9" s="87">
        <v>1264.2820098801315</v>
      </c>
      <c r="AX9" s="87">
        <v>1264.2820098801315</v>
      </c>
      <c r="AY9" s="87">
        <v>1264.2820098801315</v>
      </c>
      <c r="AZ9" s="87">
        <v>1264.2820098801315</v>
      </c>
      <c r="BA9" s="87">
        <v>1264.2820098801315</v>
      </c>
      <c r="BB9" s="87">
        <v>1264.2820098801315</v>
      </c>
      <c r="BC9" s="87">
        <v>1264.2820098801315</v>
      </c>
      <c r="BD9" s="87">
        <v>1264.2820098801315</v>
      </c>
      <c r="BE9" s="129">
        <v>0.40000000000000102</v>
      </c>
      <c r="BG9" s="87">
        <v>257.7083333333336</v>
      </c>
      <c r="BH9" s="87">
        <v>257.7083333333336</v>
      </c>
      <c r="BI9" s="87">
        <v>257.7083333333336</v>
      </c>
      <c r="BJ9" s="87">
        <v>257.7083333333336</v>
      </c>
      <c r="BK9" s="87">
        <v>257.7083333333336</v>
      </c>
      <c r="BL9" s="87">
        <v>257.7083333333336</v>
      </c>
      <c r="BM9" s="87">
        <v>257.7083333333336</v>
      </c>
      <c r="BN9" s="87">
        <v>257.7083333333336</v>
      </c>
      <c r="BO9" s="87">
        <v>257.7083333333336</v>
      </c>
      <c r="BP9" s="129">
        <v>0.40000000000000102</v>
      </c>
      <c r="BR9" s="87">
        <v>257.7083333333336</v>
      </c>
      <c r="BS9" s="87">
        <v>257.7083333333336</v>
      </c>
      <c r="BT9" s="87">
        <v>257.7083333333336</v>
      </c>
      <c r="BU9" s="87">
        <v>257.7083333333336</v>
      </c>
      <c r="BV9" s="87">
        <v>257.7083333333336</v>
      </c>
      <c r="BW9" s="87">
        <v>257.7083333333336</v>
      </c>
      <c r="BX9" s="87">
        <v>257.7083333333336</v>
      </c>
      <c r="BY9" s="87">
        <v>257.7083333333336</v>
      </c>
      <c r="BZ9" s="87">
        <v>257.7083333333336</v>
      </c>
      <c r="CA9" s="129">
        <v>0.40000000000000102</v>
      </c>
      <c r="CC9" s="87">
        <v>457.73652826940429</v>
      </c>
      <c r="CD9" s="87">
        <v>457.73652826940429</v>
      </c>
      <c r="CE9" s="87">
        <v>457.73652826940429</v>
      </c>
      <c r="CF9" s="87">
        <v>457.73652826940429</v>
      </c>
      <c r="CG9" s="87">
        <v>457.73652826940429</v>
      </c>
      <c r="CH9" s="87">
        <v>457.73652826940429</v>
      </c>
      <c r="CI9" s="87">
        <v>457.73652826940429</v>
      </c>
      <c r="CJ9" s="87">
        <v>457.73652826940429</v>
      </c>
      <c r="CK9" s="87">
        <v>457.73652826940429</v>
      </c>
      <c r="CL9" s="129">
        <v>0.40000000000000102</v>
      </c>
      <c r="CN9" s="87">
        <v>544.03087406705151</v>
      </c>
      <c r="CO9" s="87">
        <v>544.03087406705151</v>
      </c>
      <c r="CP9" s="87">
        <v>544.03087406705151</v>
      </c>
      <c r="CQ9" s="87">
        <v>544.03087406705151</v>
      </c>
      <c r="CR9" s="87">
        <v>544.03087406705151</v>
      </c>
      <c r="CS9" s="87">
        <v>544.03087406705151</v>
      </c>
      <c r="CT9" s="87">
        <v>544.03087406705151</v>
      </c>
      <c r="CU9" s="87">
        <v>544.03087406705151</v>
      </c>
      <c r="CV9" s="87">
        <v>544.03087406705151</v>
      </c>
      <c r="CW9" s="129">
        <v>0.40000000000000102</v>
      </c>
      <c r="CY9" s="87">
        <v>789.20744736131735</v>
      </c>
      <c r="CZ9" s="87">
        <v>789.20744736131735</v>
      </c>
      <c r="DA9" s="87">
        <v>789.20744736131735</v>
      </c>
      <c r="DB9" s="87">
        <v>789.20744736131735</v>
      </c>
      <c r="DC9" s="87">
        <v>789.20744736131735</v>
      </c>
      <c r="DD9" s="87">
        <v>789.20744736131735</v>
      </c>
      <c r="DE9" s="87">
        <v>789.20744736131735</v>
      </c>
      <c r="DF9" s="87">
        <v>789.20744736131735</v>
      </c>
      <c r="DG9" s="87">
        <v>789.20744736131735</v>
      </c>
      <c r="DH9" s="129">
        <v>0.40000000000000102</v>
      </c>
      <c r="DJ9" s="87">
        <v>789.20744736131735</v>
      </c>
      <c r="DK9" s="87">
        <v>789.20744736131735</v>
      </c>
      <c r="DL9" s="87">
        <v>789.20744736131735</v>
      </c>
      <c r="DM9" s="87">
        <v>789.20744736131735</v>
      </c>
      <c r="DN9" s="87">
        <v>789.20744736131735</v>
      </c>
      <c r="DO9" s="87">
        <v>789.20744736131735</v>
      </c>
      <c r="DP9" s="87">
        <v>789.20744736131735</v>
      </c>
      <c r="DQ9" s="87">
        <v>789.20744736131735</v>
      </c>
      <c r="DR9" s="87">
        <v>789.20744736131735</v>
      </c>
      <c r="DS9" s="129">
        <v>0.40000000000000102</v>
      </c>
      <c r="DW9" s="27">
        <v>101.45662183100005</v>
      </c>
      <c r="DX9" s="27">
        <v>101.45662183100005</v>
      </c>
      <c r="DY9" s="27">
        <v>101.45662183100005</v>
      </c>
      <c r="DZ9" s="27">
        <v>101.45662183100005</v>
      </c>
      <c r="EA9" s="27">
        <v>101.45662183100005</v>
      </c>
      <c r="EB9" s="27">
        <v>101.45662183100005</v>
      </c>
      <c r="EC9" s="27">
        <v>101.45662183100005</v>
      </c>
      <c r="ED9" s="27">
        <v>101.45662183100005</v>
      </c>
      <c r="EE9" s="27">
        <v>101.45662183100005</v>
      </c>
      <c r="EF9" s="27">
        <v>2.4</v>
      </c>
      <c r="EH9" s="27">
        <v>178.77177533332821</v>
      </c>
      <c r="EI9" s="27">
        <v>178.77177533332821</v>
      </c>
      <c r="EJ9" s="27">
        <v>178.77177533332821</v>
      </c>
      <c r="EK9" s="27">
        <v>178.77177533332821</v>
      </c>
      <c r="EL9" s="27">
        <v>178.77177533332821</v>
      </c>
      <c r="EM9" s="27">
        <v>178.77177533332821</v>
      </c>
      <c r="EN9" s="27">
        <v>178.77177533332821</v>
      </c>
      <c r="EO9" s="27">
        <v>178.77177533332821</v>
      </c>
      <c r="EP9" s="27">
        <v>178.77177533332821</v>
      </c>
      <c r="EQ9" s="27">
        <v>2.4</v>
      </c>
      <c r="ES9" s="27">
        <v>200.54667146468196</v>
      </c>
      <c r="ET9" s="27">
        <v>200.54667146468196</v>
      </c>
      <c r="EU9" s="27">
        <v>200.54667146468196</v>
      </c>
      <c r="EV9" s="27">
        <v>200.54667146468196</v>
      </c>
      <c r="EW9" s="27">
        <v>200.54667146468196</v>
      </c>
      <c r="EX9" s="27">
        <v>200.54667146468196</v>
      </c>
      <c r="EY9" s="27">
        <v>200.54667146468196</v>
      </c>
      <c r="EZ9" s="27">
        <v>200.54667146468196</v>
      </c>
      <c r="FA9" s="27">
        <v>200.54667146468196</v>
      </c>
      <c r="FB9" s="27">
        <v>2.4</v>
      </c>
      <c r="FD9" s="27">
        <v>209.26909035493767</v>
      </c>
      <c r="FE9" s="27">
        <v>209.26909035493767</v>
      </c>
      <c r="FF9" s="27">
        <v>209.26909035493767</v>
      </c>
      <c r="FG9" s="27">
        <v>209.26909035493767</v>
      </c>
      <c r="FH9" s="27">
        <v>209.26909035493767</v>
      </c>
      <c r="FI9" s="27">
        <v>209.26909035493767</v>
      </c>
      <c r="FJ9" s="27">
        <v>209.26909035493767</v>
      </c>
      <c r="FK9" s="27">
        <v>209.26909035493767</v>
      </c>
      <c r="FL9" s="27">
        <v>209.26909035493767</v>
      </c>
      <c r="FM9" s="27">
        <v>2.4</v>
      </c>
      <c r="FO9" s="27">
        <v>331.78351150589492</v>
      </c>
      <c r="FP9" s="27">
        <v>331.78351150589492</v>
      </c>
      <c r="FQ9" s="27">
        <v>331.78351150589492</v>
      </c>
      <c r="FR9" s="27">
        <v>331.78351150589492</v>
      </c>
      <c r="FS9" s="27">
        <v>331.78351150589492</v>
      </c>
      <c r="FT9" s="27">
        <v>331.78351150589492</v>
      </c>
      <c r="FU9" s="27">
        <v>331.78351150589492</v>
      </c>
      <c r="FV9" s="27">
        <v>331.78351150589492</v>
      </c>
      <c r="FW9" s="27">
        <v>331.78351150589492</v>
      </c>
      <c r="FX9" s="27">
        <v>2.4</v>
      </c>
      <c r="FZ9" s="27">
        <v>331.78351150589492</v>
      </c>
      <c r="GA9" s="27">
        <v>331.78351150589492</v>
      </c>
      <c r="GB9" s="27">
        <v>331.78351150589492</v>
      </c>
      <c r="GC9" s="27">
        <v>331.78351150589492</v>
      </c>
      <c r="GD9" s="27">
        <v>331.78351150589492</v>
      </c>
      <c r="GE9" s="27">
        <v>331.78351150589492</v>
      </c>
      <c r="GF9" s="27">
        <v>331.78351150589492</v>
      </c>
      <c r="GG9" s="27">
        <v>331.78351150589492</v>
      </c>
      <c r="GH9" s="27">
        <v>331.78351150589492</v>
      </c>
      <c r="GI9" s="27">
        <v>2.4</v>
      </c>
      <c r="GJ9" s="27"/>
      <c r="GK9" s="27">
        <v>79.420379941517282</v>
      </c>
      <c r="GL9" s="27">
        <v>79.420379941517282</v>
      </c>
      <c r="GM9" s="27">
        <v>79.420379941517282</v>
      </c>
      <c r="GN9" s="27">
        <v>79.420379941517282</v>
      </c>
      <c r="GO9" s="27">
        <v>79.420379941517282</v>
      </c>
      <c r="GP9" s="27">
        <v>79.420379941517282</v>
      </c>
      <c r="GQ9" s="27">
        <v>79.420379941517282</v>
      </c>
      <c r="GR9" s="27">
        <v>79.420379941517282</v>
      </c>
      <c r="GS9" s="27">
        <v>79.420379941517282</v>
      </c>
      <c r="GT9" s="27">
        <v>2.4</v>
      </c>
      <c r="GV9" s="27">
        <v>93.624375357768457</v>
      </c>
      <c r="GW9" s="27">
        <v>93.624375357768457</v>
      </c>
      <c r="GX9" s="27">
        <v>93.624375357768457</v>
      </c>
      <c r="GY9" s="27">
        <v>93.624375357768457</v>
      </c>
      <c r="GZ9" s="27">
        <v>93.624375357768457</v>
      </c>
      <c r="HA9" s="27">
        <v>93.624375357768457</v>
      </c>
      <c r="HB9" s="27">
        <v>93.624375357768457</v>
      </c>
      <c r="HC9" s="27">
        <v>93.624375357768457</v>
      </c>
      <c r="HD9" s="27">
        <v>93.624375357768457</v>
      </c>
      <c r="HE9" s="27">
        <v>2.4</v>
      </c>
      <c r="HG9" s="27">
        <v>129.15889713368739</v>
      </c>
      <c r="HH9" s="27">
        <v>129.15889713368739</v>
      </c>
      <c r="HI9" s="27">
        <v>129.15889713368739</v>
      </c>
      <c r="HJ9" s="27">
        <v>129.15889713368739</v>
      </c>
      <c r="HK9" s="27">
        <v>129.15889713368739</v>
      </c>
      <c r="HL9" s="27">
        <v>129.15889713368739</v>
      </c>
      <c r="HM9" s="27">
        <v>129.15889713368739</v>
      </c>
      <c r="HN9" s="27">
        <v>129.15889713368739</v>
      </c>
      <c r="HO9" s="27">
        <v>129.15889713368739</v>
      </c>
      <c r="HP9" s="27">
        <v>2.4</v>
      </c>
      <c r="HR9" s="27">
        <v>129.15889713368739</v>
      </c>
      <c r="HS9" s="27">
        <v>129.15889713368739</v>
      </c>
      <c r="HT9" s="27">
        <v>129.15889713368739</v>
      </c>
      <c r="HU9" s="27">
        <v>129.15889713368739</v>
      </c>
      <c r="HV9" s="27">
        <v>129.15889713368739</v>
      </c>
      <c r="HW9" s="27">
        <v>129.15889713368739</v>
      </c>
      <c r="HX9" s="27">
        <v>129.15889713368739</v>
      </c>
      <c r="HY9" s="27">
        <v>129.15889713368739</v>
      </c>
      <c r="HZ9" s="27">
        <v>129.15889713368739</v>
      </c>
      <c r="IA9" s="27">
        <v>2.4</v>
      </c>
    </row>
    <row r="10" spans="2:235">
      <c r="B10" s="514" t="s">
        <v>547</v>
      </c>
      <c r="C10" s="28" t="s">
        <v>547</v>
      </c>
      <c r="D10" s="28" t="s">
        <v>547</v>
      </c>
      <c r="E10" s="28" t="s">
        <v>547</v>
      </c>
      <c r="F10" s="28" t="s">
        <v>547</v>
      </c>
      <c r="G10" s="28" t="s">
        <v>547</v>
      </c>
      <c r="H10" s="28" t="s">
        <v>547</v>
      </c>
      <c r="I10" s="28" t="s">
        <v>547</v>
      </c>
      <c r="J10" s="28" t="s">
        <v>547</v>
      </c>
      <c r="K10" s="452" t="s">
        <v>547</v>
      </c>
      <c r="O10" s="87">
        <v>1120.7010706145425</v>
      </c>
      <c r="P10" s="87">
        <v>1120.7010706145425</v>
      </c>
      <c r="Q10" s="87">
        <v>1120.7010706145425</v>
      </c>
      <c r="R10" s="87">
        <v>1120.7010706145425</v>
      </c>
      <c r="S10" s="87">
        <v>1120.7010706145425</v>
      </c>
      <c r="T10" s="87">
        <v>1120.7010706145425</v>
      </c>
      <c r="U10" s="87">
        <v>1120.7010706145425</v>
      </c>
      <c r="V10" s="87">
        <v>1120.7010706145425</v>
      </c>
      <c r="W10" s="87">
        <v>1120.7010706145425</v>
      </c>
      <c r="X10" s="129">
        <v>0.500000000000001</v>
      </c>
      <c r="Z10" s="87">
        <v>1478.2537579780424</v>
      </c>
      <c r="AA10" s="87">
        <v>1478.2537579780424</v>
      </c>
      <c r="AB10" s="87">
        <v>1478.2537579780424</v>
      </c>
      <c r="AC10" s="87">
        <v>1478.2537579780424</v>
      </c>
      <c r="AD10" s="87">
        <v>1478.2537579780424</v>
      </c>
      <c r="AE10" s="87">
        <v>1478.2537579780424</v>
      </c>
      <c r="AF10" s="87">
        <v>1478.2537579780424</v>
      </c>
      <c r="AG10" s="87">
        <v>1478.2537579780424</v>
      </c>
      <c r="AH10" s="87">
        <v>1478.2537579780424</v>
      </c>
      <c r="AI10" s="129">
        <v>0.500000000000001</v>
      </c>
      <c r="AK10" s="87">
        <v>944.31267100900095</v>
      </c>
      <c r="AL10" s="87">
        <v>944.31267100900095</v>
      </c>
      <c r="AM10" s="87">
        <v>944.31267100900095</v>
      </c>
      <c r="AN10" s="87">
        <v>944.31267100900095</v>
      </c>
      <c r="AO10" s="87">
        <v>944.31267100900095</v>
      </c>
      <c r="AP10" s="87">
        <v>944.31267100900095</v>
      </c>
      <c r="AQ10" s="87">
        <v>944.31267100900095</v>
      </c>
      <c r="AR10" s="87">
        <v>944.31267100900095</v>
      </c>
      <c r="AS10" s="87">
        <v>944.31267100900095</v>
      </c>
      <c r="AT10" s="129">
        <v>0.500000000000001</v>
      </c>
      <c r="AV10" s="87">
        <v>1011.5058328778496</v>
      </c>
      <c r="AW10" s="87">
        <v>1011.5058328778496</v>
      </c>
      <c r="AX10" s="87">
        <v>1011.5058328778496</v>
      </c>
      <c r="AY10" s="87">
        <v>1011.5058328778496</v>
      </c>
      <c r="AZ10" s="87">
        <v>1011.5058328778496</v>
      </c>
      <c r="BA10" s="87">
        <v>1011.5058328778496</v>
      </c>
      <c r="BB10" s="87">
        <v>1011.5058328778496</v>
      </c>
      <c r="BC10" s="87">
        <v>1011.5058328778496</v>
      </c>
      <c r="BD10" s="87">
        <v>1011.5058328778496</v>
      </c>
      <c r="BE10" s="129">
        <v>0.500000000000001</v>
      </c>
      <c r="BG10" s="87">
        <v>254.85267857142884</v>
      </c>
      <c r="BH10" s="87">
        <v>254.85267857142884</v>
      </c>
      <c r="BI10" s="87">
        <v>254.85267857142884</v>
      </c>
      <c r="BJ10" s="87">
        <v>254.85267857142884</v>
      </c>
      <c r="BK10" s="87">
        <v>254.85267857142884</v>
      </c>
      <c r="BL10" s="87">
        <v>254.85267857142884</v>
      </c>
      <c r="BM10" s="87">
        <v>254.85267857142884</v>
      </c>
      <c r="BN10" s="87">
        <v>254.85267857142884</v>
      </c>
      <c r="BO10" s="87">
        <v>254.85267857142884</v>
      </c>
      <c r="BP10" s="129">
        <v>0.500000000000001</v>
      </c>
      <c r="BR10" s="87">
        <v>254.85267857142884</v>
      </c>
      <c r="BS10" s="87">
        <v>254.85267857142884</v>
      </c>
      <c r="BT10" s="87">
        <v>254.85267857142884</v>
      </c>
      <c r="BU10" s="87">
        <v>254.85267857142884</v>
      </c>
      <c r="BV10" s="87">
        <v>254.85267857142884</v>
      </c>
      <c r="BW10" s="87">
        <v>254.85267857142884</v>
      </c>
      <c r="BX10" s="87">
        <v>254.85267857142884</v>
      </c>
      <c r="BY10" s="87">
        <v>254.85267857142884</v>
      </c>
      <c r="BZ10" s="87">
        <v>254.85267857142884</v>
      </c>
      <c r="CA10" s="129">
        <v>0.500000000000001</v>
      </c>
      <c r="CC10" s="87">
        <v>367.00726261371022</v>
      </c>
      <c r="CD10" s="87">
        <v>367.00726261371022</v>
      </c>
      <c r="CE10" s="87">
        <v>367.00726261371022</v>
      </c>
      <c r="CF10" s="87">
        <v>367.00726261371022</v>
      </c>
      <c r="CG10" s="87">
        <v>367.00726261371022</v>
      </c>
      <c r="CH10" s="87">
        <v>367.00726261371022</v>
      </c>
      <c r="CI10" s="87">
        <v>367.00726261371022</v>
      </c>
      <c r="CJ10" s="87">
        <v>367.00726261371022</v>
      </c>
      <c r="CK10" s="87">
        <v>367.00726261371022</v>
      </c>
      <c r="CL10" s="129">
        <v>0.500000000000001</v>
      </c>
      <c r="CN10" s="87">
        <v>436.48906084403012</v>
      </c>
      <c r="CO10" s="87">
        <v>436.48906084403012</v>
      </c>
      <c r="CP10" s="87">
        <v>436.48906084403012</v>
      </c>
      <c r="CQ10" s="87">
        <v>436.48906084403012</v>
      </c>
      <c r="CR10" s="87">
        <v>436.48906084403012</v>
      </c>
      <c r="CS10" s="87">
        <v>436.48906084403012</v>
      </c>
      <c r="CT10" s="87">
        <v>436.48906084403012</v>
      </c>
      <c r="CU10" s="87">
        <v>436.48906084403012</v>
      </c>
      <c r="CV10" s="87">
        <v>436.48906084403012</v>
      </c>
      <c r="CW10" s="129">
        <v>0.500000000000001</v>
      </c>
      <c r="CY10" s="87">
        <v>630.66192450325093</v>
      </c>
      <c r="CZ10" s="87">
        <v>630.66192450325093</v>
      </c>
      <c r="DA10" s="87">
        <v>630.66192450325093</v>
      </c>
      <c r="DB10" s="87">
        <v>630.66192450325093</v>
      </c>
      <c r="DC10" s="87">
        <v>630.66192450325093</v>
      </c>
      <c r="DD10" s="87">
        <v>630.66192450325093</v>
      </c>
      <c r="DE10" s="87">
        <v>630.66192450325093</v>
      </c>
      <c r="DF10" s="87">
        <v>630.66192450325093</v>
      </c>
      <c r="DG10" s="87">
        <v>630.66192450325093</v>
      </c>
      <c r="DH10" s="129">
        <v>0.500000000000001</v>
      </c>
      <c r="DJ10" s="87">
        <v>630.66192450325093</v>
      </c>
      <c r="DK10" s="87">
        <v>630.66192450325093</v>
      </c>
      <c r="DL10" s="87">
        <v>630.66192450325093</v>
      </c>
      <c r="DM10" s="87">
        <v>630.66192450325093</v>
      </c>
      <c r="DN10" s="87">
        <v>630.66192450325093</v>
      </c>
      <c r="DO10" s="87">
        <v>630.66192450325093</v>
      </c>
      <c r="DP10" s="87">
        <v>630.66192450325093</v>
      </c>
      <c r="DQ10" s="87">
        <v>630.66192450325093</v>
      </c>
      <c r="DR10" s="87">
        <v>630.66192450325093</v>
      </c>
      <c r="DS10" s="129">
        <v>0.500000000000001</v>
      </c>
      <c r="DW10" s="27">
        <v>97.372111945938855</v>
      </c>
      <c r="DX10" s="27">
        <v>97.372111945938855</v>
      </c>
      <c r="DY10" s="27">
        <v>97.372111945938855</v>
      </c>
      <c r="DZ10" s="27">
        <v>97.372111945938855</v>
      </c>
      <c r="EA10" s="27">
        <v>97.372111945938855</v>
      </c>
      <c r="EB10" s="27">
        <v>97.372111945938855</v>
      </c>
      <c r="EC10" s="27">
        <v>97.372111945938855</v>
      </c>
      <c r="ED10" s="27">
        <v>97.372111945938855</v>
      </c>
      <c r="EE10" s="27">
        <v>97.372111945938855</v>
      </c>
      <c r="EF10" s="27">
        <v>2.5</v>
      </c>
      <c r="EH10" s="27">
        <v>171.32127628587867</v>
      </c>
      <c r="EI10" s="27">
        <v>171.32127628587867</v>
      </c>
      <c r="EJ10" s="27">
        <v>171.32127628587867</v>
      </c>
      <c r="EK10" s="27">
        <v>171.32127628587867</v>
      </c>
      <c r="EL10" s="27">
        <v>171.32127628587867</v>
      </c>
      <c r="EM10" s="27">
        <v>171.32127628587867</v>
      </c>
      <c r="EN10" s="27">
        <v>171.32127628587867</v>
      </c>
      <c r="EO10" s="27">
        <v>171.32127628587867</v>
      </c>
      <c r="EP10" s="27">
        <v>171.32127628587867</v>
      </c>
      <c r="EQ10" s="27">
        <v>2.5</v>
      </c>
      <c r="ES10" s="27">
        <v>192.61584642445351</v>
      </c>
      <c r="ET10" s="27">
        <v>192.61584642445351</v>
      </c>
      <c r="EU10" s="27">
        <v>192.61584642445351</v>
      </c>
      <c r="EV10" s="27">
        <v>192.61584642445351</v>
      </c>
      <c r="EW10" s="27">
        <v>192.61584642445351</v>
      </c>
      <c r="EX10" s="27">
        <v>192.61584642445351</v>
      </c>
      <c r="EY10" s="27">
        <v>192.61584642445351</v>
      </c>
      <c r="EZ10" s="27">
        <v>192.61584642445351</v>
      </c>
      <c r="FA10" s="27">
        <v>192.61584642445351</v>
      </c>
      <c r="FB10" s="27">
        <v>2.5</v>
      </c>
      <c r="FD10" s="27">
        <v>200.94964304973854</v>
      </c>
      <c r="FE10" s="27">
        <v>200.94964304973854</v>
      </c>
      <c r="FF10" s="27">
        <v>200.94964304973854</v>
      </c>
      <c r="FG10" s="27">
        <v>200.94964304973854</v>
      </c>
      <c r="FH10" s="27">
        <v>200.94964304973854</v>
      </c>
      <c r="FI10" s="27">
        <v>200.94964304973854</v>
      </c>
      <c r="FJ10" s="27">
        <v>200.94964304973854</v>
      </c>
      <c r="FK10" s="27">
        <v>200.94964304973854</v>
      </c>
      <c r="FL10" s="27">
        <v>200.94964304973854</v>
      </c>
      <c r="FM10" s="27">
        <v>2.5</v>
      </c>
      <c r="FO10" s="27">
        <v>318.43556543635367</v>
      </c>
      <c r="FP10" s="27">
        <v>318.43556543635367</v>
      </c>
      <c r="FQ10" s="27">
        <v>318.43556543635367</v>
      </c>
      <c r="FR10" s="27">
        <v>318.43556543635367</v>
      </c>
      <c r="FS10" s="27">
        <v>318.43556543635367</v>
      </c>
      <c r="FT10" s="27">
        <v>318.43556543635367</v>
      </c>
      <c r="FU10" s="27">
        <v>318.43556543635367</v>
      </c>
      <c r="FV10" s="27">
        <v>318.43556543635367</v>
      </c>
      <c r="FW10" s="27">
        <v>318.43556543635367</v>
      </c>
      <c r="FX10" s="27">
        <v>2.5</v>
      </c>
      <c r="FZ10" s="27">
        <v>318.43556543635367</v>
      </c>
      <c r="GA10" s="27">
        <v>318.43556543635367</v>
      </c>
      <c r="GB10" s="27">
        <v>318.43556543635367</v>
      </c>
      <c r="GC10" s="27">
        <v>318.43556543635367</v>
      </c>
      <c r="GD10" s="27">
        <v>318.43556543635367</v>
      </c>
      <c r="GE10" s="27">
        <v>318.43556543635367</v>
      </c>
      <c r="GF10" s="27">
        <v>318.43556543635367</v>
      </c>
      <c r="GG10" s="27">
        <v>318.43556543635367</v>
      </c>
      <c r="GH10" s="27">
        <v>318.43556543635367</v>
      </c>
      <c r="GI10" s="27">
        <v>2.5</v>
      </c>
      <c r="GJ10" s="27"/>
      <c r="GK10" s="27">
        <v>76.219307572985386</v>
      </c>
      <c r="GL10" s="27">
        <v>76.219307572985386</v>
      </c>
      <c r="GM10" s="27">
        <v>76.219307572985386</v>
      </c>
      <c r="GN10" s="27">
        <v>76.219307572985386</v>
      </c>
      <c r="GO10" s="27">
        <v>76.219307572985386</v>
      </c>
      <c r="GP10" s="27">
        <v>76.219307572985386</v>
      </c>
      <c r="GQ10" s="27">
        <v>76.219307572985386</v>
      </c>
      <c r="GR10" s="27">
        <v>76.219307572985386</v>
      </c>
      <c r="GS10" s="27">
        <v>76.219307572985386</v>
      </c>
      <c r="GT10" s="27">
        <v>2.5</v>
      </c>
      <c r="GV10" s="27">
        <v>89.891538354444847</v>
      </c>
      <c r="GW10" s="27">
        <v>89.891538354444847</v>
      </c>
      <c r="GX10" s="27">
        <v>89.891538354444847</v>
      </c>
      <c r="GY10" s="27">
        <v>89.891538354444847</v>
      </c>
      <c r="GZ10" s="27">
        <v>89.891538354444847</v>
      </c>
      <c r="HA10" s="27">
        <v>89.891538354444847</v>
      </c>
      <c r="HB10" s="27">
        <v>89.891538354444847</v>
      </c>
      <c r="HC10" s="27">
        <v>89.891538354444847</v>
      </c>
      <c r="HD10" s="27">
        <v>89.891538354444847</v>
      </c>
      <c r="HE10" s="27">
        <v>2.5</v>
      </c>
      <c r="HG10" s="27">
        <v>123.99967252761812</v>
      </c>
      <c r="HH10" s="27">
        <v>123.99967252761812</v>
      </c>
      <c r="HI10" s="27">
        <v>123.99967252761812</v>
      </c>
      <c r="HJ10" s="27">
        <v>123.99967252761812</v>
      </c>
      <c r="HK10" s="27">
        <v>123.99967252761812</v>
      </c>
      <c r="HL10" s="27">
        <v>123.99967252761812</v>
      </c>
      <c r="HM10" s="27">
        <v>123.99967252761812</v>
      </c>
      <c r="HN10" s="27">
        <v>123.99967252761812</v>
      </c>
      <c r="HO10" s="27">
        <v>123.99967252761812</v>
      </c>
      <c r="HP10" s="27">
        <v>2.5</v>
      </c>
      <c r="HR10" s="27">
        <v>123.99967252761812</v>
      </c>
      <c r="HS10" s="27">
        <v>123.99967252761812</v>
      </c>
      <c r="HT10" s="27">
        <v>123.99967252761812</v>
      </c>
      <c r="HU10" s="27">
        <v>123.99967252761812</v>
      </c>
      <c r="HV10" s="27">
        <v>123.99967252761812</v>
      </c>
      <c r="HW10" s="27">
        <v>123.99967252761812</v>
      </c>
      <c r="HX10" s="27">
        <v>123.99967252761812</v>
      </c>
      <c r="HY10" s="27">
        <v>123.99967252761812</v>
      </c>
      <c r="HZ10" s="27">
        <v>123.99967252761812</v>
      </c>
      <c r="IA10" s="27">
        <v>2.5</v>
      </c>
    </row>
    <row r="11" spans="2:235">
      <c r="B11" s="514" t="s">
        <v>548</v>
      </c>
      <c r="C11" s="28" t="s">
        <v>548</v>
      </c>
      <c r="D11" s="28" t="s">
        <v>548</v>
      </c>
      <c r="E11" s="28" t="s">
        <v>548</v>
      </c>
      <c r="F11" s="28" t="s">
        <v>548</v>
      </c>
      <c r="G11" s="28" t="s">
        <v>548</v>
      </c>
      <c r="H11" s="28" t="s">
        <v>548</v>
      </c>
      <c r="I11" s="28" t="s">
        <v>548</v>
      </c>
      <c r="J11" s="28" t="s">
        <v>548</v>
      </c>
      <c r="K11" s="452" t="s">
        <v>548</v>
      </c>
      <c r="O11" s="87">
        <v>879.98934157506744</v>
      </c>
      <c r="P11" s="87">
        <v>879.98934157506744</v>
      </c>
      <c r="Q11" s="87">
        <v>879.98934157506744</v>
      </c>
      <c r="R11" s="87">
        <v>879.98934157506744</v>
      </c>
      <c r="S11" s="87">
        <v>879.98934157506744</v>
      </c>
      <c r="T11" s="87">
        <v>879.98934157506744</v>
      </c>
      <c r="U11" s="87">
        <v>879.98934157506744</v>
      </c>
      <c r="V11" s="87">
        <v>879.98934157506744</v>
      </c>
      <c r="W11" s="87">
        <v>879.98934157506744</v>
      </c>
      <c r="X11" s="129">
        <v>0.60000000000000098</v>
      </c>
      <c r="Z11" s="87">
        <v>1181.8103089884482</v>
      </c>
      <c r="AA11" s="87">
        <v>1181.8103089884482</v>
      </c>
      <c r="AB11" s="87">
        <v>1181.8103089884482</v>
      </c>
      <c r="AC11" s="87">
        <v>1181.8103089884482</v>
      </c>
      <c r="AD11" s="87">
        <v>1181.8103089884482</v>
      </c>
      <c r="AE11" s="87">
        <v>1181.8103089884482</v>
      </c>
      <c r="AF11" s="87">
        <v>1181.8103089884482</v>
      </c>
      <c r="AG11" s="87">
        <v>1181.8103089884482</v>
      </c>
      <c r="AH11" s="87">
        <v>1181.8103089884482</v>
      </c>
      <c r="AI11" s="129">
        <v>0.60000000000000098</v>
      </c>
      <c r="AK11" s="87">
        <v>788.65079618026425</v>
      </c>
      <c r="AL11" s="87">
        <v>788.65079618026425</v>
      </c>
      <c r="AM11" s="87">
        <v>788.65079618026425</v>
      </c>
      <c r="AN11" s="87">
        <v>788.65079618026425</v>
      </c>
      <c r="AO11" s="87">
        <v>788.65079618026425</v>
      </c>
      <c r="AP11" s="87">
        <v>788.65079618026425</v>
      </c>
      <c r="AQ11" s="87">
        <v>788.65079618026425</v>
      </c>
      <c r="AR11" s="87">
        <v>788.65079618026425</v>
      </c>
      <c r="AS11" s="87">
        <v>788.65079618026425</v>
      </c>
      <c r="AT11" s="129">
        <v>0.60000000000000098</v>
      </c>
      <c r="AV11" s="87">
        <v>842.97615514817915</v>
      </c>
      <c r="AW11" s="87">
        <v>842.97615514817915</v>
      </c>
      <c r="AX11" s="87">
        <v>842.97615514817915</v>
      </c>
      <c r="AY11" s="87">
        <v>842.97615514817915</v>
      </c>
      <c r="AZ11" s="87">
        <v>842.97615514817915</v>
      </c>
      <c r="BA11" s="87">
        <v>842.97615514817915</v>
      </c>
      <c r="BB11" s="87">
        <v>842.97615514817915</v>
      </c>
      <c r="BC11" s="87">
        <v>842.97615514817915</v>
      </c>
      <c r="BD11" s="87">
        <v>842.97615514817915</v>
      </c>
      <c r="BE11" s="129">
        <v>0.60000000000000098</v>
      </c>
      <c r="BG11" s="87">
        <v>252.01785714285742</v>
      </c>
      <c r="BH11" s="87">
        <v>252.01785714285742</v>
      </c>
      <c r="BI11" s="87">
        <v>252.01785714285742</v>
      </c>
      <c r="BJ11" s="87">
        <v>252.01785714285742</v>
      </c>
      <c r="BK11" s="87">
        <v>252.01785714285742</v>
      </c>
      <c r="BL11" s="87">
        <v>252.01785714285742</v>
      </c>
      <c r="BM11" s="87">
        <v>252.01785714285742</v>
      </c>
      <c r="BN11" s="87">
        <v>252.01785714285742</v>
      </c>
      <c r="BO11" s="87">
        <v>252.01785714285742</v>
      </c>
      <c r="BP11" s="129">
        <v>0.60000000000000098</v>
      </c>
      <c r="BR11" s="87">
        <v>252.01785714285742</v>
      </c>
      <c r="BS11" s="87">
        <v>252.01785714285742</v>
      </c>
      <c r="BT11" s="87">
        <v>252.01785714285742</v>
      </c>
      <c r="BU11" s="87">
        <v>252.01785714285742</v>
      </c>
      <c r="BV11" s="87">
        <v>252.01785714285742</v>
      </c>
      <c r="BW11" s="87">
        <v>252.01785714285742</v>
      </c>
      <c r="BX11" s="87">
        <v>252.01785714285742</v>
      </c>
      <c r="BY11" s="87">
        <v>252.01785714285742</v>
      </c>
      <c r="BZ11" s="87">
        <v>252.01785714285742</v>
      </c>
      <c r="CA11" s="129">
        <v>0.60000000000000098</v>
      </c>
      <c r="CC11" s="87">
        <v>306.39750527209253</v>
      </c>
      <c r="CD11" s="87">
        <v>306.39750527209253</v>
      </c>
      <c r="CE11" s="87">
        <v>306.39750527209253</v>
      </c>
      <c r="CF11" s="87">
        <v>306.39750527209253</v>
      </c>
      <c r="CG11" s="87">
        <v>306.39750527209253</v>
      </c>
      <c r="CH11" s="87">
        <v>306.39750527209253</v>
      </c>
      <c r="CI11" s="87">
        <v>306.39750527209253</v>
      </c>
      <c r="CJ11" s="87">
        <v>306.39750527209253</v>
      </c>
      <c r="CK11" s="87">
        <v>306.39750527209253</v>
      </c>
      <c r="CL11" s="129">
        <v>0.60000000000000098</v>
      </c>
      <c r="CN11" s="87">
        <v>364.60403800305988</v>
      </c>
      <c r="CO11" s="87">
        <v>364.60403800305988</v>
      </c>
      <c r="CP11" s="87">
        <v>364.60403800305988</v>
      </c>
      <c r="CQ11" s="87">
        <v>364.60403800305988</v>
      </c>
      <c r="CR11" s="87">
        <v>364.60403800305988</v>
      </c>
      <c r="CS11" s="87">
        <v>364.60403800305988</v>
      </c>
      <c r="CT11" s="87">
        <v>364.60403800305988</v>
      </c>
      <c r="CU11" s="87">
        <v>364.60403800305988</v>
      </c>
      <c r="CV11" s="87">
        <v>364.60403800305988</v>
      </c>
      <c r="CW11" s="129">
        <v>0.60000000000000098</v>
      </c>
      <c r="CY11" s="87">
        <v>525.07272512775523</v>
      </c>
      <c r="CZ11" s="87">
        <v>525.07272512775523</v>
      </c>
      <c r="DA11" s="87">
        <v>525.07272512775523</v>
      </c>
      <c r="DB11" s="87">
        <v>525.07272512775523</v>
      </c>
      <c r="DC11" s="87">
        <v>525.07272512775523</v>
      </c>
      <c r="DD11" s="87">
        <v>525.07272512775523</v>
      </c>
      <c r="DE11" s="87">
        <v>525.07272512775523</v>
      </c>
      <c r="DF11" s="87">
        <v>525.07272512775523</v>
      </c>
      <c r="DG11" s="87">
        <v>525.07272512775523</v>
      </c>
      <c r="DH11" s="129">
        <v>0.60000000000000098</v>
      </c>
      <c r="DJ11" s="87">
        <v>525.07272512775523</v>
      </c>
      <c r="DK11" s="87">
        <v>525.07272512775523</v>
      </c>
      <c r="DL11" s="87">
        <v>525.07272512775523</v>
      </c>
      <c r="DM11" s="87">
        <v>525.07272512775523</v>
      </c>
      <c r="DN11" s="87">
        <v>525.07272512775523</v>
      </c>
      <c r="DO11" s="87">
        <v>525.07272512775523</v>
      </c>
      <c r="DP11" s="87">
        <v>525.07272512775523</v>
      </c>
      <c r="DQ11" s="87">
        <v>525.07272512775523</v>
      </c>
      <c r="DR11" s="87">
        <v>525.07272512775523</v>
      </c>
      <c r="DS11" s="129">
        <v>0.60000000000000098</v>
      </c>
      <c r="DW11" s="27">
        <v>93.602791423936097</v>
      </c>
      <c r="DX11" s="27">
        <v>93.602791423936097</v>
      </c>
      <c r="DY11" s="27">
        <v>93.602791423936097</v>
      </c>
      <c r="DZ11" s="27">
        <v>93.602791423936097</v>
      </c>
      <c r="EA11" s="27">
        <v>93.602791423936097</v>
      </c>
      <c r="EB11" s="27">
        <v>93.602791423936097</v>
      </c>
      <c r="EC11" s="27">
        <v>93.602791423936097</v>
      </c>
      <c r="ED11" s="27">
        <v>93.602791423936097</v>
      </c>
      <c r="EE11" s="27">
        <v>93.602791423936097</v>
      </c>
      <c r="EF11" s="27">
        <v>2.6</v>
      </c>
      <c r="EH11" s="27">
        <v>164.45566749166863</v>
      </c>
      <c r="EI11" s="27">
        <v>164.45566749166863</v>
      </c>
      <c r="EJ11" s="27">
        <v>164.45566749166863</v>
      </c>
      <c r="EK11" s="27">
        <v>164.45566749166863</v>
      </c>
      <c r="EL11" s="27">
        <v>164.45566749166863</v>
      </c>
      <c r="EM11" s="27">
        <v>164.45566749166863</v>
      </c>
      <c r="EN11" s="27">
        <v>164.45566749166863</v>
      </c>
      <c r="EO11" s="27">
        <v>164.45566749166863</v>
      </c>
      <c r="EP11" s="27">
        <v>164.45566749166863</v>
      </c>
      <c r="EQ11" s="27">
        <v>2.6</v>
      </c>
      <c r="ES11" s="27">
        <v>185.29168999349773</v>
      </c>
      <c r="ET11" s="27">
        <v>185.29168999349773</v>
      </c>
      <c r="EU11" s="27">
        <v>185.29168999349773</v>
      </c>
      <c r="EV11" s="27">
        <v>185.29168999349773</v>
      </c>
      <c r="EW11" s="27">
        <v>185.29168999349773</v>
      </c>
      <c r="EX11" s="27">
        <v>185.29168999349773</v>
      </c>
      <c r="EY11" s="27">
        <v>185.29168999349773</v>
      </c>
      <c r="EZ11" s="27">
        <v>185.29168999349773</v>
      </c>
      <c r="FA11" s="27">
        <v>185.29168999349773</v>
      </c>
      <c r="FB11" s="27">
        <v>2.6</v>
      </c>
      <c r="FD11" s="27">
        <v>193.26822959103956</v>
      </c>
      <c r="FE11" s="27">
        <v>193.26822959103956</v>
      </c>
      <c r="FF11" s="27">
        <v>193.26822959103956</v>
      </c>
      <c r="FG11" s="27">
        <v>193.26822959103956</v>
      </c>
      <c r="FH11" s="27">
        <v>193.26822959103956</v>
      </c>
      <c r="FI11" s="27">
        <v>193.26822959103956</v>
      </c>
      <c r="FJ11" s="27">
        <v>193.26822959103956</v>
      </c>
      <c r="FK11" s="27">
        <v>193.26822959103956</v>
      </c>
      <c r="FL11" s="27">
        <v>193.26822959103956</v>
      </c>
      <c r="FM11" s="27">
        <v>2.6</v>
      </c>
      <c r="FO11" s="27">
        <v>306.11729048961206</v>
      </c>
      <c r="FP11" s="27">
        <v>306.11729048961206</v>
      </c>
      <c r="FQ11" s="27">
        <v>306.11729048961206</v>
      </c>
      <c r="FR11" s="27">
        <v>306.11729048961206</v>
      </c>
      <c r="FS11" s="27">
        <v>306.11729048961206</v>
      </c>
      <c r="FT11" s="27">
        <v>306.11729048961206</v>
      </c>
      <c r="FU11" s="27">
        <v>306.11729048961206</v>
      </c>
      <c r="FV11" s="27">
        <v>306.11729048961206</v>
      </c>
      <c r="FW11" s="27">
        <v>306.11729048961206</v>
      </c>
      <c r="FX11" s="27">
        <v>2.6</v>
      </c>
      <c r="FZ11" s="27">
        <v>306.11729048961206</v>
      </c>
      <c r="GA11" s="27">
        <v>306.11729048961206</v>
      </c>
      <c r="GB11" s="27">
        <v>306.11729048961206</v>
      </c>
      <c r="GC11" s="27">
        <v>306.11729048961206</v>
      </c>
      <c r="GD11" s="27">
        <v>306.11729048961206</v>
      </c>
      <c r="GE11" s="27">
        <v>306.11729048961206</v>
      </c>
      <c r="GF11" s="27">
        <v>306.11729048961206</v>
      </c>
      <c r="GG11" s="27">
        <v>306.11729048961206</v>
      </c>
      <c r="GH11" s="27">
        <v>306.11729048961206</v>
      </c>
      <c r="GI11" s="27">
        <v>2.6</v>
      </c>
      <c r="GJ11" s="27"/>
      <c r="GK11" s="27">
        <v>73.265393444214808</v>
      </c>
      <c r="GL11" s="27">
        <v>73.265393444214808</v>
      </c>
      <c r="GM11" s="27">
        <v>73.265393444214808</v>
      </c>
      <c r="GN11" s="27">
        <v>73.265393444214808</v>
      </c>
      <c r="GO11" s="27">
        <v>73.265393444214808</v>
      </c>
      <c r="GP11" s="27">
        <v>73.265393444214808</v>
      </c>
      <c r="GQ11" s="27">
        <v>73.265393444214808</v>
      </c>
      <c r="GR11" s="27">
        <v>73.265393444214808</v>
      </c>
      <c r="GS11" s="27">
        <v>73.265393444214808</v>
      </c>
      <c r="GT11" s="27">
        <v>2.6</v>
      </c>
      <c r="GV11" s="27">
        <v>86.445386331234857</v>
      </c>
      <c r="GW11" s="27">
        <v>86.445386331234857</v>
      </c>
      <c r="GX11" s="27">
        <v>86.445386331234857</v>
      </c>
      <c r="GY11" s="27">
        <v>86.445386331234857</v>
      </c>
      <c r="GZ11" s="27">
        <v>86.445386331234857</v>
      </c>
      <c r="HA11" s="27">
        <v>86.445386331234857</v>
      </c>
      <c r="HB11" s="27">
        <v>86.445386331234857</v>
      </c>
      <c r="HC11" s="27">
        <v>86.445386331234857</v>
      </c>
      <c r="HD11" s="27">
        <v>86.445386331234857</v>
      </c>
      <c r="HE11" s="27">
        <v>2.6</v>
      </c>
      <c r="HG11" s="27">
        <v>119.2370427519687</v>
      </c>
      <c r="HH11" s="27">
        <v>119.2370427519687</v>
      </c>
      <c r="HI11" s="27">
        <v>119.2370427519687</v>
      </c>
      <c r="HJ11" s="27">
        <v>119.2370427519687</v>
      </c>
      <c r="HK11" s="27">
        <v>119.2370427519687</v>
      </c>
      <c r="HL11" s="27">
        <v>119.2370427519687</v>
      </c>
      <c r="HM11" s="27">
        <v>119.2370427519687</v>
      </c>
      <c r="HN11" s="27">
        <v>119.2370427519687</v>
      </c>
      <c r="HO11" s="27">
        <v>119.2370427519687</v>
      </c>
      <c r="HP11" s="27">
        <v>2.6</v>
      </c>
      <c r="HR11" s="27">
        <v>119.2370427519687</v>
      </c>
      <c r="HS11" s="27">
        <v>119.2370427519687</v>
      </c>
      <c r="HT11" s="27">
        <v>119.2370427519687</v>
      </c>
      <c r="HU11" s="27">
        <v>119.2370427519687</v>
      </c>
      <c r="HV11" s="27">
        <v>119.2370427519687</v>
      </c>
      <c r="HW11" s="27">
        <v>119.2370427519687</v>
      </c>
      <c r="HX11" s="27">
        <v>119.2370427519687</v>
      </c>
      <c r="HY11" s="27">
        <v>119.2370427519687</v>
      </c>
      <c r="HZ11" s="27">
        <v>119.2370427519687</v>
      </c>
      <c r="IA11" s="27">
        <v>2.6</v>
      </c>
    </row>
    <row r="12" spans="2:235">
      <c r="B12" s="514" t="s">
        <v>549</v>
      </c>
      <c r="C12" s="28" t="s">
        <v>549</v>
      </c>
      <c r="D12" s="28" t="s">
        <v>549</v>
      </c>
      <c r="E12" s="28" t="s">
        <v>549</v>
      </c>
      <c r="F12" s="28" t="s">
        <v>549</v>
      </c>
      <c r="G12" s="28" t="s">
        <v>549</v>
      </c>
      <c r="H12" s="28" t="s">
        <v>549</v>
      </c>
      <c r="I12" s="28" t="s">
        <v>549</v>
      </c>
      <c r="J12" s="28" t="s">
        <v>549</v>
      </c>
      <c r="K12" s="452" t="s">
        <v>549</v>
      </c>
      <c r="O12" s="87">
        <v>717.28329111464973</v>
      </c>
      <c r="P12" s="87">
        <v>717.28329111464973</v>
      </c>
      <c r="Q12" s="87">
        <v>717.28329111464973</v>
      </c>
      <c r="R12" s="87">
        <v>717.28329111464973</v>
      </c>
      <c r="S12" s="87">
        <v>717.28329111464973</v>
      </c>
      <c r="T12" s="87">
        <v>717.28329111464973</v>
      </c>
      <c r="U12" s="87">
        <v>717.28329111464973</v>
      </c>
      <c r="V12" s="87">
        <v>717.28329111464973</v>
      </c>
      <c r="W12" s="87">
        <v>717.28329111464973</v>
      </c>
      <c r="X12" s="129">
        <v>0.70000000000000095</v>
      </c>
      <c r="Z12" s="87">
        <v>978.05958935792262</v>
      </c>
      <c r="AA12" s="87">
        <v>978.05958935792262</v>
      </c>
      <c r="AB12" s="87">
        <v>978.05958935792262</v>
      </c>
      <c r="AC12" s="87">
        <v>978.05958935792262</v>
      </c>
      <c r="AD12" s="87">
        <v>978.05958935792262</v>
      </c>
      <c r="AE12" s="87">
        <v>978.05958935792262</v>
      </c>
      <c r="AF12" s="87">
        <v>978.05958935792262</v>
      </c>
      <c r="AG12" s="87">
        <v>978.05958935792262</v>
      </c>
      <c r="AH12" s="87">
        <v>978.05958935792262</v>
      </c>
      <c r="AI12" s="129">
        <v>0.70000000000000095</v>
      </c>
      <c r="AK12" s="87">
        <v>677.23799913253015</v>
      </c>
      <c r="AL12" s="87">
        <v>677.23799913253015</v>
      </c>
      <c r="AM12" s="87">
        <v>677.23799913253015</v>
      </c>
      <c r="AN12" s="87">
        <v>677.23799913253015</v>
      </c>
      <c r="AO12" s="87">
        <v>677.23799913253015</v>
      </c>
      <c r="AP12" s="87">
        <v>677.23799913253015</v>
      </c>
      <c r="AQ12" s="87">
        <v>677.23799913253015</v>
      </c>
      <c r="AR12" s="87">
        <v>677.23799913253015</v>
      </c>
      <c r="AS12" s="87">
        <v>677.23799913253015</v>
      </c>
      <c r="AT12" s="129">
        <v>0.70000000000000095</v>
      </c>
      <c r="AV12" s="87">
        <v>722.59058144116625</v>
      </c>
      <c r="AW12" s="87">
        <v>722.59058144116625</v>
      </c>
      <c r="AX12" s="87">
        <v>722.59058144116625</v>
      </c>
      <c r="AY12" s="87">
        <v>722.59058144116625</v>
      </c>
      <c r="AZ12" s="87">
        <v>722.59058144116625</v>
      </c>
      <c r="BA12" s="87">
        <v>722.59058144116625</v>
      </c>
      <c r="BB12" s="87">
        <v>722.59058144116625</v>
      </c>
      <c r="BC12" s="87">
        <v>722.59058144116625</v>
      </c>
      <c r="BD12" s="87">
        <v>722.59058144116625</v>
      </c>
      <c r="BE12" s="129">
        <v>0.70000000000000095</v>
      </c>
      <c r="BG12" s="87">
        <v>249.20386904761932</v>
      </c>
      <c r="BH12" s="87">
        <v>249.20386904761932</v>
      </c>
      <c r="BI12" s="87">
        <v>249.20386904761932</v>
      </c>
      <c r="BJ12" s="87">
        <v>249.20386904761932</v>
      </c>
      <c r="BK12" s="87">
        <v>249.20386904761932</v>
      </c>
      <c r="BL12" s="87">
        <v>249.20386904761932</v>
      </c>
      <c r="BM12" s="87">
        <v>249.20386904761932</v>
      </c>
      <c r="BN12" s="87">
        <v>249.20386904761932</v>
      </c>
      <c r="BO12" s="87">
        <v>249.20386904761932</v>
      </c>
      <c r="BP12" s="129">
        <v>0.70000000000000095</v>
      </c>
      <c r="BR12" s="87">
        <v>249.20386904761932</v>
      </c>
      <c r="BS12" s="87">
        <v>249.20386904761932</v>
      </c>
      <c r="BT12" s="87">
        <v>249.20386904761932</v>
      </c>
      <c r="BU12" s="87">
        <v>249.20386904761932</v>
      </c>
      <c r="BV12" s="87">
        <v>249.20386904761932</v>
      </c>
      <c r="BW12" s="87">
        <v>249.20386904761932</v>
      </c>
      <c r="BX12" s="87">
        <v>249.20386904761932</v>
      </c>
      <c r="BY12" s="87">
        <v>249.20386904761932</v>
      </c>
      <c r="BZ12" s="87">
        <v>249.20386904761932</v>
      </c>
      <c r="CA12" s="129">
        <v>0.70000000000000095</v>
      </c>
      <c r="CC12" s="87">
        <v>263.031585714914</v>
      </c>
      <c r="CD12" s="87">
        <v>263.031585714914</v>
      </c>
      <c r="CE12" s="87">
        <v>263.031585714914</v>
      </c>
      <c r="CF12" s="87">
        <v>263.031585714914</v>
      </c>
      <c r="CG12" s="87">
        <v>263.031585714914</v>
      </c>
      <c r="CH12" s="87">
        <v>263.031585714914</v>
      </c>
      <c r="CI12" s="87">
        <v>263.031585714914</v>
      </c>
      <c r="CJ12" s="87">
        <v>263.031585714914</v>
      </c>
      <c r="CK12" s="87">
        <v>263.031585714914</v>
      </c>
      <c r="CL12" s="129">
        <v>0.70000000000000095</v>
      </c>
      <c r="CN12" s="87">
        <v>313.14464749227693</v>
      </c>
      <c r="CO12" s="87">
        <v>313.14464749227693</v>
      </c>
      <c r="CP12" s="87">
        <v>313.14464749227693</v>
      </c>
      <c r="CQ12" s="87">
        <v>313.14464749227693</v>
      </c>
      <c r="CR12" s="87">
        <v>313.14464749227693</v>
      </c>
      <c r="CS12" s="87">
        <v>313.14464749227693</v>
      </c>
      <c r="CT12" s="87">
        <v>313.14464749227693</v>
      </c>
      <c r="CU12" s="87">
        <v>313.14464749227693</v>
      </c>
      <c r="CV12" s="87">
        <v>313.14464749227693</v>
      </c>
      <c r="CW12" s="129">
        <v>0.70000000000000095</v>
      </c>
      <c r="CY12" s="87">
        <v>449.71558239648829</v>
      </c>
      <c r="CZ12" s="87">
        <v>449.71558239648829</v>
      </c>
      <c r="DA12" s="87">
        <v>449.71558239648829</v>
      </c>
      <c r="DB12" s="87">
        <v>449.71558239648829</v>
      </c>
      <c r="DC12" s="87">
        <v>449.71558239648829</v>
      </c>
      <c r="DD12" s="87">
        <v>449.71558239648829</v>
      </c>
      <c r="DE12" s="87">
        <v>449.71558239648829</v>
      </c>
      <c r="DF12" s="87">
        <v>449.71558239648829</v>
      </c>
      <c r="DG12" s="87">
        <v>449.71558239648829</v>
      </c>
      <c r="DH12" s="129">
        <v>0.70000000000000095</v>
      </c>
      <c r="DJ12" s="87">
        <v>449.71558239648829</v>
      </c>
      <c r="DK12" s="87">
        <v>449.71558239648829</v>
      </c>
      <c r="DL12" s="87">
        <v>449.71558239648829</v>
      </c>
      <c r="DM12" s="87">
        <v>449.71558239648829</v>
      </c>
      <c r="DN12" s="87">
        <v>449.71558239648829</v>
      </c>
      <c r="DO12" s="87">
        <v>449.71558239648829</v>
      </c>
      <c r="DP12" s="87">
        <v>449.71558239648829</v>
      </c>
      <c r="DQ12" s="87">
        <v>449.71558239648829</v>
      </c>
      <c r="DR12" s="87">
        <v>449.71558239648829</v>
      </c>
      <c r="DS12" s="129">
        <v>0.70000000000000095</v>
      </c>
      <c r="DW12" s="27">
        <v>90.113566560722205</v>
      </c>
      <c r="DX12" s="27">
        <v>90.113566560722205</v>
      </c>
      <c r="DY12" s="27">
        <v>90.113566560722205</v>
      </c>
      <c r="DZ12" s="27">
        <v>90.113566560722205</v>
      </c>
      <c r="EA12" s="27">
        <v>90.113566560722205</v>
      </c>
      <c r="EB12" s="27">
        <v>90.113566560722205</v>
      </c>
      <c r="EC12" s="27">
        <v>90.113566560722205</v>
      </c>
      <c r="ED12" s="27">
        <v>90.113566560722205</v>
      </c>
      <c r="EE12" s="27">
        <v>90.113566560722205</v>
      </c>
      <c r="EF12" s="27">
        <v>2.7</v>
      </c>
      <c r="EH12" s="27">
        <v>158.10908745975647</v>
      </c>
      <c r="EI12" s="27">
        <v>158.10908745975647</v>
      </c>
      <c r="EJ12" s="27">
        <v>158.10908745975647</v>
      </c>
      <c r="EK12" s="27">
        <v>158.10908745975647</v>
      </c>
      <c r="EL12" s="27">
        <v>158.10908745975647</v>
      </c>
      <c r="EM12" s="27">
        <v>158.10908745975647</v>
      </c>
      <c r="EN12" s="27">
        <v>158.10908745975647</v>
      </c>
      <c r="EO12" s="27">
        <v>158.10908745975647</v>
      </c>
      <c r="EP12" s="27">
        <v>158.10908745975647</v>
      </c>
      <c r="EQ12" s="27">
        <v>2.7</v>
      </c>
      <c r="ES12" s="27">
        <v>178.50703999112142</v>
      </c>
      <c r="ET12" s="27">
        <v>178.50703999112142</v>
      </c>
      <c r="EU12" s="27">
        <v>178.50703999112142</v>
      </c>
      <c r="EV12" s="27">
        <v>178.50703999112142</v>
      </c>
      <c r="EW12" s="27">
        <v>178.50703999112142</v>
      </c>
      <c r="EX12" s="27">
        <v>178.50703999112142</v>
      </c>
      <c r="EY12" s="27">
        <v>178.50703999112142</v>
      </c>
      <c r="EZ12" s="27">
        <v>178.50703999112142</v>
      </c>
      <c r="FA12" s="27">
        <v>178.50703999112142</v>
      </c>
      <c r="FB12" s="27">
        <v>2.7</v>
      </c>
      <c r="FD12" s="27">
        <v>186.15409676342296</v>
      </c>
      <c r="FE12" s="27">
        <v>186.15409676342296</v>
      </c>
      <c r="FF12" s="27">
        <v>186.15409676342296</v>
      </c>
      <c r="FG12" s="27">
        <v>186.15409676342296</v>
      </c>
      <c r="FH12" s="27">
        <v>186.15409676342296</v>
      </c>
      <c r="FI12" s="27">
        <v>186.15409676342296</v>
      </c>
      <c r="FJ12" s="27">
        <v>186.15409676342296</v>
      </c>
      <c r="FK12" s="27">
        <v>186.15409676342296</v>
      </c>
      <c r="FL12" s="27">
        <v>186.15409676342296</v>
      </c>
      <c r="FM12" s="27">
        <v>2.7</v>
      </c>
      <c r="FO12" s="27">
        <v>294.71406688558613</v>
      </c>
      <c r="FP12" s="27">
        <v>294.71406688558613</v>
      </c>
      <c r="FQ12" s="27">
        <v>294.71406688558613</v>
      </c>
      <c r="FR12" s="27">
        <v>294.71406688558613</v>
      </c>
      <c r="FS12" s="27">
        <v>294.71406688558613</v>
      </c>
      <c r="FT12" s="27">
        <v>294.71406688558613</v>
      </c>
      <c r="FU12" s="27">
        <v>294.71406688558613</v>
      </c>
      <c r="FV12" s="27">
        <v>294.71406688558613</v>
      </c>
      <c r="FW12" s="27">
        <v>294.71406688558613</v>
      </c>
      <c r="FX12" s="27">
        <v>2.7</v>
      </c>
      <c r="FZ12" s="27">
        <v>294.71406688558613</v>
      </c>
      <c r="GA12" s="27">
        <v>294.71406688558613</v>
      </c>
      <c r="GB12" s="27">
        <v>294.71406688558613</v>
      </c>
      <c r="GC12" s="27">
        <v>294.71406688558613</v>
      </c>
      <c r="GD12" s="27">
        <v>294.71406688558613</v>
      </c>
      <c r="GE12" s="27">
        <v>294.71406688558613</v>
      </c>
      <c r="GF12" s="27">
        <v>294.71406688558613</v>
      </c>
      <c r="GG12" s="27">
        <v>294.71406688558613</v>
      </c>
      <c r="GH12" s="27">
        <v>294.71406688558613</v>
      </c>
      <c r="GI12" s="27">
        <v>2.7</v>
      </c>
      <c r="GJ12" s="27"/>
      <c r="GK12" s="27">
        <v>70.531108251852487</v>
      </c>
      <c r="GL12" s="27">
        <v>70.531108251852487</v>
      </c>
      <c r="GM12" s="27">
        <v>70.531108251852487</v>
      </c>
      <c r="GN12" s="27">
        <v>70.531108251852487</v>
      </c>
      <c r="GO12" s="27">
        <v>70.531108251852487</v>
      </c>
      <c r="GP12" s="27">
        <v>70.531108251852487</v>
      </c>
      <c r="GQ12" s="27">
        <v>70.531108251852487</v>
      </c>
      <c r="GR12" s="27">
        <v>70.531108251852487</v>
      </c>
      <c r="GS12" s="27">
        <v>70.531108251852487</v>
      </c>
      <c r="GT12" s="27">
        <v>2.7</v>
      </c>
      <c r="GV12" s="27">
        <v>83.254098525254207</v>
      </c>
      <c r="GW12" s="27">
        <v>83.254098525254207</v>
      </c>
      <c r="GX12" s="27">
        <v>83.254098525254207</v>
      </c>
      <c r="GY12" s="27">
        <v>83.254098525254207</v>
      </c>
      <c r="GZ12" s="27">
        <v>83.254098525254207</v>
      </c>
      <c r="HA12" s="27">
        <v>83.254098525254207</v>
      </c>
      <c r="HB12" s="27">
        <v>83.254098525254207</v>
      </c>
      <c r="HC12" s="27">
        <v>83.254098525254207</v>
      </c>
      <c r="HD12" s="27">
        <v>83.254098525254207</v>
      </c>
      <c r="HE12" s="27">
        <v>2.7</v>
      </c>
      <c r="HG12" s="27">
        <v>114.82696122942565</v>
      </c>
      <c r="HH12" s="27">
        <v>114.82696122942565</v>
      </c>
      <c r="HI12" s="27">
        <v>114.82696122942565</v>
      </c>
      <c r="HJ12" s="27">
        <v>114.82696122942565</v>
      </c>
      <c r="HK12" s="27">
        <v>114.82696122942565</v>
      </c>
      <c r="HL12" s="27">
        <v>114.82696122942565</v>
      </c>
      <c r="HM12" s="27">
        <v>114.82696122942565</v>
      </c>
      <c r="HN12" s="27">
        <v>114.82696122942565</v>
      </c>
      <c r="HO12" s="27">
        <v>114.82696122942565</v>
      </c>
      <c r="HP12" s="27">
        <v>2.7</v>
      </c>
      <c r="HR12" s="27">
        <v>114.82696122942565</v>
      </c>
      <c r="HS12" s="27">
        <v>114.82696122942565</v>
      </c>
      <c r="HT12" s="27">
        <v>114.82696122942565</v>
      </c>
      <c r="HU12" s="27">
        <v>114.82696122942565</v>
      </c>
      <c r="HV12" s="27">
        <v>114.82696122942565</v>
      </c>
      <c r="HW12" s="27">
        <v>114.82696122942565</v>
      </c>
      <c r="HX12" s="27">
        <v>114.82696122942565</v>
      </c>
      <c r="HY12" s="27">
        <v>114.82696122942565</v>
      </c>
      <c r="HZ12" s="27">
        <v>114.82696122942565</v>
      </c>
      <c r="IA12" s="27">
        <v>2.7</v>
      </c>
    </row>
    <row r="13" spans="2:235">
      <c r="B13" s="514" t="s">
        <v>550</v>
      </c>
      <c r="C13" s="28" t="s">
        <v>550</v>
      </c>
      <c r="D13" s="28" t="s">
        <v>550</v>
      </c>
      <c r="E13" s="28" t="s">
        <v>550</v>
      </c>
      <c r="F13" s="28" t="s">
        <v>550</v>
      </c>
      <c r="G13" s="28" t="s">
        <v>550</v>
      </c>
      <c r="H13" s="28" t="s">
        <v>550</v>
      </c>
      <c r="I13" s="28" t="s">
        <v>550</v>
      </c>
      <c r="J13" s="28" t="s">
        <v>550</v>
      </c>
      <c r="K13" s="452" t="s">
        <v>550</v>
      </c>
      <c r="O13" s="87">
        <v>600.86952539373658</v>
      </c>
      <c r="P13" s="87">
        <v>600.86952539373658</v>
      </c>
      <c r="Q13" s="87">
        <v>600.86952539373658</v>
      </c>
      <c r="R13" s="87">
        <v>600.86952539373658</v>
      </c>
      <c r="S13" s="87">
        <v>600.86952539373658</v>
      </c>
      <c r="T13" s="87">
        <v>600.86952539373658</v>
      </c>
      <c r="U13" s="87">
        <v>600.86952539373658</v>
      </c>
      <c r="V13" s="87">
        <v>600.86952539373658</v>
      </c>
      <c r="W13" s="87">
        <v>600.86952539373658</v>
      </c>
      <c r="X13" s="129">
        <v>0.8</v>
      </c>
      <c r="Z13" s="87">
        <v>830.18643287236716</v>
      </c>
      <c r="AA13" s="87">
        <v>830.18643287236716</v>
      </c>
      <c r="AB13" s="87">
        <v>830.18643287236716</v>
      </c>
      <c r="AC13" s="87">
        <v>830.18643287236716</v>
      </c>
      <c r="AD13" s="87">
        <v>830.18643287236716</v>
      </c>
      <c r="AE13" s="87">
        <v>830.18643287236716</v>
      </c>
      <c r="AF13" s="87">
        <v>830.18643287236716</v>
      </c>
      <c r="AG13" s="87">
        <v>830.18643287236716</v>
      </c>
      <c r="AH13" s="87">
        <v>830.18643287236716</v>
      </c>
      <c r="AI13" s="129">
        <v>0.8</v>
      </c>
      <c r="AK13" s="87">
        <v>593.53355200734688</v>
      </c>
      <c r="AL13" s="87">
        <v>593.53355200734688</v>
      </c>
      <c r="AM13" s="87">
        <v>593.53355200734688</v>
      </c>
      <c r="AN13" s="87">
        <v>593.53355200734688</v>
      </c>
      <c r="AO13" s="87">
        <v>593.53355200734688</v>
      </c>
      <c r="AP13" s="87">
        <v>593.53355200734688</v>
      </c>
      <c r="AQ13" s="87">
        <v>593.53355200734688</v>
      </c>
      <c r="AR13" s="87">
        <v>593.53355200734688</v>
      </c>
      <c r="AS13" s="87">
        <v>593.53355200734688</v>
      </c>
      <c r="AT13" s="129">
        <v>0.8</v>
      </c>
      <c r="AV13" s="87">
        <v>632.29676890707435</v>
      </c>
      <c r="AW13" s="87">
        <v>632.29676890707435</v>
      </c>
      <c r="AX13" s="87">
        <v>632.29676890707435</v>
      </c>
      <c r="AY13" s="87">
        <v>632.29676890707435</v>
      </c>
      <c r="AZ13" s="87">
        <v>632.29676890707435</v>
      </c>
      <c r="BA13" s="87">
        <v>632.29676890707435</v>
      </c>
      <c r="BB13" s="87">
        <v>632.29676890707435</v>
      </c>
      <c r="BC13" s="87">
        <v>632.29676890707435</v>
      </c>
      <c r="BD13" s="87">
        <v>632.29676890707435</v>
      </c>
      <c r="BE13" s="129">
        <v>0.8</v>
      </c>
      <c r="BG13" s="87">
        <v>246.41071428571459</v>
      </c>
      <c r="BH13" s="87">
        <v>246.41071428571459</v>
      </c>
      <c r="BI13" s="87">
        <v>246.41071428571459</v>
      </c>
      <c r="BJ13" s="87">
        <v>246.41071428571459</v>
      </c>
      <c r="BK13" s="87">
        <v>246.41071428571459</v>
      </c>
      <c r="BL13" s="87">
        <v>246.41071428571459</v>
      </c>
      <c r="BM13" s="87">
        <v>246.41071428571459</v>
      </c>
      <c r="BN13" s="87">
        <v>246.41071428571459</v>
      </c>
      <c r="BO13" s="87">
        <v>246.41071428571459</v>
      </c>
      <c r="BP13" s="129">
        <v>0.8</v>
      </c>
      <c r="BR13" s="87">
        <v>246.41071428571459</v>
      </c>
      <c r="BS13" s="87">
        <v>246.41071428571459</v>
      </c>
      <c r="BT13" s="87">
        <v>246.41071428571459</v>
      </c>
      <c r="BU13" s="87">
        <v>246.41071428571459</v>
      </c>
      <c r="BV13" s="87">
        <v>246.41071428571459</v>
      </c>
      <c r="BW13" s="87">
        <v>246.41071428571459</v>
      </c>
      <c r="BX13" s="87">
        <v>246.41071428571459</v>
      </c>
      <c r="BY13" s="87">
        <v>246.41071428571459</v>
      </c>
      <c r="BZ13" s="87">
        <v>246.41071428571459</v>
      </c>
      <c r="CA13" s="129">
        <v>0.8</v>
      </c>
      <c r="CC13" s="87">
        <v>230.46016880228601</v>
      </c>
      <c r="CD13" s="87">
        <v>230.46016880228601</v>
      </c>
      <c r="CE13" s="87">
        <v>230.46016880228601</v>
      </c>
      <c r="CF13" s="87">
        <v>230.46016880228601</v>
      </c>
      <c r="CG13" s="87">
        <v>230.46016880228601</v>
      </c>
      <c r="CH13" s="87">
        <v>230.46016880228601</v>
      </c>
      <c r="CI13" s="87">
        <v>230.46016880228601</v>
      </c>
      <c r="CJ13" s="87">
        <v>230.46016880228601</v>
      </c>
      <c r="CK13" s="87">
        <v>230.46016880228601</v>
      </c>
      <c r="CL13" s="129">
        <v>0.8</v>
      </c>
      <c r="CN13" s="87">
        <v>274.47762116965481</v>
      </c>
      <c r="CO13" s="87">
        <v>274.47762116965481</v>
      </c>
      <c r="CP13" s="87">
        <v>274.47762116965481</v>
      </c>
      <c r="CQ13" s="87">
        <v>274.47762116965481</v>
      </c>
      <c r="CR13" s="87">
        <v>274.47762116965481</v>
      </c>
      <c r="CS13" s="87">
        <v>274.47762116965481</v>
      </c>
      <c r="CT13" s="87">
        <v>274.47762116965481</v>
      </c>
      <c r="CU13" s="87">
        <v>274.47762116965481</v>
      </c>
      <c r="CV13" s="87">
        <v>274.47762116965481</v>
      </c>
      <c r="CW13" s="129">
        <v>0.8</v>
      </c>
      <c r="CY13" s="87">
        <v>393.23849850957987</v>
      </c>
      <c r="CZ13" s="87">
        <v>393.23849850957987</v>
      </c>
      <c r="DA13" s="87">
        <v>393.23849850957987</v>
      </c>
      <c r="DB13" s="87">
        <v>393.23849850957987</v>
      </c>
      <c r="DC13" s="87">
        <v>393.23849850957987</v>
      </c>
      <c r="DD13" s="87">
        <v>393.23849850957987</v>
      </c>
      <c r="DE13" s="87">
        <v>393.23849850957987</v>
      </c>
      <c r="DF13" s="87">
        <v>393.23849850957987</v>
      </c>
      <c r="DG13" s="87">
        <v>393.23849850957987</v>
      </c>
      <c r="DH13" s="129">
        <v>0.8</v>
      </c>
      <c r="DJ13" s="87">
        <v>393.23849850957987</v>
      </c>
      <c r="DK13" s="87">
        <v>393.23849850957987</v>
      </c>
      <c r="DL13" s="87">
        <v>393.23849850957987</v>
      </c>
      <c r="DM13" s="87">
        <v>393.23849850957987</v>
      </c>
      <c r="DN13" s="87">
        <v>393.23849850957987</v>
      </c>
      <c r="DO13" s="87">
        <v>393.23849850957987</v>
      </c>
      <c r="DP13" s="87">
        <v>393.23849850957987</v>
      </c>
      <c r="DQ13" s="87">
        <v>393.23849850957987</v>
      </c>
      <c r="DR13" s="87">
        <v>393.23849850957987</v>
      </c>
      <c r="DS13" s="129">
        <v>0.8</v>
      </c>
      <c r="DW13" s="27">
        <v>86.874364701681984</v>
      </c>
      <c r="DX13" s="27">
        <v>86.874364701681984</v>
      </c>
      <c r="DY13" s="27">
        <v>86.874364701681984</v>
      </c>
      <c r="DZ13" s="27">
        <v>86.874364701681984</v>
      </c>
      <c r="EA13" s="27">
        <v>86.874364701681984</v>
      </c>
      <c r="EB13" s="27">
        <v>86.874364701681984</v>
      </c>
      <c r="EC13" s="27">
        <v>86.874364701681984</v>
      </c>
      <c r="ED13" s="27">
        <v>86.874364701681984</v>
      </c>
      <c r="EE13" s="27">
        <v>86.874364701681984</v>
      </c>
      <c r="EF13" s="27">
        <v>2.8</v>
      </c>
      <c r="EH13" s="27">
        <v>152.22517667169407</v>
      </c>
      <c r="EI13" s="27">
        <v>152.22517667169407</v>
      </c>
      <c r="EJ13" s="27">
        <v>152.22517667169407</v>
      </c>
      <c r="EK13" s="27">
        <v>152.22517667169407</v>
      </c>
      <c r="EL13" s="27">
        <v>152.22517667169407</v>
      </c>
      <c r="EM13" s="27">
        <v>152.22517667169407</v>
      </c>
      <c r="EN13" s="27">
        <v>152.22517667169407</v>
      </c>
      <c r="EO13" s="27">
        <v>152.22517667169407</v>
      </c>
      <c r="EP13" s="27">
        <v>152.22517667169407</v>
      </c>
      <c r="EQ13" s="27">
        <v>2.8</v>
      </c>
      <c r="ES13" s="27">
        <v>172.20430309672165</v>
      </c>
      <c r="ET13" s="27">
        <v>172.20430309672165</v>
      </c>
      <c r="EU13" s="27">
        <v>172.20430309672165</v>
      </c>
      <c r="EV13" s="27">
        <v>172.20430309672165</v>
      </c>
      <c r="EW13" s="27">
        <v>172.20430309672165</v>
      </c>
      <c r="EX13" s="27">
        <v>172.20430309672165</v>
      </c>
      <c r="EY13" s="27">
        <v>172.20430309672165</v>
      </c>
      <c r="EZ13" s="27">
        <v>172.20430309672165</v>
      </c>
      <c r="FA13" s="27">
        <v>172.20430309672165</v>
      </c>
      <c r="FB13" s="27">
        <v>2.8</v>
      </c>
      <c r="FD13" s="27">
        <v>179.54658430797255</v>
      </c>
      <c r="FE13" s="27">
        <v>179.54658430797255</v>
      </c>
      <c r="FF13" s="27">
        <v>179.54658430797255</v>
      </c>
      <c r="FG13" s="27">
        <v>179.54658430797255</v>
      </c>
      <c r="FH13" s="27">
        <v>179.54658430797255</v>
      </c>
      <c r="FI13" s="27">
        <v>179.54658430797255</v>
      </c>
      <c r="FJ13" s="27">
        <v>179.54658430797255</v>
      </c>
      <c r="FK13" s="27">
        <v>179.54658430797255</v>
      </c>
      <c r="FL13" s="27">
        <v>179.54658430797255</v>
      </c>
      <c r="FM13" s="27">
        <v>2.8</v>
      </c>
      <c r="FO13" s="27">
        <v>284.12767143867819</v>
      </c>
      <c r="FP13" s="27">
        <v>284.12767143867819</v>
      </c>
      <c r="FQ13" s="27">
        <v>284.12767143867819</v>
      </c>
      <c r="FR13" s="27">
        <v>284.12767143867819</v>
      </c>
      <c r="FS13" s="27">
        <v>284.12767143867819</v>
      </c>
      <c r="FT13" s="27">
        <v>284.12767143867819</v>
      </c>
      <c r="FU13" s="27">
        <v>284.12767143867819</v>
      </c>
      <c r="FV13" s="27">
        <v>284.12767143867819</v>
      </c>
      <c r="FW13" s="27">
        <v>284.12767143867819</v>
      </c>
      <c r="FX13" s="27">
        <v>2.8</v>
      </c>
      <c r="FZ13" s="27">
        <v>284.12767143867819</v>
      </c>
      <c r="GA13" s="27">
        <v>284.12767143867819</v>
      </c>
      <c r="GB13" s="27">
        <v>284.12767143867819</v>
      </c>
      <c r="GC13" s="27">
        <v>284.12767143867819</v>
      </c>
      <c r="GD13" s="27">
        <v>284.12767143867819</v>
      </c>
      <c r="GE13" s="27">
        <v>284.12767143867819</v>
      </c>
      <c r="GF13" s="27">
        <v>284.12767143867819</v>
      </c>
      <c r="GG13" s="27">
        <v>284.12767143867819</v>
      </c>
      <c r="GH13" s="27">
        <v>284.12767143867819</v>
      </c>
      <c r="GI13" s="27">
        <v>2.8</v>
      </c>
      <c r="GJ13" s="27"/>
      <c r="GK13" s="27">
        <v>67.99286254800603</v>
      </c>
      <c r="GL13" s="27">
        <v>67.99286254800603</v>
      </c>
      <c r="GM13" s="27">
        <v>67.99286254800603</v>
      </c>
      <c r="GN13" s="27">
        <v>67.99286254800603</v>
      </c>
      <c r="GO13" s="27">
        <v>67.99286254800603</v>
      </c>
      <c r="GP13" s="27">
        <v>67.99286254800603</v>
      </c>
      <c r="GQ13" s="27">
        <v>67.99286254800603</v>
      </c>
      <c r="GR13" s="27">
        <v>67.99286254800603</v>
      </c>
      <c r="GS13" s="27">
        <v>67.99286254800603</v>
      </c>
      <c r="GT13" s="27">
        <v>2.8</v>
      </c>
      <c r="GV13" s="27">
        <v>80.290396514438996</v>
      </c>
      <c r="GW13" s="27">
        <v>80.290396514438996</v>
      </c>
      <c r="GX13" s="27">
        <v>80.290396514438996</v>
      </c>
      <c r="GY13" s="27">
        <v>80.290396514438996</v>
      </c>
      <c r="GZ13" s="27">
        <v>80.290396514438996</v>
      </c>
      <c r="HA13" s="27">
        <v>80.290396514438996</v>
      </c>
      <c r="HB13" s="27">
        <v>80.290396514438996</v>
      </c>
      <c r="HC13" s="27">
        <v>80.290396514438996</v>
      </c>
      <c r="HD13" s="27">
        <v>80.290396514438996</v>
      </c>
      <c r="HE13" s="27">
        <v>2.8</v>
      </c>
      <c r="HG13" s="27">
        <v>110.73167169794299</v>
      </c>
      <c r="HH13" s="27">
        <v>110.73167169794299</v>
      </c>
      <c r="HI13" s="27">
        <v>110.73167169794299</v>
      </c>
      <c r="HJ13" s="27">
        <v>110.73167169794299</v>
      </c>
      <c r="HK13" s="27">
        <v>110.73167169794299</v>
      </c>
      <c r="HL13" s="27">
        <v>110.73167169794299</v>
      </c>
      <c r="HM13" s="27">
        <v>110.73167169794299</v>
      </c>
      <c r="HN13" s="27">
        <v>110.73167169794299</v>
      </c>
      <c r="HO13" s="27">
        <v>110.73167169794299</v>
      </c>
      <c r="HP13" s="27">
        <v>2.8</v>
      </c>
      <c r="HR13" s="27">
        <v>110.73167169794299</v>
      </c>
      <c r="HS13" s="27">
        <v>110.73167169794299</v>
      </c>
      <c r="HT13" s="27">
        <v>110.73167169794299</v>
      </c>
      <c r="HU13" s="27">
        <v>110.73167169794299</v>
      </c>
      <c r="HV13" s="27">
        <v>110.73167169794299</v>
      </c>
      <c r="HW13" s="27">
        <v>110.73167169794299</v>
      </c>
      <c r="HX13" s="27">
        <v>110.73167169794299</v>
      </c>
      <c r="HY13" s="27">
        <v>110.73167169794299</v>
      </c>
      <c r="HZ13" s="27">
        <v>110.73167169794299</v>
      </c>
      <c r="IA13" s="27">
        <v>2.8</v>
      </c>
    </row>
    <row r="14" spans="2:235" ht="15" thickBot="1">
      <c r="B14" s="49" t="s">
        <v>551</v>
      </c>
      <c r="C14" s="50" t="s">
        <v>551</v>
      </c>
      <c r="D14" s="50" t="s">
        <v>551</v>
      </c>
      <c r="E14" s="50" t="s">
        <v>551</v>
      </c>
      <c r="F14" s="50" t="s">
        <v>551</v>
      </c>
      <c r="G14" s="50" t="s">
        <v>551</v>
      </c>
      <c r="H14" s="50" t="s">
        <v>551</v>
      </c>
      <c r="I14" s="50" t="s">
        <v>551</v>
      </c>
      <c r="J14" s="50" t="s">
        <v>551</v>
      </c>
      <c r="K14" s="51" t="s">
        <v>551</v>
      </c>
      <c r="O14" s="87">
        <v>513.97296733101655</v>
      </c>
      <c r="P14" s="87">
        <v>513.97296733101655</v>
      </c>
      <c r="Q14" s="87">
        <v>513.97296733101655</v>
      </c>
      <c r="R14" s="87">
        <v>513.97296733101655</v>
      </c>
      <c r="S14" s="87">
        <v>513.97296733101655</v>
      </c>
      <c r="T14" s="87">
        <v>513.97296733101655</v>
      </c>
      <c r="U14" s="87">
        <v>513.97296733101655</v>
      </c>
      <c r="V14" s="87">
        <v>513.97296733101655</v>
      </c>
      <c r="W14" s="87">
        <v>513.97296733101655</v>
      </c>
      <c r="X14" s="129">
        <v>0.9</v>
      </c>
      <c r="Z14" s="87">
        <v>718.42573418106917</v>
      </c>
      <c r="AA14" s="87">
        <v>718.42573418106917</v>
      </c>
      <c r="AB14" s="87">
        <v>718.42573418106917</v>
      </c>
      <c r="AC14" s="87">
        <v>718.42573418106917</v>
      </c>
      <c r="AD14" s="87">
        <v>718.42573418106917</v>
      </c>
      <c r="AE14" s="87">
        <v>718.42573418106917</v>
      </c>
      <c r="AF14" s="87">
        <v>718.42573418106917</v>
      </c>
      <c r="AG14" s="87">
        <v>718.42573418106917</v>
      </c>
      <c r="AH14" s="87">
        <v>718.42573418106917</v>
      </c>
      <c r="AI14" s="129">
        <v>0.9</v>
      </c>
      <c r="AK14" s="87">
        <v>528.3315940771987</v>
      </c>
      <c r="AL14" s="87">
        <v>528.3315940771987</v>
      </c>
      <c r="AM14" s="87">
        <v>528.3315940771987</v>
      </c>
      <c r="AN14" s="87">
        <v>528.3315940771987</v>
      </c>
      <c r="AO14" s="87">
        <v>528.3315940771987</v>
      </c>
      <c r="AP14" s="87">
        <v>528.3315940771987</v>
      </c>
      <c r="AQ14" s="87">
        <v>528.3315940771987</v>
      </c>
      <c r="AR14" s="87">
        <v>528.3315940771987</v>
      </c>
      <c r="AS14" s="87">
        <v>528.3315940771987</v>
      </c>
      <c r="AT14" s="129">
        <v>0.9</v>
      </c>
      <c r="AV14" s="87">
        <v>562.06510303486891</v>
      </c>
      <c r="AW14" s="87">
        <v>562.06510303486891</v>
      </c>
      <c r="AX14" s="87">
        <v>562.06510303486891</v>
      </c>
      <c r="AY14" s="87">
        <v>562.06510303486891</v>
      </c>
      <c r="AZ14" s="87">
        <v>562.06510303486891</v>
      </c>
      <c r="BA14" s="87">
        <v>562.06510303486891</v>
      </c>
      <c r="BB14" s="87">
        <v>562.06510303486891</v>
      </c>
      <c r="BC14" s="87">
        <v>562.06510303486891</v>
      </c>
      <c r="BD14" s="87">
        <v>562.06510303486891</v>
      </c>
      <c r="BE14" s="129">
        <v>0.9</v>
      </c>
      <c r="BG14" s="87">
        <v>243.63839285714317</v>
      </c>
      <c r="BH14" s="87">
        <v>243.63839285714317</v>
      </c>
      <c r="BI14" s="87">
        <v>243.63839285714317</v>
      </c>
      <c r="BJ14" s="87">
        <v>243.63839285714317</v>
      </c>
      <c r="BK14" s="87">
        <v>243.63839285714317</v>
      </c>
      <c r="BL14" s="87">
        <v>243.63839285714317</v>
      </c>
      <c r="BM14" s="87">
        <v>243.63839285714317</v>
      </c>
      <c r="BN14" s="87">
        <v>243.63839285714317</v>
      </c>
      <c r="BO14" s="87">
        <v>243.63839285714317</v>
      </c>
      <c r="BP14" s="129">
        <v>0.9</v>
      </c>
      <c r="BR14" s="87">
        <v>243.63839285714317</v>
      </c>
      <c r="BS14" s="87">
        <v>243.63839285714317</v>
      </c>
      <c r="BT14" s="87">
        <v>243.63839285714317</v>
      </c>
      <c r="BU14" s="87">
        <v>243.63839285714317</v>
      </c>
      <c r="BV14" s="87">
        <v>243.63839285714317</v>
      </c>
      <c r="BW14" s="87">
        <v>243.63839285714317</v>
      </c>
      <c r="BX14" s="87">
        <v>243.63839285714317</v>
      </c>
      <c r="BY14" s="87">
        <v>243.63839285714317</v>
      </c>
      <c r="BZ14" s="87">
        <v>243.63839285714317</v>
      </c>
      <c r="CA14" s="129">
        <v>0.9</v>
      </c>
      <c r="CC14" s="87">
        <v>205.0949081820024</v>
      </c>
      <c r="CD14" s="87">
        <v>205.0949081820024</v>
      </c>
      <c r="CE14" s="87">
        <v>205.0949081820024</v>
      </c>
      <c r="CF14" s="87">
        <v>205.0949081820024</v>
      </c>
      <c r="CG14" s="87">
        <v>205.0949081820024</v>
      </c>
      <c r="CH14" s="87">
        <v>205.0949081820024</v>
      </c>
      <c r="CI14" s="87">
        <v>205.0949081820024</v>
      </c>
      <c r="CJ14" s="87">
        <v>205.0949081820024</v>
      </c>
      <c r="CK14" s="87">
        <v>205.0949081820024</v>
      </c>
      <c r="CL14" s="129">
        <v>0.9</v>
      </c>
      <c r="CN14" s="87">
        <v>244.35397118979051</v>
      </c>
      <c r="CO14" s="87">
        <v>244.35397118979051</v>
      </c>
      <c r="CP14" s="87">
        <v>244.35397118979051</v>
      </c>
      <c r="CQ14" s="87">
        <v>244.35397118979051</v>
      </c>
      <c r="CR14" s="87">
        <v>244.35397118979051</v>
      </c>
      <c r="CS14" s="87">
        <v>244.35397118979051</v>
      </c>
      <c r="CT14" s="87">
        <v>244.35397118979051</v>
      </c>
      <c r="CU14" s="87">
        <v>244.35397118979051</v>
      </c>
      <c r="CV14" s="87">
        <v>244.35397118979051</v>
      </c>
      <c r="CW14" s="129">
        <v>0.9</v>
      </c>
      <c r="CY14" s="87">
        <v>349.33954005994684</v>
      </c>
      <c r="CZ14" s="87">
        <v>349.33954005994684</v>
      </c>
      <c r="DA14" s="87">
        <v>349.33954005994684</v>
      </c>
      <c r="DB14" s="87">
        <v>349.33954005994684</v>
      </c>
      <c r="DC14" s="87">
        <v>349.33954005994684</v>
      </c>
      <c r="DD14" s="87">
        <v>349.33954005994684</v>
      </c>
      <c r="DE14" s="87">
        <v>349.33954005994684</v>
      </c>
      <c r="DF14" s="87">
        <v>349.33954005994684</v>
      </c>
      <c r="DG14" s="87">
        <v>349.33954005994684</v>
      </c>
      <c r="DH14" s="129">
        <v>0.9</v>
      </c>
      <c r="DJ14" s="87">
        <v>349.33954005994684</v>
      </c>
      <c r="DK14" s="87">
        <v>349.33954005994684</v>
      </c>
      <c r="DL14" s="87">
        <v>349.33954005994684</v>
      </c>
      <c r="DM14" s="87">
        <v>349.33954005994684</v>
      </c>
      <c r="DN14" s="87">
        <v>349.33954005994684</v>
      </c>
      <c r="DO14" s="87">
        <v>349.33954005994684</v>
      </c>
      <c r="DP14" s="87">
        <v>349.33954005994684</v>
      </c>
      <c r="DQ14" s="87">
        <v>349.33954005994684</v>
      </c>
      <c r="DR14" s="87">
        <v>349.33954005994684</v>
      </c>
      <c r="DS14" s="129">
        <v>0.9</v>
      </c>
      <c r="DW14" s="27">
        <v>83.859267503005384</v>
      </c>
      <c r="DX14" s="27">
        <v>83.859267503005384</v>
      </c>
      <c r="DY14" s="27">
        <v>83.859267503005384</v>
      </c>
      <c r="DZ14" s="27">
        <v>83.859267503005384</v>
      </c>
      <c r="EA14" s="27">
        <v>83.859267503005384</v>
      </c>
      <c r="EB14" s="27">
        <v>83.859267503005384</v>
      </c>
      <c r="EC14" s="27">
        <v>83.859267503005384</v>
      </c>
      <c r="ED14" s="27">
        <v>83.859267503005384</v>
      </c>
      <c r="EE14" s="27">
        <v>83.859267503005384</v>
      </c>
      <c r="EF14" s="27">
        <v>2.9</v>
      </c>
      <c r="EH14" s="27">
        <v>146.75542655001243</v>
      </c>
      <c r="EI14" s="27">
        <v>146.75542655001243</v>
      </c>
      <c r="EJ14" s="27">
        <v>146.75542655001243</v>
      </c>
      <c r="EK14" s="27">
        <v>146.75542655001243</v>
      </c>
      <c r="EL14" s="27">
        <v>146.75542655001243</v>
      </c>
      <c r="EM14" s="27">
        <v>146.75542655001243</v>
      </c>
      <c r="EN14" s="27">
        <v>146.75542655001243</v>
      </c>
      <c r="EO14" s="27">
        <v>146.75542655001243</v>
      </c>
      <c r="EP14" s="27">
        <v>146.75542655001243</v>
      </c>
      <c r="EQ14" s="27">
        <v>2.9</v>
      </c>
      <c r="ES14" s="27">
        <v>166.33380852654622</v>
      </c>
      <c r="ET14" s="27">
        <v>166.33380852654622</v>
      </c>
      <c r="EU14" s="27">
        <v>166.33380852654622</v>
      </c>
      <c r="EV14" s="27">
        <v>166.33380852654622</v>
      </c>
      <c r="EW14" s="27">
        <v>166.33380852654622</v>
      </c>
      <c r="EX14" s="27">
        <v>166.33380852654622</v>
      </c>
      <c r="EY14" s="27">
        <v>166.33380852654622</v>
      </c>
      <c r="EZ14" s="27">
        <v>166.33380852654622</v>
      </c>
      <c r="FA14" s="27">
        <v>166.33380852654622</v>
      </c>
      <c r="FB14" s="27">
        <v>2.9</v>
      </c>
      <c r="FD14" s="27">
        <v>173.39338674023159</v>
      </c>
      <c r="FE14" s="27">
        <v>173.39338674023159</v>
      </c>
      <c r="FF14" s="27">
        <v>173.39338674023159</v>
      </c>
      <c r="FG14" s="27">
        <v>173.39338674023159</v>
      </c>
      <c r="FH14" s="27">
        <v>173.39338674023159</v>
      </c>
      <c r="FI14" s="27">
        <v>173.39338674023159</v>
      </c>
      <c r="FJ14" s="27">
        <v>173.39338674023159</v>
      </c>
      <c r="FK14" s="27">
        <v>173.39338674023159</v>
      </c>
      <c r="FL14" s="27">
        <v>173.39338674023159</v>
      </c>
      <c r="FM14" s="27">
        <v>2.9</v>
      </c>
      <c r="FO14" s="27">
        <v>274.27344752556598</v>
      </c>
      <c r="FP14" s="27">
        <v>274.27344752556598</v>
      </c>
      <c r="FQ14" s="27">
        <v>274.27344752556598</v>
      </c>
      <c r="FR14" s="27">
        <v>274.27344752556598</v>
      </c>
      <c r="FS14" s="27">
        <v>274.27344752556598</v>
      </c>
      <c r="FT14" s="27">
        <v>274.27344752556598</v>
      </c>
      <c r="FU14" s="27">
        <v>274.27344752556598</v>
      </c>
      <c r="FV14" s="27">
        <v>274.27344752556598</v>
      </c>
      <c r="FW14" s="27">
        <v>274.27344752556598</v>
      </c>
      <c r="FX14" s="27">
        <v>2.9</v>
      </c>
      <c r="FZ14" s="27">
        <v>274.27344752556598</v>
      </c>
      <c r="GA14" s="27">
        <v>274.27344752556598</v>
      </c>
      <c r="GB14" s="27">
        <v>274.27344752556598</v>
      </c>
      <c r="GC14" s="27">
        <v>274.27344752556598</v>
      </c>
      <c r="GD14" s="27">
        <v>274.27344752556598</v>
      </c>
      <c r="GE14" s="27">
        <v>274.27344752556598</v>
      </c>
      <c r="GF14" s="27">
        <v>274.27344752556598</v>
      </c>
      <c r="GG14" s="27">
        <v>274.27344752556598</v>
      </c>
      <c r="GH14" s="27">
        <v>274.27344752556598</v>
      </c>
      <c r="GI14" s="27">
        <v>2.9</v>
      </c>
      <c r="GJ14" s="27"/>
      <c r="GK14" s="27">
        <v>65.630326490710232</v>
      </c>
      <c r="GL14" s="27">
        <v>65.630326490710232</v>
      </c>
      <c r="GM14" s="27">
        <v>65.630326490710232</v>
      </c>
      <c r="GN14" s="27">
        <v>65.630326490710232</v>
      </c>
      <c r="GO14" s="27">
        <v>65.630326490710232</v>
      </c>
      <c r="GP14" s="27">
        <v>65.630326490710232</v>
      </c>
      <c r="GQ14" s="27">
        <v>65.630326490710232</v>
      </c>
      <c r="GR14" s="27">
        <v>65.630326490710232</v>
      </c>
      <c r="GS14" s="27">
        <v>65.630326490710232</v>
      </c>
      <c r="GT14" s="27">
        <v>2.9</v>
      </c>
      <c r="GV14" s="27">
        <v>77.530761527144819</v>
      </c>
      <c r="GW14" s="27">
        <v>77.530761527144819</v>
      </c>
      <c r="GX14" s="27">
        <v>77.530761527144819</v>
      </c>
      <c r="GY14" s="27">
        <v>77.530761527144819</v>
      </c>
      <c r="GZ14" s="27">
        <v>77.530761527144819</v>
      </c>
      <c r="HA14" s="27">
        <v>77.530761527144819</v>
      </c>
      <c r="HB14" s="27">
        <v>77.530761527144819</v>
      </c>
      <c r="HC14" s="27">
        <v>77.530761527144819</v>
      </c>
      <c r="HD14" s="27">
        <v>77.530761527144819</v>
      </c>
      <c r="HE14" s="27">
        <v>2.9</v>
      </c>
      <c r="HG14" s="27">
        <v>106.9186239518837</v>
      </c>
      <c r="HH14" s="27">
        <v>106.9186239518837</v>
      </c>
      <c r="HI14" s="27">
        <v>106.9186239518837</v>
      </c>
      <c r="HJ14" s="27">
        <v>106.9186239518837</v>
      </c>
      <c r="HK14" s="27">
        <v>106.9186239518837</v>
      </c>
      <c r="HL14" s="27">
        <v>106.9186239518837</v>
      </c>
      <c r="HM14" s="27">
        <v>106.9186239518837</v>
      </c>
      <c r="HN14" s="27">
        <v>106.9186239518837</v>
      </c>
      <c r="HO14" s="27">
        <v>106.9186239518837</v>
      </c>
      <c r="HP14" s="27">
        <v>2.9</v>
      </c>
      <c r="HR14" s="27">
        <v>106.9186239518837</v>
      </c>
      <c r="HS14" s="27">
        <v>106.9186239518837</v>
      </c>
      <c r="HT14" s="27">
        <v>106.9186239518837</v>
      </c>
      <c r="HU14" s="27">
        <v>106.9186239518837</v>
      </c>
      <c r="HV14" s="27">
        <v>106.9186239518837</v>
      </c>
      <c r="HW14" s="27">
        <v>106.9186239518837</v>
      </c>
      <c r="HX14" s="27">
        <v>106.9186239518837</v>
      </c>
      <c r="HY14" s="27">
        <v>106.9186239518837</v>
      </c>
      <c r="HZ14" s="27">
        <v>106.9186239518837</v>
      </c>
      <c r="IA14" s="27">
        <v>2.9</v>
      </c>
    </row>
    <row r="15" spans="2:235" ht="15" thickBot="1">
      <c r="B15" s="456"/>
      <c r="C15" s="457"/>
      <c r="D15" s="457"/>
      <c r="E15" s="457"/>
      <c r="F15" s="457"/>
      <c r="G15" s="457"/>
      <c r="H15" s="457"/>
      <c r="I15" s="457"/>
      <c r="J15" s="457"/>
      <c r="K15" s="458"/>
      <c r="O15" s="87">
        <v>446.94637443423898</v>
      </c>
      <c r="P15" s="87">
        <v>446.94637443423898</v>
      </c>
      <c r="Q15" s="87">
        <v>446.94637443423898</v>
      </c>
      <c r="R15" s="87">
        <v>446.94637443423898</v>
      </c>
      <c r="S15" s="87">
        <v>446.94637443423898</v>
      </c>
      <c r="T15" s="87">
        <v>446.94637443423898</v>
      </c>
      <c r="U15" s="87">
        <v>446.94637443423898</v>
      </c>
      <c r="V15" s="87">
        <v>446.94637443423898</v>
      </c>
      <c r="W15" s="87">
        <v>446.94637443423898</v>
      </c>
      <c r="X15" s="129">
        <v>1</v>
      </c>
      <c r="Z15" s="87">
        <v>631.26390258014305</v>
      </c>
      <c r="AA15" s="87">
        <v>631.26390258014305</v>
      </c>
      <c r="AB15" s="87">
        <v>631.26390258014305</v>
      </c>
      <c r="AC15" s="87">
        <v>631.26390258014305</v>
      </c>
      <c r="AD15" s="87">
        <v>631.26390258014305</v>
      </c>
      <c r="AE15" s="87">
        <v>631.26390258014305</v>
      </c>
      <c r="AF15" s="87">
        <v>631.26390258014305</v>
      </c>
      <c r="AG15" s="87">
        <v>631.26390258014305</v>
      </c>
      <c r="AH15" s="87">
        <v>631.26390258014305</v>
      </c>
      <c r="AI15" s="129">
        <v>1</v>
      </c>
      <c r="AK15" s="87">
        <v>476.1</v>
      </c>
      <c r="AL15" s="87">
        <v>476.1</v>
      </c>
      <c r="AM15" s="87">
        <v>476.1</v>
      </c>
      <c r="AN15" s="87">
        <v>476.1</v>
      </c>
      <c r="AO15" s="87">
        <v>476.1</v>
      </c>
      <c r="AP15" s="87">
        <v>476.1</v>
      </c>
      <c r="AQ15" s="87">
        <v>476.1</v>
      </c>
      <c r="AR15" s="87">
        <v>476.1</v>
      </c>
      <c r="AS15" s="87">
        <v>476.1</v>
      </c>
      <c r="AT15" s="129">
        <v>1</v>
      </c>
      <c r="AV15" s="87">
        <v>505.87753749652899</v>
      </c>
      <c r="AW15" s="87">
        <v>505.87753749652899</v>
      </c>
      <c r="AX15" s="87">
        <v>505.87753749652899</v>
      </c>
      <c r="AY15" s="87">
        <v>505.87753749652899</v>
      </c>
      <c r="AZ15" s="87">
        <v>505.87753749652899</v>
      </c>
      <c r="BA15" s="87">
        <v>505.87753749652899</v>
      </c>
      <c r="BB15" s="87">
        <v>505.87753749652899</v>
      </c>
      <c r="BC15" s="87">
        <v>505.87753749652899</v>
      </c>
      <c r="BD15" s="87">
        <v>505.87753749652899</v>
      </c>
      <c r="BE15" s="129">
        <v>1</v>
      </c>
      <c r="BG15" s="87">
        <v>240.88690476190507</v>
      </c>
      <c r="BH15" s="87">
        <v>240.88690476190507</v>
      </c>
      <c r="BI15" s="87">
        <v>240.88690476190507</v>
      </c>
      <c r="BJ15" s="87">
        <v>240.88690476190507</v>
      </c>
      <c r="BK15" s="87">
        <v>240.88690476190507</v>
      </c>
      <c r="BL15" s="87">
        <v>240.88690476190507</v>
      </c>
      <c r="BM15" s="87">
        <v>240.88690476190507</v>
      </c>
      <c r="BN15" s="87">
        <v>240.88690476190507</v>
      </c>
      <c r="BO15" s="87">
        <v>240.88690476190507</v>
      </c>
      <c r="BP15" s="129">
        <v>1</v>
      </c>
      <c r="BR15" s="87">
        <v>240.88690476190507</v>
      </c>
      <c r="BS15" s="87">
        <v>240.88690476190507</v>
      </c>
      <c r="BT15" s="87">
        <v>240.88690476190507</v>
      </c>
      <c r="BU15" s="87">
        <v>240.88690476190507</v>
      </c>
      <c r="BV15" s="87">
        <v>240.88690476190507</v>
      </c>
      <c r="BW15" s="87">
        <v>240.88690476190507</v>
      </c>
      <c r="BX15" s="87">
        <v>240.88690476190507</v>
      </c>
      <c r="BY15" s="87">
        <v>240.88690476190507</v>
      </c>
      <c r="BZ15" s="87">
        <v>240.88690476190507</v>
      </c>
      <c r="CA15" s="129">
        <v>1</v>
      </c>
      <c r="CC15" s="87">
        <v>184.78</v>
      </c>
      <c r="CD15" s="87">
        <v>184.78</v>
      </c>
      <c r="CE15" s="87">
        <v>184.78</v>
      </c>
      <c r="CF15" s="87">
        <v>184.78</v>
      </c>
      <c r="CG15" s="87">
        <v>184.78</v>
      </c>
      <c r="CH15" s="87">
        <v>184.78</v>
      </c>
      <c r="CI15" s="87">
        <v>184.78</v>
      </c>
      <c r="CJ15" s="87">
        <v>184.78</v>
      </c>
      <c r="CK15" s="87">
        <v>184.78</v>
      </c>
      <c r="CL15" s="129">
        <v>1</v>
      </c>
      <c r="CN15" s="87">
        <v>220.22</v>
      </c>
      <c r="CO15" s="87">
        <v>220.22</v>
      </c>
      <c r="CP15" s="87">
        <v>220.22</v>
      </c>
      <c r="CQ15" s="87">
        <v>220.22</v>
      </c>
      <c r="CR15" s="87">
        <v>220.22</v>
      </c>
      <c r="CS15" s="87">
        <v>220.22</v>
      </c>
      <c r="CT15" s="87">
        <v>220.22</v>
      </c>
      <c r="CU15" s="87">
        <v>220.22</v>
      </c>
      <c r="CV15" s="87">
        <v>220.22</v>
      </c>
      <c r="CW15" s="129">
        <v>1</v>
      </c>
      <c r="CY15" s="87">
        <v>314.24</v>
      </c>
      <c r="CZ15" s="87">
        <v>314.24</v>
      </c>
      <c r="DA15" s="87">
        <v>314.24</v>
      </c>
      <c r="DB15" s="87">
        <v>314.24</v>
      </c>
      <c r="DC15" s="87">
        <v>314.24</v>
      </c>
      <c r="DD15" s="87">
        <v>314.24</v>
      </c>
      <c r="DE15" s="87">
        <v>314.24</v>
      </c>
      <c r="DF15" s="87">
        <v>314.24</v>
      </c>
      <c r="DG15" s="87">
        <v>314.24</v>
      </c>
      <c r="DH15" s="129">
        <v>1</v>
      </c>
      <c r="DJ15" s="87">
        <v>314.24</v>
      </c>
      <c r="DK15" s="87">
        <v>314.24</v>
      </c>
      <c r="DL15" s="87">
        <v>314.24</v>
      </c>
      <c r="DM15" s="87">
        <v>314.24</v>
      </c>
      <c r="DN15" s="87">
        <v>314.24</v>
      </c>
      <c r="DO15" s="87">
        <v>314.24</v>
      </c>
      <c r="DP15" s="87">
        <v>314.24</v>
      </c>
      <c r="DQ15" s="87">
        <v>314.24</v>
      </c>
      <c r="DR15" s="87">
        <v>314.24</v>
      </c>
      <c r="DS15" s="129">
        <v>1</v>
      </c>
      <c r="DW15" s="27">
        <v>81.045817711420327</v>
      </c>
      <c r="DX15" s="27">
        <v>81.045817711420327</v>
      </c>
      <c r="DY15" s="27">
        <v>81.045817711420327</v>
      </c>
      <c r="DZ15" s="27">
        <v>81.045817711420327</v>
      </c>
      <c r="EA15" s="27">
        <v>81.045817711420327</v>
      </c>
      <c r="EB15" s="27">
        <v>81.045817711420327</v>
      </c>
      <c r="EC15" s="27">
        <v>81.045817711420327</v>
      </c>
      <c r="ED15" s="27">
        <v>81.045817711420327</v>
      </c>
      <c r="EE15" s="27">
        <v>81.045817711420327</v>
      </c>
      <c r="EF15" s="27">
        <v>3</v>
      </c>
      <c r="EH15" s="27">
        <v>141.65786074134596</v>
      </c>
      <c r="EI15" s="27">
        <v>141.65786074134596</v>
      </c>
      <c r="EJ15" s="27">
        <v>141.65786074134596</v>
      </c>
      <c r="EK15" s="27">
        <v>141.65786074134596</v>
      </c>
      <c r="EL15" s="27">
        <v>141.65786074134596</v>
      </c>
      <c r="EM15" s="27">
        <v>141.65786074134596</v>
      </c>
      <c r="EN15" s="27">
        <v>141.65786074134596</v>
      </c>
      <c r="EO15" s="27">
        <v>141.65786074134596</v>
      </c>
      <c r="EP15" s="27">
        <v>141.65786074134596</v>
      </c>
      <c r="EQ15" s="27">
        <v>3</v>
      </c>
      <c r="ES15" s="27">
        <v>160.85249040574212</v>
      </c>
      <c r="ET15" s="27">
        <v>160.85249040574212</v>
      </c>
      <c r="EU15" s="27">
        <v>160.85249040574212</v>
      </c>
      <c r="EV15" s="27">
        <v>160.85249040574212</v>
      </c>
      <c r="EW15" s="27">
        <v>160.85249040574212</v>
      </c>
      <c r="EX15" s="27">
        <v>160.85249040574212</v>
      </c>
      <c r="EY15" s="27">
        <v>160.85249040574212</v>
      </c>
      <c r="EZ15" s="27">
        <v>160.85249040574212</v>
      </c>
      <c r="FA15" s="27">
        <v>160.85249040574212</v>
      </c>
      <c r="FB15" s="27">
        <v>3</v>
      </c>
      <c r="FD15" s="27">
        <v>167.64916247985838</v>
      </c>
      <c r="FE15" s="27">
        <v>167.64916247985838</v>
      </c>
      <c r="FF15" s="27">
        <v>167.64916247985838</v>
      </c>
      <c r="FG15" s="27">
        <v>167.64916247985838</v>
      </c>
      <c r="FH15" s="27">
        <v>167.64916247985838</v>
      </c>
      <c r="FI15" s="27">
        <v>167.64916247985838</v>
      </c>
      <c r="FJ15" s="27">
        <v>167.64916247985838</v>
      </c>
      <c r="FK15" s="27">
        <v>167.64916247985838</v>
      </c>
      <c r="FL15" s="27">
        <v>167.64916247985838</v>
      </c>
      <c r="FM15" s="27">
        <v>3</v>
      </c>
      <c r="FO15" s="27">
        <v>265.07804155724102</v>
      </c>
      <c r="FP15" s="27">
        <v>265.07804155724102</v>
      </c>
      <c r="FQ15" s="27">
        <v>265.07804155724102</v>
      </c>
      <c r="FR15" s="27">
        <v>265.07804155724102</v>
      </c>
      <c r="FS15" s="27">
        <v>265.07804155724102</v>
      </c>
      <c r="FT15" s="27">
        <v>265.07804155724102</v>
      </c>
      <c r="FU15" s="27">
        <v>265.07804155724102</v>
      </c>
      <c r="FV15" s="27">
        <v>265.07804155724102</v>
      </c>
      <c r="FW15" s="27">
        <v>265.07804155724102</v>
      </c>
      <c r="FX15" s="27">
        <v>3</v>
      </c>
      <c r="FZ15" s="27">
        <v>265.07804155724102</v>
      </c>
      <c r="GA15" s="27">
        <v>265.07804155724102</v>
      </c>
      <c r="GB15" s="27">
        <v>265.07804155724102</v>
      </c>
      <c r="GC15" s="27">
        <v>265.07804155724102</v>
      </c>
      <c r="GD15" s="27">
        <v>265.07804155724102</v>
      </c>
      <c r="GE15" s="27">
        <v>265.07804155724102</v>
      </c>
      <c r="GF15" s="27">
        <v>265.07804155724102</v>
      </c>
      <c r="GG15" s="27">
        <v>265.07804155724102</v>
      </c>
      <c r="GH15" s="27">
        <v>265.07804155724102</v>
      </c>
      <c r="GI15" s="27">
        <v>3</v>
      </c>
      <c r="GJ15" s="27"/>
      <c r="GK15" s="27">
        <v>63.425885802586464</v>
      </c>
      <c r="GL15" s="27">
        <v>63.425885802586464</v>
      </c>
      <c r="GM15" s="27">
        <v>63.425885802586464</v>
      </c>
      <c r="GN15" s="27">
        <v>63.425885802586464</v>
      </c>
      <c r="GO15" s="27">
        <v>63.425885802586464</v>
      </c>
      <c r="GP15" s="27">
        <v>63.425885802586464</v>
      </c>
      <c r="GQ15" s="27">
        <v>63.425885802586464</v>
      </c>
      <c r="GR15" s="27">
        <v>63.425885802586464</v>
      </c>
      <c r="GS15" s="27">
        <v>63.425885802586464</v>
      </c>
      <c r="GT15" s="27">
        <v>3</v>
      </c>
      <c r="GV15" s="27">
        <v>74.954808212521954</v>
      </c>
      <c r="GW15" s="27">
        <v>74.954808212521954</v>
      </c>
      <c r="GX15" s="27">
        <v>74.954808212521954</v>
      </c>
      <c r="GY15" s="27">
        <v>74.954808212521954</v>
      </c>
      <c r="GZ15" s="27">
        <v>74.954808212521954</v>
      </c>
      <c r="HA15" s="27">
        <v>74.954808212521954</v>
      </c>
      <c r="HB15" s="27">
        <v>74.954808212521954</v>
      </c>
      <c r="HC15" s="27">
        <v>74.954808212521954</v>
      </c>
      <c r="HD15" s="27">
        <v>74.954808212521954</v>
      </c>
      <c r="HE15" s="27">
        <v>3</v>
      </c>
      <c r="HG15" s="27">
        <v>103.35960638932592</v>
      </c>
      <c r="HH15" s="27">
        <v>103.35960638932592</v>
      </c>
      <c r="HI15" s="27">
        <v>103.35960638932592</v>
      </c>
      <c r="HJ15" s="27">
        <v>103.35960638932592</v>
      </c>
      <c r="HK15" s="27">
        <v>103.35960638932592</v>
      </c>
      <c r="HL15" s="27">
        <v>103.35960638932592</v>
      </c>
      <c r="HM15" s="27">
        <v>103.35960638932592</v>
      </c>
      <c r="HN15" s="27">
        <v>103.35960638932592</v>
      </c>
      <c r="HO15" s="27">
        <v>103.35960638932592</v>
      </c>
      <c r="HP15" s="27">
        <v>3</v>
      </c>
      <c r="HR15" s="27">
        <v>103.35960638932592</v>
      </c>
      <c r="HS15" s="27">
        <v>103.35960638932592</v>
      </c>
      <c r="HT15" s="27">
        <v>103.35960638932592</v>
      </c>
      <c r="HU15" s="27">
        <v>103.35960638932592</v>
      </c>
      <c r="HV15" s="27">
        <v>103.35960638932592</v>
      </c>
      <c r="HW15" s="27">
        <v>103.35960638932592</v>
      </c>
      <c r="HX15" s="27">
        <v>103.35960638932592</v>
      </c>
      <c r="HY15" s="27">
        <v>103.35960638932592</v>
      </c>
      <c r="HZ15" s="27">
        <v>103.35960638932592</v>
      </c>
      <c r="IA15" s="27">
        <v>3</v>
      </c>
    </row>
    <row r="16" spans="2:235" ht="15" thickBot="1">
      <c r="B16" s="1681" t="s">
        <v>642</v>
      </c>
      <c r="C16" s="1683"/>
      <c r="D16" s="1683"/>
      <c r="E16" s="1683"/>
      <c r="F16" s="1683"/>
      <c r="G16" s="1683"/>
      <c r="H16" s="1683"/>
      <c r="I16" s="1683"/>
      <c r="J16" s="1683"/>
      <c r="K16" s="1684"/>
      <c r="O16" s="87">
        <v>393.87578911312977</v>
      </c>
      <c r="P16" s="87">
        <v>393.87578911312977</v>
      </c>
      <c r="Q16" s="87">
        <v>393.87578911312977</v>
      </c>
      <c r="R16" s="87">
        <v>393.87578911312977</v>
      </c>
      <c r="S16" s="87">
        <v>393.87578911312977</v>
      </c>
      <c r="T16" s="87">
        <v>393.87578911312977</v>
      </c>
      <c r="U16" s="87">
        <v>393.87578911312977</v>
      </c>
      <c r="V16" s="87">
        <v>393.87578911312977</v>
      </c>
      <c r="W16" s="87">
        <v>393.87578911312977</v>
      </c>
      <c r="X16" s="129">
        <v>1.1000000000000001</v>
      </c>
      <c r="Z16" s="87">
        <v>561.56259697451094</v>
      </c>
      <c r="AA16" s="87">
        <v>561.56259697451094</v>
      </c>
      <c r="AB16" s="87">
        <v>561.56259697451094</v>
      </c>
      <c r="AC16" s="87">
        <v>561.56259697451094</v>
      </c>
      <c r="AD16" s="87">
        <v>561.56259697451094</v>
      </c>
      <c r="AE16" s="87">
        <v>561.56259697451094</v>
      </c>
      <c r="AF16" s="87">
        <v>561.56259697451094</v>
      </c>
      <c r="AG16" s="87">
        <v>561.56259697451094</v>
      </c>
      <c r="AH16" s="87">
        <v>561.56259697451094</v>
      </c>
      <c r="AI16" s="129">
        <v>1.1000000000000001</v>
      </c>
      <c r="AK16" s="87">
        <v>433.31348875572894</v>
      </c>
      <c r="AL16" s="87">
        <v>433.31348875572894</v>
      </c>
      <c r="AM16" s="87">
        <v>433.31348875572894</v>
      </c>
      <c r="AN16" s="87">
        <v>433.31348875572894</v>
      </c>
      <c r="AO16" s="87">
        <v>433.31348875572894</v>
      </c>
      <c r="AP16" s="87">
        <v>433.31348875572894</v>
      </c>
      <c r="AQ16" s="87">
        <v>433.31348875572894</v>
      </c>
      <c r="AR16" s="87">
        <v>433.31348875572894</v>
      </c>
      <c r="AS16" s="87">
        <v>433.31348875572894</v>
      </c>
      <c r="AT16" s="129">
        <v>1.1000000000000001</v>
      </c>
      <c r="AV16" s="87">
        <v>459.90425066582202</v>
      </c>
      <c r="AW16" s="87">
        <v>459.90425066582202</v>
      </c>
      <c r="AX16" s="87">
        <v>459.90425066582202</v>
      </c>
      <c r="AY16" s="87">
        <v>459.90425066582202</v>
      </c>
      <c r="AZ16" s="87">
        <v>459.90425066582202</v>
      </c>
      <c r="BA16" s="87">
        <v>459.90425066582202</v>
      </c>
      <c r="BB16" s="87">
        <v>459.90425066582202</v>
      </c>
      <c r="BC16" s="87">
        <v>459.90425066582202</v>
      </c>
      <c r="BD16" s="87">
        <v>459.90425066582202</v>
      </c>
      <c r="BE16" s="129">
        <v>1.1000000000000001</v>
      </c>
      <c r="BG16" s="87">
        <v>238.15625000000031</v>
      </c>
      <c r="BH16" s="87">
        <v>238.15625000000031</v>
      </c>
      <c r="BI16" s="87">
        <v>238.15625000000031</v>
      </c>
      <c r="BJ16" s="87">
        <v>238.15625000000031</v>
      </c>
      <c r="BK16" s="87">
        <v>238.15625000000031</v>
      </c>
      <c r="BL16" s="87">
        <v>238.15625000000031</v>
      </c>
      <c r="BM16" s="87">
        <v>238.15625000000031</v>
      </c>
      <c r="BN16" s="87">
        <v>238.15625000000031</v>
      </c>
      <c r="BO16" s="87">
        <v>238.15625000000031</v>
      </c>
      <c r="BP16" s="129">
        <v>1.1000000000000001</v>
      </c>
      <c r="BR16" s="87">
        <v>238.15625000000031</v>
      </c>
      <c r="BS16" s="87">
        <v>238.15625000000031</v>
      </c>
      <c r="BT16" s="87">
        <v>238.15625000000031</v>
      </c>
      <c r="BU16" s="87">
        <v>238.15625000000031</v>
      </c>
      <c r="BV16" s="87">
        <v>238.15625000000031</v>
      </c>
      <c r="BW16" s="87">
        <v>238.15625000000031</v>
      </c>
      <c r="BX16" s="87">
        <v>238.15625000000031</v>
      </c>
      <c r="BY16" s="87">
        <v>238.15625000000031</v>
      </c>
      <c r="BZ16" s="87">
        <v>238.15625000000031</v>
      </c>
      <c r="CA16" s="129">
        <v>1.1000000000000001</v>
      </c>
      <c r="CC16" s="87">
        <v>168.14199827660832</v>
      </c>
      <c r="CD16" s="87">
        <v>168.14199827660832</v>
      </c>
      <c r="CE16" s="87">
        <v>168.14199827660832</v>
      </c>
      <c r="CF16" s="87">
        <v>168.14199827660832</v>
      </c>
      <c r="CG16" s="87">
        <v>168.14199827660832</v>
      </c>
      <c r="CH16" s="87">
        <v>168.14199827660832</v>
      </c>
      <c r="CI16" s="87">
        <v>168.14199827660832</v>
      </c>
      <c r="CJ16" s="87">
        <v>168.14199827660832</v>
      </c>
      <c r="CK16" s="87">
        <v>168.14199827660832</v>
      </c>
      <c r="CL16" s="129">
        <v>1.1000000000000001</v>
      </c>
      <c r="CN16" s="87">
        <v>200.44820801108068</v>
      </c>
      <c r="CO16" s="87">
        <v>200.44820801108068</v>
      </c>
      <c r="CP16" s="87">
        <v>200.44820801108068</v>
      </c>
      <c r="CQ16" s="87">
        <v>200.44820801108068</v>
      </c>
      <c r="CR16" s="87">
        <v>200.44820801108068</v>
      </c>
      <c r="CS16" s="87">
        <v>200.44820801108068</v>
      </c>
      <c r="CT16" s="87">
        <v>200.44820801108068</v>
      </c>
      <c r="CU16" s="87">
        <v>200.44820801108068</v>
      </c>
      <c r="CV16" s="87">
        <v>200.44820801108068</v>
      </c>
      <c r="CW16" s="129">
        <v>1.1000000000000001</v>
      </c>
      <c r="CY16" s="87">
        <v>285.53662211081388</v>
      </c>
      <c r="CZ16" s="87">
        <v>285.53662211081388</v>
      </c>
      <c r="DA16" s="87">
        <v>285.53662211081388</v>
      </c>
      <c r="DB16" s="87">
        <v>285.53662211081388</v>
      </c>
      <c r="DC16" s="87">
        <v>285.53662211081388</v>
      </c>
      <c r="DD16" s="87">
        <v>285.53662211081388</v>
      </c>
      <c r="DE16" s="87">
        <v>285.53662211081388</v>
      </c>
      <c r="DF16" s="87">
        <v>285.53662211081388</v>
      </c>
      <c r="DG16" s="87">
        <v>285.53662211081388</v>
      </c>
      <c r="DH16" s="129">
        <v>1.1000000000000001</v>
      </c>
      <c r="DJ16" s="87">
        <v>285.53662211081388</v>
      </c>
      <c r="DK16" s="87">
        <v>285.53662211081388</v>
      </c>
      <c r="DL16" s="87">
        <v>285.53662211081388</v>
      </c>
      <c r="DM16" s="87">
        <v>285.53662211081388</v>
      </c>
      <c r="DN16" s="87">
        <v>285.53662211081388</v>
      </c>
      <c r="DO16" s="87">
        <v>285.53662211081388</v>
      </c>
      <c r="DP16" s="87">
        <v>285.53662211081388</v>
      </c>
      <c r="DQ16" s="87">
        <v>285.53662211081388</v>
      </c>
      <c r="DR16" s="87">
        <v>285.53662211081388</v>
      </c>
      <c r="DS16" s="129">
        <v>1.1000000000000001</v>
      </c>
      <c r="DW16" s="27">
        <v>78.414460248319074</v>
      </c>
      <c r="DX16" s="27">
        <v>78.414460248319074</v>
      </c>
      <c r="DY16" s="27">
        <v>78.414460248319074</v>
      </c>
      <c r="DZ16" s="27">
        <v>78.414460248319074</v>
      </c>
      <c r="EA16" s="27">
        <v>78.414460248319074</v>
      </c>
      <c r="EB16" s="27">
        <v>78.414460248319074</v>
      </c>
      <c r="EC16" s="27">
        <v>78.414460248319074</v>
      </c>
      <c r="ED16" s="27">
        <v>78.414460248319074</v>
      </c>
      <c r="EE16" s="27">
        <v>78.414460248319074</v>
      </c>
      <c r="EF16" s="27">
        <v>3.1</v>
      </c>
      <c r="EH16" s="27">
        <v>136.89597327117852</v>
      </c>
      <c r="EI16" s="27">
        <v>136.89597327117852</v>
      </c>
      <c r="EJ16" s="27">
        <v>136.89597327117852</v>
      </c>
      <c r="EK16" s="27">
        <v>136.89597327117852</v>
      </c>
      <c r="EL16" s="27">
        <v>136.89597327117852</v>
      </c>
      <c r="EM16" s="27">
        <v>136.89597327117852</v>
      </c>
      <c r="EN16" s="27">
        <v>136.89597327117852</v>
      </c>
      <c r="EO16" s="27">
        <v>136.89597327117852</v>
      </c>
      <c r="EP16" s="27">
        <v>136.89597327117852</v>
      </c>
      <c r="EQ16" s="27">
        <v>3.1</v>
      </c>
      <c r="ES16" s="27">
        <v>155.72282472245615</v>
      </c>
      <c r="ET16" s="27">
        <v>155.72282472245615</v>
      </c>
      <c r="EU16" s="27">
        <v>155.72282472245615</v>
      </c>
      <c r="EV16" s="27">
        <v>155.72282472245615</v>
      </c>
      <c r="EW16" s="27">
        <v>155.72282472245615</v>
      </c>
      <c r="EX16" s="27">
        <v>155.72282472245615</v>
      </c>
      <c r="EY16" s="27">
        <v>155.72282472245615</v>
      </c>
      <c r="EZ16" s="27">
        <v>155.72282472245615</v>
      </c>
      <c r="FA16" s="27">
        <v>155.72282472245615</v>
      </c>
      <c r="FB16" s="27">
        <v>3.1</v>
      </c>
      <c r="FD16" s="27">
        <v>162.27441192855952</v>
      </c>
      <c r="FE16" s="27">
        <v>162.27441192855952</v>
      </c>
      <c r="FF16" s="27">
        <v>162.27441192855952</v>
      </c>
      <c r="FG16" s="27">
        <v>162.27441192855952</v>
      </c>
      <c r="FH16" s="27">
        <v>162.27441192855952</v>
      </c>
      <c r="FI16" s="27">
        <v>162.27441192855952</v>
      </c>
      <c r="FJ16" s="27">
        <v>162.27441192855952</v>
      </c>
      <c r="FK16" s="27">
        <v>162.27441192855952</v>
      </c>
      <c r="FL16" s="27">
        <v>162.27441192855952</v>
      </c>
      <c r="FM16" s="27">
        <v>3.1</v>
      </c>
      <c r="FO16" s="27">
        <v>256.477577940061</v>
      </c>
      <c r="FP16" s="27">
        <v>256.477577940061</v>
      </c>
      <c r="FQ16" s="27">
        <v>256.477577940061</v>
      </c>
      <c r="FR16" s="27">
        <v>256.477577940061</v>
      </c>
      <c r="FS16" s="27">
        <v>256.477577940061</v>
      </c>
      <c r="FT16" s="27">
        <v>256.477577940061</v>
      </c>
      <c r="FU16" s="27">
        <v>256.477577940061</v>
      </c>
      <c r="FV16" s="27">
        <v>256.477577940061</v>
      </c>
      <c r="FW16" s="27">
        <v>256.477577940061</v>
      </c>
      <c r="FX16" s="27">
        <v>3.1</v>
      </c>
      <c r="FZ16" s="27">
        <v>256.477577940061</v>
      </c>
      <c r="GA16" s="27">
        <v>256.477577940061</v>
      </c>
      <c r="GB16" s="27">
        <v>256.477577940061</v>
      </c>
      <c r="GC16" s="27">
        <v>256.477577940061</v>
      </c>
      <c r="GD16" s="27">
        <v>256.477577940061</v>
      </c>
      <c r="GE16" s="27">
        <v>256.477577940061</v>
      </c>
      <c r="GF16" s="27">
        <v>256.477577940061</v>
      </c>
      <c r="GG16" s="27">
        <v>256.477577940061</v>
      </c>
      <c r="GH16" s="27">
        <v>256.477577940061</v>
      </c>
      <c r="GI16" s="27">
        <v>3.1</v>
      </c>
      <c r="GJ16" s="27"/>
      <c r="GK16" s="27">
        <v>61.36420315081557</v>
      </c>
      <c r="GL16" s="27">
        <v>61.36420315081557</v>
      </c>
      <c r="GM16" s="27">
        <v>61.36420315081557</v>
      </c>
      <c r="GN16" s="27">
        <v>61.36420315081557</v>
      </c>
      <c r="GO16" s="27">
        <v>61.36420315081557</v>
      </c>
      <c r="GP16" s="27">
        <v>61.36420315081557</v>
      </c>
      <c r="GQ16" s="27">
        <v>61.36420315081557</v>
      </c>
      <c r="GR16" s="27">
        <v>61.36420315081557</v>
      </c>
      <c r="GS16" s="27">
        <v>61.36420315081557</v>
      </c>
      <c r="GT16" s="27">
        <v>3.1</v>
      </c>
      <c r="GV16" s="27">
        <v>72.544779556533811</v>
      </c>
      <c r="GW16" s="27">
        <v>72.544779556533811</v>
      </c>
      <c r="GX16" s="27">
        <v>72.544779556533811</v>
      </c>
      <c r="GY16" s="27">
        <v>72.544779556533811</v>
      </c>
      <c r="GZ16" s="27">
        <v>72.544779556533811</v>
      </c>
      <c r="HA16" s="27">
        <v>72.544779556533811</v>
      </c>
      <c r="HB16" s="27">
        <v>72.544779556533811</v>
      </c>
      <c r="HC16" s="27">
        <v>72.544779556533811</v>
      </c>
      <c r="HD16" s="27">
        <v>72.544779556533811</v>
      </c>
      <c r="HE16" s="27">
        <v>3.1</v>
      </c>
      <c r="HG16" s="27">
        <v>100.03004641798981</v>
      </c>
      <c r="HH16" s="27">
        <v>100.03004641798981</v>
      </c>
      <c r="HI16" s="27">
        <v>100.03004641798981</v>
      </c>
      <c r="HJ16" s="27">
        <v>100.03004641798981</v>
      </c>
      <c r="HK16" s="27">
        <v>100.03004641798981</v>
      </c>
      <c r="HL16" s="27">
        <v>100.03004641798981</v>
      </c>
      <c r="HM16" s="27">
        <v>100.03004641798981</v>
      </c>
      <c r="HN16" s="27">
        <v>100.03004641798981</v>
      </c>
      <c r="HO16" s="27">
        <v>100.03004641798981</v>
      </c>
      <c r="HP16" s="27">
        <v>3.1</v>
      </c>
      <c r="HR16" s="27">
        <v>100.03004641798981</v>
      </c>
      <c r="HS16" s="27">
        <v>100.03004641798981</v>
      </c>
      <c r="HT16" s="27">
        <v>100.03004641798981</v>
      </c>
      <c r="HU16" s="27">
        <v>100.03004641798981</v>
      </c>
      <c r="HV16" s="27">
        <v>100.03004641798981</v>
      </c>
      <c r="HW16" s="27">
        <v>100.03004641798981</v>
      </c>
      <c r="HX16" s="27">
        <v>100.03004641798981</v>
      </c>
      <c r="HY16" s="27">
        <v>100.03004641798981</v>
      </c>
      <c r="HZ16" s="27">
        <v>100.03004641798981</v>
      </c>
      <c r="IA16" s="27">
        <v>3.1</v>
      </c>
    </row>
    <row r="17" spans="2:235" ht="15" thickBot="1">
      <c r="B17" s="1685" t="s">
        <v>49</v>
      </c>
      <c r="C17" s="1683"/>
      <c r="D17" s="1683"/>
      <c r="E17" s="1683"/>
      <c r="F17" s="1683"/>
      <c r="G17" s="1684"/>
      <c r="H17" s="1685" t="s">
        <v>56</v>
      </c>
      <c r="I17" s="1683"/>
      <c r="J17" s="1683"/>
      <c r="K17" s="1684"/>
      <c r="O17" s="87">
        <v>350.94821988710748</v>
      </c>
      <c r="P17" s="87">
        <v>350.94821988710748</v>
      </c>
      <c r="Q17" s="87">
        <v>350.94821988710748</v>
      </c>
      <c r="R17" s="87">
        <v>350.94821988710748</v>
      </c>
      <c r="S17" s="87">
        <v>350.94821988710748</v>
      </c>
      <c r="T17" s="87">
        <v>350.94821988710748</v>
      </c>
      <c r="U17" s="87">
        <v>350.94821988710748</v>
      </c>
      <c r="V17" s="87">
        <v>350.94821988710748</v>
      </c>
      <c r="W17" s="87">
        <v>350.94821988710748</v>
      </c>
      <c r="X17" s="129">
        <v>1.2</v>
      </c>
      <c r="Z17" s="87">
        <v>504.67261370735082</v>
      </c>
      <c r="AA17" s="87">
        <v>504.67261370735082</v>
      </c>
      <c r="AB17" s="87">
        <v>504.67261370735082</v>
      </c>
      <c r="AC17" s="87">
        <v>504.67261370735082</v>
      </c>
      <c r="AD17" s="87">
        <v>504.67261370735082</v>
      </c>
      <c r="AE17" s="87">
        <v>504.67261370735082</v>
      </c>
      <c r="AF17" s="87">
        <v>504.67261370735082</v>
      </c>
      <c r="AG17" s="87">
        <v>504.67261370735082</v>
      </c>
      <c r="AH17" s="87">
        <v>504.67261370735082</v>
      </c>
      <c r="AI17" s="129">
        <v>1.2</v>
      </c>
      <c r="AK17" s="87">
        <v>397.61898319147383</v>
      </c>
      <c r="AL17" s="87">
        <v>397.61898319147383</v>
      </c>
      <c r="AM17" s="87">
        <v>397.61898319147383</v>
      </c>
      <c r="AN17" s="87">
        <v>397.61898319147383</v>
      </c>
      <c r="AO17" s="87">
        <v>397.61898319147383</v>
      </c>
      <c r="AP17" s="87">
        <v>397.61898319147383</v>
      </c>
      <c r="AQ17" s="87">
        <v>397.61898319147383</v>
      </c>
      <c r="AR17" s="87">
        <v>397.61898319147383</v>
      </c>
      <c r="AS17" s="87">
        <v>397.61898319147383</v>
      </c>
      <c r="AT17" s="129">
        <v>1.2</v>
      </c>
      <c r="AV17" s="87">
        <v>421.59193518575614</v>
      </c>
      <c r="AW17" s="87">
        <v>421.59193518575614</v>
      </c>
      <c r="AX17" s="87">
        <v>421.59193518575614</v>
      </c>
      <c r="AY17" s="87">
        <v>421.59193518575614</v>
      </c>
      <c r="AZ17" s="87">
        <v>421.59193518575614</v>
      </c>
      <c r="BA17" s="87">
        <v>421.59193518575614</v>
      </c>
      <c r="BB17" s="87">
        <v>421.59193518575614</v>
      </c>
      <c r="BC17" s="87">
        <v>421.59193518575614</v>
      </c>
      <c r="BD17" s="87">
        <v>421.59193518575614</v>
      </c>
      <c r="BE17" s="129">
        <v>1.2</v>
      </c>
      <c r="BG17" s="87">
        <v>235.4464285714289</v>
      </c>
      <c r="BH17" s="87">
        <v>235.4464285714289</v>
      </c>
      <c r="BI17" s="87">
        <v>235.4464285714289</v>
      </c>
      <c r="BJ17" s="87">
        <v>235.4464285714289</v>
      </c>
      <c r="BK17" s="87">
        <v>235.4464285714289</v>
      </c>
      <c r="BL17" s="87">
        <v>235.4464285714289</v>
      </c>
      <c r="BM17" s="87">
        <v>235.4464285714289</v>
      </c>
      <c r="BN17" s="87">
        <v>235.4464285714289</v>
      </c>
      <c r="BO17" s="87">
        <v>235.4464285714289</v>
      </c>
      <c r="BP17" s="129">
        <v>1.2</v>
      </c>
      <c r="BR17" s="87">
        <v>235.4464285714289</v>
      </c>
      <c r="BS17" s="87">
        <v>235.4464285714289</v>
      </c>
      <c r="BT17" s="87">
        <v>235.4464285714289</v>
      </c>
      <c r="BU17" s="87">
        <v>235.4464285714289</v>
      </c>
      <c r="BV17" s="87">
        <v>235.4464285714289</v>
      </c>
      <c r="BW17" s="87">
        <v>235.4464285714289</v>
      </c>
      <c r="BX17" s="87">
        <v>235.4464285714289</v>
      </c>
      <c r="BY17" s="87">
        <v>235.4464285714289</v>
      </c>
      <c r="BZ17" s="87">
        <v>235.4464285714289</v>
      </c>
      <c r="CA17" s="129">
        <v>1.2</v>
      </c>
      <c r="CC17" s="87">
        <v>154.2643342286334</v>
      </c>
      <c r="CD17" s="87">
        <v>154.2643342286334</v>
      </c>
      <c r="CE17" s="87">
        <v>154.2643342286334</v>
      </c>
      <c r="CF17" s="87">
        <v>154.2643342286334</v>
      </c>
      <c r="CG17" s="87">
        <v>154.2643342286334</v>
      </c>
      <c r="CH17" s="87">
        <v>154.2643342286334</v>
      </c>
      <c r="CI17" s="87">
        <v>154.2643342286334</v>
      </c>
      <c r="CJ17" s="87">
        <v>154.2643342286334</v>
      </c>
      <c r="CK17" s="87">
        <v>154.2643342286334</v>
      </c>
      <c r="CL17" s="129">
        <v>1.2</v>
      </c>
      <c r="CN17" s="87">
        <v>183.95215012667822</v>
      </c>
      <c r="CO17" s="87">
        <v>183.95215012667822</v>
      </c>
      <c r="CP17" s="87">
        <v>183.95215012667822</v>
      </c>
      <c r="CQ17" s="87">
        <v>183.95215012667822</v>
      </c>
      <c r="CR17" s="87">
        <v>183.95215012667822</v>
      </c>
      <c r="CS17" s="87">
        <v>183.95215012667822</v>
      </c>
      <c r="CT17" s="87">
        <v>183.95215012667822</v>
      </c>
      <c r="CU17" s="87">
        <v>183.95215012667822</v>
      </c>
      <c r="CV17" s="87">
        <v>183.95215012667822</v>
      </c>
      <c r="CW17" s="129">
        <v>1.2</v>
      </c>
      <c r="CY17" s="87">
        <v>261.62805575127942</v>
      </c>
      <c r="CZ17" s="87">
        <v>261.62805575127942</v>
      </c>
      <c r="DA17" s="87">
        <v>261.62805575127942</v>
      </c>
      <c r="DB17" s="87">
        <v>261.62805575127942</v>
      </c>
      <c r="DC17" s="87">
        <v>261.62805575127942</v>
      </c>
      <c r="DD17" s="87">
        <v>261.62805575127942</v>
      </c>
      <c r="DE17" s="87">
        <v>261.62805575127942</v>
      </c>
      <c r="DF17" s="87">
        <v>261.62805575127942</v>
      </c>
      <c r="DG17" s="87">
        <v>261.62805575127942</v>
      </c>
      <c r="DH17" s="129">
        <v>1.2</v>
      </c>
      <c r="DJ17" s="87">
        <v>261.62805575127942</v>
      </c>
      <c r="DK17" s="87">
        <v>261.62805575127942</v>
      </c>
      <c r="DL17" s="87">
        <v>261.62805575127942</v>
      </c>
      <c r="DM17" s="87">
        <v>261.62805575127942</v>
      </c>
      <c r="DN17" s="87">
        <v>261.62805575127942</v>
      </c>
      <c r="DO17" s="87">
        <v>261.62805575127942</v>
      </c>
      <c r="DP17" s="87">
        <v>261.62805575127942</v>
      </c>
      <c r="DQ17" s="87">
        <v>261.62805575127942</v>
      </c>
      <c r="DR17" s="87">
        <v>261.62805575127942</v>
      </c>
      <c r="DS17" s="129">
        <v>1.2</v>
      </c>
      <c r="DW17" s="27">
        <v>75.948088194659618</v>
      </c>
      <c r="DX17" s="27">
        <v>75.948088194659618</v>
      </c>
      <c r="DY17" s="27">
        <v>75.948088194659618</v>
      </c>
      <c r="DZ17" s="27">
        <v>75.948088194659618</v>
      </c>
      <c r="EA17" s="27">
        <v>75.948088194659618</v>
      </c>
      <c r="EB17" s="27">
        <v>75.948088194659618</v>
      </c>
      <c r="EC17" s="27">
        <v>75.948088194659618</v>
      </c>
      <c r="ED17" s="27">
        <v>75.948088194659618</v>
      </c>
      <c r="EE17" s="27">
        <v>75.948088194659618</v>
      </c>
      <c r="EF17" s="27">
        <v>3.2</v>
      </c>
      <c r="EH17" s="27">
        <v>132.43786707550635</v>
      </c>
      <c r="EI17" s="27">
        <v>132.43786707550635</v>
      </c>
      <c r="EJ17" s="27">
        <v>132.43786707550635</v>
      </c>
      <c r="EK17" s="27">
        <v>132.43786707550635</v>
      </c>
      <c r="EL17" s="27">
        <v>132.43786707550635</v>
      </c>
      <c r="EM17" s="27">
        <v>132.43786707550635</v>
      </c>
      <c r="EN17" s="27">
        <v>132.43786707550635</v>
      </c>
      <c r="EO17" s="27">
        <v>132.43786707550635</v>
      </c>
      <c r="EP17" s="27">
        <v>132.43786707550635</v>
      </c>
      <c r="EQ17" s="27">
        <v>3.2</v>
      </c>
      <c r="ES17" s="27">
        <v>150.91196525576512</v>
      </c>
      <c r="ET17" s="27">
        <v>150.91196525576512</v>
      </c>
      <c r="EU17" s="27">
        <v>150.91196525576512</v>
      </c>
      <c r="EV17" s="27">
        <v>150.91196525576512</v>
      </c>
      <c r="EW17" s="27">
        <v>150.91196525576512</v>
      </c>
      <c r="EX17" s="27">
        <v>150.91196525576512</v>
      </c>
      <c r="EY17" s="27">
        <v>150.91196525576512</v>
      </c>
      <c r="EZ17" s="27">
        <v>150.91196525576512</v>
      </c>
      <c r="FA17" s="27">
        <v>150.91196525576512</v>
      </c>
      <c r="FB17" s="27">
        <v>3.2</v>
      </c>
      <c r="FD17" s="27">
        <v>157.23456571043178</v>
      </c>
      <c r="FE17" s="27">
        <v>157.23456571043178</v>
      </c>
      <c r="FF17" s="27">
        <v>157.23456571043178</v>
      </c>
      <c r="FG17" s="27">
        <v>157.23456571043178</v>
      </c>
      <c r="FH17" s="27">
        <v>157.23456571043178</v>
      </c>
      <c r="FI17" s="27">
        <v>157.23456571043178</v>
      </c>
      <c r="FJ17" s="27">
        <v>157.23456571043178</v>
      </c>
      <c r="FK17" s="27">
        <v>157.23456571043178</v>
      </c>
      <c r="FL17" s="27">
        <v>157.23456571043178</v>
      </c>
      <c r="FM17" s="27">
        <v>3.2</v>
      </c>
      <c r="FO17" s="27">
        <v>248.41617653485591</v>
      </c>
      <c r="FP17" s="27">
        <v>248.41617653485591</v>
      </c>
      <c r="FQ17" s="27">
        <v>248.41617653485591</v>
      </c>
      <c r="FR17" s="27">
        <v>248.41617653485591</v>
      </c>
      <c r="FS17" s="27">
        <v>248.41617653485591</v>
      </c>
      <c r="FT17" s="27">
        <v>248.41617653485591</v>
      </c>
      <c r="FU17" s="27">
        <v>248.41617653485591</v>
      </c>
      <c r="FV17" s="27">
        <v>248.41617653485591</v>
      </c>
      <c r="FW17" s="27">
        <v>248.41617653485591</v>
      </c>
      <c r="FX17" s="27">
        <v>3.2</v>
      </c>
      <c r="FZ17" s="27">
        <v>248.41617653485591</v>
      </c>
      <c r="GA17" s="27">
        <v>248.41617653485591</v>
      </c>
      <c r="GB17" s="27">
        <v>248.41617653485591</v>
      </c>
      <c r="GC17" s="27">
        <v>248.41617653485591</v>
      </c>
      <c r="GD17" s="27">
        <v>248.41617653485591</v>
      </c>
      <c r="GE17" s="27">
        <v>248.41617653485591</v>
      </c>
      <c r="GF17" s="27">
        <v>248.41617653485591</v>
      </c>
      <c r="GG17" s="27">
        <v>248.41617653485591</v>
      </c>
      <c r="GH17" s="27">
        <v>248.41617653485591</v>
      </c>
      <c r="GI17" s="27">
        <v>3.2</v>
      </c>
      <c r="GJ17" s="27"/>
      <c r="GK17" s="27">
        <v>59.431861864776359</v>
      </c>
      <c r="GL17" s="27">
        <v>59.431861864776359</v>
      </c>
      <c r="GM17" s="27">
        <v>59.431861864776359</v>
      </c>
      <c r="GN17" s="27">
        <v>59.431861864776359</v>
      </c>
      <c r="GO17" s="27">
        <v>59.431861864776359</v>
      </c>
      <c r="GP17" s="27">
        <v>59.431861864776359</v>
      </c>
      <c r="GQ17" s="27">
        <v>59.431861864776359</v>
      </c>
      <c r="GR17" s="27">
        <v>59.431861864776359</v>
      </c>
      <c r="GS17" s="27">
        <v>59.431861864776359</v>
      </c>
      <c r="GT17" s="27">
        <v>3.2</v>
      </c>
      <c r="GV17" s="27">
        <v>70.28513645409862</v>
      </c>
      <c r="GW17" s="27">
        <v>70.28513645409862</v>
      </c>
      <c r="GX17" s="27">
        <v>70.28513645409862</v>
      </c>
      <c r="GY17" s="27">
        <v>70.28513645409862</v>
      </c>
      <c r="GZ17" s="27">
        <v>70.28513645409862</v>
      </c>
      <c r="HA17" s="27">
        <v>70.28513645409862</v>
      </c>
      <c r="HB17" s="27">
        <v>70.28513645409862</v>
      </c>
      <c r="HC17" s="27">
        <v>70.28513645409862</v>
      </c>
      <c r="HD17" s="27">
        <v>70.28513645409862</v>
      </c>
      <c r="HE17" s="27">
        <v>3.2</v>
      </c>
      <c r="HG17" s="27">
        <v>96.908442007255559</v>
      </c>
      <c r="HH17" s="27">
        <v>96.908442007255559</v>
      </c>
      <c r="HI17" s="27">
        <v>96.908442007255559</v>
      </c>
      <c r="HJ17" s="27">
        <v>96.908442007255559</v>
      </c>
      <c r="HK17" s="27">
        <v>96.908442007255559</v>
      </c>
      <c r="HL17" s="27">
        <v>96.908442007255559</v>
      </c>
      <c r="HM17" s="27">
        <v>96.908442007255559</v>
      </c>
      <c r="HN17" s="27">
        <v>96.908442007255559</v>
      </c>
      <c r="HO17" s="27">
        <v>96.908442007255559</v>
      </c>
      <c r="HP17" s="27">
        <v>3.2</v>
      </c>
      <c r="HR17" s="27">
        <v>96.908442007255559</v>
      </c>
      <c r="HS17" s="27">
        <v>96.908442007255559</v>
      </c>
      <c r="HT17" s="27">
        <v>96.908442007255559</v>
      </c>
      <c r="HU17" s="27">
        <v>96.908442007255559</v>
      </c>
      <c r="HV17" s="27">
        <v>96.908442007255559</v>
      </c>
      <c r="HW17" s="27">
        <v>96.908442007255559</v>
      </c>
      <c r="HX17" s="27">
        <v>96.908442007255559</v>
      </c>
      <c r="HY17" s="27">
        <v>96.908442007255559</v>
      </c>
      <c r="HZ17" s="27">
        <v>96.908442007255559</v>
      </c>
      <c r="IA17" s="27">
        <v>3.2</v>
      </c>
    </row>
    <row r="18" spans="2:235" ht="15" thickBot="1">
      <c r="B18" s="509">
        <v>2</v>
      </c>
      <c r="C18" s="510">
        <v>3</v>
      </c>
      <c r="D18" s="510">
        <v>4</v>
      </c>
      <c r="E18" s="510">
        <v>5</v>
      </c>
      <c r="F18" s="510">
        <v>6</v>
      </c>
      <c r="G18" s="510">
        <v>8</v>
      </c>
      <c r="H18" s="510">
        <v>4</v>
      </c>
      <c r="I18" s="510">
        <v>5</v>
      </c>
      <c r="J18" s="510">
        <v>6</v>
      </c>
      <c r="K18" s="511">
        <v>8</v>
      </c>
      <c r="O18" s="87">
        <v>315.60259825148898</v>
      </c>
      <c r="P18" s="87">
        <v>315.60259825148898</v>
      </c>
      <c r="Q18" s="87">
        <v>315.60259825148898</v>
      </c>
      <c r="R18" s="87">
        <v>315.60259825148898</v>
      </c>
      <c r="S18" s="87">
        <v>315.60259825148898</v>
      </c>
      <c r="T18" s="87">
        <v>315.60259825148898</v>
      </c>
      <c r="U18" s="87">
        <v>315.60259825148898</v>
      </c>
      <c r="V18" s="87">
        <v>315.60259825148898</v>
      </c>
      <c r="W18" s="87">
        <v>315.60259825148898</v>
      </c>
      <c r="X18" s="129">
        <v>1.3</v>
      </c>
      <c r="Z18" s="87">
        <v>457.44250269536138</v>
      </c>
      <c r="AA18" s="87">
        <v>457.44250269536138</v>
      </c>
      <c r="AB18" s="87">
        <v>457.44250269536138</v>
      </c>
      <c r="AC18" s="87">
        <v>457.44250269536138</v>
      </c>
      <c r="AD18" s="87">
        <v>457.44250269536138</v>
      </c>
      <c r="AE18" s="87">
        <v>457.44250269536138</v>
      </c>
      <c r="AF18" s="87">
        <v>457.44250269536138</v>
      </c>
      <c r="AG18" s="87">
        <v>457.44250269536138</v>
      </c>
      <c r="AH18" s="87">
        <v>457.44250269536138</v>
      </c>
      <c r="AI18" s="129">
        <v>1.3</v>
      </c>
      <c r="AK18" s="87">
        <v>367.38561661768881</v>
      </c>
      <c r="AL18" s="87">
        <v>367.38561661768881</v>
      </c>
      <c r="AM18" s="87">
        <v>367.38561661768881</v>
      </c>
      <c r="AN18" s="87">
        <v>367.38561661768881</v>
      </c>
      <c r="AO18" s="87">
        <v>367.38561661768881</v>
      </c>
      <c r="AP18" s="87">
        <v>367.38561661768881</v>
      </c>
      <c r="AQ18" s="87">
        <v>367.38561661768881</v>
      </c>
      <c r="AR18" s="87">
        <v>367.38561661768881</v>
      </c>
      <c r="AS18" s="87">
        <v>367.38561661768881</v>
      </c>
      <c r="AT18" s="129">
        <v>1.3</v>
      </c>
      <c r="AV18" s="87">
        <v>389.17285848172764</v>
      </c>
      <c r="AW18" s="87">
        <v>389.17285848172764</v>
      </c>
      <c r="AX18" s="87">
        <v>389.17285848172764</v>
      </c>
      <c r="AY18" s="87">
        <v>389.17285848172764</v>
      </c>
      <c r="AZ18" s="87">
        <v>389.17285848172764</v>
      </c>
      <c r="BA18" s="87">
        <v>389.17285848172764</v>
      </c>
      <c r="BB18" s="87">
        <v>389.17285848172764</v>
      </c>
      <c r="BC18" s="87">
        <v>389.17285848172764</v>
      </c>
      <c r="BD18" s="87">
        <v>389.17285848172764</v>
      </c>
      <c r="BE18" s="129">
        <v>1.3</v>
      </c>
      <c r="BG18" s="87">
        <v>232.75744047619079</v>
      </c>
      <c r="BH18" s="87">
        <v>232.75744047619079</v>
      </c>
      <c r="BI18" s="87">
        <v>232.75744047619079</v>
      </c>
      <c r="BJ18" s="87">
        <v>232.75744047619079</v>
      </c>
      <c r="BK18" s="87">
        <v>232.75744047619079</v>
      </c>
      <c r="BL18" s="87">
        <v>232.75744047619079</v>
      </c>
      <c r="BM18" s="87">
        <v>232.75744047619079</v>
      </c>
      <c r="BN18" s="87">
        <v>232.75744047619079</v>
      </c>
      <c r="BO18" s="87">
        <v>232.75744047619079</v>
      </c>
      <c r="BP18" s="129">
        <v>1.3</v>
      </c>
      <c r="BR18" s="87">
        <v>232.75744047619079</v>
      </c>
      <c r="BS18" s="87">
        <v>232.75744047619079</v>
      </c>
      <c r="BT18" s="87">
        <v>232.75744047619079</v>
      </c>
      <c r="BU18" s="87">
        <v>232.75744047619079</v>
      </c>
      <c r="BV18" s="87">
        <v>232.75744047619079</v>
      </c>
      <c r="BW18" s="87">
        <v>232.75744047619079</v>
      </c>
      <c r="BX18" s="87">
        <v>232.75744047619079</v>
      </c>
      <c r="BY18" s="87">
        <v>232.75744047619079</v>
      </c>
      <c r="BZ18" s="87">
        <v>232.75744047619079</v>
      </c>
      <c r="CA18" s="129">
        <v>1.3</v>
      </c>
      <c r="CC18" s="87">
        <v>142.51187170081786</v>
      </c>
      <c r="CD18" s="87">
        <v>142.51187170081786</v>
      </c>
      <c r="CE18" s="87">
        <v>142.51187170081786</v>
      </c>
      <c r="CF18" s="87">
        <v>142.51187170081786</v>
      </c>
      <c r="CG18" s="87">
        <v>142.51187170081786</v>
      </c>
      <c r="CH18" s="87">
        <v>142.51187170081786</v>
      </c>
      <c r="CI18" s="87">
        <v>142.51187170081786</v>
      </c>
      <c r="CJ18" s="87">
        <v>142.51187170081786</v>
      </c>
      <c r="CK18" s="87">
        <v>142.51187170081786</v>
      </c>
      <c r="CL18" s="129">
        <v>1.3</v>
      </c>
      <c r="CN18" s="87">
        <v>169.97876502933829</v>
      </c>
      <c r="CO18" s="87">
        <v>169.97876502933829</v>
      </c>
      <c r="CP18" s="87">
        <v>169.97876502933829</v>
      </c>
      <c r="CQ18" s="87">
        <v>169.97876502933829</v>
      </c>
      <c r="CR18" s="87">
        <v>169.97876502933829</v>
      </c>
      <c r="CS18" s="87">
        <v>169.97876502933829</v>
      </c>
      <c r="CT18" s="87">
        <v>169.97876502933829</v>
      </c>
      <c r="CU18" s="87">
        <v>169.97876502933829</v>
      </c>
      <c r="CV18" s="87">
        <v>169.97876502933829</v>
      </c>
      <c r="CW18" s="129">
        <v>1.3</v>
      </c>
      <c r="CY18" s="87">
        <v>241.40618733337246</v>
      </c>
      <c r="CZ18" s="87">
        <v>241.40618733337246</v>
      </c>
      <c r="DA18" s="87">
        <v>241.40618733337246</v>
      </c>
      <c r="DB18" s="87">
        <v>241.40618733337246</v>
      </c>
      <c r="DC18" s="87">
        <v>241.40618733337246</v>
      </c>
      <c r="DD18" s="87">
        <v>241.40618733337246</v>
      </c>
      <c r="DE18" s="87">
        <v>241.40618733337246</v>
      </c>
      <c r="DF18" s="87">
        <v>241.40618733337246</v>
      </c>
      <c r="DG18" s="87">
        <v>241.40618733337246</v>
      </c>
      <c r="DH18" s="129">
        <v>1.3</v>
      </c>
      <c r="DJ18" s="87">
        <v>241.40618733337246</v>
      </c>
      <c r="DK18" s="87">
        <v>241.40618733337246</v>
      </c>
      <c r="DL18" s="87">
        <v>241.40618733337246</v>
      </c>
      <c r="DM18" s="87">
        <v>241.40618733337246</v>
      </c>
      <c r="DN18" s="87">
        <v>241.40618733337246</v>
      </c>
      <c r="DO18" s="87">
        <v>241.40618733337246</v>
      </c>
      <c r="DP18" s="87">
        <v>241.40618733337246</v>
      </c>
      <c r="DQ18" s="87">
        <v>241.40618733337246</v>
      </c>
      <c r="DR18" s="87">
        <v>241.40618733337246</v>
      </c>
      <c r="DS18" s="129">
        <v>1.3</v>
      </c>
      <c r="DW18" s="27">
        <v>73.631671406306509</v>
      </c>
      <c r="DX18" s="27">
        <v>73.631671406306509</v>
      </c>
      <c r="DY18" s="27">
        <v>73.631671406306509</v>
      </c>
      <c r="DZ18" s="27">
        <v>73.631671406306509</v>
      </c>
      <c r="EA18" s="27">
        <v>73.631671406306509</v>
      </c>
      <c r="EB18" s="27">
        <v>73.631671406306509</v>
      </c>
      <c r="EC18" s="27">
        <v>73.631671406306509</v>
      </c>
      <c r="ED18" s="27">
        <v>73.631671406306509</v>
      </c>
      <c r="EE18" s="27">
        <v>73.631671406306509</v>
      </c>
      <c r="EF18" s="27">
        <v>3.3</v>
      </c>
      <c r="EH18" s="27">
        <v>128.25555017429059</v>
      </c>
      <c r="EI18" s="27">
        <v>128.25555017429059</v>
      </c>
      <c r="EJ18" s="27">
        <v>128.25555017429059</v>
      </c>
      <c r="EK18" s="27">
        <v>128.25555017429059</v>
      </c>
      <c r="EL18" s="27">
        <v>128.25555017429059</v>
      </c>
      <c r="EM18" s="27">
        <v>128.25555017429059</v>
      </c>
      <c r="EN18" s="27">
        <v>128.25555017429059</v>
      </c>
      <c r="EO18" s="27">
        <v>128.25555017429059</v>
      </c>
      <c r="EP18" s="27">
        <v>128.25555017429059</v>
      </c>
      <c r="EQ18" s="27">
        <v>3.3</v>
      </c>
      <c r="ES18" s="27">
        <v>146.39103633296565</v>
      </c>
      <c r="ET18" s="27">
        <v>146.39103633296565</v>
      </c>
      <c r="EU18" s="27">
        <v>146.39103633296565</v>
      </c>
      <c r="EV18" s="27">
        <v>146.39103633296565</v>
      </c>
      <c r="EW18" s="27">
        <v>146.39103633296565</v>
      </c>
      <c r="EX18" s="27">
        <v>146.39103633296565</v>
      </c>
      <c r="EY18" s="27">
        <v>146.39103633296565</v>
      </c>
      <c r="EZ18" s="27">
        <v>146.39103633296565</v>
      </c>
      <c r="FA18" s="27">
        <v>146.39103633296565</v>
      </c>
      <c r="FB18" s="27">
        <v>3.3</v>
      </c>
      <c r="FD18" s="27">
        <v>152.4992385302389</v>
      </c>
      <c r="FE18" s="27">
        <v>152.4992385302389</v>
      </c>
      <c r="FF18" s="27">
        <v>152.4992385302389</v>
      </c>
      <c r="FG18" s="27">
        <v>152.4992385302389</v>
      </c>
      <c r="FH18" s="27">
        <v>152.4992385302389</v>
      </c>
      <c r="FI18" s="27">
        <v>152.4992385302389</v>
      </c>
      <c r="FJ18" s="27">
        <v>152.4992385302389</v>
      </c>
      <c r="FK18" s="27">
        <v>152.4992385302389</v>
      </c>
      <c r="FL18" s="27">
        <v>152.4992385302389</v>
      </c>
      <c r="FM18" s="27">
        <v>3.3</v>
      </c>
      <c r="FO18" s="27">
        <v>240.84473990861605</v>
      </c>
      <c r="FP18" s="27">
        <v>240.84473990861605</v>
      </c>
      <c r="FQ18" s="27">
        <v>240.84473990861605</v>
      </c>
      <c r="FR18" s="27">
        <v>240.84473990861605</v>
      </c>
      <c r="FS18" s="27">
        <v>240.84473990861605</v>
      </c>
      <c r="FT18" s="27">
        <v>240.84473990861605</v>
      </c>
      <c r="FU18" s="27">
        <v>240.84473990861605</v>
      </c>
      <c r="FV18" s="27">
        <v>240.84473990861605</v>
      </c>
      <c r="FW18" s="27">
        <v>240.84473990861605</v>
      </c>
      <c r="FX18" s="27">
        <v>3.3</v>
      </c>
      <c r="FZ18" s="27">
        <v>240.84473990861605</v>
      </c>
      <c r="GA18" s="27">
        <v>240.84473990861605</v>
      </c>
      <c r="GB18" s="27">
        <v>240.84473990861605</v>
      </c>
      <c r="GC18" s="27">
        <v>240.84473990861605</v>
      </c>
      <c r="GD18" s="27">
        <v>240.84473990861605</v>
      </c>
      <c r="GE18" s="27">
        <v>240.84473990861605</v>
      </c>
      <c r="GF18" s="27">
        <v>240.84473990861605</v>
      </c>
      <c r="GG18" s="27">
        <v>240.84473990861605</v>
      </c>
      <c r="GH18" s="27">
        <v>240.84473990861605</v>
      </c>
      <c r="GI18" s="27">
        <v>3.3</v>
      </c>
      <c r="GJ18" s="27"/>
      <c r="GK18" s="27">
        <v>57.6170745084939</v>
      </c>
      <c r="GL18" s="27">
        <v>57.6170745084939</v>
      </c>
      <c r="GM18" s="27">
        <v>57.6170745084939</v>
      </c>
      <c r="GN18" s="27">
        <v>57.6170745084939</v>
      </c>
      <c r="GO18" s="27">
        <v>57.6170745084939</v>
      </c>
      <c r="GP18" s="27">
        <v>57.6170745084939</v>
      </c>
      <c r="GQ18" s="27">
        <v>57.6170745084939</v>
      </c>
      <c r="GR18" s="27">
        <v>57.6170745084939</v>
      </c>
      <c r="GS18" s="27">
        <v>57.6170745084939</v>
      </c>
      <c r="GT18" s="27">
        <v>3.3</v>
      </c>
      <c r="GV18" s="27">
        <v>68.162221867220552</v>
      </c>
      <c r="GW18" s="27">
        <v>68.162221867220552</v>
      </c>
      <c r="GX18" s="27">
        <v>68.162221867220552</v>
      </c>
      <c r="GY18" s="27">
        <v>68.162221867220552</v>
      </c>
      <c r="GZ18" s="27">
        <v>68.162221867220552</v>
      </c>
      <c r="HA18" s="27">
        <v>68.162221867220552</v>
      </c>
      <c r="HB18" s="27">
        <v>68.162221867220552</v>
      </c>
      <c r="HC18" s="27">
        <v>68.162221867220552</v>
      </c>
      <c r="HD18" s="27">
        <v>68.162221867220552</v>
      </c>
      <c r="HE18" s="27">
        <v>3.3</v>
      </c>
      <c r="HG18" s="27">
        <v>93.975896572383675</v>
      </c>
      <c r="HH18" s="27">
        <v>93.975896572383675</v>
      </c>
      <c r="HI18" s="27">
        <v>93.975896572383675</v>
      </c>
      <c r="HJ18" s="27">
        <v>93.975896572383675</v>
      </c>
      <c r="HK18" s="27">
        <v>93.975896572383675</v>
      </c>
      <c r="HL18" s="27">
        <v>93.975896572383675</v>
      </c>
      <c r="HM18" s="27">
        <v>93.975896572383675</v>
      </c>
      <c r="HN18" s="27">
        <v>93.975896572383675</v>
      </c>
      <c r="HO18" s="27">
        <v>93.975896572383675</v>
      </c>
      <c r="HP18" s="27">
        <v>3.3</v>
      </c>
      <c r="HR18" s="27">
        <v>93.975896572383675</v>
      </c>
      <c r="HS18" s="27">
        <v>93.975896572383675</v>
      </c>
      <c r="HT18" s="27">
        <v>93.975896572383675</v>
      </c>
      <c r="HU18" s="27">
        <v>93.975896572383675</v>
      </c>
      <c r="HV18" s="27">
        <v>93.975896572383675</v>
      </c>
      <c r="HW18" s="27">
        <v>93.975896572383675</v>
      </c>
      <c r="HX18" s="27">
        <v>93.975896572383675</v>
      </c>
      <c r="HY18" s="27">
        <v>93.975896572383675</v>
      </c>
      <c r="HZ18" s="27">
        <v>93.975896572383675</v>
      </c>
      <c r="IA18" s="27">
        <v>3.3</v>
      </c>
    </row>
    <row r="19" spans="2:235">
      <c r="B19" s="512" t="s">
        <v>543</v>
      </c>
      <c r="C19" s="257" t="s">
        <v>543</v>
      </c>
      <c r="D19" s="257" t="s">
        <v>543</v>
      </c>
      <c r="E19" s="257" t="s">
        <v>543</v>
      </c>
      <c r="F19" s="257" t="s">
        <v>543</v>
      </c>
      <c r="G19" s="257" t="s">
        <v>543</v>
      </c>
      <c r="H19" s="257" t="s">
        <v>543</v>
      </c>
      <c r="I19" s="257" t="s">
        <v>543</v>
      </c>
      <c r="J19" s="257" t="s">
        <v>543</v>
      </c>
      <c r="K19" s="513" t="s">
        <v>543</v>
      </c>
      <c r="O19" s="87">
        <v>286.0594808124485</v>
      </c>
      <c r="P19" s="87">
        <v>286.0594808124485</v>
      </c>
      <c r="Q19" s="87">
        <v>286.0594808124485</v>
      </c>
      <c r="R19" s="87">
        <v>286.0594808124485</v>
      </c>
      <c r="S19" s="87">
        <v>286.0594808124485</v>
      </c>
      <c r="T19" s="87">
        <v>286.0594808124485</v>
      </c>
      <c r="U19" s="87">
        <v>286.0594808124485</v>
      </c>
      <c r="V19" s="87">
        <v>286.0594808124485</v>
      </c>
      <c r="W19" s="87">
        <v>286.0594808124485</v>
      </c>
      <c r="X19" s="129">
        <v>1.4</v>
      </c>
      <c r="Z19" s="87">
        <v>417.66422713412436</v>
      </c>
      <c r="AA19" s="87">
        <v>417.66422713412436</v>
      </c>
      <c r="AB19" s="87">
        <v>417.66422713412436</v>
      </c>
      <c r="AC19" s="87">
        <v>417.66422713412436</v>
      </c>
      <c r="AD19" s="87">
        <v>417.66422713412436</v>
      </c>
      <c r="AE19" s="87">
        <v>417.66422713412436</v>
      </c>
      <c r="AF19" s="87">
        <v>417.66422713412436</v>
      </c>
      <c r="AG19" s="87">
        <v>417.66422713412436</v>
      </c>
      <c r="AH19" s="87">
        <v>417.66422713412436</v>
      </c>
      <c r="AI19" s="129">
        <v>1.4</v>
      </c>
      <c r="AK19" s="87">
        <v>341.44729948659568</v>
      </c>
      <c r="AL19" s="87">
        <v>341.44729948659568</v>
      </c>
      <c r="AM19" s="87">
        <v>341.44729948659568</v>
      </c>
      <c r="AN19" s="87">
        <v>341.44729948659568</v>
      </c>
      <c r="AO19" s="87">
        <v>341.44729948659568</v>
      </c>
      <c r="AP19" s="87">
        <v>341.44729948659568</v>
      </c>
      <c r="AQ19" s="87">
        <v>341.44729948659568</v>
      </c>
      <c r="AR19" s="87">
        <v>341.44729948659568</v>
      </c>
      <c r="AS19" s="87">
        <v>341.44729948659568</v>
      </c>
      <c r="AT19" s="129">
        <v>1.4</v>
      </c>
      <c r="AV19" s="87">
        <v>361.38431640837132</v>
      </c>
      <c r="AW19" s="87">
        <v>361.38431640837132</v>
      </c>
      <c r="AX19" s="87">
        <v>361.38431640837132</v>
      </c>
      <c r="AY19" s="87">
        <v>361.38431640837132</v>
      </c>
      <c r="AZ19" s="87">
        <v>361.38431640837132</v>
      </c>
      <c r="BA19" s="87">
        <v>361.38431640837132</v>
      </c>
      <c r="BB19" s="87">
        <v>361.38431640837132</v>
      </c>
      <c r="BC19" s="87">
        <v>361.38431640837132</v>
      </c>
      <c r="BD19" s="87">
        <v>361.38431640837132</v>
      </c>
      <c r="BE19" s="129">
        <v>1.4</v>
      </c>
      <c r="BG19" s="87">
        <v>230.08928571428601</v>
      </c>
      <c r="BH19" s="87">
        <v>230.08928571428601</v>
      </c>
      <c r="BI19" s="87">
        <v>230.08928571428601</v>
      </c>
      <c r="BJ19" s="87">
        <v>230.08928571428601</v>
      </c>
      <c r="BK19" s="87">
        <v>230.08928571428601</v>
      </c>
      <c r="BL19" s="87">
        <v>230.08928571428601</v>
      </c>
      <c r="BM19" s="87">
        <v>230.08928571428601</v>
      </c>
      <c r="BN19" s="87">
        <v>230.08928571428601</v>
      </c>
      <c r="BO19" s="87">
        <v>230.08928571428601</v>
      </c>
      <c r="BP19" s="129">
        <v>1.4</v>
      </c>
      <c r="BR19" s="87">
        <v>230.08928571428601</v>
      </c>
      <c r="BS19" s="87">
        <v>230.08928571428601</v>
      </c>
      <c r="BT19" s="87">
        <v>230.08928571428601</v>
      </c>
      <c r="BU19" s="87">
        <v>230.08928571428601</v>
      </c>
      <c r="BV19" s="87">
        <v>230.08928571428601</v>
      </c>
      <c r="BW19" s="87">
        <v>230.08928571428601</v>
      </c>
      <c r="BX19" s="87">
        <v>230.08928571428601</v>
      </c>
      <c r="BY19" s="87">
        <v>230.08928571428601</v>
      </c>
      <c r="BZ19" s="87">
        <v>230.08928571428601</v>
      </c>
      <c r="CA19" s="129">
        <v>1.4</v>
      </c>
      <c r="CC19" s="87">
        <v>132.43055753792635</v>
      </c>
      <c r="CD19" s="87">
        <v>132.43055753792635</v>
      </c>
      <c r="CE19" s="87">
        <v>132.43055753792635</v>
      </c>
      <c r="CF19" s="87">
        <v>132.43055753792635</v>
      </c>
      <c r="CG19" s="87">
        <v>132.43055753792635</v>
      </c>
      <c r="CH19" s="87">
        <v>132.43055753792635</v>
      </c>
      <c r="CI19" s="87">
        <v>132.43055753792635</v>
      </c>
      <c r="CJ19" s="87">
        <v>132.43055753792635</v>
      </c>
      <c r="CK19" s="87">
        <v>132.43055753792635</v>
      </c>
      <c r="CL19" s="129">
        <v>1.4</v>
      </c>
      <c r="CN19" s="87">
        <v>157.98955909089963</v>
      </c>
      <c r="CO19" s="87">
        <v>157.98955909089963</v>
      </c>
      <c r="CP19" s="87">
        <v>157.98955909089963</v>
      </c>
      <c r="CQ19" s="87">
        <v>157.98955909089963</v>
      </c>
      <c r="CR19" s="87">
        <v>157.98955909089963</v>
      </c>
      <c r="CS19" s="87">
        <v>157.98955909089963</v>
      </c>
      <c r="CT19" s="87">
        <v>157.98955909089963</v>
      </c>
      <c r="CU19" s="87">
        <v>157.98955909089963</v>
      </c>
      <c r="CV19" s="87">
        <v>157.98955909089963</v>
      </c>
      <c r="CW19" s="129">
        <v>1.4</v>
      </c>
      <c r="CY19" s="87">
        <v>224.07984233959237</v>
      </c>
      <c r="CZ19" s="87">
        <v>224.07984233959237</v>
      </c>
      <c r="DA19" s="87">
        <v>224.07984233959237</v>
      </c>
      <c r="DB19" s="87">
        <v>224.07984233959237</v>
      </c>
      <c r="DC19" s="87">
        <v>224.07984233959237</v>
      </c>
      <c r="DD19" s="87">
        <v>224.07984233959237</v>
      </c>
      <c r="DE19" s="87">
        <v>224.07984233959237</v>
      </c>
      <c r="DF19" s="87">
        <v>224.07984233959237</v>
      </c>
      <c r="DG19" s="87">
        <v>224.07984233959237</v>
      </c>
      <c r="DH19" s="129">
        <v>1.4</v>
      </c>
      <c r="DJ19" s="87">
        <v>224.07984233959237</v>
      </c>
      <c r="DK19" s="87">
        <v>224.07984233959237</v>
      </c>
      <c r="DL19" s="87">
        <v>224.07984233959237</v>
      </c>
      <c r="DM19" s="87">
        <v>224.07984233959237</v>
      </c>
      <c r="DN19" s="87">
        <v>224.07984233959237</v>
      </c>
      <c r="DO19" s="87">
        <v>224.07984233959237</v>
      </c>
      <c r="DP19" s="87">
        <v>224.07984233959237</v>
      </c>
      <c r="DQ19" s="87">
        <v>224.07984233959237</v>
      </c>
      <c r="DR19" s="87">
        <v>224.07984233959237</v>
      </c>
      <c r="DS19" s="129">
        <v>1.4</v>
      </c>
      <c r="DW19" s="27">
        <v>71.451950733342315</v>
      </c>
      <c r="DX19" s="27">
        <v>71.451950733342315</v>
      </c>
      <c r="DY19" s="27">
        <v>71.451950733342315</v>
      </c>
      <c r="DZ19" s="27">
        <v>71.451950733342315</v>
      </c>
      <c r="EA19" s="27">
        <v>71.451950733342315</v>
      </c>
      <c r="EB19" s="27">
        <v>71.451950733342315</v>
      </c>
      <c r="EC19" s="27">
        <v>71.451950733342315</v>
      </c>
      <c r="ED19" s="27">
        <v>71.451950733342315</v>
      </c>
      <c r="EE19" s="27">
        <v>71.451950733342315</v>
      </c>
      <c r="EF19" s="27">
        <v>3.4</v>
      </c>
      <c r="EH19" s="27">
        <v>124.32435685401721</v>
      </c>
      <c r="EI19" s="27">
        <v>124.32435685401721</v>
      </c>
      <c r="EJ19" s="27">
        <v>124.32435685401721</v>
      </c>
      <c r="EK19" s="27">
        <v>124.32435685401721</v>
      </c>
      <c r="EL19" s="27">
        <v>124.32435685401721</v>
      </c>
      <c r="EM19" s="27">
        <v>124.32435685401721</v>
      </c>
      <c r="EN19" s="27">
        <v>124.32435685401721</v>
      </c>
      <c r="EO19" s="27">
        <v>124.32435685401721</v>
      </c>
      <c r="EP19" s="27">
        <v>124.32435685401721</v>
      </c>
      <c r="EQ19" s="27">
        <v>3.4</v>
      </c>
      <c r="ES19" s="27">
        <v>142.13455017551374</v>
      </c>
      <c r="ET19" s="27">
        <v>142.13455017551374</v>
      </c>
      <c r="EU19" s="27">
        <v>142.13455017551374</v>
      </c>
      <c r="EV19" s="27">
        <v>142.13455017551374</v>
      </c>
      <c r="EW19" s="27">
        <v>142.13455017551374</v>
      </c>
      <c r="EX19" s="27">
        <v>142.13455017551374</v>
      </c>
      <c r="EY19" s="27">
        <v>142.13455017551374</v>
      </c>
      <c r="EZ19" s="27">
        <v>142.13455017551374</v>
      </c>
      <c r="FA19" s="27">
        <v>142.13455017551374</v>
      </c>
      <c r="FB19" s="27">
        <v>3.4</v>
      </c>
      <c r="FD19" s="27">
        <v>148.04161457901554</v>
      </c>
      <c r="FE19" s="27">
        <v>148.04161457901554</v>
      </c>
      <c r="FF19" s="27">
        <v>148.04161457901554</v>
      </c>
      <c r="FG19" s="27">
        <v>148.04161457901554</v>
      </c>
      <c r="FH19" s="27">
        <v>148.04161457901554</v>
      </c>
      <c r="FI19" s="27">
        <v>148.04161457901554</v>
      </c>
      <c r="FJ19" s="27">
        <v>148.04161457901554</v>
      </c>
      <c r="FK19" s="27">
        <v>148.04161457901554</v>
      </c>
      <c r="FL19" s="27">
        <v>148.04161457901554</v>
      </c>
      <c r="FM19" s="27">
        <v>3.4</v>
      </c>
      <c r="FO19" s="27">
        <v>233.71995479150203</v>
      </c>
      <c r="FP19" s="27">
        <v>233.71995479150203</v>
      </c>
      <c r="FQ19" s="27">
        <v>233.71995479150203</v>
      </c>
      <c r="FR19" s="27">
        <v>233.71995479150203</v>
      </c>
      <c r="FS19" s="27">
        <v>233.71995479150203</v>
      </c>
      <c r="FT19" s="27">
        <v>233.71995479150203</v>
      </c>
      <c r="FU19" s="27">
        <v>233.71995479150203</v>
      </c>
      <c r="FV19" s="27">
        <v>233.71995479150203</v>
      </c>
      <c r="FW19" s="27">
        <v>233.71995479150203</v>
      </c>
      <c r="FX19" s="27">
        <v>3.4</v>
      </c>
      <c r="FZ19" s="27">
        <v>233.71995479150203</v>
      </c>
      <c r="GA19" s="27">
        <v>233.71995479150203</v>
      </c>
      <c r="GB19" s="27">
        <v>233.71995479150203</v>
      </c>
      <c r="GC19" s="27">
        <v>233.71995479150203</v>
      </c>
      <c r="GD19" s="27">
        <v>233.71995479150203</v>
      </c>
      <c r="GE19" s="27">
        <v>233.71995479150203</v>
      </c>
      <c r="GF19" s="27">
        <v>233.71995479150203</v>
      </c>
      <c r="GG19" s="27">
        <v>233.71995479150203</v>
      </c>
      <c r="GH19" s="27">
        <v>233.71995479150203</v>
      </c>
      <c r="GI19" s="27">
        <v>3.4</v>
      </c>
      <c r="GJ19" s="27"/>
      <c r="GK19" s="27">
        <v>55.909442942167352</v>
      </c>
      <c r="GL19" s="27">
        <v>55.909442942167352</v>
      </c>
      <c r="GM19" s="27">
        <v>55.909442942167352</v>
      </c>
      <c r="GN19" s="27">
        <v>55.909442942167352</v>
      </c>
      <c r="GO19" s="27">
        <v>55.909442942167352</v>
      </c>
      <c r="GP19" s="27">
        <v>55.909442942167352</v>
      </c>
      <c r="GQ19" s="27">
        <v>55.909442942167352</v>
      </c>
      <c r="GR19" s="27">
        <v>55.909442942167352</v>
      </c>
      <c r="GS19" s="27">
        <v>55.909442942167352</v>
      </c>
      <c r="GT19" s="27">
        <v>3.4</v>
      </c>
      <c r="GV19" s="27">
        <v>66.163984219647716</v>
      </c>
      <c r="GW19" s="27">
        <v>66.163984219647716</v>
      </c>
      <c r="GX19" s="27">
        <v>66.163984219647716</v>
      </c>
      <c r="GY19" s="27">
        <v>66.163984219647716</v>
      </c>
      <c r="GZ19" s="27">
        <v>66.163984219647716</v>
      </c>
      <c r="HA19" s="27">
        <v>66.163984219647716</v>
      </c>
      <c r="HB19" s="27">
        <v>66.163984219647716</v>
      </c>
      <c r="HC19" s="27">
        <v>66.163984219647716</v>
      </c>
      <c r="HD19" s="27">
        <v>66.163984219647716</v>
      </c>
      <c r="HE19" s="27">
        <v>3.4</v>
      </c>
      <c r="HG19" s="27">
        <v>91.215735920481649</v>
      </c>
      <c r="HH19" s="27">
        <v>91.215735920481649</v>
      </c>
      <c r="HI19" s="27">
        <v>91.215735920481649</v>
      </c>
      <c r="HJ19" s="27">
        <v>91.215735920481649</v>
      </c>
      <c r="HK19" s="27">
        <v>91.215735920481649</v>
      </c>
      <c r="HL19" s="27">
        <v>91.215735920481649</v>
      </c>
      <c r="HM19" s="27">
        <v>91.215735920481649</v>
      </c>
      <c r="HN19" s="27">
        <v>91.215735920481649</v>
      </c>
      <c r="HO19" s="27">
        <v>91.215735920481649</v>
      </c>
      <c r="HP19" s="27">
        <v>3.4</v>
      </c>
      <c r="HR19" s="27">
        <v>91.215735920481649</v>
      </c>
      <c r="HS19" s="27">
        <v>91.215735920481649</v>
      </c>
      <c r="HT19" s="27">
        <v>91.215735920481649</v>
      </c>
      <c r="HU19" s="27">
        <v>91.215735920481649</v>
      </c>
      <c r="HV19" s="27">
        <v>91.215735920481649</v>
      </c>
      <c r="HW19" s="27">
        <v>91.215735920481649</v>
      </c>
      <c r="HX19" s="27">
        <v>91.215735920481649</v>
      </c>
      <c r="HY19" s="27">
        <v>91.215735920481649</v>
      </c>
      <c r="HZ19" s="27">
        <v>91.215735920481649</v>
      </c>
      <c r="IA19" s="27">
        <v>3.4</v>
      </c>
    </row>
    <row r="20" spans="2:235">
      <c r="B20" s="514" t="s">
        <v>544</v>
      </c>
      <c r="C20" s="28" t="s">
        <v>544</v>
      </c>
      <c r="D20" s="28" t="s">
        <v>544</v>
      </c>
      <c r="E20" s="28" t="s">
        <v>544</v>
      </c>
      <c r="F20" s="28" t="s">
        <v>544</v>
      </c>
      <c r="G20" s="28" t="s">
        <v>544</v>
      </c>
      <c r="H20" s="28" t="s">
        <v>544</v>
      </c>
      <c r="I20" s="28" t="s">
        <v>544</v>
      </c>
      <c r="J20" s="28" t="s">
        <v>544</v>
      </c>
      <c r="K20" s="452" t="s">
        <v>544</v>
      </c>
      <c r="O20" s="87">
        <v>261.04674619653764</v>
      </c>
      <c r="P20" s="87">
        <v>261.04674619653764</v>
      </c>
      <c r="Q20" s="87">
        <v>261.04674619653764</v>
      </c>
      <c r="R20" s="87">
        <v>261.04674619653764</v>
      </c>
      <c r="S20" s="87">
        <v>261.04674619653764</v>
      </c>
      <c r="T20" s="87">
        <v>261.04674619653764</v>
      </c>
      <c r="U20" s="87">
        <v>261.04674619653764</v>
      </c>
      <c r="V20" s="87">
        <v>261.04674619653764</v>
      </c>
      <c r="W20" s="87">
        <v>261.04674619653764</v>
      </c>
      <c r="X20" s="129">
        <v>1.5</v>
      </c>
      <c r="Z20" s="87">
        <v>383.74706094866042</v>
      </c>
      <c r="AA20" s="87">
        <v>383.74706094866042</v>
      </c>
      <c r="AB20" s="87">
        <v>383.74706094866042</v>
      </c>
      <c r="AC20" s="87">
        <v>383.74706094866042</v>
      </c>
      <c r="AD20" s="87">
        <v>383.74706094866042</v>
      </c>
      <c r="AE20" s="87">
        <v>383.74706094866042</v>
      </c>
      <c r="AF20" s="87">
        <v>383.74706094866042</v>
      </c>
      <c r="AG20" s="87">
        <v>383.74706094866042</v>
      </c>
      <c r="AH20" s="87">
        <v>383.74706094866042</v>
      </c>
      <c r="AI20" s="129">
        <v>1.5</v>
      </c>
      <c r="AK20" s="87">
        <v>318.94809864955613</v>
      </c>
      <c r="AL20" s="87">
        <v>318.94809864955613</v>
      </c>
      <c r="AM20" s="87">
        <v>318.94809864955613</v>
      </c>
      <c r="AN20" s="87">
        <v>318.94809864955613</v>
      </c>
      <c r="AO20" s="87">
        <v>318.94809864955613</v>
      </c>
      <c r="AP20" s="87">
        <v>318.94809864955613</v>
      </c>
      <c r="AQ20" s="87">
        <v>318.94809864955613</v>
      </c>
      <c r="AR20" s="87">
        <v>318.94809864955613</v>
      </c>
      <c r="AS20" s="87">
        <v>318.94809864955613</v>
      </c>
      <c r="AT20" s="129">
        <v>1.5</v>
      </c>
      <c r="AV20" s="87">
        <v>337.30030025111574</v>
      </c>
      <c r="AW20" s="87">
        <v>337.30030025111574</v>
      </c>
      <c r="AX20" s="87">
        <v>337.30030025111574</v>
      </c>
      <c r="AY20" s="87">
        <v>337.30030025111574</v>
      </c>
      <c r="AZ20" s="87">
        <v>337.30030025111574</v>
      </c>
      <c r="BA20" s="87">
        <v>337.30030025111574</v>
      </c>
      <c r="BB20" s="87">
        <v>337.30030025111574</v>
      </c>
      <c r="BC20" s="87">
        <v>337.30030025111574</v>
      </c>
      <c r="BD20" s="87">
        <v>337.30030025111574</v>
      </c>
      <c r="BE20" s="129">
        <v>1.5</v>
      </c>
      <c r="BG20" s="87">
        <v>227.44196428571459</v>
      </c>
      <c r="BH20" s="87">
        <v>227.44196428571459</v>
      </c>
      <c r="BI20" s="87">
        <v>227.44196428571459</v>
      </c>
      <c r="BJ20" s="87">
        <v>227.44196428571459</v>
      </c>
      <c r="BK20" s="87">
        <v>227.44196428571459</v>
      </c>
      <c r="BL20" s="87">
        <v>227.44196428571459</v>
      </c>
      <c r="BM20" s="87">
        <v>227.44196428571459</v>
      </c>
      <c r="BN20" s="87">
        <v>227.44196428571459</v>
      </c>
      <c r="BO20" s="87">
        <v>227.44196428571459</v>
      </c>
      <c r="BP20" s="129">
        <v>1.5</v>
      </c>
      <c r="BR20" s="87">
        <v>227.44196428571459</v>
      </c>
      <c r="BS20" s="87">
        <v>227.44196428571459</v>
      </c>
      <c r="BT20" s="87">
        <v>227.44196428571459</v>
      </c>
      <c r="BU20" s="87">
        <v>227.44196428571459</v>
      </c>
      <c r="BV20" s="87">
        <v>227.44196428571459</v>
      </c>
      <c r="BW20" s="87">
        <v>227.44196428571459</v>
      </c>
      <c r="BX20" s="87">
        <v>227.44196428571459</v>
      </c>
      <c r="BY20" s="87">
        <v>227.44196428571459</v>
      </c>
      <c r="BZ20" s="87">
        <v>227.44196428571459</v>
      </c>
      <c r="CA20" s="129">
        <v>1.5</v>
      </c>
      <c r="CC20" s="87">
        <v>123.6871595942532</v>
      </c>
      <c r="CD20" s="87">
        <v>123.6871595942532</v>
      </c>
      <c r="CE20" s="87">
        <v>123.6871595942532</v>
      </c>
      <c r="CF20" s="87">
        <v>123.6871595942532</v>
      </c>
      <c r="CG20" s="87">
        <v>123.6871595942532</v>
      </c>
      <c r="CH20" s="87">
        <v>123.6871595942532</v>
      </c>
      <c r="CI20" s="87">
        <v>123.6871595942532</v>
      </c>
      <c r="CJ20" s="87">
        <v>123.6871595942532</v>
      </c>
      <c r="CK20" s="87">
        <v>123.6871595942532</v>
      </c>
      <c r="CL20" s="129">
        <v>1.5</v>
      </c>
      <c r="CN20" s="87">
        <v>147.58923634017452</v>
      </c>
      <c r="CO20" s="87">
        <v>147.58923634017452</v>
      </c>
      <c r="CP20" s="87">
        <v>147.58923634017452</v>
      </c>
      <c r="CQ20" s="87">
        <v>147.58923634017452</v>
      </c>
      <c r="CR20" s="87">
        <v>147.58923634017452</v>
      </c>
      <c r="CS20" s="87">
        <v>147.58923634017452</v>
      </c>
      <c r="CT20" s="87">
        <v>147.58923634017452</v>
      </c>
      <c r="CU20" s="87">
        <v>147.58923634017452</v>
      </c>
      <c r="CV20" s="87">
        <v>147.58923634017452</v>
      </c>
      <c r="CW20" s="129">
        <v>1.5</v>
      </c>
      <c r="CY20" s="87">
        <v>209.06905237122703</v>
      </c>
      <c r="CZ20" s="87">
        <v>209.06905237122703</v>
      </c>
      <c r="DA20" s="87">
        <v>209.06905237122703</v>
      </c>
      <c r="DB20" s="87">
        <v>209.06905237122703</v>
      </c>
      <c r="DC20" s="87">
        <v>209.06905237122703</v>
      </c>
      <c r="DD20" s="87">
        <v>209.06905237122703</v>
      </c>
      <c r="DE20" s="87">
        <v>209.06905237122703</v>
      </c>
      <c r="DF20" s="87">
        <v>209.06905237122703</v>
      </c>
      <c r="DG20" s="87">
        <v>209.06905237122703</v>
      </c>
      <c r="DH20" s="129">
        <v>1.5</v>
      </c>
      <c r="DJ20" s="87">
        <v>209.06905237122703</v>
      </c>
      <c r="DK20" s="87">
        <v>209.06905237122703</v>
      </c>
      <c r="DL20" s="87">
        <v>209.06905237122703</v>
      </c>
      <c r="DM20" s="87">
        <v>209.06905237122703</v>
      </c>
      <c r="DN20" s="87">
        <v>209.06905237122703</v>
      </c>
      <c r="DO20" s="87">
        <v>209.06905237122703</v>
      </c>
      <c r="DP20" s="87">
        <v>209.06905237122703</v>
      </c>
      <c r="DQ20" s="87">
        <v>209.06905237122703</v>
      </c>
      <c r="DR20" s="87">
        <v>209.06905237122703</v>
      </c>
      <c r="DS20" s="129">
        <v>1.5</v>
      </c>
      <c r="DW20" s="27">
        <v>69.397184711472931</v>
      </c>
      <c r="DX20" s="27">
        <v>69.397184711472931</v>
      </c>
      <c r="DY20" s="27">
        <v>69.397184711472931</v>
      </c>
      <c r="DZ20" s="27">
        <v>69.397184711472931</v>
      </c>
      <c r="EA20" s="27">
        <v>69.397184711472931</v>
      </c>
      <c r="EB20" s="27">
        <v>69.397184711472931</v>
      </c>
      <c r="EC20" s="27">
        <v>69.397184711472931</v>
      </c>
      <c r="ED20" s="27">
        <v>69.397184711472931</v>
      </c>
      <c r="EE20" s="27">
        <v>69.397184711472931</v>
      </c>
      <c r="EF20" s="27">
        <v>3.5</v>
      </c>
      <c r="EH20" s="27">
        <v>120.62246872068455</v>
      </c>
      <c r="EI20" s="27">
        <v>120.62246872068455</v>
      </c>
      <c r="EJ20" s="27">
        <v>120.62246872068455</v>
      </c>
      <c r="EK20" s="27">
        <v>120.62246872068455</v>
      </c>
      <c r="EL20" s="27">
        <v>120.62246872068455</v>
      </c>
      <c r="EM20" s="27">
        <v>120.62246872068455</v>
      </c>
      <c r="EN20" s="27">
        <v>120.62246872068455</v>
      </c>
      <c r="EO20" s="27">
        <v>120.62246872068455</v>
      </c>
      <c r="EP20" s="27">
        <v>120.62246872068455</v>
      </c>
      <c r="EQ20" s="27">
        <v>3.5</v>
      </c>
      <c r="ES20" s="27">
        <v>138.11992395281939</v>
      </c>
      <c r="ET20" s="27">
        <v>138.11992395281939</v>
      </c>
      <c r="EU20" s="27">
        <v>138.11992395281939</v>
      </c>
      <c r="EV20" s="27">
        <v>138.11992395281939</v>
      </c>
      <c r="EW20" s="27">
        <v>138.11992395281939</v>
      </c>
      <c r="EX20" s="27">
        <v>138.11992395281939</v>
      </c>
      <c r="EY20" s="27">
        <v>138.11992395281939</v>
      </c>
      <c r="EZ20" s="27">
        <v>138.11992395281939</v>
      </c>
      <c r="FA20" s="27">
        <v>138.11992395281939</v>
      </c>
      <c r="FB20" s="27">
        <v>3.5</v>
      </c>
      <c r="FD20" s="27">
        <v>143.83793819860054</v>
      </c>
      <c r="FE20" s="27">
        <v>143.83793819860054</v>
      </c>
      <c r="FF20" s="27">
        <v>143.83793819860054</v>
      </c>
      <c r="FG20" s="27">
        <v>143.83793819860054</v>
      </c>
      <c r="FH20" s="27">
        <v>143.83793819860054</v>
      </c>
      <c r="FI20" s="27">
        <v>143.83793819860054</v>
      </c>
      <c r="FJ20" s="27">
        <v>143.83793819860054</v>
      </c>
      <c r="FK20" s="27">
        <v>143.83793819860054</v>
      </c>
      <c r="FL20" s="27">
        <v>143.83793819860054</v>
      </c>
      <c r="FM20" s="27">
        <v>3.5</v>
      </c>
      <c r="FO20" s="27">
        <v>227.00346486581171</v>
      </c>
      <c r="FP20" s="27">
        <v>227.00346486581171</v>
      </c>
      <c r="FQ20" s="27">
        <v>227.00346486581171</v>
      </c>
      <c r="FR20" s="27">
        <v>227.00346486581171</v>
      </c>
      <c r="FS20" s="27">
        <v>227.00346486581171</v>
      </c>
      <c r="FT20" s="27">
        <v>227.00346486581171</v>
      </c>
      <c r="FU20" s="27">
        <v>227.00346486581171</v>
      </c>
      <c r="FV20" s="27">
        <v>227.00346486581171</v>
      </c>
      <c r="FW20" s="27">
        <v>227.00346486581171</v>
      </c>
      <c r="FX20" s="27">
        <v>3.5</v>
      </c>
      <c r="FZ20" s="27">
        <v>227.00346486581171</v>
      </c>
      <c r="GA20" s="27">
        <v>227.00346486581171</v>
      </c>
      <c r="GB20" s="27">
        <v>227.00346486581171</v>
      </c>
      <c r="GC20" s="27">
        <v>227.00346486581171</v>
      </c>
      <c r="GD20" s="27">
        <v>227.00346486581171</v>
      </c>
      <c r="GE20" s="27">
        <v>227.00346486581171</v>
      </c>
      <c r="GF20" s="27">
        <v>227.00346486581171</v>
      </c>
      <c r="GG20" s="27">
        <v>227.00346486581171</v>
      </c>
      <c r="GH20" s="27">
        <v>227.00346486581171</v>
      </c>
      <c r="GI20" s="27">
        <v>3.5</v>
      </c>
      <c r="GJ20" s="27"/>
      <c r="GK20" s="27">
        <v>54.299759564690902</v>
      </c>
      <c r="GL20" s="27">
        <v>54.299759564690902</v>
      </c>
      <c r="GM20" s="27">
        <v>54.299759564690902</v>
      </c>
      <c r="GN20" s="27">
        <v>54.299759564690902</v>
      </c>
      <c r="GO20" s="27">
        <v>54.299759564690902</v>
      </c>
      <c r="GP20" s="27">
        <v>54.299759564690902</v>
      </c>
      <c r="GQ20" s="27">
        <v>54.299759564690902</v>
      </c>
      <c r="GR20" s="27">
        <v>54.299759564690902</v>
      </c>
      <c r="GS20" s="27">
        <v>54.299759564690902</v>
      </c>
      <c r="GT20" s="27">
        <v>3.5</v>
      </c>
      <c r="GV20" s="27">
        <v>64.279748185767332</v>
      </c>
      <c r="GW20" s="27">
        <v>64.279748185767332</v>
      </c>
      <c r="GX20" s="27">
        <v>64.279748185767332</v>
      </c>
      <c r="GY20" s="27">
        <v>64.279748185767332</v>
      </c>
      <c r="GZ20" s="27">
        <v>64.279748185767332</v>
      </c>
      <c r="HA20" s="27">
        <v>64.279748185767332</v>
      </c>
      <c r="HB20" s="27">
        <v>64.279748185767332</v>
      </c>
      <c r="HC20" s="27">
        <v>64.279748185767332</v>
      </c>
      <c r="HD20" s="27">
        <v>64.279748185767332</v>
      </c>
      <c r="HE20" s="27">
        <v>3.5</v>
      </c>
      <c r="HG20" s="27">
        <v>88.613190848826974</v>
      </c>
      <c r="HH20" s="27">
        <v>88.613190848826974</v>
      </c>
      <c r="HI20" s="27">
        <v>88.613190848826974</v>
      </c>
      <c r="HJ20" s="27">
        <v>88.613190848826974</v>
      </c>
      <c r="HK20" s="27">
        <v>88.613190848826974</v>
      </c>
      <c r="HL20" s="27">
        <v>88.613190848826974</v>
      </c>
      <c r="HM20" s="27">
        <v>88.613190848826974</v>
      </c>
      <c r="HN20" s="27">
        <v>88.613190848826974</v>
      </c>
      <c r="HO20" s="27">
        <v>88.613190848826974</v>
      </c>
      <c r="HP20" s="27">
        <v>3.5</v>
      </c>
      <c r="HR20" s="27">
        <v>88.613190848826974</v>
      </c>
      <c r="HS20" s="27">
        <v>88.613190848826974</v>
      </c>
      <c r="HT20" s="27">
        <v>88.613190848826974</v>
      </c>
      <c r="HU20" s="27">
        <v>88.613190848826974</v>
      </c>
      <c r="HV20" s="27">
        <v>88.613190848826974</v>
      </c>
      <c r="HW20" s="27">
        <v>88.613190848826974</v>
      </c>
      <c r="HX20" s="27">
        <v>88.613190848826974</v>
      </c>
      <c r="HY20" s="27">
        <v>88.613190848826974</v>
      </c>
      <c r="HZ20" s="27">
        <v>88.613190848826974</v>
      </c>
      <c r="IA20" s="27">
        <v>3.5</v>
      </c>
    </row>
    <row r="21" spans="2:235">
      <c r="B21" s="514" t="s">
        <v>545</v>
      </c>
      <c r="C21" s="28" t="s">
        <v>545</v>
      </c>
      <c r="D21" s="28" t="s">
        <v>545</v>
      </c>
      <c r="E21" s="28" t="s">
        <v>545</v>
      </c>
      <c r="F21" s="28" t="s">
        <v>545</v>
      </c>
      <c r="G21" s="28" t="s">
        <v>545</v>
      </c>
      <c r="H21" s="28" t="s">
        <v>545</v>
      </c>
      <c r="I21" s="28" t="s">
        <v>545</v>
      </c>
      <c r="J21" s="28" t="s">
        <v>545</v>
      </c>
      <c r="K21" s="452" t="s">
        <v>545</v>
      </c>
      <c r="O21" s="87">
        <v>239.63255048510601</v>
      </c>
      <c r="P21" s="87">
        <v>239.63255048510601</v>
      </c>
      <c r="Q21" s="87">
        <v>239.63255048510601</v>
      </c>
      <c r="R21" s="87">
        <v>239.63255048510601</v>
      </c>
      <c r="S21" s="87">
        <v>239.63255048510601</v>
      </c>
      <c r="T21" s="87">
        <v>239.63255048510601</v>
      </c>
      <c r="U21" s="87">
        <v>239.63255048510601</v>
      </c>
      <c r="V21" s="87">
        <v>239.63255048510601</v>
      </c>
      <c r="W21" s="87">
        <v>239.63255048510601</v>
      </c>
      <c r="X21" s="129">
        <v>1.6</v>
      </c>
      <c r="Z21" s="87">
        <v>354.51743292093255</v>
      </c>
      <c r="AA21" s="87">
        <v>354.51743292093255</v>
      </c>
      <c r="AB21" s="87">
        <v>354.51743292093255</v>
      </c>
      <c r="AC21" s="87">
        <v>354.51743292093255</v>
      </c>
      <c r="AD21" s="87">
        <v>354.51743292093255</v>
      </c>
      <c r="AE21" s="87">
        <v>354.51743292093255</v>
      </c>
      <c r="AF21" s="87">
        <v>354.51743292093255</v>
      </c>
      <c r="AG21" s="87">
        <v>354.51743292093255</v>
      </c>
      <c r="AH21" s="87">
        <v>354.51743292093255</v>
      </c>
      <c r="AI21" s="129">
        <v>1.6</v>
      </c>
      <c r="AK21" s="87">
        <v>299.24550711445846</v>
      </c>
      <c r="AL21" s="87">
        <v>299.24550711445846</v>
      </c>
      <c r="AM21" s="87">
        <v>299.24550711445846</v>
      </c>
      <c r="AN21" s="87">
        <v>299.24550711445846</v>
      </c>
      <c r="AO21" s="87">
        <v>299.24550711445846</v>
      </c>
      <c r="AP21" s="87">
        <v>299.24550711445846</v>
      </c>
      <c r="AQ21" s="87">
        <v>299.24550711445846</v>
      </c>
      <c r="AR21" s="87">
        <v>299.24550711445846</v>
      </c>
      <c r="AS21" s="87">
        <v>299.24550711445846</v>
      </c>
      <c r="AT21" s="129">
        <v>1.6</v>
      </c>
      <c r="AV21" s="87">
        <v>316.22628562770643</v>
      </c>
      <c r="AW21" s="87">
        <v>316.22628562770643</v>
      </c>
      <c r="AX21" s="87">
        <v>316.22628562770643</v>
      </c>
      <c r="AY21" s="87">
        <v>316.22628562770643</v>
      </c>
      <c r="AZ21" s="87">
        <v>316.22628562770643</v>
      </c>
      <c r="BA21" s="87">
        <v>316.22628562770643</v>
      </c>
      <c r="BB21" s="87">
        <v>316.22628562770643</v>
      </c>
      <c r="BC21" s="87">
        <v>316.22628562770643</v>
      </c>
      <c r="BD21" s="87">
        <v>316.22628562770643</v>
      </c>
      <c r="BE21" s="129">
        <v>1.6</v>
      </c>
      <c r="BG21" s="87">
        <v>224.81547619047649</v>
      </c>
      <c r="BH21" s="87">
        <v>224.81547619047649</v>
      </c>
      <c r="BI21" s="87">
        <v>224.81547619047649</v>
      </c>
      <c r="BJ21" s="87">
        <v>224.81547619047649</v>
      </c>
      <c r="BK21" s="87">
        <v>224.81547619047649</v>
      </c>
      <c r="BL21" s="87">
        <v>224.81547619047649</v>
      </c>
      <c r="BM21" s="87">
        <v>224.81547619047649</v>
      </c>
      <c r="BN21" s="87">
        <v>224.81547619047649</v>
      </c>
      <c r="BO21" s="87">
        <v>224.81547619047649</v>
      </c>
      <c r="BP21" s="129">
        <v>1.6</v>
      </c>
      <c r="BR21" s="87">
        <v>224.81547619047649</v>
      </c>
      <c r="BS21" s="87">
        <v>224.81547619047649</v>
      </c>
      <c r="BT21" s="87">
        <v>224.81547619047649</v>
      </c>
      <c r="BU21" s="87">
        <v>224.81547619047649</v>
      </c>
      <c r="BV21" s="87">
        <v>224.81547619047649</v>
      </c>
      <c r="BW21" s="87">
        <v>224.81547619047649</v>
      </c>
      <c r="BX21" s="87">
        <v>224.81547619047649</v>
      </c>
      <c r="BY21" s="87">
        <v>224.81547619047649</v>
      </c>
      <c r="BZ21" s="87">
        <v>224.81547619047649</v>
      </c>
      <c r="CA21" s="129">
        <v>1.6</v>
      </c>
      <c r="CC21" s="87">
        <v>116.03157302123509</v>
      </c>
      <c r="CD21" s="87">
        <v>116.03157302123509</v>
      </c>
      <c r="CE21" s="87">
        <v>116.03157302123509</v>
      </c>
      <c r="CF21" s="87">
        <v>116.03157302123509</v>
      </c>
      <c r="CG21" s="87">
        <v>116.03157302123509</v>
      </c>
      <c r="CH21" s="87">
        <v>116.03157302123509</v>
      </c>
      <c r="CI21" s="87">
        <v>116.03157302123509</v>
      </c>
      <c r="CJ21" s="87">
        <v>116.03157302123509</v>
      </c>
      <c r="CK21" s="87">
        <v>116.03157302123509</v>
      </c>
      <c r="CL21" s="129">
        <v>1.6</v>
      </c>
      <c r="CN21" s="87">
        <v>138.48104604752083</v>
      </c>
      <c r="CO21" s="87">
        <v>138.48104604752083</v>
      </c>
      <c r="CP21" s="87">
        <v>138.48104604752083</v>
      </c>
      <c r="CQ21" s="87">
        <v>138.48104604752083</v>
      </c>
      <c r="CR21" s="87">
        <v>138.48104604752083</v>
      </c>
      <c r="CS21" s="87">
        <v>138.48104604752083</v>
      </c>
      <c r="CT21" s="87">
        <v>138.48104604752083</v>
      </c>
      <c r="CU21" s="87">
        <v>138.48104604752083</v>
      </c>
      <c r="CV21" s="87">
        <v>138.48104604752083</v>
      </c>
      <c r="CW21" s="129">
        <v>1.6</v>
      </c>
      <c r="CY21" s="87">
        <v>195.93899832938644</v>
      </c>
      <c r="CZ21" s="87">
        <v>195.93899832938644</v>
      </c>
      <c r="DA21" s="87">
        <v>195.93899832938644</v>
      </c>
      <c r="DB21" s="87">
        <v>195.93899832938644</v>
      </c>
      <c r="DC21" s="87">
        <v>195.93899832938644</v>
      </c>
      <c r="DD21" s="87">
        <v>195.93899832938644</v>
      </c>
      <c r="DE21" s="87">
        <v>195.93899832938644</v>
      </c>
      <c r="DF21" s="87">
        <v>195.93899832938644</v>
      </c>
      <c r="DG21" s="87">
        <v>195.93899832938644</v>
      </c>
      <c r="DH21" s="129">
        <v>1.6</v>
      </c>
      <c r="DJ21" s="87">
        <v>195.93899832938644</v>
      </c>
      <c r="DK21" s="87">
        <v>195.93899832938644</v>
      </c>
      <c r="DL21" s="87">
        <v>195.93899832938644</v>
      </c>
      <c r="DM21" s="87">
        <v>195.93899832938644</v>
      </c>
      <c r="DN21" s="87">
        <v>195.93899832938644</v>
      </c>
      <c r="DO21" s="87">
        <v>195.93899832938644</v>
      </c>
      <c r="DP21" s="87">
        <v>195.93899832938644</v>
      </c>
      <c r="DQ21" s="87">
        <v>195.93899832938644</v>
      </c>
      <c r="DR21" s="87">
        <v>195.93899832938644</v>
      </c>
      <c r="DS21" s="129">
        <v>1.6</v>
      </c>
      <c r="DW21" s="27">
        <v>67.456938513971821</v>
      </c>
      <c r="DX21" s="27">
        <v>67.456938513971821</v>
      </c>
      <c r="DY21" s="27">
        <v>67.456938513971821</v>
      </c>
      <c r="DZ21" s="27">
        <v>67.456938513971821</v>
      </c>
      <c r="EA21" s="27">
        <v>67.456938513971821</v>
      </c>
      <c r="EB21" s="27">
        <v>67.456938513971821</v>
      </c>
      <c r="EC21" s="27">
        <v>67.456938513971821</v>
      </c>
      <c r="ED21" s="27">
        <v>67.456938513971821</v>
      </c>
      <c r="EE21" s="27">
        <v>67.456938513971821</v>
      </c>
      <c r="EF21" s="27">
        <v>3.6</v>
      </c>
      <c r="EH21" s="27">
        <v>117.13051609730861</v>
      </c>
      <c r="EI21" s="27">
        <v>117.13051609730861</v>
      </c>
      <c r="EJ21" s="27">
        <v>117.13051609730861</v>
      </c>
      <c r="EK21" s="27">
        <v>117.13051609730861</v>
      </c>
      <c r="EL21" s="27">
        <v>117.13051609730861</v>
      </c>
      <c r="EM21" s="27">
        <v>117.13051609730861</v>
      </c>
      <c r="EN21" s="27">
        <v>117.13051609730861</v>
      </c>
      <c r="EO21" s="27">
        <v>117.13051609730861</v>
      </c>
      <c r="EP21" s="27">
        <v>117.13051609730861</v>
      </c>
      <c r="EQ21" s="27">
        <v>3.6</v>
      </c>
      <c r="ES21" s="27">
        <v>134.32707718509184</v>
      </c>
      <c r="ET21" s="27">
        <v>134.32707718509184</v>
      </c>
      <c r="EU21" s="27">
        <v>134.32707718509184</v>
      </c>
      <c r="EV21" s="27">
        <v>134.32707718509184</v>
      </c>
      <c r="EW21" s="27">
        <v>134.32707718509184</v>
      </c>
      <c r="EX21" s="27">
        <v>134.32707718509184</v>
      </c>
      <c r="EY21" s="27">
        <v>134.32707718509184</v>
      </c>
      <c r="EZ21" s="27">
        <v>134.32707718509184</v>
      </c>
      <c r="FA21" s="27">
        <v>134.32707718509184</v>
      </c>
      <c r="FB21" s="27">
        <v>3.6</v>
      </c>
      <c r="FD21" s="27">
        <v>139.86708935452631</v>
      </c>
      <c r="FE21" s="27">
        <v>139.86708935452631</v>
      </c>
      <c r="FF21" s="27">
        <v>139.86708935452631</v>
      </c>
      <c r="FG21" s="27">
        <v>139.86708935452631</v>
      </c>
      <c r="FH21" s="27">
        <v>139.86708935452631</v>
      </c>
      <c r="FI21" s="27">
        <v>139.86708935452631</v>
      </c>
      <c r="FJ21" s="27">
        <v>139.86708935452631</v>
      </c>
      <c r="FK21" s="27">
        <v>139.86708935452631</v>
      </c>
      <c r="FL21" s="27">
        <v>139.86708935452631</v>
      </c>
      <c r="FM21" s="27">
        <v>3.6</v>
      </c>
      <c r="FO21" s="27">
        <v>220.66118154715571</v>
      </c>
      <c r="FP21" s="27">
        <v>220.66118154715571</v>
      </c>
      <c r="FQ21" s="27">
        <v>220.66118154715571</v>
      </c>
      <c r="FR21" s="27">
        <v>220.66118154715571</v>
      </c>
      <c r="FS21" s="27">
        <v>220.66118154715571</v>
      </c>
      <c r="FT21" s="27">
        <v>220.66118154715571</v>
      </c>
      <c r="FU21" s="27">
        <v>220.66118154715571</v>
      </c>
      <c r="FV21" s="27">
        <v>220.66118154715571</v>
      </c>
      <c r="FW21" s="27">
        <v>220.66118154715571</v>
      </c>
      <c r="FX21" s="27">
        <v>3.6</v>
      </c>
      <c r="FZ21" s="27">
        <v>220.66118154715571</v>
      </c>
      <c r="GA21" s="27">
        <v>220.66118154715571</v>
      </c>
      <c r="GB21" s="27">
        <v>220.66118154715571</v>
      </c>
      <c r="GC21" s="27">
        <v>220.66118154715571</v>
      </c>
      <c r="GD21" s="27">
        <v>220.66118154715571</v>
      </c>
      <c r="GE21" s="27">
        <v>220.66118154715571</v>
      </c>
      <c r="GF21" s="27">
        <v>220.66118154715571</v>
      </c>
      <c r="GG21" s="27">
        <v>220.66118154715571</v>
      </c>
      <c r="GH21" s="27">
        <v>220.66118154715571</v>
      </c>
      <c r="GI21" s="27">
        <v>3.6</v>
      </c>
      <c r="GJ21" s="27"/>
      <c r="GK21" s="27">
        <v>52.779841721739373</v>
      </c>
      <c r="GL21" s="27">
        <v>52.779841721739373</v>
      </c>
      <c r="GM21" s="27">
        <v>52.779841721739373</v>
      </c>
      <c r="GN21" s="27">
        <v>52.779841721739373</v>
      </c>
      <c r="GO21" s="27">
        <v>52.779841721739373</v>
      </c>
      <c r="GP21" s="27">
        <v>52.779841721739373</v>
      </c>
      <c r="GQ21" s="27">
        <v>52.779841721739373</v>
      </c>
      <c r="GR21" s="27">
        <v>52.779841721739373</v>
      </c>
      <c r="GS21" s="27">
        <v>52.779841721739373</v>
      </c>
      <c r="GT21" s="27">
        <v>3.6</v>
      </c>
      <c r="GV21" s="27">
        <v>62.500023662106429</v>
      </c>
      <c r="GW21" s="27">
        <v>62.500023662106429</v>
      </c>
      <c r="GX21" s="27">
        <v>62.500023662106429</v>
      </c>
      <c r="GY21" s="27">
        <v>62.500023662106429</v>
      </c>
      <c r="GZ21" s="27">
        <v>62.500023662106429</v>
      </c>
      <c r="HA21" s="27">
        <v>62.500023662106429</v>
      </c>
      <c r="HB21" s="27">
        <v>62.500023662106429</v>
      </c>
      <c r="HC21" s="27">
        <v>62.500023662106429</v>
      </c>
      <c r="HD21" s="27">
        <v>62.500023662106429</v>
      </c>
      <c r="HE21" s="27">
        <v>3.6</v>
      </c>
      <c r="HG21" s="27">
        <v>86.155132632120015</v>
      </c>
      <c r="HH21" s="27">
        <v>86.155132632120015</v>
      </c>
      <c r="HI21" s="27">
        <v>86.155132632120015</v>
      </c>
      <c r="HJ21" s="27">
        <v>86.155132632120015</v>
      </c>
      <c r="HK21" s="27">
        <v>86.155132632120015</v>
      </c>
      <c r="HL21" s="27">
        <v>86.155132632120015</v>
      </c>
      <c r="HM21" s="27">
        <v>86.155132632120015</v>
      </c>
      <c r="HN21" s="27">
        <v>86.155132632120015</v>
      </c>
      <c r="HO21" s="27">
        <v>86.155132632120015</v>
      </c>
      <c r="HP21" s="27">
        <v>3.6</v>
      </c>
      <c r="HR21" s="27">
        <v>86.155132632120015</v>
      </c>
      <c r="HS21" s="27">
        <v>86.155132632120015</v>
      </c>
      <c r="HT21" s="27">
        <v>86.155132632120015</v>
      </c>
      <c r="HU21" s="27">
        <v>86.155132632120015</v>
      </c>
      <c r="HV21" s="27">
        <v>86.155132632120015</v>
      </c>
      <c r="HW21" s="27">
        <v>86.155132632120015</v>
      </c>
      <c r="HX21" s="27">
        <v>86.155132632120015</v>
      </c>
      <c r="HY21" s="27">
        <v>86.155132632120015</v>
      </c>
      <c r="HZ21" s="27">
        <v>86.155132632120015</v>
      </c>
      <c r="IA21" s="27">
        <v>3.6</v>
      </c>
    </row>
    <row r="22" spans="2:235">
      <c r="B22" s="514" t="s">
        <v>546</v>
      </c>
      <c r="C22" s="28" t="s">
        <v>546</v>
      </c>
      <c r="D22" s="28" t="s">
        <v>546</v>
      </c>
      <c r="E22" s="28" t="s">
        <v>546</v>
      </c>
      <c r="F22" s="28" t="s">
        <v>546</v>
      </c>
      <c r="G22" s="28" t="s">
        <v>546</v>
      </c>
      <c r="H22" s="28" t="s">
        <v>546</v>
      </c>
      <c r="I22" s="28" t="s">
        <v>546</v>
      </c>
      <c r="J22" s="28" t="s">
        <v>546</v>
      </c>
      <c r="K22" s="452" t="s">
        <v>546</v>
      </c>
      <c r="O22" s="87">
        <v>221.11980258098876</v>
      </c>
      <c r="P22" s="87">
        <v>221.11980258098876</v>
      </c>
      <c r="Q22" s="87">
        <v>221.11980258098876</v>
      </c>
      <c r="R22" s="87">
        <v>221.11980258098876</v>
      </c>
      <c r="S22" s="87">
        <v>221.11980258098876</v>
      </c>
      <c r="T22" s="87">
        <v>221.11980258098876</v>
      </c>
      <c r="U22" s="87">
        <v>221.11980258098876</v>
      </c>
      <c r="V22" s="87">
        <v>221.11980258098876</v>
      </c>
      <c r="W22" s="87">
        <v>221.11980258098876</v>
      </c>
      <c r="X22" s="129">
        <v>1.7</v>
      </c>
      <c r="Z22" s="87">
        <v>329.09156376152777</v>
      </c>
      <c r="AA22" s="87">
        <v>329.09156376152777</v>
      </c>
      <c r="AB22" s="87">
        <v>329.09156376152777</v>
      </c>
      <c r="AC22" s="87">
        <v>329.09156376152777</v>
      </c>
      <c r="AD22" s="87">
        <v>329.09156376152777</v>
      </c>
      <c r="AE22" s="87">
        <v>329.09156376152777</v>
      </c>
      <c r="AF22" s="87">
        <v>329.09156376152777</v>
      </c>
      <c r="AG22" s="87">
        <v>329.09156376152777</v>
      </c>
      <c r="AH22" s="87">
        <v>329.09156376152777</v>
      </c>
      <c r="AI22" s="129">
        <v>1.7</v>
      </c>
      <c r="AK22" s="87">
        <v>281.84779865397024</v>
      </c>
      <c r="AL22" s="87">
        <v>281.84779865397024</v>
      </c>
      <c r="AM22" s="87">
        <v>281.84779865397024</v>
      </c>
      <c r="AN22" s="87">
        <v>281.84779865397024</v>
      </c>
      <c r="AO22" s="87">
        <v>281.84779865397024</v>
      </c>
      <c r="AP22" s="87">
        <v>281.84779865397024</v>
      </c>
      <c r="AQ22" s="87">
        <v>281.84779865397024</v>
      </c>
      <c r="AR22" s="87">
        <v>281.84779865397024</v>
      </c>
      <c r="AS22" s="87">
        <v>281.84779865397024</v>
      </c>
      <c r="AT22" s="129">
        <v>1.7</v>
      </c>
      <c r="AV22" s="87">
        <v>297.63115293979251</v>
      </c>
      <c r="AW22" s="87">
        <v>297.63115293979251</v>
      </c>
      <c r="AX22" s="87">
        <v>297.63115293979251</v>
      </c>
      <c r="AY22" s="87">
        <v>297.63115293979251</v>
      </c>
      <c r="AZ22" s="87">
        <v>297.63115293979251</v>
      </c>
      <c r="BA22" s="87">
        <v>297.63115293979251</v>
      </c>
      <c r="BB22" s="87">
        <v>297.63115293979251</v>
      </c>
      <c r="BC22" s="87">
        <v>297.63115293979251</v>
      </c>
      <c r="BD22" s="87">
        <v>297.63115293979251</v>
      </c>
      <c r="BE22" s="129">
        <v>1.7</v>
      </c>
      <c r="BG22" s="87">
        <v>222.20982142857173</v>
      </c>
      <c r="BH22" s="87">
        <v>222.20982142857173</v>
      </c>
      <c r="BI22" s="87">
        <v>222.20982142857173</v>
      </c>
      <c r="BJ22" s="87">
        <v>222.20982142857173</v>
      </c>
      <c r="BK22" s="87">
        <v>222.20982142857173</v>
      </c>
      <c r="BL22" s="87">
        <v>222.20982142857173</v>
      </c>
      <c r="BM22" s="87">
        <v>222.20982142857173</v>
      </c>
      <c r="BN22" s="87">
        <v>222.20982142857173</v>
      </c>
      <c r="BO22" s="87">
        <v>222.20982142857173</v>
      </c>
      <c r="BP22" s="129">
        <v>1.7</v>
      </c>
      <c r="BR22" s="87">
        <v>222.20982142857173</v>
      </c>
      <c r="BS22" s="87">
        <v>222.20982142857173</v>
      </c>
      <c r="BT22" s="87">
        <v>222.20982142857173</v>
      </c>
      <c r="BU22" s="87">
        <v>222.20982142857173</v>
      </c>
      <c r="BV22" s="87">
        <v>222.20982142857173</v>
      </c>
      <c r="BW22" s="87">
        <v>222.20982142857173</v>
      </c>
      <c r="BX22" s="87">
        <v>222.20982142857173</v>
      </c>
      <c r="BY22" s="87">
        <v>222.20982142857173</v>
      </c>
      <c r="BZ22" s="87">
        <v>222.20982142857173</v>
      </c>
      <c r="CA22" s="129">
        <v>1.7</v>
      </c>
      <c r="CC22" s="87">
        <v>109.27241228299128</v>
      </c>
      <c r="CD22" s="87">
        <v>109.27241228299128</v>
      </c>
      <c r="CE22" s="87">
        <v>109.27241228299128</v>
      </c>
      <c r="CF22" s="87">
        <v>109.27241228299128</v>
      </c>
      <c r="CG22" s="87">
        <v>109.27241228299128</v>
      </c>
      <c r="CH22" s="87">
        <v>109.27241228299128</v>
      </c>
      <c r="CI22" s="87">
        <v>109.27241228299128</v>
      </c>
      <c r="CJ22" s="87">
        <v>109.27241228299128</v>
      </c>
      <c r="CK22" s="87">
        <v>109.27241228299128</v>
      </c>
      <c r="CL22" s="129">
        <v>1.7</v>
      </c>
      <c r="CN22" s="87">
        <v>130.4378623623563</v>
      </c>
      <c r="CO22" s="87">
        <v>130.4378623623563</v>
      </c>
      <c r="CP22" s="87">
        <v>130.4378623623563</v>
      </c>
      <c r="CQ22" s="87">
        <v>130.4378623623563</v>
      </c>
      <c r="CR22" s="87">
        <v>130.4378623623563</v>
      </c>
      <c r="CS22" s="87">
        <v>130.4378623623563</v>
      </c>
      <c r="CT22" s="87">
        <v>130.4378623623563</v>
      </c>
      <c r="CU22" s="87">
        <v>130.4378623623563</v>
      </c>
      <c r="CV22" s="87">
        <v>130.4378623623563</v>
      </c>
      <c r="CW22" s="129">
        <v>1.7</v>
      </c>
      <c r="CY22" s="87">
        <v>184.35728347473423</v>
      </c>
      <c r="CZ22" s="87">
        <v>184.35728347473423</v>
      </c>
      <c r="DA22" s="87">
        <v>184.35728347473423</v>
      </c>
      <c r="DB22" s="87">
        <v>184.35728347473423</v>
      </c>
      <c r="DC22" s="87">
        <v>184.35728347473423</v>
      </c>
      <c r="DD22" s="87">
        <v>184.35728347473423</v>
      </c>
      <c r="DE22" s="87">
        <v>184.35728347473423</v>
      </c>
      <c r="DF22" s="87">
        <v>184.35728347473423</v>
      </c>
      <c r="DG22" s="87">
        <v>184.35728347473423</v>
      </c>
      <c r="DH22" s="129">
        <v>1.7</v>
      </c>
      <c r="DJ22" s="87">
        <v>184.35728347473423</v>
      </c>
      <c r="DK22" s="87">
        <v>184.35728347473423</v>
      </c>
      <c r="DL22" s="87">
        <v>184.35728347473423</v>
      </c>
      <c r="DM22" s="87">
        <v>184.35728347473423</v>
      </c>
      <c r="DN22" s="87">
        <v>184.35728347473423</v>
      </c>
      <c r="DO22" s="87">
        <v>184.35728347473423</v>
      </c>
      <c r="DP22" s="87">
        <v>184.35728347473423</v>
      </c>
      <c r="DQ22" s="87">
        <v>184.35728347473423</v>
      </c>
      <c r="DR22" s="87">
        <v>184.35728347473423</v>
      </c>
      <c r="DS22" s="129">
        <v>1.7</v>
      </c>
      <c r="DW22" s="27">
        <v>65.62190716212811</v>
      </c>
      <c r="DX22" s="27">
        <v>65.62190716212811</v>
      </c>
      <c r="DY22" s="27">
        <v>65.62190716212811</v>
      </c>
      <c r="DZ22" s="27">
        <v>65.62190716212811</v>
      </c>
      <c r="EA22" s="27">
        <v>65.62190716212811</v>
      </c>
      <c r="EB22" s="27">
        <v>65.62190716212811</v>
      </c>
      <c r="EC22" s="27">
        <v>65.62190716212811</v>
      </c>
      <c r="ED22" s="27">
        <v>65.62190716212811</v>
      </c>
      <c r="EE22" s="27">
        <v>65.62190716212811</v>
      </c>
      <c r="EF22" s="27">
        <v>3.7</v>
      </c>
      <c r="EH22" s="27">
        <v>113.83124448187705</v>
      </c>
      <c r="EI22" s="27">
        <v>113.83124448187705</v>
      </c>
      <c r="EJ22" s="27">
        <v>113.83124448187705</v>
      </c>
      <c r="EK22" s="27">
        <v>113.83124448187705</v>
      </c>
      <c r="EL22" s="27">
        <v>113.83124448187705</v>
      </c>
      <c r="EM22" s="27">
        <v>113.83124448187705</v>
      </c>
      <c r="EN22" s="27">
        <v>113.83124448187705</v>
      </c>
      <c r="EO22" s="27">
        <v>113.83124448187705</v>
      </c>
      <c r="EP22" s="27">
        <v>113.83124448187705</v>
      </c>
      <c r="EQ22" s="27">
        <v>3.7</v>
      </c>
      <c r="ES22" s="27">
        <v>130.73809431674331</v>
      </c>
      <c r="ET22" s="27">
        <v>130.73809431674331</v>
      </c>
      <c r="EU22" s="27">
        <v>130.73809431674331</v>
      </c>
      <c r="EV22" s="27">
        <v>130.73809431674331</v>
      </c>
      <c r="EW22" s="27">
        <v>130.73809431674331</v>
      </c>
      <c r="EX22" s="27">
        <v>130.73809431674331</v>
      </c>
      <c r="EY22" s="27">
        <v>130.73809431674331</v>
      </c>
      <c r="EZ22" s="27">
        <v>130.73809431674331</v>
      </c>
      <c r="FA22" s="27">
        <v>130.73809431674331</v>
      </c>
      <c r="FB22" s="27">
        <v>3.7</v>
      </c>
      <c r="FD22" s="27">
        <v>136.11022788537252</v>
      </c>
      <c r="FE22" s="27">
        <v>136.11022788537252</v>
      </c>
      <c r="FF22" s="27">
        <v>136.11022788537252</v>
      </c>
      <c r="FG22" s="27">
        <v>136.11022788537252</v>
      </c>
      <c r="FH22" s="27">
        <v>136.11022788537252</v>
      </c>
      <c r="FI22" s="27">
        <v>136.11022788537252</v>
      </c>
      <c r="FJ22" s="27">
        <v>136.11022788537252</v>
      </c>
      <c r="FK22" s="27">
        <v>136.11022788537252</v>
      </c>
      <c r="FL22" s="27">
        <v>136.11022788537252</v>
      </c>
      <c r="FM22" s="27">
        <v>3.7</v>
      </c>
      <c r="FO22" s="27">
        <v>214.66270663139375</v>
      </c>
      <c r="FP22" s="27">
        <v>214.66270663139375</v>
      </c>
      <c r="FQ22" s="27">
        <v>214.66270663139375</v>
      </c>
      <c r="FR22" s="27">
        <v>214.66270663139375</v>
      </c>
      <c r="FS22" s="27">
        <v>214.66270663139375</v>
      </c>
      <c r="FT22" s="27">
        <v>214.66270663139375</v>
      </c>
      <c r="FU22" s="27">
        <v>214.66270663139375</v>
      </c>
      <c r="FV22" s="27">
        <v>214.66270663139375</v>
      </c>
      <c r="FW22" s="27">
        <v>214.66270663139375</v>
      </c>
      <c r="FX22" s="27">
        <v>3.7</v>
      </c>
      <c r="FZ22" s="27">
        <v>214.66270663139375</v>
      </c>
      <c r="GA22" s="27">
        <v>214.66270663139375</v>
      </c>
      <c r="GB22" s="27">
        <v>214.66270663139375</v>
      </c>
      <c r="GC22" s="27">
        <v>214.66270663139375</v>
      </c>
      <c r="GD22" s="27">
        <v>214.66270663139375</v>
      </c>
      <c r="GE22" s="27">
        <v>214.66270663139375</v>
      </c>
      <c r="GF22" s="27">
        <v>214.66270663139375</v>
      </c>
      <c r="GG22" s="27">
        <v>214.66270663139375</v>
      </c>
      <c r="GH22" s="27">
        <v>214.66270663139375</v>
      </c>
      <c r="GI22" s="27">
        <v>3.7</v>
      </c>
      <c r="GJ22" s="27"/>
      <c r="GK22" s="27">
        <v>51.342392998552981</v>
      </c>
      <c r="GL22" s="27">
        <v>51.342392998552981</v>
      </c>
      <c r="GM22" s="27">
        <v>51.342392998552981</v>
      </c>
      <c r="GN22" s="27">
        <v>51.342392998552981</v>
      </c>
      <c r="GO22" s="27">
        <v>51.342392998552981</v>
      </c>
      <c r="GP22" s="27">
        <v>51.342392998552981</v>
      </c>
      <c r="GQ22" s="27">
        <v>51.342392998552981</v>
      </c>
      <c r="GR22" s="27">
        <v>51.342392998552981</v>
      </c>
      <c r="GS22" s="27">
        <v>51.342392998552981</v>
      </c>
      <c r="GT22" s="27">
        <v>3.7</v>
      </c>
      <c r="GV22" s="27">
        <v>60.816345700779571</v>
      </c>
      <c r="GW22" s="27">
        <v>60.816345700779571</v>
      </c>
      <c r="GX22" s="27">
        <v>60.816345700779571</v>
      </c>
      <c r="GY22" s="27">
        <v>60.816345700779571</v>
      </c>
      <c r="GZ22" s="27">
        <v>60.816345700779571</v>
      </c>
      <c r="HA22" s="27">
        <v>60.816345700779571</v>
      </c>
      <c r="HB22" s="27">
        <v>60.816345700779571</v>
      </c>
      <c r="HC22" s="27">
        <v>60.816345700779571</v>
      </c>
      <c r="HD22" s="27">
        <v>60.816345700779571</v>
      </c>
      <c r="HE22" s="27">
        <v>3.7</v>
      </c>
      <c r="HG22" s="27">
        <v>83.829851394468221</v>
      </c>
      <c r="HH22" s="27">
        <v>83.829851394468221</v>
      </c>
      <c r="HI22" s="27">
        <v>83.829851394468221</v>
      </c>
      <c r="HJ22" s="27">
        <v>83.829851394468221</v>
      </c>
      <c r="HK22" s="27">
        <v>83.829851394468221</v>
      </c>
      <c r="HL22" s="27">
        <v>83.829851394468221</v>
      </c>
      <c r="HM22" s="27">
        <v>83.829851394468221</v>
      </c>
      <c r="HN22" s="27">
        <v>83.829851394468221</v>
      </c>
      <c r="HO22" s="27">
        <v>83.829851394468221</v>
      </c>
      <c r="HP22" s="27">
        <v>3.7</v>
      </c>
      <c r="HR22" s="27">
        <v>83.829851394468221</v>
      </c>
      <c r="HS22" s="27">
        <v>83.829851394468221</v>
      </c>
      <c r="HT22" s="27">
        <v>83.829851394468221</v>
      </c>
      <c r="HU22" s="27">
        <v>83.829851394468221</v>
      </c>
      <c r="HV22" s="27">
        <v>83.829851394468221</v>
      </c>
      <c r="HW22" s="27">
        <v>83.829851394468221</v>
      </c>
      <c r="HX22" s="27">
        <v>83.829851394468221</v>
      </c>
      <c r="HY22" s="27">
        <v>83.829851394468221</v>
      </c>
      <c r="HZ22" s="27">
        <v>83.829851394468221</v>
      </c>
      <c r="IA22" s="27">
        <v>3.7</v>
      </c>
    </row>
    <row r="23" spans="2:235">
      <c r="B23" s="514" t="s">
        <v>547</v>
      </c>
      <c r="C23" s="28" t="s">
        <v>547</v>
      </c>
      <c r="D23" s="28" t="s">
        <v>547</v>
      </c>
      <c r="E23" s="28" t="s">
        <v>547</v>
      </c>
      <c r="F23" s="28" t="s">
        <v>547</v>
      </c>
      <c r="G23" s="28" t="s">
        <v>547</v>
      </c>
      <c r="H23" s="28" t="s">
        <v>547</v>
      </c>
      <c r="I23" s="28" t="s">
        <v>547</v>
      </c>
      <c r="J23" s="28" t="s">
        <v>547</v>
      </c>
      <c r="K23" s="452" t="s">
        <v>547</v>
      </c>
      <c r="O23" s="87">
        <v>204.97736669407965</v>
      </c>
      <c r="P23" s="87">
        <v>204.97736669407965</v>
      </c>
      <c r="Q23" s="87">
        <v>204.97736669407965</v>
      </c>
      <c r="R23" s="87">
        <v>204.97736669407965</v>
      </c>
      <c r="S23" s="87">
        <v>204.97736669407965</v>
      </c>
      <c r="T23" s="87">
        <v>204.97736669407965</v>
      </c>
      <c r="U23" s="87">
        <v>204.97736669407965</v>
      </c>
      <c r="V23" s="87">
        <v>204.97736669407965</v>
      </c>
      <c r="W23" s="87">
        <v>204.97736669407965</v>
      </c>
      <c r="X23" s="129">
        <v>1.8</v>
      </c>
      <c r="Z23" s="87">
        <v>306.79186859870742</v>
      </c>
      <c r="AA23" s="87">
        <v>306.79186859870742</v>
      </c>
      <c r="AB23" s="87">
        <v>306.79186859870742</v>
      </c>
      <c r="AC23" s="87">
        <v>306.79186859870742</v>
      </c>
      <c r="AD23" s="87">
        <v>306.79186859870742</v>
      </c>
      <c r="AE23" s="87">
        <v>306.79186859870742</v>
      </c>
      <c r="AF23" s="87">
        <v>306.79186859870742</v>
      </c>
      <c r="AG23" s="87">
        <v>306.79186859870742</v>
      </c>
      <c r="AH23" s="87">
        <v>306.79186859870742</v>
      </c>
      <c r="AI23" s="129">
        <v>1.8</v>
      </c>
      <c r="AK23" s="87">
        <v>266.37222994305898</v>
      </c>
      <c r="AL23" s="87">
        <v>266.37222994305898</v>
      </c>
      <c r="AM23" s="87">
        <v>266.37222994305898</v>
      </c>
      <c r="AN23" s="87">
        <v>266.37222994305898</v>
      </c>
      <c r="AO23" s="87">
        <v>266.37222994305898</v>
      </c>
      <c r="AP23" s="87">
        <v>266.37222994305898</v>
      </c>
      <c r="AQ23" s="87">
        <v>266.37222994305898</v>
      </c>
      <c r="AR23" s="87">
        <v>266.37222994305898</v>
      </c>
      <c r="AS23" s="87">
        <v>266.37222994305898</v>
      </c>
      <c r="AT23" s="129">
        <v>1.8</v>
      </c>
      <c r="AV23" s="87">
        <v>281.10179990464621</v>
      </c>
      <c r="AW23" s="87">
        <v>281.10179990464621</v>
      </c>
      <c r="AX23" s="87">
        <v>281.10179990464621</v>
      </c>
      <c r="AY23" s="87">
        <v>281.10179990464621</v>
      </c>
      <c r="AZ23" s="87">
        <v>281.10179990464621</v>
      </c>
      <c r="BA23" s="87">
        <v>281.10179990464621</v>
      </c>
      <c r="BB23" s="87">
        <v>281.10179990464621</v>
      </c>
      <c r="BC23" s="87">
        <v>281.10179990464621</v>
      </c>
      <c r="BD23" s="87">
        <v>281.10179990464621</v>
      </c>
      <c r="BE23" s="129">
        <v>1.8</v>
      </c>
      <c r="BG23" s="87">
        <v>219.62500000000031</v>
      </c>
      <c r="BH23" s="87">
        <v>219.62500000000031</v>
      </c>
      <c r="BI23" s="87">
        <v>219.62500000000031</v>
      </c>
      <c r="BJ23" s="87">
        <v>219.62500000000031</v>
      </c>
      <c r="BK23" s="87">
        <v>219.62500000000031</v>
      </c>
      <c r="BL23" s="87">
        <v>219.62500000000031</v>
      </c>
      <c r="BM23" s="87">
        <v>219.62500000000031</v>
      </c>
      <c r="BN23" s="87">
        <v>219.62500000000031</v>
      </c>
      <c r="BO23" s="87">
        <v>219.62500000000031</v>
      </c>
      <c r="BP23" s="129">
        <v>1.8</v>
      </c>
      <c r="BR23" s="87">
        <v>219.62500000000031</v>
      </c>
      <c r="BS23" s="87">
        <v>219.62500000000031</v>
      </c>
      <c r="BT23" s="87">
        <v>219.62500000000031</v>
      </c>
      <c r="BU23" s="87">
        <v>219.62500000000031</v>
      </c>
      <c r="BV23" s="87">
        <v>219.62500000000031</v>
      </c>
      <c r="BW23" s="87">
        <v>219.62500000000031</v>
      </c>
      <c r="BX23" s="87">
        <v>219.62500000000031</v>
      </c>
      <c r="BY23" s="87">
        <v>219.62500000000031</v>
      </c>
      <c r="BZ23" s="87">
        <v>219.62500000000031</v>
      </c>
      <c r="CA23" s="129">
        <v>1.8</v>
      </c>
      <c r="CC23" s="87">
        <v>103.26072804112025</v>
      </c>
      <c r="CD23" s="87">
        <v>103.26072804112025</v>
      </c>
      <c r="CE23" s="87">
        <v>103.26072804112025</v>
      </c>
      <c r="CF23" s="87">
        <v>103.26072804112025</v>
      </c>
      <c r="CG23" s="87">
        <v>103.26072804112025</v>
      </c>
      <c r="CH23" s="87">
        <v>103.26072804112025</v>
      </c>
      <c r="CI23" s="87">
        <v>103.26072804112025</v>
      </c>
      <c r="CJ23" s="87">
        <v>103.26072804112025</v>
      </c>
      <c r="CK23" s="87">
        <v>103.26072804112025</v>
      </c>
      <c r="CL23" s="129">
        <v>1.8</v>
      </c>
      <c r="CN23" s="87">
        <v>123.28288693274715</v>
      </c>
      <c r="CO23" s="87">
        <v>123.28288693274715</v>
      </c>
      <c r="CP23" s="87">
        <v>123.28288693274715</v>
      </c>
      <c r="CQ23" s="87">
        <v>123.28288693274715</v>
      </c>
      <c r="CR23" s="87">
        <v>123.28288693274715</v>
      </c>
      <c r="CS23" s="87">
        <v>123.28288693274715</v>
      </c>
      <c r="CT23" s="87">
        <v>123.28288693274715</v>
      </c>
      <c r="CU23" s="87">
        <v>123.28288693274715</v>
      </c>
      <c r="CV23" s="87">
        <v>123.28288693274715</v>
      </c>
      <c r="CW23" s="129">
        <v>1.8</v>
      </c>
      <c r="CY23" s="87">
        <v>174.06545853375295</v>
      </c>
      <c r="CZ23" s="87">
        <v>174.06545853375295</v>
      </c>
      <c r="DA23" s="87">
        <v>174.06545853375295</v>
      </c>
      <c r="DB23" s="87">
        <v>174.06545853375295</v>
      </c>
      <c r="DC23" s="87">
        <v>174.06545853375295</v>
      </c>
      <c r="DD23" s="87">
        <v>174.06545853375295</v>
      </c>
      <c r="DE23" s="87">
        <v>174.06545853375295</v>
      </c>
      <c r="DF23" s="87">
        <v>174.06545853375295</v>
      </c>
      <c r="DG23" s="87">
        <v>174.06545853375295</v>
      </c>
      <c r="DH23" s="129">
        <v>1.8</v>
      </c>
      <c r="DJ23" s="87">
        <v>174.06545853375295</v>
      </c>
      <c r="DK23" s="87">
        <v>174.06545853375295</v>
      </c>
      <c r="DL23" s="87">
        <v>174.06545853375295</v>
      </c>
      <c r="DM23" s="87">
        <v>174.06545853375295</v>
      </c>
      <c r="DN23" s="87">
        <v>174.06545853375295</v>
      </c>
      <c r="DO23" s="87">
        <v>174.06545853375295</v>
      </c>
      <c r="DP23" s="87">
        <v>174.06545853375295</v>
      </c>
      <c r="DQ23" s="87">
        <v>174.06545853375295</v>
      </c>
      <c r="DR23" s="87">
        <v>174.06545853375295</v>
      </c>
      <c r="DS23" s="129">
        <v>1.8</v>
      </c>
      <c r="DW23" s="27">
        <v>63.883766678040061</v>
      </c>
      <c r="DX23" s="27">
        <v>63.883766678040061</v>
      </c>
      <c r="DY23" s="27">
        <v>63.883766678040061</v>
      </c>
      <c r="DZ23" s="27">
        <v>63.883766678040061</v>
      </c>
      <c r="EA23" s="27">
        <v>63.883766678040061</v>
      </c>
      <c r="EB23" s="27">
        <v>63.883766678040061</v>
      </c>
      <c r="EC23" s="27">
        <v>63.883766678040061</v>
      </c>
      <c r="ED23" s="27">
        <v>63.883766678040061</v>
      </c>
      <c r="EE23" s="27">
        <v>63.883766678040061</v>
      </c>
      <c r="EF23" s="27">
        <v>3.8</v>
      </c>
      <c r="EH23" s="27">
        <v>110.70923401469705</v>
      </c>
      <c r="EI23" s="27">
        <v>110.70923401469705</v>
      </c>
      <c r="EJ23" s="27">
        <v>110.70923401469705</v>
      </c>
      <c r="EK23" s="27">
        <v>110.70923401469705</v>
      </c>
      <c r="EL23" s="27">
        <v>110.70923401469705</v>
      </c>
      <c r="EM23" s="27">
        <v>110.70923401469705</v>
      </c>
      <c r="EN23" s="27">
        <v>110.70923401469705</v>
      </c>
      <c r="EO23" s="27">
        <v>110.70923401469705</v>
      </c>
      <c r="EP23" s="27">
        <v>110.70923401469705</v>
      </c>
      <c r="EQ23" s="27">
        <v>3.8</v>
      </c>
      <c r="ES23" s="27">
        <v>127.33694047321346</v>
      </c>
      <c r="ET23" s="27">
        <v>127.33694047321346</v>
      </c>
      <c r="EU23" s="27">
        <v>127.33694047321346</v>
      </c>
      <c r="EV23" s="27">
        <v>127.33694047321346</v>
      </c>
      <c r="EW23" s="27">
        <v>127.33694047321346</v>
      </c>
      <c r="EX23" s="27">
        <v>127.33694047321346</v>
      </c>
      <c r="EY23" s="27">
        <v>127.33694047321346</v>
      </c>
      <c r="EZ23" s="27">
        <v>127.33694047321346</v>
      </c>
      <c r="FA23" s="27">
        <v>127.33694047321346</v>
      </c>
      <c r="FB23" s="27">
        <v>3.8</v>
      </c>
      <c r="FD23" s="27">
        <v>132.55049386947638</v>
      </c>
      <c r="FE23" s="27">
        <v>132.55049386947638</v>
      </c>
      <c r="FF23" s="27">
        <v>132.55049386947638</v>
      </c>
      <c r="FG23" s="27">
        <v>132.55049386947638</v>
      </c>
      <c r="FH23" s="27">
        <v>132.55049386947638</v>
      </c>
      <c r="FI23" s="27">
        <v>132.55049386947638</v>
      </c>
      <c r="FJ23" s="27">
        <v>132.55049386947638</v>
      </c>
      <c r="FK23" s="27">
        <v>132.55049386947638</v>
      </c>
      <c r="FL23" s="27">
        <v>132.55049386947638</v>
      </c>
      <c r="FM23" s="27">
        <v>3.8</v>
      </c>
      <c r="FO23" s="27">
        <v>208.98084618479757</v>
      </c>
      <c r="FP23" s="27">
        <v>208.98084618479757</v>
      </c>
      <c r="FQ23" s="27">
        <v>208.98084618479757</v>
      </c>
      <c r="FR23" s="27">
        <v>208.98084618479757</v>
      </c>
      <c r="FS23" s="27">
        <v>208.98084618479757</v>
      </c>
      <c r="FT23" s="27">
        <v>208.98084618479757</v>
      </c>
      <c r="FU23" s="27">
        <v>208.98084618479757</v>
      </c>
      <c r="FV23" s="27">
        <v>208.98084618479757</v>
      </c>
      <c r="FW23" s="27">
        <v>208.98084618479757</v>
      </c>
      <c r="FX23" s="27">
        <v>3.8</v>
      </c>
      <c r="FZ23" s="27">
        <v>208.98084618479757</v>
      </c>
      <c r="GA23" s="27">
        <v>208.98084618479757</v>
      </c>
      <c r="GB23" s="27">
        <v>208.98084618479757</v>
      </c>
      <c r="GC23" s="27">
        <v>208.98084618479757</v>
      </c>
      <c r="GD23" s="27">
        <v>208.98084618479757</v>
      </c>
      <c r="GE23" s="27">
        <v>208.98084618479757</v>
      </c>
      <c r="GF23" s="27">
        <v>208.98084618479757</v>
      </c>
      <c r="GG23" s="27">
        <v>208.98084618479757</v>
      </c>
      <c r="GH23" s="27">
        <v>208.98084618479757</v>
      </c>
      <c r="GI23" s="27">
        <v>3.8</v>
      </c>
      <c r="GJ23" s="27"/>
      <c r="GK23" s="27">
        <v>49.980886439990229</v>
      </c>
      <c r="GL23" s="27">
        <v>49.980886439990229</v>
      </c>
      <c r="GM23" s="27">
        <v>49.980886439990229</v>
      </c>
      <c r="GN23" s="27">
        <v>49.980886439990229</v>
      </c>
      <c r="GO23" s="27">
        <v>49.980886439990229</v>
      </c>
      <c r="GP23" s="27">
        <v>49.980886439990229</v>
      </c>
      <c r="GQ23" s="27">
        <v>49.980886439990229</v>
      </c>
      <c r="GR23" s="27">
        <v>49.980886439990229</v>
      </c>
      <c r="GS23" s="27">
        <v>49.980886439990229</v>
      </c>
      <c r="GT23" s="27">
        <v>3.8</v>
      </c>
      <c r="GV23" s="27">
        <v>59.22113970380488</v>
      </c>
      <c r="GW23" s="27">
        <v>59.22113970380488</v>
      </c>
      <c r="GX23" s="27">
        <v>59.22113970380488</v>
      </c>
      <c r="GY23" s="27">
        <v>59.22113970380488</v>
      </c>
      <c r="GZ23" s="27">
        <v>59.22113970380488</v>
      </c>
      <c r="HA23" s="27">
        <v>59.22113970380488</v>
      </c>
      <c r="HB23" s="27">
        <v>59.22113970380488</v>
      </c>
      <c r="HC23" s="27">
        <v>59.22113970380488</v>
      </c>
      <c r="HD23" s="27">
        <v>59.22113970380488</v>
      </c>
      <c r="HE23" s="27">
        <v>3.8</v>
      </c>
      <c r="HG23" s="27">
        <v>81.626869467721363</v>
      </c>
      <c r="HH23" s="27">
        <v>81.626869467721363</v>
      </c>
      <c r="HI23" s="27">
        <v>81.626869467721363</v>
      </c>
      <c r="HJ23" s="27">
        <v>81.626869467721363</v>
      </c>
      <c r="HK23" s="27">
        <v>81.626869467721363</v>
      </c>
      <c r="HL23" s="27">
        <v>81.626869467721363</v>
      </c>
      <c r="HM23" s="27">
        <v>81.626869467721363</v>
      </c>
      <c r="HN23" s="27">
        <v>81.626869467721363</v>
      </c>
      <c r="HO23" s="27">
        <v>81.626869467721363</v>
      </c>
      <c r="HP23" s="27">
        <v>3.8</v>
      </c>
      <c r="HR23" s="27">
        <v>81.626869467721363</v>
      </c>
      <c r="HS23" s="27">
        <v>81.626869467721363</v>
      </c>
      <c r="HT23" s="27">
        <v>81.626869467721363</v>
      </c>
      <c r="HU23" s="27">
        <v>81.626869467721363</v>
      </c>
      <c r="HV23" s="27">
        <v>81.626869467721363</v>
      </c>
      <c r="HW23" s="27">
        <v>81.626869467721363</v>
      </c>
      <c r="HX23" s="27">
        <v>81.626869467721363</v>
      </c>
      <c r="HY23" s="27">
        <v>81.626869467721363</v>
      </c>
      <c r="HZ23" s="27">
        <v>81.626869467721363</v>
      </c>
      <c r="IA23" s="27">
        <v>3.8</v>
      </c>
    </row>
    <row r="24" spans="2:235">
      <c r="B24" s="514" t="s">
        <v>548</v>
      </c>
      <c r="C24" s="28" t="s">
        <v>548</v>
      </c>
      <c r="D24" s="28" t="s">
        <v>548</v>
      </c>
      <c r="E24" s="28" t="s">
        <v>548</v>
      </c>
      <c r="F24" s="28" t="s">
        <v>548</v>
      </c>
      <c r="G24" s="28" t="s">
        <v>548</v>
      </c>
      <c r="H24" s="28" t="s">
        <v>548</v>
      </c>
      <c r="I24" s="28" t="s">
        <v>548</v>
      </c>
      <c r="J24" s="28" t="s">
        <v>548</v>
      </c>
      <c r="K24" s="452" t="s">
        <v>548</v>
      </c>
      <c r="O24" s="87">
        <v>190.79396171155273</v>
      </c>
      <c r="P24" s="87">
        <v>190.79396171155273</v>
      </c>
      <c r="Q24" s="87">
        <v>190.79396171155273</v>
      </c>
      <c r="R24" s="87">
        <v>190.79396171155273</v>
      </c>
      <c r="S24" s="87">
        <v>190.79396171155273</v>
      </c>
      <c r="T24" s="87">
        <v>190.79396171155273</v>
      </c>
      <c r="U24" s="87">
        <v>190.79396171155273</v>
      </c>
      <c r="V24" s="87">
        <v>190.79396171155273</v>
      </c>
      <c r="W24" s="87">
        <v>190.79396171155273</v>
      </c>
      <c r="X24" s="129">
        <v>1.9</v>
      </c>
      <c r="Z24" s="87">
        <v>287.09058453462393</v>
      </c>
      <c r="AA24" s="87">
        <v>287.09058453462393</v>
      </c>
      <c r="AB24" s="87">
        <v>287.09058453462393</v>
      </c>
      <c r="AC24" s="87">
        <v>287.09058453462393</v>
      </c>
      <c r="AD24" s="87">
        <v>287.09058453462393</v>
      </c>
      <c r="AE24" s="87">
        <v>287.09058453462393</v>
      </c>
      <c r="AF24" s="87">
        <v>287.09058453462393</v>
      </c>
      <c r="AG24" s="87">
        <v>287.09058453462393</v>
      </c>
      <c r="AH24" s="87">
        <v>287.09058453462393</v>
      </c>
      <c r="AI24" s="129">
        <v>1.9</v>
      </c>
      <c r="AK24" s="87">
        <v>252.51642009042661</v>
      </c>
      <c r="AL24" s="87">
        <v>252.51642009042661</v>
      </c>
      <c r="AM24" s="87">
        <v>252.51642009042661</v>
      </c>
      <c r="AN24" s="87">
        <v>252.51642009042661</v>
      </c>
      <c r="AO24" s="87">
        <v>252.51642009042661</v>
      </c>
      <c r="AP24" s="87">
        <v>252.51642009042661</v>
      </c>
      <c r="AQ24" s="87">
        <v>252.51642009042661</v>
      </c>
      <c r="AR24" s="87">
        <v>252.51642009042661</v>
      </c>
      <c r="AS24" s="87">
        <v>252.51642009042661</v>
      </c>
      <c r="AT24" s="129">
        <v>1.9</v>
      </c>
      <c r="AV24" s="87">
        <v>266.31208626645406</v>
      </c>
      <c r="AW24" s="87">
        <v>266.31208626645406</v>
      </c>
      <c r="AX24" s="87">
        <v>266.31208626645406</v>
      </c>
      <c r="AY24" s="87">
        <v>266.31208626645406</v>
      </c>
      <c r="AZ24" s="87">
        <v>266.31208626645406</v>
      </c>
      <c r="BA24" s="87">
        <v>266.31208626645406</v>
      </c>
      <c r="BB24" s="87">
        <v>266.31208626645406</v>
      </c>
      <c r="BC24" s="87">
        <v>266.31208626645406</v>
      </c>
      <c r="BD24" s="87">
        <v>266.31208626645406</v>
      </c>
      <c r="BE24" s="129">
        <v>1.9</v>
      </c>
      <c r="BG24" s="87">
        <v>217.06101190476221</v>
      </c>
      <c r="BH24" s="87">
        <v>217.06101190476221</v>
      </c>
      <c r="BI24" s="87">
        <v>217.06101190476221</v>
      </c>
      <c r="BJ24" s="87">
        <v>217.06101190476221</v>
      </c>
      <c r="BK24" s="87">
        <v>217.06101190476221</v>
      </c>
      <c r="BL24" s="87">
        <v>217.06101190476221</v>
      </c>
      <c r="BM24" s="87">
        <v>217.06101190476221</v>
      </c>
      <c r="BN24" s="87">
        <v>217.06101190476221</v>
      </c>
      <c r="BO24" s="87">
        <v>217.06101190476221</v>
      </c>
      <c r="BP24" s="129">
        <v>1.9</v>
      </c>
      <c r="BR24" s="87">
        <v>217.06101190476221</v>
      </c>
      <c r="BS24" s="87">
        <v>217.06101190476221</v>
      </c>
      <c r="BT24" s="87">
        <v>217.06101190476221</v>
      </c>
      <c r="BU24" s="87">
        <v>217.06101190476221</v>
      </c>
      <c r="BV24" s="87">
        <v>217.06101190476221</v>
      </c>
      <c r="BW24" s="87">
        <v>217.06101190476221</v>
      </c>
      <c r="BX24" s="87">
        <v>217.06101190476221</v>
      </c>
      <c r="BY24" s="87">
        <v>217.06101190476221</v>
      </c>
      <c r="BZ24" s="87">
        <v>217.06101190476221</v>
      </c>
      <c r="CA24" s="129">
        <v>1.9</v>
      </c>
      <c r="CC24" s="87">
        <v>97.87885895659889</v>
      </c>
      <c r="CD24" s="87">
        <v>97.87885895659889</v>
      </c>
      <c r="CE24" s="87">
        <v>97.87885895659889</v>
      </c>
      <c r="CF24" s="87">
        <v>97.87885895659889</v>
      </c>
      <c r="CG24" s="87">
        <v>97.87885895659889</v>
      </c>
      <c r="CH24" s="87">
        <v>97.87885895659889</v>
      </c>
      <c r="CI24" s="87">
        <v>97.87885895659889</v>
      </c>
      <c r="CJ24" s="87">
        <v>97.87885895659889</v>
      </c>
      <c r="CK24" s="87">
        <v>97.87885895659889</v>
      </c>
      <c r="CL24" s="129">
        <v>1.9</v>
      </c>
      <c r="CN24" s="87">
        <v>116.87643446528435</v>
      </c>
      <c r="CO24" s="87">
        <v>116.87643446528435</v>
      </c>
      <c r="CP24" s="87">
        <v>116.87643446528435</v>
      </c>
      <c r="CQ24" s="87">
        <v>116.87643446528435</v>
      </c>
      <c r="CR24" s="87">
        <v>116.87643446528435</v>
      </c>
      <c r="CS24" s="87">
        <v>116.87643446528435</v>
      </c>
      <c r="CT24" s="87">
        <v>116.87643446528435</v>
      </c>
      <c r="CU24" s="87">
        <v>116.87643446528435</v>
      </c>
      <c r="CV24" s="87">
        <v>116.87643446528435</v>
      </c>
      <c r="CW24" s="129">
        <v>1.9</v>
      </c>
      <c r="CY24" s="87">
        <v>164.85954509876365</v>
      </c>
      <c r="CZ24" s="87">
        <v>164.85954509876365</v>
      </c>
      <c r="DA24" s="87">
        <v>164.85954509876365</v>
      </c>
      <c r="DB24" s="87">
        <v>164.85954509876365</v>
      </c>
      <c r="DC24" s="87">
        <v>164.85954509876365</v>
      </c>
      <c r="DD24" s="87">
        <v>164.85954509876365</v>
      </c>
      <c r="DE24" s="87">
        <v>164.85954509876365</v>
      </c>
      <c r="DF24" s="87">
        <v>164.85954509876365</v>
      </c>
      <c r="DG24" s="87">
        <v>164.85954509876365</v>
      </c>
      <c r="DH24" s="129">
        <v>1.9</v>
      </c>
      <c r="DJ24" s="87">
        <v>164.85954509876365</v>
      </c>
      <c r="DK24" s="87">
        <v>164.85954509876365</v>
      </c>
      <c r="DL24" s="87">
        <v>164.85954509876365</v>
      </c>
      <c r="DM24" s="87">
        <v>164.85954509876365</v>
      </c>
      <c r="DN24" s="87">
        <v>164.85954509876365</v>
      </c>
      <c r="DO24" s="87">
        <v>164.85954509876365</v>
      </c>
      <c r="DP24" s="87">
        <v>164.85954509876365</v>
      </c>
      <c r="DQ24" s="87">
        <v>164.85954509876365</v>
      </c>
      <c r="DR24" s="87">
        <v>164.85954509876365</v>
      </c>
      <c r="DS24" s="129">
        <v>1.9</v>
      </c>
      <c r="DW24" s="27">
        <v>62.235048160171395</v>
      </c>
      <c r="DX24" s="27">
        <v>62.235048160171395</v>
      </c>
      <c r="DY24" s="27">
        <v>62.235048160171395</v>
      </c>
      <c r="DZ24" s="27">
        <v>62.235048160171395</v>
      </c>
      <c r="EA24" s="27">
        <v>62.235048160171395</v>
      </c>
      <c r="EB24" s="27">
        <v>62.235048160171395</v>
      </c>
      <c r="EC24" s="27">
        <v>62.235048160171395</v>
      </c>
      <c r="ED24" s="27">
        <v>62.235048160171395</v>
      </c>
      <c r="EE24" s="27">
        <v>62.235048160171395</v>
      </c>
      <c r="EF24" s="27">
        <v>3.9</v>
      </c>
      <c r="EH24" s="27">
        <v>107.75066238789761</v>
      </c>
      <c r="EI24" s="27">
        <v>107.75066238789761</v>
      </c>
      <c r="EJ24" s="27">
        <v>107.75066238789761</v>
      </c>
      <c r="EK24" s="27">
        <v>107.75066238789761</v>
      </c>
      <c r="EL24" s="27">
        <v>107.75066238789761</v>
      </c>
      <c r="EM24" s="27">
        <v>107.75066238789761</v>
      </c>
      <c r="EN24" s="27">
        <v>107.75066238789761</v>
      </c>
      <c r="EO24" s="27">
        <v>107.75066238789761</v>
      </c>
      <c r="EP24" s="27">
        <v>107.75066238789761</v>
      </c>
      <c r="EQ24" s="27">
        <v>3.9</v>
      </c>
      <c r="ES24" s="27">
        <v>124.10922086979629</v>
      </c>
      <c r="ET24" s="27">
        <v>124.10922086979629</v>
      </c>
      <c r="EU24" s="27">
        <v>124.10922086979629</v>
      </c>
      <c r="EV24" s="27">
        <v>124.10922086979629</v>
      </c>
      <c r="EW24" s="27">
        <v>124.10922086979629</v>
      </c>
      <c r="EX24" s="27">
        <v>124.10922086979629</v>
      </c>
      <c r="EY24" s="27">
        <v>124.10922086979629</v>
      </c>
      <c r="EZ24" s="27">
        <v>124.10922086979629</v>
      </c>
      <c r="FA24" s="27">
        <v>124.10922086979629</v>
      </c>
      <c r="FB24" s="27">
        <v>3.9</v>
      </c>
      <c r="FD24" s="27">
        <v>129.17275404481745</v>
      </c>
      <c r="FE24" s="27">
        <v>129.17275404481745</v>
      </c>
      <c r="FF24" s="27">
        <v>129.17275404481745</v>
      </c>
      <c r="FG24" s="27">
        <v>129.17275404481745</v>
      </c>
      <c r="FH24" s="27">
        <v>129.17275404481745</v>
      </c>
      <c r="FI24" s="27">
        <v>129.17275404481745</v>
      </c>
      <c r="FJ24" s="27">
        <v>129.17275404481745</v>
      </c>
      <c r="FK24" s="27">
        <v>129.17275404481745</v>
      </c>
      <c r="FL24" s="27">
        <v>129.17275404481745</v>
      </c>
      <c r="FM24" s="27">
        <v>3.9</v>
      </c>
      <c r="FO24" s="27">
        <v>203.59119928794752</v>
      </c>
      <c r="FP24" s="27">
        <v>203.59119928794752</v>
      </c>
      <c r="FQ24" s="27">
        <v>203.59119928794752</v>
      </c>
      <c r="FR24" s="27">
        <v>203.59119928794752</v>
      </c>
      <c r="FS24" s="27">
        <v>203.59119928794752</v>
      </c>
      <c r="FT24" s="27">
        <v>203.59119928794752</v>
      </c>
      <c r="FU24" s="27">
        <v>203.59119928794752</v>
      </c>
      <c r="FV24" s="27">
        <v>203.59119928794752</v>
      </c>
      <c r="FW24" s="27">
        <v>203.59119928794752</v>
      </c>
      <c r="FX24" s="27">
        <v>3.9</v>
      </c>
      <c r="FZ24" s="27">
        <v>203.59119928794752</v>
      </c>
      <c r="GA24" s="27">
        <v>203.59119928794752</v>
      </c>
      <c r="GB24" s="27">
        <v>203.59119928794752</v>
      </c>
      <c r="GC24" s="27">
        <v>203.59119928794752</v>
      </c>
      <c r="GD24" s="27">
        <v>203.59119928794752</v>
      </c>
      <c r="GE24" s="27">
        <v>203.59119928794752</v>
      </c>
      <c r="GF24" s="27">
        <v>203.59119928794752</v>
      </c>
      <c r="GG24" s="27">
        <v>203.59119928794752</v>
      </c>
      <c r="GH24" s="27">
        <v>203.59119928794752</v>
      </c>
      <c r="GI24" s="27">
        <v>3.9</v>
      </c>
      <c r="GJ24" s="27"/>
      <c r="GK24" s="27">
        <v>48.689465758211071</v>
      </c>
      <c r="GL24" s="27">
        <v>48.689465758211071</v>
      </c>
      <c r="GM24" s="27">
        <v>48.689465758211071</v>
      </c>
      <c r="GN24" s="27">
        <v>48.689465758211071</v>
      </c>
      <c r="GO24" s="27">
        <v>48.689465758211071</v>
      </c>
      <c r="GP24" s="27">
        <v>48.689465758211071</v>
      </c>
      <c r="GQ24" s="27">
        <v>48.689465758211071</v>
      </c>
      <c r="GR24" s="27">
        <v>48.689465758211071</v>
      </c>
      <c r="GS24" s="27">
        <v>48.689465758211071</v>
      </c>
      <c r="GT24" s="27">
        <v>3.9</v>
      </c>
      <c r="GV24" s="27">
        <v>57.707607346229544</v>
      </c>
      <c r="GW24" s="27">
        <v>57.707607346229544</v>
      </c>
      <c r="GX24" s="27">
        <v>57.707607346229544</v>
      </c>
      <c r="GY24" s="27">
        <v>57.707607346229544</v>
      </c>
      <c r="GZ24" s="27">
        <v>57.707607346229544</v>
      </c>
      <c r="HA24" s="27">
        <v>57.707607346229544</v>
      </c>
      <c r="HB24" s="27">
        <v>57.707607346229544</v>
      </c>
      <c r="HC24" s="27">
        <v>57.707607346229544</v>
      </c>
      <c r="HD24" s="27">
        <v>57.707607346229544</v>
      </c>
      <c r="HE24" s="27">
        <v>3.9</v>
      </c>
      <c r="HG24" s="27">
        <v>79.536783457701446</v>
      </c>
      <c r="HH24" s="27">
        <v>79.536783457701446</v>
      </c>
      <c r="HI24" s="27">
        <v>79.536783457701446</v>
      </c>
      <c r="HJ24" s="27">
        <v>79.536783457701446</v>
      </c>
      <c r="HK24" s="27">
        <v>79.536783457701446</v>
      </c>
      <c r="HL24" s="27">
        <v>79.536783457701446</v>
      </c>
      <c r="HM24" s="27">
        <v>79.536783457701446</v>
      </c>
      <c r="HN24" s="27">
        <v>79.536783457701446</v>
      </c>
      <c r="HO24" s="27">
        <v>79.536783457701446</v>
      </c>
      <c r="HP24" s="27">
        <v>3.9</v>
      </c>
      <c r="HR24" s="27">
        <v>79.536783457701446</v>
      </c>
      <c r="HS24" s="27">
        <v>79.536783457701446</v>
      </c>
      <c r="HT24" s="27">
        <v>79.536783457701446</v>
      </c>
      <c r="HU24" s="27">
        <v>79.536783457701446</v>
      </c>
      <c r="HV24" s="27">
        <v>79.536783457701446</v>
      </c>
      <c r="HW24" s="27">
        <v>79.536783457701446</v>
      </c>
      <c r="HX24" s="27">
        <v>79.536783457701446</v>
      </c>
      <c r="HY24" s="27">
        <v>79.536783457701446</v>
      </c>
      <c r="HZ24" s="27">
        <v>79.536783457701446</v>
      </c>
      <c r="IA24" s="27">
        <v>3.9</v>
      </c>
    </row>
    <row r="25" spans="2:235">
      <c r="B25" s="514" t="s">
        <v>549</v>
      </c>
      <c r="C25" s="28" t="s">
        <v>549</v>
      </c>
      <c r="D25" s="28" t="s">
        <v>549</v>
      </c>
      <c r="E25" s="28" t="s">
        <v>549</v>
      </c>
      <c r="F25" s="28" t="s">
        <v>549</v>
      </c>
      <c r="G25" s="28" t="s">
        <v>549</v>
      </c>
      <c r="H25" s="28" t="s">
        <v>549</v>
      </c>
      <c r="I25" s="28" t="s">
        <v>549</v>
      </c>
      <c r="J25" s="28" t="s">
        <v>549</v>
      </c>
      <c r="K25" s="452" t="s">
        <v>549</v>
      </c>
      <c r="O25" s="87">
        <v>178.24651627250643</v>
      </c>
      <c r="P25" s="87">
        <v>178.24651627250643</v>
      </c>
      <c r="Q25" s="87">
        <v>178.24651627250643</v>
      </c>
      <c r="R25" s="87">
        <v>178.24651627250643</v>
      </c>
      <c r="S25" s="87">
        <v>178.24651627250643</v>
      </c>
      <c r="T25" s="87">
        <v>178.24651627250643</v>
      </c>
      <c r="U25" s="87">
        <v>178.24651627250643</v>
      </c>
      <c r="V25" s="87">
        <v>178.24651627250643</v>
      </c>
      <c r="W25" s="87">
        <v>178.24651627250643</v>
      </c>
      <c r="X25" s="129">
        <v>2</v>
      </c>
      <c r="Z25" s="87">
        <v>269.57084502580409</v>
      </c>
      <c r="AA25" s="87">
        <v>269.57084502580409</v>
      </c>
      <c r="AB25" s="87">
        <v>269.57084502580409</v>
      </c>
      <c r="AC25" s="87">
        <v>269.57084502580409</v>
      </c>
      <c r="AD25" s="87">
        <v>269.57084502580409</v>
      </c>
      <c r="AE25" s="87">
        <v>269.57084502580409</v>
      </c>
      <c r="AF25" s="87">
        <v>269.57084502580409</v>
      </c>
      <c r="AG25" s="87">
        <v>269.57084502580409</v>
      </c>
      <c r="AH25" s="87">
        <v>269.57084502580409</v>
      </c>
      <c r="AI25" s="129">
        <v>2</v>
      </c>
      <c r="AK25" s="87">
        <v>240.03830188765835</v>
      </c>
      <c r="AL25" s="87">
        <v>240.03830188765835</v>
      </c>
      <c r="AM25" s="87">
        <v>240.03830188765835</v>
      </c>
      <c r="AN25" s="87">
        <v>240.03830188765835</v>
      </c>
      <c r="AO25" s="87">
        <v>240.03830188765835</v>
      </c>
      <c r="AP25" s="87">
        <v>240.03830188765835</v>
      </c>
      <c r="AQ25" s="87">
        <v>240.03830188765835</v>
      </c>
      <c r="AR25" s="87">
        <v>240.03830188765835</v>
      </c>
      <c r="AS25" s="87">
        <v>240.03830188765835</v>
      </c>
      <c r="AT25" s="129">
        <v>2</v>
      </c>
      <c r="AV25" s="87">
        <v>253.0010946308164</v>
      </c>
      <c r="AW25" s="87">
        <v>253.0010946308164</v>
      </c>
      <c r="AX25" s="87">
        <v>253.0010946308164</v>
      </c>
      <c r="AY25" s="87">
        <v>253.0010946308164</v>
      </c>
      <c r="AZ25" s="87">
        <v>253.0010946308164</v>
      </c>
      <c r="BA25" s="87">
        <v>253.0010946308164</v>
      </c>
      <c r="BB25" s="87">
        <v>253.0010946308164</v>
      </c>
      <c r="BC25" s="87">
        <v>253.0010946308164</v>
      </c>
      <c r="BD25" s="87">
        <v>253.0010946308164</v>
      </c>
      <c r="BE25" s="129">
        <v>2</v>
      </c>
      <c r="BG25" s="87">
        <v>214.51785714285745</v>
      </c>
      <c r="BH25" s="87">
        <v>214.51785714285745</v>
      </c>
      <c r="BI25" s="87">
        <v>214.51785714285745</v>
      </c>
      <c r="BJ25" s="87">
        <v>214.51785714285745</v>
      </c>
      <c r="BK25" s="87">
        <v>214.51785714285745</v>
      </c>
      <c r="BL25" s="87">
        <v>214.51785714285745</v>
      </c>
      <c r="BM25" s="87">
        <v>214.51785714285745</v>
      </c>
      <c r="BN25" s="87">
        <v>214.51785714285745</v>
      </c>
      <c r="BO25" s="87">
        <v>214.51785714285745</v>
      </c>
      <c r="BP25" s="129">
        <v>2</v>
      </c>
      <c r="BR25" s="87">
        <v>214.51785714285745</v>
      </c>
      <c r="BS25" s="87">
        <v>214.51785714285745</v>
      </c>
      <c r="BT25" s="87">
        <v>214.51785714285745</v>
      </c>
      <c r="BU25" s="87">
        <v>214.51785714285745</v>
      </c>
      <c r="BV25" s="87">
        <v>214.51785714285745</v>
      </c>
      <c r="BW25" s="87">
        <v>214.51785714285745</v>
      </c>
      <c r="BX25" s="87">
        <v>214.51785714285745</v>
      </c>
      <c r="BY25" s="87">
        <v>214.51785714285745</v>
      </c>
      <c r="BZ25" s="87">
        <v>214.51785714285745</v>
      </c>
      <c r="CA25" s="129">
        <v>2</v>
      </c>
      <c r="CC25" s="87">
        <v>93.032623269740256</v>
      </c>
      <c r="CD25" s="87">
        <v>93.032623269740256</v>
      </c>
      <c r="CE25" s="87">
        <v>93.032623269740256</v>
      </c>
      <c r="CF25" s="87">
        <v>93.032623269740256</v>
      </c>
      <c r="CG25" s="87">
        <v>93.032623269740256</v>
      </c>
      <c r="CH25" s="87">
        <v>93.032623269740256</v>
      </c>
      <c r="CI25" s="87">
        <v>93.032623269740256</v>
      </c>
      <c r="CJ25" s="87">
        <v>93.032623269740256</v>
      </c>
      <c r="CK25" s="87">
        <v>93.032623269740256</v>
      </c>
      <c r="CL25" s="129">
        <v>2</v>
      </c>
      <c r="CN25" s="87">
        <v>111.10667540263786</v>
      </c>
      <c r="CO25" s="87">
        <v>111.10667540263786</v>
      </c>
      <c r="CP25" s="87">
        <v>111.10667540263786</v>
      </c>
      <c r="CQ25" s="87">
        <v>111.10667540263786</v>
      </c>
      <c r="CR25" s="87">
        <v>111.10667540263786</v>
      </c>
      <c r="CS25" s="87">
        <v>111.10667540263786</v>
      </c>
      <c r="CT25" s="87">
        <v>111.10667540263786</v>
      </c>
      <c r="CU25" s="87">
        <v>111.10667540263786</v>
      </c>
      <c r="CV25" s="87">
        <v>111.10667540263786</v>
      </c>
      <c r="CW25" s="129">
        <v>2</v>
      </c>
      <c r="CY25" s="87">
        <v>156.57640609551461</v>
      </c>
      <c r="CZ25" s="87">
        <v>156.57640609551461</v>
      </c>
      <c r="DA25" s="87">
        <v>156.57640609551461</v>
      </c>
      <c r="DB25" s="87">
        <v>156.57640609551461</v>
      </c>
      <c r="DC25" s="87">
        <v>156.57640609551461</v>
      </c>
      <c r="DD25" s="87">
        <v>156.57640609551461</v>
      </c>
      <c r="DE25" s="87">
        <v>156.57640609551461</v>
      </c>
      <c r="DF25" s="87">
        <v>156.57640609551461</v>
      </c>
      <c r="DG25" s="87">
        <v>156.57640609551461</v>
      </c>
      <c r="DH25" s="129">
        <v>2</v>
      </c>
      <c r="DJ25" s="87">
        <v>156.57640609551461</v>
      </c>
      <c r="DK25" s="87">
        <v>156.57640609551461</v>
      </c>
      <c r="DL25" s="87">
        <v>156.57640609551461</v>
      </c>
      <c r="DM25" s="87">
        <v>156.57640609551461</v>
      </c>
      <c r="DN25" s="87">
        <v>156.57640609551461</v>
      </c>
      <c r="DO25" s="87">
        <v>156.57640609551461</v>
      </c>
      <c r="DP25" s="87">
        <v>156.57640609551461</v>
      </c>
      <c r="DQ25" s="87">
        <v>156.57640609551461</v>
      </c>
      <c r="DR25" s="87">
        <v>156.57640609551461</v>
      </c>
      <c r="DS25" s="129">
        <v>2</v>
      </c>
      <c r="DW25" s="27">
        <v>60.669030766748016</v>
      </c>
      <c r="DX25" s="27">
        <v>60.669030766748016</v>
      </c>
      <c r="DY25" s="27">
        <v>60.669030766748016</v>
      </c>
      <c r="DZ25" s="27">
        <v>60.669030766748016</v>
      </c>
      <c r="EA25" s="27">
        <v>60.669030766748016</v>
      </c>
      <c r="EB25" s="27">
        <v>60.669030766748016</v>
      </c>
      <c r="EC25" s="27">
        <v>60.669030766748016</v>
      </c>
      <c r="ED25" s="27">
        <v>60.669030766748016</v>
      </c>
      <c r="EE25" s="27">
        <v>60.669030766748016</v>
      </c>
      <c r="EF25" s="27">
        <v>4</v>
      </c>
      <c r="EH25" s="27">
        <v>104.9431035524622</v>
      </c>
      <c r="EI25" s="27">
        <v>104.9431035524622</v>
      </c>
      <c r="EJ25" s="27">
        <v>104.9431035524622</v>
      </c>
      <c r="EK25" s="27">
        <v>104.9431035524622</v>
      </c>
      <c r="EL25" s="27">
        <v>104.9431035524622</v>
      </c>
      <c r="EM25" s="27">
        <v>104.9431035524622</v>
      </c>
      <c r="EN25" s="27">
        <v>104.9431035524622</v>
      </c>
      <c r="EO25" s="27">
        <v>104.9431035524622</v>
      </c>
      <c r="EP25" s="27">
        <v>104.9431035524622</v>
      </c>
      <c r="EQ25" s="27">
        <v>4</v>
      </c>
      <c r="ES25" s="27">
        <v>121.04197624486439</v>
      </c>
      <c r="ET25" s="27">
        <v>121.04197624486439</v>
      </c>
      <c r="EU25" s="27">
        <v>121.04197624486439</v>
      </c>
      <c r="EV25" s="27">
        <v>121.04197624486439</v>
      </c>
      <c r="EW25" s="27">
        <v>121.04197624486439</v>
      </c>
      <c r="EX25" s="27">
        <v>121.04197624486439</v>
      </c>
      <c r="EY25" s="27">
        <v>121.04197624486439</v>
      </c>
      <c r="EZ25" s="27">
        <v>121.04197624486439</v>
      </c>
      <c r="FA25" s="27">
        <v>121.04197624486439</v>
      </c>
      <c r="FB25" s="27">
        <v>4</v>
      </c>
      <c r="FD25" s="27">
        <v>125.96338622932322</v>
      </c>
      <c r="FE25" s="27">
        <v>125.96338622932322</v>
      </c>
      <c r="FF25" s="27">
        <v>125.96338622932322</v>
      </c>
      <c r="FG25" s="27">
        <v>125.96338622932322</v>
      </c>
      <c r="FH25" s="27">
        <v>125.96338622932322</v>
      </c>
      <c r="FI25" s="27">
        <v>125.96338622932322</v>
      </c>
      <c r="FJ25" s="27">
        <v>125.96338622932322</v>
      </c>
      <c r="FK25" s="27">
        <v>125.96338622932322</v>
      </c>
      <c r="FL25" s="27">
        <v>125.96338622932322</v>
      </c>
      <c r="FM25" s="27">
        <v>4</v>
      </c>
      <c r="FO25" s="27">
        <v>198.47180852393711</v>
      </c>
      <c r="FP25" s="27">
        <v>198.47180852393711</v>
      </c>
      <c r="FQ25" s="27">
        <v>198.47180852393711</v>
      </c>
      <c r="FR25" s="27">
        <v>198.47180852393711</v>
      </c>
      <c r="FS25" s="27">
        <v>198.47180852393711</v>
      </c>
      <c r="FT25" s="27">
        <v>198.47180852393711</v>
      </c>
      <c r="FU25" s="27">
        <v>198.47180852393711</v>
      </c>
      <c r="FV25" s="27">
        <v>198.47180852393711</v>
      </c>
      <c r="FW25" s="27">
        <v>198.47180852393711</v>
      </c>
      <c r="FX25" s="27">
        <v>4</v>
      </c>
      <c r="FZ25" s="27">
        <v>198.47180852393711</v>
      </c>
      <c r="GA25" s="27">
        <v>198.47180852393711</v>
      </c>
      <c r="GB25" s="27">
        <v>198.47180852393711</v>
      </c>
      <c r="GC25" s="27">
        <v>198.47180852393711</v>
      </c>
      <c r="GD25" s="27">
        <v>198.47180852393711</v>
      </c>
      <c r="GE25" s="27">
        <v>198.47180852393711</v>
      </c>
      <c r="GF25" s="27">
        <v>198.47180852393711</v>
      </c>
      <c r="GG25" s="27">
        <v>198.47180852393711</v>
      </c>
      <c r="GH25" s="27">
        <v>198.47180852393711</v>
      </c>
      <c r="GI25" s="27">
        <v>4</v>
      </c>
      <c r="GJ25" s="27"/>
      <c r="GK25" s="27">
        <v>47.462861376968441</v>
      </c>
      <c r="GL25" s="27">
        <v>47.462861376968441</v>
      </c>
      <c r="GM25" s="27">
        <v>47.462861376968441</v>
      </c>
      <c r="GN25" s="27">
        <v>47.462861376968441</v>
      </c>
      <c r="GO25" s="27">
        <v>47.462861376968441</v>
      </c>
      <c r="GP25" s="27">
        <v>47.462861376968441</v>
      </c>
      <c r="GQ25" s="27">
        <v>47.462861376968441</v>
      </c>
      <c r="GR25" s="27">
        <v>47.462861376968441</v>
      </c>
      <c r="GS25" s="27">
        <v>47.462861376968441</v>
      </c>
      <c r="GT25" s="27">
        <v>4</v>
      </c>
      <c r="GV25" s="27">
        <v>56.269629602081714</v>
      </c>
      <c r="GW25" s="27">
        <v>56.269629602081714</v>
      </c>
      <c r="GX25" s="27">
        <v>56.269629602081714</v>
      </c>
      <c r="GY25" s="27">
        <v>56.269629602081714</v>
      </c>
      <c r="GZ25" s="27">
        <v>56.269629602081714</v>
      </c>
      <c r="HA25" s="27">
        <v>56.269629602081714</v>
      </c>
      <c r="HB25" s="27">
        <v>56.269629602081714</v>
      </c>
      <c r="HC25" s="27">
        <v>56.269629602081714</v>
      </c>
      <c r="HD25" s="27">
        <v>56.269629602081714</v>
      </c>
      <c r="HE25" s="27">
        <v>4</v>
      </c>
      <c r="HG25" s="27">
        <v>77.551129995366466</v>
      </c>
      <c r="HH25" s="27">
        <v>77.551129995366466</v>
      </c>
      <c r="HI25" s="27">
        <v>77.551129995366466</v>
      </c>
      <c r="HJ25" s="27">
        <v>77.551129995366466</v>
      </c>
      <c r="HK25" s="27">
        <v>77.551129995366466</v>
      </c>
      <c r="HL25" s="27">
        <v>77.551129995366466</v>
      </c>
      <c r="HM25" s="27">
        <v>77.551129995366466</v>
      </c>
      <c r="HN25" s="27">
        <v>77.551129995366466</v>
      </c>
      <c r="HO25" s="27">
        <v>77.551129995366466</v>
      </c>
      <c r="HP25" s="27">
        <v>4</v>
      </c>
      <c r="HR25" s="27">
        <v>77.551129995366466</v>
      </c>
      <c r="HS25" s="27">
        <v>77.551129995366466</v>
      </c>
      <c r="HT25" s="27">
        <v>77.551129995366466</v>
      </c>
      <c r="HU25" s="27">
        <v>77.551129995366466</v>
      </c>
      <c r="HV25" s="27">
        <v>77.551129995366466</v>
      </c>
      <c r="HW25" s="27">
        <v>77.551129995366466</v>
      </c>
      <c r="HX25" s="27">
        <v>77.551129995366466</v>
      </c>
      <c r="HY25" s="27">
        <v>77.551129995366466</v>
      </c>
      <c r="HZ25" s="27">
        <v>77.551129995366466</v>
      </c>
      <c r="IA25" s="27">
        <v>4</v>
      </c>
    </row>
    <row r="26" spans="2:235" ht="13.9" customHeight="1">
      <c r="B26" s="514" t="s">
        <v>550</v>
      </c>
      <c r="C26" s="28" t="s">
        <v>550</v>
      </c>
      <c r="D26" s="28" t="s">
        <v>550</v>
      </c>
      <c r="E26" s="28" t="s">
        <v>550</v>
      </c>
      <c r="F26" s="28" t="s">
        <v>550</v>
      </c>
      <c r="G26" s="28" t="s">
        <v>550</v>
      </c>
      <c r="H26" s="28" t="s">
        <v>550</v>
      </c>
      <c r="I26" s="28" t="s">
        <v>550</v>
      </c>
      <c r="J26" s="28" t="s">
        <v>550</v>
      </c>
      <c r="K26" s="452" t="s">
        <v>550</v>
      </c>
      <c r="O26" s="87">
        <v>167.07797838003899</v>
      </c>
      <c r="P26" s="87">
        <v>167.07797838003899</v>
      </c>
      <c r="Q26" s="87">
        <v>167.07797838003899</v>
      </c>
      <c r="R26" s="87">
        <v>167.07797838003899</v>
      </c>
      <c r="S26" s="87">
        <v>167.07797838003899</v>
      </c>
      <c r="T26" s="87">
        <v>167.07797838003899</v>
      </c>
      <c r="U26" s="87">
        <v>167.07797838003899</v>
      </c>
      <c r="V26" s="87">
        <v>167.07797838003899</v>
      </c>
      <c r="W26" s="87">
        <v>167.07797838003899</v>
      </c>
      <c r="X26" s="129">
        <v>2.1</v>
      </c>
      <c r="Z26" s="87">
        <v>253.89923132150844</v>
      </c>
      <c r="AA26" s="87">
        <v>253.89923132150844</v>
      </c>
      <c r="AB26" s="87">
        <v>253.89923132150844</v>
      </c>
      <c r="AC26" s="87">
        <v>253.89923132150844</v>
      </c>
      <c r="AD26" s="87">
        <v>253.89923132150844</v>
      </c>
      <c r="AE26" s="87">
        <v>253.89923132150844</v>
      </c>
      <c r="AF26" s="87">
        <v>253.89923132150844</v>
      </c>
      <c r="AG26" s="87">
        <v>253.89923132150844</v>
      </c>
      <c r="AH26" s="87">
        <v>253.89923132150844</v>
      </c>
      <c r="AI26" s="129">
        <v>2.1</v>
      </c>
      <c r="AK26" s="87">
        <v>228.74179155697379</v>
      </c>
      <c r="AL26" s="87">
        <v>228.74179155697379</v>
      </c>
      <c r="AM26" s="87">
        <v>228.74179155697379</v>
      </c>
      <c r="AN26" s="87">
        <v>228.74179155697379</v>
      </c>
      <c r="AO26" s="87">
        <v>228.74179155697379</v>
      </c>
      <c r="AP26" s="87">
        <v>228.74179155697379</v>
      </c>
      <c r="AQ26" s="87">
        <v>228.74179155697379</v>
      </c>
      <c r="AR26" s="87">
        <v>228.74179155697379</v>
      </c>
      <c r="AS26" s="87">
        <v>228.74179155697379</v>
      </c>
      <c r="AT26" s="129">
        <v>2.1</v>
      </c>
      <c r="AV26" s="87">
        <v>240.95760217743253</v>
      </c>
      <c r="AW26" s="87">
        <v>240.95760217743253</v>
      </c>
      <c r="AX26" s="87">
        <v>240.95760217743253</v>
      </c>
      <c r="AY26" s="87">
        <v>240.95760217743253</v>
      </c>
      <c r="AZ26" s="87">
        <v>240.95760217743253</v>
      </c>
      <c r="BA26" s="87">
        <v>240.95760217743253</v>
      </c>
      <c r="BB26" s="87">
        <v>240.95760217743253</v>
      </c>
      <c r="BC26" s="87">
        <v>240.95760217743253</v>
      </c>
      <c r="BD26" s="87">
        <v>240.95760217743253</v>
      </c>
      <c r="BE26" s="129">
        <v>2.1</v>
      </c>
      <c r="BG26" s="87">
        <v>211.99553571428601</v>
      </c>
      <c r="BH26" s="87">
        <v>211.99553571428601</v>
      </c>
      <c r="BI26" s="87">
        <v>211.99553571428601</v>
      </c>
      <c r="BJ26" s="87">
        <v>211.99553571428601</v>
      </c>
      <c r="BK26" s="87">
        <v>211.99553571428601</v>
      </c>
      <c r="BL26" s="87">
        <v>211.99553571428601</v>
      </c>
      <c r="BM26" s="87">
        <v>211.99553571428601</v>
      </c>
      <c r="BN26" s="87">
        <v>211.99553571428601</v>
      </c>
      <c r="BO26" s="87">
        <v>211.99553571428601</v>
      </c>
      <c r="BP26" s="129">
        <v>2.1</v>
      </c>
      <c r="BR26" s="87">
        <v>211.99553571428601</v>
      </c>
      <c r="BS26" s="87">
        <v>211.99553571428601</v>
      </c>
      <c r="BT26" s="87">
        <v>211.99553571428601</v>
      </c>
      <c r="BU26" s="87">
        <v>211.99553571428601</v>
      </c>
      <c r="BV26" s="87">
        <v>211.99553571428601</v>
      </c>
      <c r="BW26" s="87">
        <v>211.99553571428601</v>
      </c>
      <c r="BX26" s="87">
        <v>211.99553571428601</v>
      </c>
      <c r="BY26" s="87">
        <v>211.99553571428601</v>
      </c>
      <c r="BZ26" s="87">
        <v>211.99553571428601</v>
      </c>
      <c r="CA26" s="129">
        <v>2.1</v>
      </c>
      <c r="CC26" s="87">
        <v>88.645738204077418</v>
      </c>
      <c r="CD26" s="87">
        <v>88.645738204077418</v>
      </c>
      <c r="CE26" s="87">
        <v>88.645738204077418</v>
      </c>
      <c r="CF26" s="87">
        <v>88.645738204077418</v>
      </c>
      <c r="CG26" s="87">
        <v>88.645738204077418</v>
      </c>
      <c r="CH26" s="87">
        <v>88.645738204077418</v>
      </c>
      <c r="CI26" s="87">
        <v>88.645738204077418</v>
      </c>
      <c r="CJ26" s="87">
        <v>88.645738204077418</v>
      </c>
      <c r="CK26" s="87">
        <v>88.645738204077418</v>
      </c>
      <c r="CL26" s="129">
        <v>2.1</v>
      </c>
      <c r="CN26" s="87">
        <v>105.88301869015871</v>
      </c>
      <c r="CO26" s="87">
        <v>105.88301869015871</v>
      </c>
      <c r="CP26" s="87">
        <v>105.88301869015871</v>
      </c>
      <c r="CQ26" s="87">
        <v>105.88301869015871</v>
      </c>
      <c r="CR26" s="87">
        <v>105.88301869015871</v>
      </c>
      <c r="CS26" s="87">
        <v>105.88301869015871</v>
      </c>
      <c r="CT26" s="87">
        <v>105.88301869015871</v>
      </c>
      <c r="CU26" s="87">
        <v>105.88301869015871</v>
      </c>
      <c r="CV26" s="87">
        <v>105.88301869015871</v>
      </c>
      <c r="CW26" s="129">
        <v>2.1</v>
      </c>
      <c r="CY26" s="87">
        <v>149.08401315374402</v>
      </c>
      <c r="CZ26" s="87">
        <v>149.08401315374402</v>
      </c>
      <c r="DA26" s="87">
        <v>149.08401315374402</v>
      </c>
      <c r="DB26" s="87">
        <v>149.08401315374402</v>
      </c>
      <c r="DC26" s="87">
        <v>149.08401315374402</v>
      </c>
      <c r="DD26" s="87">
        <v>149.08401315374402</v>
      </c>
      <c r="DE26" s="87">
        <v>149.08401315374402</v>
      </c>
      <c r="DF26" s="87">
        <v>149.08401315374402</v>
      </c>
      <c r="DG26" s="87">
        <v>149.08401315374402</v>
      </c>
      <c r="DH26" s="129">
        <v>2.1</v>
      </c>
      <c r="DJ26" s="87">
        <v>149.08401315374402</v>
      </c>
      <c r="DK26" s="87">
        <v>149.08401315374402</v>
      </c>
      <c r="DL26" s="87">
        <v>149.08401315374402</v>
      </c>
      <c r="DM26" s="87">
        <v>149.08401315374402</v>
      </c>
      <c r="DN26" s="87">
        <v>149.08401315374402</v>
      </c>
      <c r="DO26" s="87">
        <v>149.08401315374402</v>
      </c>
      <c r="DP26" s="87">
        <v>149.08401315374402</v>
      </c>
      <c r="DQ26" s="87">
        <v>149.08401315374402</v>
      </c>
      <c r="DR26" s="87">
        <v>149.08401315374402</v>
      </c>
      <c r="DS26" s="129">
        <v>2.1</v>
      </c>
      <c r="DW26" s="27">
        <v>59.179650376051313</v>
      </c>
      <c r="DX26" s="27">
        <v>59.179650376051313</v>
      </c>
      <c r="DY26" s="27">
        <v>59.179650376051313</v>
      </c>
      <c r="DZ26" s="27">
        <v>59.179650376051313</v>
      </c>
      <c r="EA26" s="27">
        <v>59.179650376051313</v>
      </c>
      <c r="EB26" s="27">
        <v>59.179650376051313</v>
      </c>
      <c r="EC26" s="27">
        <v>59.179650376051313</v>
      </c>
      <c r="ED26" s="27">
        <v>59.179650376051313</v>
      </c>
      <c r="EE26" s="27">
        <v>59.179650376051313</v>
      </c>
      <c r="EF26" s="27">
        <v>4.0999999999999996</v>
      </c>
      <c r="EH26" s="27">
        <v>102.2753560769669</v>
      </c>
      <c r="EI26" s="27">
        <v>102.2753560769669</v>
      </c>
      <c r="EJ26" s="27">
        <v>102.2753560769669</v>
      </c>
      <c r="EK26" s="27">
        <v>102.2753560769669</v>
      </c>
      <c r="EL26" s="27">
        <v>102.2753560769669</v>
      </c>
      <c r="EM26" s="27">
        <v>102.2753560769669</v>
      </c>
      <c r="EN26" s="27">
        <v>102.2753560769669</v>
      </c>
      <c r="EO26" s="27">
        <v>102.2753560769669</v>
      </c>
      <c r="EP26" s="27">
        <v>102.2753560769669</v>
      </c>
      <c r="EQ26" s="27">
        <v>4.0999999999999996</v>
      </c>
      <c r="ES26" s="27">
        <v>118.1235081762601</v>
      </c>
      <c r="ET26" s="27">
        <v>118.1235081762601</v>
      </c>
      <c r="EU26" s="27">
        <v>118.1235081762601</v>
      </c>
      <c r="EV26" s="27">
        <v>118.1235081762601</v>
      </c>
      <c r="EW26" s="27">
        <v>118.1235081762601</v>
      </c>
      <c r="EX26" s="27">
        <v>118.1235081762601</v>
      </c>
      <c r="EY26" s="27">
        <v>118.1235081762601</v>
      </c>
      <c r="EZ26" s="27">
        <v>118.1235081762601</v>
      </c>
      <c r="FA26" s="27">
        <v>118.1235081762601</v>
      </c>
      <c r="FB26" s="27">
        <v>4.0999999999999996</v>
      </c>
      <c r="FD26" s="27">
        <v>122.91009525900409</v>
      </c>
      <c r="FE26" s="27">
        <v>122.91009525900409</v>
      </c>
      <c r="FF26" s="27">
        <v>122.91009525900409</v>
      </c>
      <c r="FG26" s="27">
        <v>122.91009525900409</v>
      </c>
      <c r="FH26" s="27">
        <v>122.91009525900409</v>
      </c>
      <c r="FI26" s="27">
        <v>122.91009525900409</v>
      </c>
      <c r="FJ26" s="27">
        <v>122.91009525900409</v>
      </c>
      <c r="FK26" s="27">
        <v>122.91009525900409</v>
      </c>
      <c r="FL26" s="27">
        <v>122.91009525900409</v>
      </c>
      <c r="FM26" s="27">
        <v>4.0999999999999996</v>
      </c>
      <c r="FO26" s="27">
        <v>193.60286166108253</v>
      </c>
      <c r="FP26" s="27">
        <v>193.60286166108253</v>
      </c>
      <c r="FQ26" s="27">
        <v>193.60286166108253</v>
      </c>
      <c r="FR26" s="27">
        <v>193.60286166108253</v>
      </c>
      <c r="FS26" s="27">
        <v>193.60286166108253</v>
      </c>
      <c r="FT26" s="27">
        <v>193.60286166108253</v>
      </c>
      <c r="FU26" s="27">
        <v>193.60286166108253</v>
      </c>
      <c r="FV26" s="27">
        <v>193.60286166108253</v>
      </c>
      <c r="FW26" s="27">
        <v>193.60286166108253</v>
      </c>
      <c r="FX26" s="27">
        <v>4.0999999999999996</v>
      </c>
      <c r="FZ26" s="27">
        <v>193.60286166108253</v>
      </c>
      <c r="GA26" s="27">
        <v>193.60286166108253</v>
      </c>
      <c r="GB26" s="27">
        <v>193.60286166108253</v>
      </c>
      <c r="GC26" s="27">
        <v>193.60286166108253</v>
      </c>
      <c r="GD26" s="27">
        <v>193.60286166108253</v>
      </c>
      <c r="GE26" s="27">
        <v>193.60286166108253</v>
      </c>
      <c r="GF26" s="27">
        <v>193.60286166108253</v>
      </c>
      <c r="GG26" s="27">
        <v>193.60286166108253</v>
      </c>
      <c r="GH26" s="27">
        <v>193.60286166108253</v>
      </c>
      <c r="GI26" s="27">
        <v>4.0999999999999996</v>
      </c>
      <c r="GJ26" s="27"/>
      <c r="GK26" s="27">
        <v>46.296318776857149</v>
      </c>
      <c r="GL26" s="27">
        <v>46.296318776857149</v>
      </c>
      <c r="GM26" s="27">
        <v>46.296318776857149</v>
      </c>
      <c r="GN26" s="27">
        <v>46.296318776857149</v>
      </c>
      <c r="GO26" s="27">
        <v>46.296318776857149</v>
      </c>
      <c r="GP26" s="27">
        <v>46.296318776857149</v>
      </c>
      <c r="GQ26" s="27">
        <v>46.296318776857149</v>
      </c>
      <c r="GR26" s="27">
        <v>46.296318776857149</v>
      </c>
      <c r="GS26" s="27">
        <v>46.296318776857149</v>
      </c>
      <c r="GT26" s="27">
        <v>4.0999999999999996</v>
      </c>
      <c r="GV26" s="27">
        <v>54.901683954412427</v>
      </c>
      <c r="GW26" s="27">
        <v>54.901683954412427</v>
      </c>
      <c r="GX26" s="27">
        <v>54.901683954412427</v>
      </c>
      <c r="GY26" s="27">
        <v>54.901683954412427</v>
      </c>
      <c r="GZ26" s="27">
        <v>54.901683954412427</v>
      </c>
      <c r="HA26" s="27">
        <v>54.901683954412427</v>
      </c>
      <c r="HB26" s="27">
        <v>54.901683954412427</v>
      </c>
      <c r="HC26" s="27">
        <v>54.901683954412427</v>
      </c>
      <c r="HD26" s="27">
        <v>54.901683954412427</v>
      </c>
      <c r="HE26" s="27">
        <v>4.0999999999999996</v>
      </c>
      <c r="HG26" s="27">
        <v>75.662271129879727</v>
      </c>
      <c r="HH26" s="27">
        <v>75.662271129879727</v>
      </c>
      <c r="HI26" s="27">
        <v>75.662271129879727</v>
      </c>
      <c r="HJ26" s="27">
        <v>75.662271129879727</v>
      </c>
      <c r="HK26" s="27">
        <v>75.662271129879727</v>
      </c>
      <c r="HL26" s="27">
        <v>75.662271129879727</v>
      </c>
      <c r="HM26" s="27">
        <v>75.662271129879727</v>
      </c>
      <c r="HN26" s="27">
        <v>75.662271129879727</v>
      </c>
      <c r="HO26" s="27">
        <v>75.662271129879727</v>
      </c>
      <c r="HP26" s="27">
        <v>4.0999999999999996</v>
      </c>
      <c r="HR26" s="27">
        <v>75.662271129879727</v>
      </c>
      <c r="HS26" s="27">
        <v>75.662271129879727</v>
      </c>
      <c r="HT26" s="27">
        <v>75.662271129879727</v>
      </c>
      <c r="HU26" s="27">
        <v>75.662271129879727</v>
      </c>
      <c r="HV26" s="27">
        <v>75.662271129879727</v>
      </c>
      <c r="HW26" s="27">
        <v>75.662271129879727</v>
      </c>
      <c r="HX26" s="27">
        <v>75.662271129879727</v>
      </c>
      <c r="HY26" s="27">
        <v>75.662271129879727</v>
      </c>
      <c r="HZ26" s="27">
        <v>75.662271129879727</v>
      </c>
      <c r="IA26" s="27">
        <v>4.0999999999999996</v>
      </c>
    </row>
    <row r="27" spans="2:235" ht="13.9" customHeight="1" thickBot="1">
      <c r="B27" s="49" t="s">
        <v>551</v>
      </c>
      <c r="C27" s="50" t="s">
        <v>551</v>
      </c>
      <c r="D27" s="50" t="s">
        <v>551</v>
      </c>
      <c r="E27" s="50" t="s">
        <v>551</v>
      </c>
      <c r="F27" s="50" t="s">
        <v>551</v>
      </c>
      <c r="G27" s="50" t="s">
        <v>551</v>
      </c>
      <c r="H27" s="50" t="s">
        <v>551</v>
      </c>
      <c r="I27" s="50" t="s">
        <v>551</v>
      </c>
      <c r="J27" s="50" t="s">
        <v>551</v>
      </c>
      <c r="K27" s="51" t="s">
        <v>551</v>
      </c>
      <c r="O27" s="87">
        <v>157.08145600771533</v>
      </c>
      <c r="P27" s="87">
        <v>157.08145600771533</v>
      </c>
      <c r="Q27" s="87">
        <v>157.08145600771533</v>
      </c>
      <c r="R27" s="87">
        <v>157.08145600771533</v>
      </c>
      <c r="S27" s="87">
        <v>157.08145600771533</v>
      </c>
      <c r="T27" s="87">
        <v>157.08145600771533</v>
      </c>
      <c r="U27" s="87">
        <v>157.08145600771533</v>
      </c>
      <c r="V27" s="87">
        <v>157.08145600771533</v>
      </c>
      <c r="W27" s="87">
        <v>157.08145600771533</v>
      </c>
      <c r="X27" s="27">
        <v>2.2000000000000002</v>
      </c>
      <c r="Y27" s="27"/>
      <c r="Z27" s="87">
        <v>239.80605129260525</v>
      </c>
      <c r="AA27" s="87">
        <v>239.80605129260525</v>
      </c>
      <c r="AB27" s="87">
        <v>239.80605129260525</v>
      </c>
      <c r="AC27" s="87">
        <v>239.80605129260525</v>
      </c>
      <c r="AD27" s="87">
        <v>239.80605129260525</v>
      </c>
      <c r="AE27" s="87">
        <v>239.80605129260525</v>
      </c>
      <c r="AF27" s="87">
        <v>239.80605129260525</v>
      </c>
      <c r="AG27" s="87">
        <v>239.80605129260525</v>
      </c>
      <c r="AH27" s="87">
        <v>239.80605129260525</v>
      </c>
      <c r="AI27" s="27">
        <v>2.2000000000000002</v>
      </c>
      <c r="AK27" s="87">
        <v>218.46636006289035</v>
      </c>
      <c r="AL27" s="87">
        <v>218.46636006289035</v>
      </c>
      <c r="AM27" s="87">
        <v>218.46636006289035</v>
      </c>
      <c r="AN27" s="87">
        <v>218.46636006289035</v>
      </c>
      <c r="AO27" s="87">
        <v>218.46636006289035</v>
      </c>
      <c r="AP27" s="87">
        <v>218.46636006289035</v>
      </c>
      <c r="AQ27" s="87">
        <v>218.46636006289035</v>
      </c>
      <c r="AR27" s="87">
        <v>218.46636006289035</v>
      </c>
      <c r="AS27" s="87">
        <v>218.46636006289035</v>
      </c>
      <c r="AT27" s="27">
        <v>2.2000000000000002</v>
      </c>
      <c r="AV27" s="87">
        <v>230.00878714567691</v>
      </c>
      <c r="AW27" s="87">
        <v>230.00878714567691</v>
      </c>
      <c r="AX27" s="87">
        <v>230.00878714567691</v>
      </c>
      <c r="AY27" s="87">
        <v>230.00878714567691</v>
      </c>
      <c r="AZ27" s="87">
        <v>230.00878714567691</v>
      </c>
      <c r="BA27" s="87">
        <v>230.00878714567691</v>
      </c>
      <c r="BB27" s="87">
        <v>230.00878714567691</v>
      </c>
      <c r="BC27" s="87">
        <v>230.00878714567691</v>
      </c>
      <c r="BD27" s="87">
        <v>230.00878714567691</v>
      </c>
      <c r="BE27" s="27">
        <v>2.2000000000000002</v>
      </c>
      <c r="BG27" s="87">
        <v>209.49404761904793</v>
      </c>
      <c r="BH27" s="87">
        <v>209.49404761904793</v>
      </c>
      <c r="BI27" s="87">
        <v>209.49404761904793</v>
      </c>
      <c r="BJ27" s="87">
        <v>209.49404761904793</v>
      </c>
      <c r="BK27" s="87">
        <v>209.49404761904793</v>
      </c>
      <c r="BL27" s="87">
        <v>209.49404761904793</v>
      </c>
      <c r="BM27" s="87">
        <v>209.49404761904793</v>
      </c>
      <c r="BN27" s="87">
        <v>209.49404761904793</v>
      </c>
      <c r="BO27" s="87">
        <v>209.49404761904793</v>
      </c>
      <c r="BP27" s="27">
        <v>2.2000000000000002</v>
      </c>
      <c r="BR27" s="87">
        <v>209.49404761904793</v>
      </c>
      <c r="BS27" s="87">
        <v>209.49404761904793</v>
      </c>
      <c r="BT27" s="87">
        <v>209.49404761904793</v>
      </c>
      <c r="BU27" s="87">
        <v>209.49404761904793</v>
      </c>
      <c r="BV27" s="87">
        <v>209.49404761904793</v>
      </c>
      <c r="BW27" s="87">
        <v>209.49404761904793</v>
      </c>
      <c r="BX27" s="87">
        <v>209.49404761904793</v>
      </c>
      <c r="BY27" s="87">
        <v>209.49404761904793</v>
      </c>
      <c r="BZ27" s="87">
        <v>209.49404761904793</v>
      </c>
      <c r="CA27" s="27">
        <v>2.2000000000000002</v>
      </c>
      <c r="CC27" s="87">
        <v>84.655759181129</v>
      </c>
      <c r="CD27" s="87">
        <v>84.655759181129</v>
      </c>
      <c r="CE27" s="87">
        <v>84.655759181129</v>
      </c>
      <c r="CF27" s="87">
        <v>84.655759181129</v>
      </c>
      <c r="CG27" s="87">
        <v>84.655759181129</v>
      </c>
      <c r="CH27" s="87">
        <v>84.655759181129</v>
      </c>
      <c r="CI27" s="87">
        <v>84.655759181129</v>
      </c>
      <c r="CJ27" s="87">
        <v>84.655759181129</v>
      </c>
      <c r="CK27" s="87">
        <v>84.655759181129</v>
      </c>
      <c r="CL27" s="27">
        <v>2.2000000000000002</v>
      </c>
      <c r="CN27" s="87">
        <v>101.13129589740976</v>
      </c>
      <c r="CO27" s="87">
        <v>101.13129589740976</v>
      </c>
      <c r="CP27" s="87">
        <v>101.13129589740976</v>
      </c>
      <c r="CQ27" s="87">
        <v>101.13129589740976</v>
      </c>
      <c r="CR27" s="87">
        <v>101.13129589740976</v>
      </c>
      <c r="CS27" s="87">
        <v>101.13129589740976</v>
      </c>
      <c r="CT27" s="87">
        <v>101.13129589740976</v>
      </c>
      <c r="CU27" s="87">
        <v>101.13129589740976</v>
      </c>
      <c r="CV27" s="87">
        <v>101.13129589740976</v>
      </c>
      <c r="CW27" s="27">
        <v>2.2000000000000002</v>
      </c>
      <c r="CY27" s="87">
        <v>142.27437022264601</v>
      </c>
      <c r="CZ27" s="87">
        <v>142.27437022264601</v>
      </c>
      <c r="DA27" s="87">
        <v>142.27437022264601</v>
      </c>
      <c r="DB27" s="87">
        <v>142.27437022264601</v>
      </c>
      <c r="DC27" s="87">
        <v>142.27437022264601</v>
      </c>
      <c r="DD27" s="87">
        <v>142.27437022264601</v>
      </c>
      <c r="DE27" s="87">
        <v>142.27437022264601</v>
      </c>
      <c r="DF27" s="87">
        <v>142.27437022264601</v>
      </c>
      <c r="DG27" s="87">
        <v>142.27437022264601</v>
      </c>
      <c r="DH27" s="27">
        <v>2.2000000000000002</v>
      </c>
      <c r="DJ27" s="87">
        <v>142.27437022264601</v>
      </c>
      <c r="DK27" s="87">
        <v>142.27437022264601</v>
      </c>
      <c r="DL27" s="87">
        <v>142.27437022264601</v>
      </c>
      <c r="DM27" s="87">
        <v>142.27437022264601</v>
      </c>
      <c r="DN27" s="87">
        <v>142.27437022264601</v>
      </c>
      <c r="DO27" s="87">
        <v>142.27437022264601</v>
      </c>
      <c r="DP27" s="87">
        <v>142.27437022264601</v>
      </c>
      <c r="DQ27" s="87">
        <v>142.27437022264601</v>
      </c>
      <c r="DR27" s="87">
        <v>142.27437022264601</v>
      </c>
      <c r="DS27" s="27">
        <v>2.2000000000000002</v>
      </c>
      <c r="DW27" s="27">
        <v>57.761421308541102</v>
      </c>
      <c r="DX27" s="27">
        <v>57.761421308541102</v>
      </c>
      <c r="DY27" s="27">
        <v>57.761421308541102</v>
      </c>
      <c r="DZ27" s="27">
        <v>57.761421308541102</v>
      </c>
      <c r="EA27" s="27">
        <v>57.761421308541102</v>
      </c>
      <c r="EB27" s="27">
        <v>57.761421308541102</v>
      </c>
      <c r="EC27" s="27">
        <v>57.761421308541102</v>
      </c>
      <c r="ED27" s="27">
        <v>57.761421308541102</v>
      </c>
      <c r="EE27" s="27">
        <v>57.761421308541102</v>
      </c>
      <c r="EF27" s="27">
        <v>4.2</v>
      </c>
      <c r="EH27" s="27">
        <v>99.737296188474147</v>
      </c>
      <c r="EI27" s="27">
        <v>99.737296188474147</v>
      </c>
      <c r="EJ27" s="27">
        <v>99.737296188474147</v>
      </c>
      <c r="EK27" s="27">
        <v>99.737296188474147</v>
      </c>
      <c r="EL27" s="27">
        <v>99.737296188474147</v>
      </c>
      <c r="EM27" s="27">
        <v>99.737296188474147</v>
      </c>
      <c r="EN27" s="27">
        <v>99.737296188474147</v>
      </c>
      <c r="EO27" s="27">
        <v>99.737296188474147</v>
      </c>
      <c r="EP27" s="27">
        <v>99.737296188474147</v>
      </c>
      <c r="EQ27" s="27">
        <v>4.2</v>
      </c>
      <c r="ES27" s="27">
        <v>115.343229307857</v>
      </c>
      <c r="ET27" s="27">
        <v>115.343229307857</v>
      </c>
      <c r="EU27" s="27">
        <v>115.343229307857</v>
      </c>
      <c r="EV27" s="27">
        <v>115.343229307857</v>
      </c>
      <c r="EW27" s="27">
        <v>115.343229307857</v>
      </c>
      <c r="EX27" s="27">
        <v>115.343229307857</v>
      </c>
      <c r="EY27" s="27">
        <v>115.343229307857</v>
      </c>
      <c r="EZ27" s="27">
        <v>115.343229307857</v>
      </c>
      <c r="FA27" s="27">
        <v>115.343229307857</v>
      </c>
      <c r="FB27" s="27">
        <v>4.2</v>
      </c>
      <c r="FD27" s="27">
        <v>120.00175519523712</v>
      </c>
      <c r="FE27" s="27">
        <v>120.00175519523712</v>
      </c>
      <c r="FF27" s="27">
        <v>120.00175519523712</v>
      </c>
      <c r="FG27" s="27">
        <v>120.00175519523712</v>
      </c>
      <c r="FH27" s="27">
        <v>120.00175519523712</v>
      </c>
      <c r="FI27" s="27">
        <v>120.00175519523712</v>
      </c>
      <c r="FJ27" s="27">
        <v>120.00175519523712</v>
      </c>
      <c r="FK27" s="27">
        <v>120.00175519523712</v>
      </c>
      <c r="FL27" s="27">
        <v>120.00175519523712</v>
      </c>
      <c r="FM27" s="27">
        <v>4.2</v>
      </c>
      <c r="FO27" s="27">
        <v>188.96643599115927</v>
      </c>
      <c r="FP27" s="27">
        <v>188.96643599115927</v>
      </c>
      <c r="FQ27" s="27">
        <v>188.96643599115927</v>
      </c>
      <c r="FR27" s="27">
        <v>188.96643599115927</v>
      </c>
      <c r="FS27" s="27">
        <v>188.96643599115927</v>
      </c>
      <c r="FT27" s="27">
        <v>188.96643599115927</v>
      </c>
      <c r="FU27" s="27">
        <v>188.96643599115927</v>
      </c>
      <c r="FV27" s="27">
        <v>188.96643599115927</v>
      </c>
      <c r="FW27" s="27">
        <v>188.96643599115927</v>
      </c>
      <c r="FX27" s="27">
        <v>4.2</v>
      </c>
      <c r="FZ27" s="27">
        <v>188.96643599115927</v>
      </c>
      <c r="GA27" s="27">
        <v>188.96643599115927</v>
      </c>
      <c r="GB27" s="27">
        <v>188.96643599115927</v>
      </c>
      <c r="GC27" s="27">
        <v>188.96643599115927</v>
      </c>
      <c r="GD27" s="27">
        <v>188.96643599115927</v>
      </c>
      <c r="GE27" s="27">
        <v>188.96643599115927</v>
      </c>
      <c r="GF27" s="27">
        <v>188.96643599115927</v>
      </c>
      <c r="GG27" s="27">
        <v>188.96643599115927</v>
      </c>
      <c r="GH27" s="27">
        <v>188.96643599115927</v>
      </c>
      <c r="GI27" s="27">
        <v>4.2</v>
      </c>
      <c r="GJ27" s="27"/>
      <c r="GK27" s="27">
        <v>45.185537089274952</v>
      </c>
      <c r="GL27" s="27">
        <v>45.185537089274952</v>
      </c>
      <c r="GM27" s="27">
        <v>45.185537089274952</v>
      </c>
      <c r="GN27" s="27">
        <v>45.185537089274952</v>
      </c>
      <c r="GO27" s="27">
        <v>45.185537089274952</v>
      </c>
      <c r="GP27" s="27">
        <v>45.185537089274952</v>
      </c>
      <c r="GQ27" s="27">
        <v>45.185537089274952</v>
      </c>
      <c r="GR27" s="27">
        <v>45.185537089274952</v>
      </c>
      <c r="GS27" s="27">
        <v>45.185537089274952</v>
      </c>
      <c r="GT27" s="27">
        <v>4.2</v>
      </c>
      <c r="GV27" s="27">
        <v>53.598773426432949</v>
      </c>
      <c r="GW27" s="27">
        <v>53.598773426432949</v>
      </c>
      <c r="GX27" s="27">
        <v>53.598773426432949</v>
      </c>
      <c r="GY27" s="27">
        <v>53.598773426432949</v>
      </c>
      <c r="GZ27" s="27">
        <v>53.598773426432949</v>
      </c>
      <c r="HA27" s="27">
        <v>53.598773426432949</v>
      </c>
      <c r="HB27" s="27">
        <v>53.598773426432949</v>
      </c>
      <c r="HC27" s="27">
        <v>53.598773426432949</v>
      </c>
      <c r="HD27" s="27">
        <v>53.598773426432949</v>
      </c>
      <c r="HE27" s="27">
        <v>4.2</v>
      </c>
      <c r="HG27" s="27">
        <v>73.86329609053611</v>
      </c>
      <c r="HH27" s="27">
        <v>73.86329609053611</v>
      </c>
      <c r="HI27" s="27">
        <v>73.86329609053611</v>
      </c>
      <c r="HJ27" s="27">
        <v>73.86329609053611</v>
      </c>
      <c r="HK27" s="27">
        <v>73.86329609053611</v>
      </c>
      <c r="HL27" s="27">
        <v>73.86329609053611</v>
      </c>
      <c r="HM27" s="27">
        <v>73.86329609053611</v>
      </c>
      <c r="HN27" s="27">
        <v>73.86329609053611</v>
      </c>
      <c r="HO27" s="27">
        <v>73.86329609053611</v>
      </c>
      <c r="HP27" s="27">
        <v>4.2</v>
      </c>
      <c r="HR27" s="27">
        <v>73.86329609053611</v>
      </c>
      <c r="HS27" s="27">
        <v>73.86329609053611</v>
      </c>
      <c r="HT27" s="27">
        <v>73.86329609053611</v>
      </c>
      <c r="HU27" s="27">
        <v>73.86329609053611</v>
      </c>
      <c r="HV27" s="27">
        <v>73.86329609053611</v>
      </c>
      <c r="HW27" s="27">
        <v>73.86329609053611</v>
      </c>
      <c r="HX27" s="27">
        <v>73.86329609053611</v>
      </c>
      <c r="HY27" s="27">
        <v>73.86329609053611</v>
      </c>
      <c r="HZ27" s="27">
        <v>73.86329609053611</v>
      </c>
      <c r="IA27" s="27">
        <v>4.2</v>
      </c>
    </row>
    <row r="28" spans="2:235" ht="3" customHeight="1">
      <c r="O28" s="87">
        <v>148.08868729264537</v>
      </c>
      <c r="P28" s="87">
        <v>148.08868729264537</v>
      </c>
      <c r="Q28" s="87">
        <v>148.08868729264537</v>
      </c>
      <c r="R28" s="87">
        <v>148.08868729264537</v>
      </c>
      <c r="S28" s="87">
        <v>148.08868729264537</v>
      </c>
      <c r="T28" s="87">
        <v>148.08868729264537</v>
      </c>
      <c r="U28" s="87">
        <v>148.08868729264537</v>
      </c>
      <c r="V28" s="87">
        <v>148.08868729264537</v>
      </c>
      <c r="W28" s="87">
        <v>148.08868729264537</v>
      </c>
      <c r="X28" s="27">
        <v>2.2999999999999998</v>
      </c>
      <c r="Y28" s="27"/>
      <c r="Z28" s="87">
        <v>227.07093017519466</v>
      </c>
      <c r="AA28" s="87">
        <v>227.07093017519466</v>
      </c>
      <c r="AB28" s="87">
        <v>227.07093017519466</v>
      </c>
      <c r="AC28" s="87">
        <v>227.07093017519466</v>
      </c>
      <c r="AD28" s="87">
        <v>227.07093017519466</v>
      </c>
      <c r="AE28" s="87">
        <v>227.07093017519466</v>
      </c>
      <c r="AF28" s="87">
        <v>227.07093017519466</v>
      </c>
      <c r="AG28" s="87">
        <v>227.07093017519466</v>
      </c>
      <c r="AH28" s="87">
        <v>227.07093017519466</v>
      </c>
      <c r="AI28" s="27">
        <v>2.2999999999999998</v>
      </c>
      <c r="AK28" s="87">
        <v>209.07932026025333</v>
      </c>
      <c r="AL28" s="87">
        <v>209.07932026025333</v>
      </c>
      <c r="AM28" s="87">
        <v>209.07932026025333</v>
      </c>
      <c r="AN28" s="87">
        <v>209.07932026025333</v>
      </c>
      <c r="AO28" s="87">
        <v>209.07932026025333</v>
      </c>
      <c r="AP28" s="87">
        <v>209.07932026025333</v>
      </c>
      <c r="AQ28" s="87">
        <v>209.07932026025333</v>
      </c>
      <c r="AR28" s="87">
        <v>209.07932026025333</v>
      </c>
      <c r="AS28" s="87">
        <v>209.07932026025333</v>
      </c>
      <c r="AT28" s="27">
        <v>2.2999999999999998</v>
      </c>
      <c r="AV28" s="87">
        <v>220.01188130394189</v>
      </c>
      <c r="AW28" s="87">
        <v>220.01188130394189</v>
      </c>
      <c r="AX28" s="87">
        <v>220.01188130394189</v>
      </c>
      <c r="AY28" s="87">
        <v>220.01188130394189</v>
      </c>
      <c r="AZ28" s="87">
        <v>220.01188130394189</v>
      </c>
      <c r="BA28" s="87">
        <v>220.01188130394189</v>
      </c>
      <c r="BB28" s="87">
        <v>220.01188130394189</v>
      </c>
      <c r="BC28" s="87">
        <v>220.01188130394189</v>
      </c>
      <c r="BD28" s="87">
        <v>220.01188130394189</v>
      </c>
      <c r="BE28" s="27">
        <v>2.2999999999999998</v>
      </c>
      <c r="BG28" s="87">
        <v>207.01339285714317</v>
      </c>
      <c r="BH28" s="87">
        <v>207.01339285714317</v>
      </c>
      <c r="BI28" s="87">
        <v>207.01339285714317</v>
      </c>
      <c r="BJ28" s="87">
        <v>207.01339285714317</v>
      </c>
      <c r="BK28" s="87">
        <v>207.01339285714317</v>
      </c>
      <c r="BL28" s="87">
        <v>207.01339285714317</v>
      </c>
      <c r="BM28" s="87">
        <v>207.01339285714317</v>
      </c>
      <c r="BN28" s="87">
        <v>207.01339285714317</v>
      </c>
      <c r="BO28" s="87">
        <v>207.01339285714317</v>
      </c>
      <c r="BP28" s="27">
        <v>2.2999999999999998</v>
      </c>
      <c r="BR28" s="87">
        <v>207.01339285714317</v>
      </c>
      <c r="BS28" s="87">
        <v>207.01339285714317</v>
      </c>
      <c r="BT28" s="87">
        <v>207.01339285714317</v>
      </c>
      <c r="BU28" s="87">
        <v>207.01339285714317</v>
      </c>
      <c r="BV28" s="87">
        <v>207.01339285714317</v>
      </c>
      <c r="BW28" s="87">
        <v>207.01339285714317</v>
      </c>
      <c r="BX28" s="87">
        <v>207.01339285714317</v>
      </c>
      <c r="BY28" s="87">
        <v>207.01339285714317</v>
      </c>
      <c r="BZ28" s="87">
        <v>207.01339285714317</v>
      </c>
      <c r="CA28" s="27">
        <v>2.2999999999999998</v>
      </c>
      <c r="CC28" s="87">
        <v>81.011076848334199</v>
      </c>
      <c r="CD28" s="87">
        <v>81.011076848334199</v>
      </c>
      <c r="CE28" s="87">
        <v>81.011076848334199</v>
      </c>
      <c r="CF28" s="87">
        <v>81.011076848334199</v>
      </c>
      <c r="CG28" s="87">
        <v>81.011076848334199</v>
      </c>
      <c r="CH28" s="87">
        <v>81.011076848334199</v>
      </c>
      <c r="CI28" s="87">
        <v>81.011076848334199</v>
      </c>
      <c r="CJ28" s="87">
        <v>81.011076848334199</v>
      </c>
      <c r="CK28" s="87">
        <v>81.011076848334199</v>
      </c>
      <c r="CL28" s="27">
        <v>2.2999999999999998</v>
      </c>
      <c r="CN28" s="87">
        <v>96.790199308963366</v>
      </c>
      <c r="CO28" s="87">
        <v>96.790199308963366</v>
      </c>
      <c r="CP28" s="87">
        <v>96.790199308963366</v>
      </c>
      <c r="CQ28" s="87">
        <v>96.790199308963366</v>
      </c>
      <c r="CR28" s="87">
        <v>96.790199308963366</v>
      </c>
      <c r="CS28" s="87">
        <v>96.790199308963366</v>
      </c>
      <c r="CT28" s="87">
        <v>96.790199308963366</v>
      </c>
      <c r="CU28" s="87">
        <v>96.790199308963366</v>
      </c>
      <c r="CV28" s="87">
        <v>96.790199308963366</v>
      </c>
      <c r="CW28" s="27">
        <v>2.2999999999999998</v>
      </c>
      <c r="CY28" s="87">
        <v>136.05828452543597</v>
      </c>
      <c r="CZ28" s="87">
        <v>136.05828452543597</v>
      </c>
      <c r="DA28" s="87">
        <v>136.05828452543597</v>
      </c>
      <c r="DB28" s="87">
        <v>136.05828452543597</v>
      </c>
      <c r="DC28" s="87">
        <v>136.05828452543597</v>
      </c>
      <c r="DD28" s="87">
        <v>136.05828452543597</v>
      </c>
      <c r="DE28" s="87">
        <v>136.05828452543597</v>
      </c>
      <c r="DF28" s="87">
        <v>136.05828452543597</v>
      </c>
      <c r="DG28" s="87">
        <v>136.05828452543597</v>
      </c>
      <c r="DH28" s="27">
        <v>2.2999999999999998</v>
      </c>
      <c r="DJ28" s="87">
        <v>136.05828452543597</v>
      </c>
      <c r="DK28" s="87">
        <v>136.05828452543597</v>
      </c>
      <c r="DL28" s="87">
        <v>136.05828452543597</v>
      </c>
      <c r="DM28" s="87">
        <v>136.05828452543597</v>
      </c>
      <c r="DN28" s="87">
        <v>136.05828452543597</v>
      </c>
      <c r="DO28" s="87">
        <v>136.05828452543597</v>
      </c>
      <c r="DP28" s="87">
        <v>136.05828452543597</v>
      </c>
      <c r="DQ28" s="87">
        <v>136.05828452543597</v>
      </c>
      <c r="DR28" s="87">
        <v>136.05828452543597</v>
      </c>
      <c r="DS28" s="27">
        <v>2.2999999999999998</v>
      </c>
      <c r="DW28" s="27">
        <v>56.409368982627086</v>
      </c>
      <c r="DX28" s="27">
        <v>56.409368982627086</v>
      </c>
      <c r="DY28" s="27">
        <v>56.409368982627086</v>
      </c>
      <c r="DZ28" s="27">
        <v>56.409368982627086</v>
      </c>
      <c r="EA28" s="27">
        <v>56.409368982627086</v>
      </c>
      <c r="EB28" s="27">
        <v>56.409368982627086</v>
      </c>
      <c r="EC28" s="27">
        <v>56.409368982627086</v>
      </c>
      <c r="ED28" s="27">
        <v>56.409368982627086</v>
      </c>
      <c r="EE28" s="27">
        <v>56.409368982627086</v>
      </c>
      <c r="EF28" s="27">
        <v>4.3</v>
      </c>
      <c r="EH28" s="27">
        <v>97.319751455066097</v>
      </c>
      <c r="EI28" s="27">
        <v>97.319751455066097</v>
      </c>
      <c r="EJ28" s="27">
        <v>97.319751455066097</v>
      </c>
      <c r="EK28" s="27">
        <v>97.319751455066097</v>
      </c>
      <c r="EL28" s="27">
        <v>97.319751455066097</v>
      </c>
      <c r="EM28" s="27">
        <v>97.319751455066097</v>
      </c>
      <c r="EN28" s="27">
        <v>97.319751455066097</v>
      </c>
      <c r="EO28" s="27">
        <v>97.319751455066097</v>
      </c>
      <c r="EP28" s="27">
        <v>97.319751455066097</v>
      </c>
      <c r="EQ28" s="27">
        <v>4.3</v>
      </c>
      <c r="ES28" s="27">
        <v>112.6915344372933</v>
      </c>
      <c r="ET28" s="27">
        <v>112.6915344372933</v>
      </c>
      <c r="EU28" s="27">
        <v>112.6915344372933</v>
      </c>
      <c r="EV28" s="27">
        <v>112.6915344372933</v>
      </c>
      <c r="EW28" s="27">
        <v>112.6915344372933</v>
      </c>
      <c r="EX28" s="27">
        <v>112.6915344372933</v>
      </c>
      <c r="EY28" s="27">
        <v>112.6915344372933</v>
      </c>
      <c r="EZ28" s="27">
        <v>112.6915344372933</v>
      </c>
      <c r="FA28" s="27">
        <v>112.6915344372933</v>
      </c>
      <c r="FB28" s="27">
        <v>4.3</v>
      </c>
      <c r="FD28" s="27">
        <v>117.22827352832675</v>
      </c>
      <c r="FE28" s="27">
        <v>117.22827352832675</v>
      </c>
      <c r="FF28" s="27">
        <v>117.22827352832675</v>
      </c>
      <c r="FG28" s="27">
        <v>117.22827352832675</v>
      </c>
      <c r="FH28" s="27">
        <v>117.22827352832675</v>
      </c>
      <c r="FI28" s="27">
        <v>117.22827352832675</v>
      </c>
      <c r="FJ28" s="27">
        <v>117.22827352832675</v>
      </c>
      <c r="FK28" s="27">
        <v>117.22827352832675</v>
      </c>
      <c r="FL28" s="27">
        <v>117.22827352832675</v>
      </c>
      <c r="FM28" s="27">
        <v>4.3</v>
      </c>
      <c r="FO28" s="27">
        <v>184.54627837388915</v>
      </c>
      <c r="FP28" s="27">
        <v>184.54627837388915</v>
      </c>
      <c r="FQ28" s="27">
        <v>184.54627837388915</v>
      </c>
      <c r="FR28" s="27">
        <v>184.54627837388915</v>
      </c>
      <c r="FS28" s="27">
        <v>184.54627837388915</v>
      </c>
      <c r="FT28" s="27">
        <v>184.54627837388915</v>
      </c>
      <c r="FU28" s="27">
        <v>184.54627837388915</v>
      </c>
      <c r="FV28" s="27">
        <v>184.54627837388915</v>
      </c>
      <c r="FW28" s="27">
        <v>184.54627837388915</v>
      </c>
      <c r="FX28" s="27">
        <v>4.3</v>
      </c>
      <c r="FZ28" s="27">
        <v>184.54627837388915</v>
      </c>
      <c r="GA28" s="27">
        <v>184.54627837388915</v>
      </c>
      <c r="GB28" s="27">
        <v>184.54627837388915</v>
      </c>
      <c r="GC28" s="27">
        <v>184.54627837388915</v>
      </c>
      <c r="GD28" s="27">
        <v>184.54627837388915</v>
      </c>
      <c r="GE28" s="27">
        <v>184.54627837388915</v>
      </c>
      <c r="GF28" s="27">
        <v>184.54627837388915</v>
      </c>
      <c r="GG28" s="27">
        <v>184.54627837388915</v>
      </c>
      <c r="GH28" s="27">
        <v>184.54627837388915</v>
      </c>
      <c r="GI28" s="27">
        <v>4.3</v>
      </c>
      <c r="GJ28" s="27"/>
      <c r="GK28" s="27">
        <v>44.126616268999399</v>
      </c>
      <c r="GL28" s="27">
        <v>44.126616268999399</v>
      </c>
      <c r="GM28" s="27">
        <v>44.126616268999399</v>
      </c>
      <c r="GN28" s="27">
        <v>44.126616268999399</v>
      </c>
      <c r="GO28" s="27">
        <v>44.126616268999399</v>
      </c>
      <c r="GP28" s="27">
        <v>44.126616268999399</v>
      </c>
      <c r="GQ28" s="27">
        <v>44.126616268999399</v>
      </c>
      <c r="GR28" s="27">
        <v>44.126616268999399</v>
      </c>
      <c r="GS28" s="27">
        <v>44.126616268999399</v>
      </c>
      <c r="GT28" s="27">
        <v>4.3</v>
      </c>
      <c r="GV28" s="27">
        <v>52.356365510216605</v>
      </c>
      <c r="GW28" s="27">
        <v>52.356365510216605</v>
      </c>
      <c r="GX28" s="27">
        <v>52.356365510216605</v>
      </c>
      <c r="GY28" s="27">
        <v>52.356365510216605</v>
      </c>
      <c r="GZ28" s="27">
        <v>52.356365510216605</v>
      </c>
      <c r="HA28" s="27">
        <v>52.356365510216605</v>
      </c>
      <c r="HB28" s="27">
        <v>52.356365510216605</v>
      </c>
      <c r="HC28" s="27">
        <v>52.356365510216605</v>
      </c>
      <c r="HD28" s="27">
        <v>52.356365510216605</v>
      </c>
      <c r="HE28" s="27">
        <v>4.3</v>
      </c>
      <c r="HG28" s="27">
        <v>72.147936753339366</v>
      </c>
      <c r="HH28" s="27">
        <v>72.147936753339366</v>
      </c>
      <c r="HI28" s="27">
        <v>72.147936753339366</v>
      </c>
      <c r="HJ28" s="27">
        <v>72.147936753339366</v>
      </c>
      <c r="HK28" s="27">
        <v>72.147936753339366</v>
      </c>
      <c r="HL28" s="27">
        <v>72.147936753339366</v>
      </c>
      <c r="HM28" s="27">
        <v>72.147936753339366</v>
      </c>
      <c r="HN28" s="27">
        <v>72.147936753339366</v>
      </c>
      <c r="HO28" s="27">
        <v>72.147936753339366</v>
      </c>
      <c r="HP28" s="27">
        <v>4.3</v>
      </c>
      <c r="HR28" s="27">
        <v>72.147936753339366</v>
      </c>
      <c r="HS28" s="27">
        <v>72.147936753339366</v>
      </c>
      <c r="HT28" s="27">
        <v>72.147936753339366</v>
      </c>
      <c r="HU28" s="27">
        <v>72.147936753339366</v>
      </c>
      <c r="HV28" s="27">
        <v>72.147936753339366</v>
      </c>
      <c r="HW28" s="27">
        <v>72.147936753339366</v>
      </c>
      <c r="HX28" s="27">
        <v>72.147936753339366</v>
      </c>
      <c r="HY28" s="27">
        <v>72.147936753339366</v>
      </c>
      <c r="HZ28" s="27">
        <v>72.147936753339366</v>
      </c>
      <c r="IA28" s="27">
        <v>4.3</v>
      </c>
    </row>
    <row r="29" spans="2:235" ht="3" customHeight="1">
      <c r="O29" s="87">
        <v>139.9615281947398</v>
      </c>
      <c r="P29" s="87">
        <v>139.9615281947398</v>
      </c>
      <c r="Q29" s="87">
        <v>139.9615281947398</v>
      </c>
      <c r="R29" s="87">
        <v>139.9615281947398</v>
      </c>
      <c r="S29" s="87">
        <v>139.9615281947398</v>
      </c>
      <c r="T29" s="87">
        <v>139.9615281947398</v>
      </c>
      <c r="U29" s="87">
        <v>139.9615281947398</v>
      </c>
      <c r="V29" s="87">
        <v>139.9615281947398</v>
      </c>
      <c r="W29" s="87">
        <v>139.9615281947398</v>
      </c>
      <c r="X29" s="27">
        <v>2.4</v>
      </c>
      <c r="Y29" s="27"/>
      <c r="Z29" s="87">
        <v>215.5121216062247</v>
      </c>
      <c r="AA29" s="87">
        <v>215.5121216062247</v>
      </c>
      <c r="AB29" s="87">
        <v>215.5121216062247</v>
      </c>
      <c r="AC29" s="87">
        <v>215.5121216062247</v>
      </c>
      <c r="AD29" s="87">
        <v>215.5121216062247</v>
      </c>
      <c r="AE29" s="87">
        <v>215.5121216062247</v>
      </c>
      <c r="AF29" s="87">
        <v>215.5121216062247</v>
      </c>
      <c r="AG29" s="87">
        <v>215.5121216062247</v>
      </c>
      <c r="AH29" s="87">
        <v>215.5121216062247</v>
      </c>
      <c r="AI29" s="27">
        <v>2.4</v>
      </c>
      <c r="AK29" s="87">
        <v>200.47003890690772</v>
      </c>
      <c r="AL29" s="87">
        <v>200.47003890690772</v>
      </c>
      <c r="AM29" s="87">
        <v>200.47003890690772</v>
      </c>
      <c r="AN29" s="87">
        <v>200.47003890690772</v>
      </c>
      <c r="AO29" s="87">
        <v>200.47003890690772</v>
      </c>
      <c r="AP29" s="87">
        <v>200.47003890690772</v>
      </c>
      <c r="AQ29" s="87">
        <v>200.47003890690772</v>
      </c>
      <c r="AR29" s="87">
        <v>200.47003890690772</v>
      </c>
      <c r="AS29" s="87">
        <v>200.47003890690772</v>
      </c>
      <c r="AT29" s="27">
        <v>2.4</v>
      </c>
      <c r="AV29" s="87">
        <v>210.84790919433212</v>
      </c>
      <c r="AW29" s="87">
        <v>210.84790919433212</v>
      </c>
      <c r="AX29" s="87">
        <v>210.84790919433212</v>
      </c>
      <c r="AY29" s="87">
        <v>210.84790919433212</v>
      </c>
      <c r="AZ29" s="87">
        <v>210.84790919433212</v>
      </c>
      <c r="BA29" s="87">
        <v>210.84790919433212</v>
      </c>
      <c r="BB29" s="87">
        <v>210.84790919433212</v>
      </c>
      <c r="BC29" s="87">
        <v>210.84790919433212</v>
      </c>
      <c r="BD29" s="87">
        <v>210.84790919433212</v>
      </c>
      <c r="BE29" s="27">
        <v>2.4</v>
      </c>
      <c r="BG29" s="87">
        <v>204.55357142857173</v>
      </c>
      <c r="BH29" s="87">
        <v>204.55357142857173</v>
      </c>
      <c r="BI29" s="87">
        <v>204.55357142857173</v>
      </c>
      <c r="BJ29" s="87">
        <v>204.55357142857173</v>
      </c>
      <c r="BK29" s="87">
        <v>204.55357142857173</v>
      </c>
      <c r="BL29" s="87">
        <v>204.55357142857173</v>
      </c>
      <c r="BM29" s="87">
        <v>204.55357142857173</v>
      </c>
      <c r="BN29" s="87">
        <v>204.55357142857173</v>
      </c>
      <c r="BO29" s="87">
        <v>204.55357142857173</v>
      </c>
      <c r="BP29" s="27">
        <v>2.4</v>
      </c>
      <c r="BR29" s="87">
        <v>204.55357142857173</v>
      </c>
      <c r="BS29" s="87">
        <v>204.55357142857173</v>
      </c>
      <c r="BT29" s="87">
        <v>204.55357142857173</v>
      </c>
      <c r="BU29" s="87">
        <v>204.55357142857173</v>
      </c>
      <c r="BV29" s="87">
        <v>204.55357142857173</v>
      </c>
      <c r="BW29" s="87">
        <v>204.55357142857173</v>
      </c>
      <c r="BX29" s="87">
        <v>204.55357142857173</v>
      </c>
      <c r="BY29" s="87">
        <v>204.55357142857173</v>
      </c>
      <c r="BZ29" s="87">
        <v>204.55357142857173</v>
      </c>
      <c r="CA29" s="27">
        <v>2.4</v>
      </c>
      <c r="CC29" s="87">
        <v>77.668663763663531</v>
      </c>
      <c r="CD29" s="87">
        <v>77.668663763663531</v>
      </c>
      <c r="CE29" s="87">
        <v>77.668663763663531</v>
      </c>
      <c r="CF29" s="87">
        <v>77.668663763663531</v>
      </c>
      <c r="CG29" s="87">
        <v>77.668663763663531</v>
      </c>
      <c r="CH29" s="87">
        <v>77.668663763663531</v>
      </c>
      <c r="CI29" s="87">
        <v>77.668663763663531</v>
      </c>
      <c r="CJ29" s="87">
        <v>77.668663763663531</v>
      </c>
      <c r="CK29" s="87">
        <v>77.668663763663531</v>
      </c>
      <c r="CL29" s="27">
        <v>2.4</v>
      </c>
      <c r="CN29" s="87">
        <v>92.808608817283385</v>
      </c>
      <c r="CO29" s="87">
        <v>92.808608817283385</v>
      </c>
      <c r="CP29" s="87">
        <v>92.808608817283385</v>
      </c>
      <c r="CQ29" s="87">
        <v>92.808608817283385</v>
      </c>
      <c r="CR29" s="87">
        <v>92.808608817283385</v>
      </c>
      <c r="CS29" s="87">
        <v>92.808608817283385</v>
      </c>
      <c r="CT29" s="87">
        <v>92.808608817283385</v>
      </c>
      <c r="CU29" s="87">
        <v>92.808608817283385</v>
      </c>
      <c r="CV29" s="87">
        <v>92.808608817283385</v>
      </c>
      <c r="CW29" s="27">
        <v>2.4</v>
      </c>
      <c r="CY29" s="87">
        <v>130.36144572076202</v>
      </c>
      <c r="CZ29" s="87">
        <v>130.36144572076202</v>
      </c>
      <c r="DA29" s="87">
        <v>130.36144572076202</v>
      </c>
      <c r="DB29" s="87">
        <v>130.36144572076202</v>
      </c>
      <c r="DC29" s="87">
        <v>130.36144572076202</v>
      </c>
      <c r="DD29" s="87">
        <v>130.36144572076202</v>
      </c>
      <c r="DE29" s="87">
        <v>130.36144572076202</v>
      </c>
      <c r="DF29" s="87">
        <v>130.36144572076202</v>
      </c>
      <c r="DG29" s="87">
        <v>130.36144572076202</v>
      </c>
      <c r="DH29" s="27">
        <v>2.4</v>
      </c>
      <c r="DJ29" s="87">
        <v>130.36144572076202</v>
      </c>
      <c r="DK29" s="87">
        <v>130.36144572076202</v>
      </c>
      <c r="DL29" s="87">
        <v>130.36144572076202</v>
      </c>
      <c r="DM29" s="87">
        <v>130.36144572076202</v>
      </c>
      <c r="DN29" s="87">
        <v>130.36144572076202</v>
      </c>
      <c r="DO29" s="87">
        <v>130.36144572076202</v>
      </c>
      <c r="DP29" s="87">
        <v>130.36144572076202</v>
      </c>
      <c r="DQ29" s="87">
        <v>130.36144572076202</v>
      </c>
      <c r="DR29" s="87">
        <v>130.36144572076202</v>
      </c>
      <c r="DS29" s="27">
        <v>2.4</v>
      </c>
      <c r="DW29" s="27">
        <v>55.118971763139008</v>
      </c>
      <c r="DX29" s="27">
        <v>55.118971763139008</v>
      </c>
      <c r="DY29" s="27">
        <v>55.118971763139008</v>
      </c>
      <c r="DZ29" s="27">
        <v>55.118971763139008</v>
      </c>
      <c r="EA29" s="27">
        <v>55.118971763139008</v>
      </c>
      <c r="EB29" s="27">
        <v>55.118971763139008</v>
      </c>
      <c r="EC29" s="27">
        <v>55.118971763139008</v>
      </c>
      <c r="ED29" s="27">
        <v>55.118971763139008</v>
      </c>
      <c r="EE29" s="27">
        <v>55.118971763139008</v>
      </c>
      <c r="EF29" s="27">
        <v>4.4000000000000004</v>
      </c>
      <c r="EH29" s="27">
        <v>95.014391807698161</v>
      </c>
      <c r="EI29" s="27">
        <v>95.014391807698161</v>
      </c>
      <c r="EJ29" s="27">
        <v>95.014391807698161</v>
      </c>
      <c r="EK29" s="27">
        <v>95.014391807698161</v>
      </c>
      <c r="EL29" s="27">
        <v>95.014391807698161</v>
      </c>
      <c r="EM29" s="27">
        <v>95.014391807698161</v>
      </c>
      <c r="EN29" s="27">
        <v>95.014391807698161</v>
      </c>
      <c r="EO29" s="27">
        <v>95.014391807698161</v>
      </c>
      <c r="EP29" s="27">
        <v>95.014391807698161</v>
      </c>
      <c r="EQ29" s="27">
        <v>4.4000000000000004</v>
      </c>
      <c r="ES29" s="27">
        <v>110.15968915109414</v>
      </c>
      <c r="ET29" s="27">
        <v>110.15968915109414</v>
      </c>
      <c r="EU29" s="27">
        <v>110.15968915109414</v>
      </c>
      <c r="EV29" s="27">
        <v>110.15968915109414</v>
      </c>
      <c r="EW29" s="27">
        <v>110.15968915109414</v>
      </c>
      <c r="EX29" s="27">
        <v>110.15968915109414</v>
      </c>
      <c r="EY29" s="27">
        <v>110.15968915109414</v>
      </c>
      <c r="EZ29" s="27">
        <v>110.15968915109414</v>
      </c>
      <c r="FA29" s="27">
        <v>110.15968915109414</v>
      </c>
      <c r="FB29" s="27">
        <v>4.4000000000000004</v>
      </c>
      <c r="FD29" s="27">
        <v>114.58047388080452</v>
      </c>
      <c r="FE29" s="27">
        <v>114.58047388080452</v>
      </c>
      <c r="FF29" s="27">
        <v>114.58047388080452</v>
      </c>
      <c r="FG29" s="27">
        <v>114.58047388080452</v>
      </c>
      <c r="FH29" s="27">
        <v>114.58047388080452</v>
      </c>
      <c r="FI29" s="27">
        <v>114.58047388080452</v>
      </c>
      <c r="FJ29" s="27">
        <v>114.58047388080452</v>
      </c>
      <c r="FK29" s="27">
        <v>114.58047388080452</v>
      </c>
      <c r="FL29" s="27">
        <v>114.58047388080452</v>
      </c>
      <c r="FM29" s="27">
        <v>4.4000000000000004</v>
      </c>
      <c r="FO29" s="27">
        <v>180.327615302749</v>
      </c>
      <c r="FP29" s="27">
        <v>180.327615302749</v>
      </c>
      <c r="FQ29" s="27">
        <v>180.327615302749</v>
      </c>
      <c r="FR29" s="27">
        <v>180.327615302749</v>
      </c>
      <c r="FS29" s="27">
        <v>180.327615302749</v>
      </c>
      <c r="FT29" s="27">
        <v>180.327615302749</v>
      </c>
      <c r="FU29" s="27">
        <v>180.327615302749</v>
      </c>
      <c r="FV29" s="27">
        <v>180.327615302749</v>
      </c>
      <c r="FW29" s="27">
        <v>180.327615302749</v>
      </c>
      <c r="FX29" s="27">
        <v>4.4000000000000004</v>
      </c>
      <c r="FZ29" s="27">
        <v>180.327615302749</v>
      </c>
      <c r="GA29" s="27">
        <v>180.327615302749</v>
      </c>
      <c r="GB29" s="27">
        <v>180.327615302749</v>
      </c>
      <c r="GC29" s="27">
        <v>180.327615302749</v>
      </c>
      <c r="GD29" s="27">
        <v>180.327615302749</v>
      </c>
      <c r="GE29" s="27">
        <v>180.327615302749</v>
      </c>
      <c r="GF29" s="27">
        <v>180.327615302749</v>
      </c>
      <c r="GG29" s="27">
        <v>180.327615302749</v>
      </c>
      <c r="GH29" s="27">
        <v>180.327615302749</v>
      </c>
      <c r="GI29" s="27">
        <v>4.4000000000000004</v>
      </c>
      <c r="GJ29" s="27"/>
      <c r="GK29" s="27">
        <v>43.116011479205703</v>
      </c>
      <c r="GL29" s="27">
        <v>43.116011479205703</v>
      </c>
      <c r="GM29" s="27">
        <v>43.116011479205703</v>
      </c>
      <c r="GN29" s="27">
        <v>43.116011479205703</v>
      </c>
      <c r="GO29" s="27">
        <v>43.116011479205703</v>
      </c>
      <c r="GP29" s="27">
        <v>43.116011479205703</v>
      </c>
      <c r="GQ29" s="27">
        <v>43.116011479205703</v>
      </c>
      <c r="GR29" s="27">
        <v>43.116011479205703</v>
      </c>
      <c r="GS29" s="27">
        <v>43.116011479205703</v>
      </c>
      <c r="GT29" s="27">
        <v>4.4000000000000004</v>
      </c>
      <c r="GV29" s="27">
        <v>51.170339419034917</v>
      </c>
      <c r="GW29" s="27">
        <v>51.170339419034917</v>
      </c>
      <c r="GX29" s="27">
        <v>51.170339419034917</v>
      </c>
      <c r="GY29" s="27">
        <v>51.170339419034917</v>
      </c>
      <c r="GZ29" s="27">
        <v>51.170339419034917</v>
      </c>
      <c r="HA29" s="27">
        <v>51.170339419034917</v>
      </c>
      <c r="HB29" s="27">
        <v>51.170339419034917</v>
      </c>
      <c r="HC29" s="27">
        <v>51.170339419034917</v>
      </c>
      <c r="HD29" s="27">
        <v>51.170339419034917</v>
      </c>
      <c r="HE29" s="27">
        <v>4.4000000000000004</v>
      </c>
      <c r="HG29" s="27">
        <v>70.510494632346763</v>
      </c>
      <c r="HH29" s="27">
        <v>70.510494632346763</v>
      </c>
      <c r="HI29" s="27">
        <v>70.510494632346763</v>
      </c>
      <c r="HJ29" s="27">
        <v>70.510494632346763</v>
      </c>
      <c r="HK29" s="27">
        <v>70.510494632346763</v>
      </c>
      <c r="HL29" s="27">
        <v>70.510494632346763</v>
      </c>
      <c r="HM29" s="27">
        <v>70.510494632346763</v>
      </c>
      <c r="HN29" s="27">
        <v>70.510494632346763</v>
      </c>
      <c r="HO29" s="27">
        <v>70.510494632346763</v>
      </c>
      <c r="HP29" s="27">
        <v>4.4000000000000004</v>
      </c>
      <c r="HR29" s="27">
        <v>70.510494632346763</v>
      </c>
      <c r="HS29" s="27">
        <v>70.510494632346763</v>
      </c>
      <c r="HT29" s="27">
        <v>70.510494632346763</v>
      </c>
      <c r="HU29" s="27">
        <v>70.510494632346763</v>
      </c>
      <c r="HV29" s="27">
        <v>70.510494632346763</v>
      </c>
      <c r="HW29" s="27">
        <v>70.510494632346763</v>
      </c>
      <c r="HX29" s="27">
        <v>70.510494632346763</v>
      </c>
      <c r="HY29" s="27">
        <v>70.510494632346763</v>
      </c>
      <c r="HZ29" s="27">
        <v>70.510494632346763</v>
      </c>
      <c r="IA29" s="27">
        <v>4.4000000000000004</v>
      </c>
    </row>
    <row r="30" spans="2:235" ht="3" customHeight="1">
      <c r="O30" s="87">
        <v>132.58557945891252</v>
      </c>
      <c r="P30" s="87">
        <v>132.58557945891252</v>
      </c>
      <c r="Q30" s="87">
        <v>132.58557945891252</v>
      </c>
      <c r="R30" s="87">
        <v>132.58557945891252</v>
      </c>
      <c r="S30" s="87">
        <v>132.58557945891252</v>
      </c>
      <c r="T30" s="87">
        <v>132.58557945891252</v>
      </c>
      <c r="U30" s="87">
        <v>132.58557945891252</v>
      </c>
      <c r="V30" s="87">
        <v>132.58557945891252</v>
      </c>
      <c r="W30" s="87">
        <v>132.58557945891252</v>
      </c>
      <c r="X30" s="27">
        <v>2.5</v>
      </c>
      <c r="Y30" s="27"/>
      <c r="Z30" s="87">
        <v>204.97846858812491</v>
      </c>
      <c r="AA30" s="87">
        <v>204.97846858812491</v>
      </c>
      <c r="AB30" s="87">
        <v>204.97846858812491</v>
      </c>
      <c r="AC30" s="87">
        <v>204.97846858812491</v>
      </c>
      <c r="AD30" s="87">
        <v>204.97846858812491</v>
      </c>
      <c r="AE30" s="87">
        <v>204.97846858812491</v>
      </c>
      <c r="AF30" s="87">
        <v>204.97846858812491</v>
      </c>
      <c r="AG30" s="87">
        <v>204.97846858812491</v>
      </c>
      <c r="AH30" s="87">
        <v>204.97846858812491</v>
      </c>
      <c r="AI30" s="27">
        <v>2.5</v>
      </c>
      <c r="AK30" s="87">
        <v>192.54553536562253</v>
      </c>
      <c r="AL30" s="87">
        <v>192.54553536562253</v>
      </c>
      <c r="AM30" s="87">
        <v>192.54553536562253</v>
      </c>
      <c r="AN30" s="87">
        <v>192.54553536562253</v>
      </c>
      <c r="AO30" s="87">
        <v>192.54553536562253</v>
      </c>
      <c r="AP30" s="87">
        <v>192.54553536562253</v>
      </c>
      <c r="AQ30" s="87">
        <v>192.54553536562253</v>
      </c>
      <c r="AR30" s="87">
        <v>192.54553536562253</v>
      </c>
      <c r="AS30" s="87">
        <v>192.54553536562253</v>
      </c>
      <c r="AT30" s="27">
        <v>2.5</v>
      </c>
      <c r="AV30" s="87">
        <v>202.41692988086959</v>
      </c>
      <c r="AW30" s="87">
        <v>202.41692988086959</v>
      </c>
      <c r="AX30" s="87">
        <v>202.41692988086959</v>
      </c>
      <c r="AY30" s="87">
        <v>202.41692988086959</v>
      </c>
      <c r="AZ30" s="87">
        <v>202.41692988086959</v>
      </c>
      <c r="BA30" s="87">
        <v>202.41692988086959</v>
      </c>
      <c r="BB30" s="87">
        <v>202.41692988086959</v>
      </c>
      <c r="BC30" s="87">
        <v>202.41692988086959</v>
      </c>
      <c r="BD30" s="87">
        <v>202.41692988086959</v>
      </c>
      <c r="BE30" s="27">
        <v>2.5</v>
      </c>
      <c r="BG30" s="87">
        <v>202.11458333333366</v>
      </c>
      <c r="BH30" s="87">
        <v>202.11458333333366</v>
      </c>
      <c r="BI30" s="87">
        <v>202.11458333333366</v>
      </c>
      <c r="BJ30" s="87">
        <v>202.11458333333366</v>
      </c>
      <c r="BK30" s="87">
        <v>202.11458333333366</v>
      </c>
      <c r="BL30" s="87">
        <v>202.11458333333366</v>
      </c>
      <c r="BM30" s="87">
        <v>202.11458333333366</v>
      </c>
      <c r="BN30" s="87">
        <v>202.11458333333366</v>
      </c>
      <c r="BO30" s="87">
        <v>202.11458333333366</v>
      </c>
      <c r="BP30" s="27">
        <v>2.5</v>
      </c>
      <c r="BR30" s="87">
        <v>202.11458333333366</v>
      </c>
      <c r="BS30" s="87">
        <v>202.11458333333366</v>
      </c>
      <c r="BT30" s="87">
        <v>202.11458333333366</v>
      </c>
      <c r="BU30" s="87">
        <v>202.11458333333366</v>
      </c>
      <c r="BV30" s="87">
        <v>202.11458333333366</v>
      </c>
      <c r="BW30" s="87">
        <v>202.11458333333366</v>
      </c>
      <c r="BX30" s="87">
        <v>202.11458333333366</v>
      </c>
      <c r="BY30" s="87">
        <v>202.11458333333366</v>
      </c>
      <c r="BZ30" s="87">
        <v>202.11458333333366</v>
      </c>
      <c r="CA30" s="27">
        <v>2.5</v>
      </c>
      <c r="CC30" s="87">
        <v>74.592361088351694</v>
      </c>
      <c r="CD30" s="87">
        <v>74.592361088351694</v>
      </c>
      <c r="CE30" s="87">
        <v>74.592361088351694</v>
      </c>
      <c r="CF30" s="87">
        <v>74.592361088351694</v>
      </c>
      <c r="CG30" s="87">
        <v>74.592361088351694</v>
      </c>
      <c r="CH30" s="87">
        <v>74.592361088351694</v>
      </c>
      <c r="CI30" s="87">
        <v>74.592361088351694</v>
      </c>
      <c r="CJ30" s="87">
        <v>74.592361088351694</v>
      </c>
      <c r="CK30" s="87">
        <v>74.592361088351694</v>
      </c>
      <c r="CL30" s="27">
        <v>2.5</v>
      </c>
      <c r="CN30" s="87">
        <v>89.143559146649977</v>
      </c>
      <c r="CO30" s="87">
        <v>89.143559146649977</v>
      </c>
      <c r="CP30" s="87">
        <v>89.143559146649977</v>
      </c>
      <c r="CQ30" s="87">
        <v>89.143559146649977</v>
      </c>
      <c r="CR30" s="87">
        <v>89.143559146649977</v>
      </c>
      <c r="CS30" s="87">
        <v>89.143559146649977</v>
      </c>
      <c r="CT30" s="87">
        <v>89.143559146649977</v>
      </c>
      <c r="CU30" s="87">
        <v>89.143559146649977</v>
      </c>
      <c r="CV30" s="87">
        <v>89.143559146649977</v>
      </c>
      <c r="CW30" s="27">
        <v>2.5</v>
      </c>
      <c r="CY30" s="87">
        <v>125.12144675035132</v>
      </c>
      <c r="CZ30" s="87">
        <v>125.12144675035132</v>
      </c>
      <c r="DA30" s="87">
        <v>125.12144675035132</v>
      </c>
      <c r="DB30" s="87">
        <v>125.12144675035132</v>
      </c>
      <c r="DC30" s="87">
        <v>125.12144675035132</v>
      </c>
      <c r="DD30" s="87">
        <v>125.12144675035132</v>
      </c>
      <c r="DE30" s="87">
        <v>125.12144675035132</v>
      </c>
      <c r="DF30" s="87">
        <v>125.12144675035132</v>
      </c>
      <c r="DG30" s="87">
        <v>125.12144675035132</v>
      </c>
      <c r="DH30" s="27">
        <v>2.5</v>
      </c>
      <c r="DJ30" s="87">
        <v>125.12144675035132</v>
      </c>
      <c r="DK30" s="87">
        <v>125.12144675035132</v>
      </c>
      <c r="DL30" s="87">
        <v>125.12144675035132</v>
      </c>
      <c r="DM30" s="87">
        <v>125.12144675035132</v>
      </c>
      <c r="DN30" s="87">
        <v>125.12144675035132</v>
      </c>
      <c r="DO30" s="87">
        <v>125.12144675035132</v>
      </c>
      <c r="DP30" s="87">
        <v>125.12144675035132</v>
      </c>
      <c r="DQ30" s="87">
        <v>125.12144675035132</v>
      </c>
      <c r="DR30" s="87">
        <v>125.12144675035132</v>
      </c>
      <c r="DS30" s="27">
        <v>2.5</v>
      </c>
      <c r="DW30" s="27">
        <v>53.886110571280405</v>
      </c>
      <c r="DX30" s="27">
        <v>53.886110571280405</v>
      </c>
      <c r="DY30" s="27">
        <v>53.886110571280405</v>
      </c>
      <c r="DZ30" s="27">
        <v>53.886110571280405</v>
      </c>
      <c r="EA30" s="27">
        <v>53.886110571280405</v>
      </c>
      <c r="EB30" s="27">
        <v>53.886110571280405</v>
      </c>
      <c r="EC30" s="27">
        <v>53.886110571280405</v>
      </c>
      <c r="ED30" s="27">
        <v>53.886110571280405</v>
      </c>
      <c r="EE30" s="27">
        <v>53.886110571280405</v>
      </c>
      <c r="EF30" s="27">
        <v>4.5</v>
      </c>
      <c r="EH30" s="27">
        <v>92.81363518898398</v>
      </c>
      <c r="EI30" s="27">
        <v>92.81363518898398</v>
      </c>
      <c r="EJ30" s="27">
        <v>92.81363518898398</v>
      </c>
      <c r="EK30" s="27">
        <v>92.81363518898398</v>
      </c>
      <c r="EL30" s="27">
        <v>92.81363518898398</v>
      </c>
      <c r="EM30" s="27">
        <v>92.81363518898398</v>
      </c>
      <c r="EN30" s="27">
        <v>92.81363518898398</v>
      </c>
      <c r="EO30" s="27">
        <v>92.81363518898398</v>
      </c>
      <c r="EP30" s="27">
        <v>92.81363518898398</v>
      </c>
      <c r="EQ30" s="27">
        <v>4.5</v>
      </c>
      <c r="ES30" s="27">
        <v>107.73973328174395</v>
      </c>
      <c r="ET30" s="27">
        <v>107.73973328174395</v>
      </c>
      <c r="EU30" s="27">
        <v>107.73973328174395</v>
      </c>
      <c r="EV30" s="27">
        <v>107.73973328174395</v>
      </c>
      <c r="EW30" s="27">
        <v>107.73973328174395</v>
      </c>
      <c r="EX30" s="27">
        <v>107.73973328174395</v>
      </c>
      <c r="EY30" s="27">
        <v>107.73973328174395</v>
      </c>
      <c r="EZ30" s="27">
        <v>107.73973328174395</v>
      </c>
      <c r="FA30" s="27">
        <v>107.73973328174395</v>
      </c>
      <c r="FB30" s="27">
        <v>4.5</v>
      </c>
      <c r="FD30" s="27">
        <v>112.04999433509788</v>
      </c>
      <c r="FE30" s="27">
        <v>112.04999433509788</v>
      </c>
      <c r="FF30" s="27">
        <v>112.04999433509788</v>
      </c>
      <c r="FG30" s="27">
        <v>112.04999433509788</v>
      </c>
      <c r="FH30" s="27">
        <v>112.04999433509788</v>
      </c>
      <c r="FI30" s="27">
        <v>112.04999433509788</v>
      </c>
      <c r="FJ30" s="27">
        <v>112.04999433509788</v>
      </c>
      <c r="FK30" s="27">
        <v>112.04999433509788</v>
      </c>
      <c r="FL30" s="27">
        <v>112.04999433509788</v>
      </c>
      <c r="FM30" s="27">
        <v>4.5</v>
      </c>
      <c r="FO30" s="27">
        <v>176.29698831850357</v>
      </c>
      <c r="FP30" s="27">
        <v>176.29698831850357</v>
      </c>
      <c r="FQ30" s="27">
        <v>176.29698831850357</v>
      </c>
      <c r="FR30" s="27">
        <v>176.29698831850357</v>
      </c>
      <c r="FS30" s="27">
        <v>176.29698831850357</v>
      </c>
      <c r="FT30" s="27">
        <v>176.29698831850357</v>
      </c>
      <c r="FU30" s="27">
        <v>176.29698831850357</v>
      </c>
      <c r="FV30" s="27">
        <v>176.29698831850357</v>
      </c>
      <c r="FW30" s="27">
        <v>176.29698831850357</v>
      </c>
      <c r="FX30" s="27">
        <v>4.5</v>
      </c>
      <c r="FZ30" s="27">
        <v>176.29698831850357</v>
      </c>
      <c r="GA30" s="27">
        <v>176.29698831850357</v>
      </c>
      <c r="GB30" s="27">
        <v>176.29698831850357</v>
      </c>
      <c r="GC30" s="27">
        <v>176.29698831850357</v>
      </c>
      <c r="GD30" s="27">
        <v>176.29698831850357</v>
      </c>
      <c r="GE30" s="27">
        <v>176.29698831850357</v>
      </c>
      <c r="GF30" s="27">
        <v>176.29698831850357</v>
      </c>
      <c r="GG30" s="27">
        <v>176.29698831850357</v>
      </c>
      <c r="GH30" s="27">
        <v>176.29698831850357</v>
      </c>
      <c r="GI30" s="27">
        <v>4.5</v>
      </c>
      <c r="GJ30" s="27"/>
      <c r="GK30" s="27">
        <v>42.150493565841728</v>
      </c>
      <c r="GL30" s="27">
        <v>42.150493565841728</v>
      </c>
      <c r="GM30" s="27">
        <v>42.150493565841728</v>
      </c>
      <c r="GN30" s="27">
        <v>42.150493565841728</v>
      </c>
      <c r="GO30" s="27">
        <v>42.150493565841728</v>
      </c>
      <c r="GP30" s="27">
        <v>42.150493565841728</v>
      </c>
      <c r="GQ30" s="27">
        <v>42.150493565841728</v>
      </c>
      <c r="GR30" s="27">
        <v>42.150493565841728</v>
      </c>
      <c r="GS30" s="27">
        <v>42.150493565841728</v>
      </c>
      <c r="GT30" s="27">
        <v>4.5</v>
      </c>
      <c r="GV30" s="27">
        <v>50.036940369104023</v>
      </c>
      <c r="GW30" s="27">
        <v>50.036940369104023</v>
      </c>
      <c r="GX30" s="27">
        <v>50.036940369104023</v>
      </c>
      <c r="GY30" s="27">
        <v>50.036940369104023</v>
      </c>
      <c r="GZ30" s="27">
        <v>50.036940369104023</v>
      </c>
      <c r="HA30" s="27">
        <v>50.036940369104023</v>
      </c>
      <c r="HB30" s="27">
        <v>50.036940369104023</v>
      </c>
      <c r="HC30" s="27">
        <v>50.036940369104023</v>
      </c>
      <c r="HD30" s="27">
        <v>50.036940369104023</v>
      </c>
      <c r="HE30" s="27">
        <v>4.5</v>
      </c>
      <c r="HG30" s="27">
        <v>68.945777603372647</v>
      </c>
      <c r="HH30" s="27">
        <v>68.945777603372647</v>
      </c>
      <c r="HI30" s="27">
        <v>68.945777603372647</v>
      </c>
      <c r="HJ30" s="27">
        <v>68.945777603372647</v>
      </c>
      <c r="HK30" s="27">
        <v>68.945777603372647</v>
      </c>
      <c r="HL30" s="27">
        <v>68.945777603372647</v>
      </c>
      <c r="HM30" s="27">
        <v>68.945777603372647</v>
      </c>
      <c r="HN30" s="27">
        <v>68.945777603372647</v>
      </c>
      <c r="HO30" s="27">
        <v>68.945777603372647</v>
      </c>
      <c r="HP30" s="27">
        <v>4.5</v>
      </c>
      <c r="HR30" s="27">
        <v>68.945777603372647</v>
      </c>
      <c r="HS30" s="27">
        <v>68.945777603372647</v>
      </c>
      <c r="HT30" s="27">
        <v>68.945777603372647</v>
      </c>
      <c r="HU30" s="27">
        <v>68.945777603372647</v>
      </c>
      <c r="HV30" s="27">
        <v>68.945777603372647</v>
      </c>
      <c r="HW30" s="27">
        <v>68.945777603372647</v>
      </c>
      <c r="HX30" s="27">
        <v>68.945777603372647</v>
      </c>
      <c r="HY30" s="27">
        <v>68.945777603372647</v>
      </c>
      <c r="HZ30" s="27">
        <v>68.945777603372647</v>
      </c>
      <c r="IA30" s="27">
        <v>4.5</v>
      </c>
    </row>
    <row r="31" spans="2:235" ht="3" customHeight="1">
      <c r="O31" s="87">
        <v>125.86535406197007</v>
      </c>
      <c r="P31" s="87">
        <v>125.86535406197007</v>
      </c>
      <c r="Q31" s="87">
        <v>125.86535406197007</v>
      </c>
      <c r="R31" s="87">
        <v>125.86535406197007</v>
      </c>
      <c r="S31" s="87">
        <v>125.86535406197007</v>
      </c>
      <c r="T31" s="87">
        <v>125.86535406197007</v>
      </c>
      <c r="U31" s="87">
        <v>125.86535406197007</v>
      </c>
      <c r="V31" s="87">
        <v>125.86535406197007</v>
      </c>
      <c r="W31" s="87">
        <v>125.86535406197007</v>
      </c>
      <c r="X31" s="27">
        <v>2.6</v>
      </c>
      <c r="Y31" s="27"/>
      <c r="Z31" s="87">
        <v>195.34328115118515</v>
      </c>
      <c r="AA31" s="87">
        <v>195.34328115118515</v>
      </c>
      <c r="AB31" s="87">
        <v>195.34328115118515</v>
      </c>
      <c r="AC31" s="87">
        <v>195.34328115118515</v>
      </c>
      <c r="AD31" s="87">
        <v>195.34328115118515</v>
      </c>
      <c r="AE31" s="87">
        <v>195.34328115118515</v>
      </c>
      <c r="AF31" s="87">
        <v>195.34328115118515</v>
      </c>
      <c r="AG31" s="87">
        <v>195.34328115118515</v>
      </c>
      <c r="AH31" s="87">
        <v>195.34328115118515</v>
      </c>
      <c r="AI31" s="27">
        <v>2.6</v>
      </c>
      <c r="AK31" s="87">
        <v>185.22709420470554</v>
      </c>
      <c r="AL31" s="87">
        <v>185.22709420470554</v>
      </c>
      <c r="AM31" s="87">
        <v>185.22709420470554</v>
      </c>
      <c r="AN31" s="87">
        <v>185.22709420470554</v>
      </c>
      <c r="AO31" s="87">
        <v>185.22709420470554</v>
      </c>
      <c r="AP31" s="87">
        <v>185.22709420470554</v>
      </c>
      <c r="AQ31" s="87">
        <v>185.22709420470554</v>
      </c>
      <c r="AR31" s="87">
        <v>185.22709420470554</v>
      </c>
      <c r="AS31" s="87">
        <v>185.22709420470554</v>
      </c>
      <c r="AT31" s="27">
        <v>2.6</v>
      </c>
      <c r="AV31" s="87">
        <v>194.63437669864214</v>
      </c>
      <c r="AW31" s="87">
        <v>194.63437669864214</v>
      </c>
      <c r="AX31" s="87">
        <v>194.63437669864214</v>
      </c>
      <c r="AY31" s="87">
        <v>194.63437669864214</v>
      </c>
      <c r="AZ31" s="87">
        <v>194.63437669864214</v>
      </c>
      <c r="BA31" s="87">
        <v>194.63437669864214</v>
      </c>
      <c r="BB31" s="87">
        <v>194.63437669864214</v>
      </c>
      <c r="BC31" s="87">
        <v>194.63437669864214</v>
      </c>
      <c r="BD31" s="87">
        <v>194.63437669864214</v>
      </c>
      <c r="BE31" s="27">
        <v>2.6</v>
      </c>
      <c r="BG31" s="87">
        <v>199.6964285714289</v>
      </c>
      <c r="BH31" s="87">
        <v>199.6964285714289</v>
      </c>
      <c r="BI31" s="87">
        <v>199.6964285714289</v>
      </c>
      <c r="BJ31" s="87">
        <v>199.6964285714289</v>
      </c>
      <c r="BK31" s="87">
        <v>199.6964285714289</v>
      </c>
      <c r="BL31" s="87">
        <v>199.6964285714289</v>
      </c>
      <c r="BM31" s="87">
        <v>199.6964285714289</v>
      </c>
      <c r="BN31" s="87">
        <v>199.6964285714289</v>
      </c>
      <c r="BO31" s="87">
        <v>199.6964285714289</v>
      </c>
      <c r="BP31" s="27">
        <v>2.6</v>
      </c>
      <c r="BR31" s="87">
        <v>199.6964285714289</v>
      </c>
      <c r="BS31" s="87">
        <v>199.6964285714289</v>
      </c>
      <c r="BT31" s="87">
        <v>199.6964285714289</v>
      </c>
      <c r="BU31" s="87">
        <v>199.6964285714289</v>
      </c>
      <c r="BV31" s="87">
        <v>199.6964285714289</v>
      </c>
      <c r="BW31" s="87">
        <v>199.6964285714289</v>
      </c>
      <c r="BX31" s="87">
        <v>199.6964285714289</v>
      </c>
      <c r="BY31" s="87">
        <v>199.6964285714289</v>
      </c>
      <c r="BZ31" s="87">
        <v>199.6964285714289</v>
      </c>
      <c r="CA31" s="27">
        <v>2.6</v>
      </c>
      <c r="CC31" s="87">
        <v>71.751560079054798</v>
      </c>
      <c r="CD31" s="87">
        <v>71.751560079054798</v>
      </c>
      <c r="CE31" s="87">
        <v>71.751560079054798</v>
      </c>
      <c r="CF31" s="87">
        <v>71.751560079054798</v>
      </c>
      <c r="CG31" s="87">
        <v>71.751560079054798</v>
      </c>
      <c r="CH31" s="87">
        <v>71.751560079054798</v>
      </c>
      <c r="CI31" s="87">
        <v>71.751560079054798</v>
      </c>
      <c r="CJ31" s="87">
        <v>71.751560079054798</v>
      </c>
      <c r="CK31" s="87">
        <v>71.751560079054798</v>
      </c>
      <c r="CL31" s="27">
        <v>2.6</v>
      </c>
      <c r="CN31" s="87">
        <v>85.758675285877501</v>
      </c>
      <c r="CO31" s="87">
        <v>85.758675285877501</v>
      </c>
      <c r="CP31" s="87">
        <v>85.758675285877501</v>
      </c>
      <c r="CQ31" s="87">
        <v>85.758675285877501</v>
      </c>
      <c r="CR31" s="87">
        <v>85.758675285877501</v>
      </c>
      <c r="CS31" s="87">
        <v>85.758675285877501</v>
      </c>
      <c r="CT31" s="87">
        <v>85.758675285877501</v>
      </c>
      <c r="CU31" s="87">
        <v>85.758675285877501</v>
      </c>
      <c r="CV31" s="87">
        <v>85.758675285877501</v>
      </c>
      <c r="CW31" s="27">
        <v>2.6</v>
      </c>
      <c r="CY31" s="87">
        <v>120.28549268673628</v>
      </c>
      <c r="CZ31" s="87">
        <v>120.28549268673628</v>
      </c>
      <c r="DA31" s="87">
        <v>120.28549268673628</v>
      </c>
      <c r="DB31" s="87">
        <v>120.28549268673628</v>
      </c>
      <c r="DC31" s="87">
        <v>120.28549268673628</v>
      </c>
      <c r="DD31" s="87">
        <v>120.28549268673628</v>
      </c>
      <c r="DE31" s="87">
        <v>120.28549268673628</v>
      </c>
      <c r="DF31" s="87">
        <v>120.28549268673628</v>
      </c>
      <c r="DG31" s="87">
        <v>120.28549268673628</v>
      </c>
      <c r="DH31" s="27">
        <v>2.6</v>
      </c>
      <c r="DJ31" s="87">
        <v>120.28549268673628</v>
      </c>
      <c r="DK31" s="87">
        <v>120.28549268673628</v>
      </c>
      <c r="DL31" s="87">
        <v>120.28549268673628</v>
      </c>
      <c r="DM31" s="87">
        <v>120.28549268673628</v>
      </c>
      <c r="DN31" s="87">
        <v>120.28549268673628</v>
      </c>
      <c r="DO31" s="87">
        <v>120.28549268673628</v>
      </c>
      <c r="DP31" s="87">
        <v>120.28549268673628</v>
      </c>
      <c r="DQ31" s="87">
        <v>120.28549268673628</v>
      </c>
      <c r="DR31" s="87">
        <v>120.28549268673628</v>
      </c>
      <c r="DS31" s="27">
        <v>2.6</v>
      </c>
      <c r="DW31" s="27">
        <v>52.707025073943718</v>
      </c>
      <c r="DX31" s="27">
        <v>52.707025073943718</v>
      </c>
      <c r="DY31" s="27">
        <v>52.707025073943718</v>
      </c>
      <c r="DZ31" s="27">
        <v>52.707025073943718</v>
      </c>
      <c r="EA31" s="27">
        <v>52.707025073943718</v>
      </c>
      <c r="EB31" s="27">
        <v>52.707025073943718</v>
      </c>
      <c r="EC31" s="27">
        <v>52.707025073943718</v>
      </c>
      <c r="ED31" s="27">
        <v>52.707025073943718</v>
      </c>
      <c r="EE31" s="27">
        <v>52.707025073943718</v>
      </c>
      <c r="EF31" s="27">
        <v>4.5999999999999996</v>
      </c>
      <c r="EH31" s="27">
        <v>90.710565590537414</v>
      </c>
      <c r="EI31" s="27">
        <v>90.710565590537414</v>
      </c>
      <c r="EJ31" s="27">
        <v>90.710565590537414</v>
      </c>
      <c r="EK31" s="27">
        <v>90.710565590537414</v>
      </c>
      <c r="EL31" s="27">
        <v>90.710565590537414</v>
      </c>
      <c r="EM31" s="27">
        <v>90.710565590537414</v>
      </c>
      <c r="EN31" s="27">
        <v>90.710565590537414</v>
      </c>
      <c r="EO31" s="27">
        <v>90.710565590537414</v>
      </c>
      <c r="EP31" s="27">
        <v>90.710565590537414</v>
      </c>
      <c r="EQ31" s="27">
        <v>4.5999999999999996</v>
      </c>
      <c r="ES31" s="27">
        <v>105.42439693463318</v>
      </c>
      <c r="ET31" s="27">
        <v>105.42439693463318</v>
      </c>
      <c r="EU31" s="27">
        <v>105.42439693463318</v>
      </c>
      <c r="EV31" s="27">
        <v>105.42439693463318</v>
      </c>
      <c r="EW31" s="27">
        <v>105.42439693463318</v>
      </c>
      <c r="EX31" s="27">
        <v>105.42439693463318</v>
      </c>
      <c r="EY31" s="27">
        <v>105.42439693463318</v>
      </c>
      <c r="EZ31" s="27">
        <v>105.42439693463318</v>
      </c>
      <c r="FA31" s="27">
        <v>105.42439693463318</v>
      </c>
      <c r="FB31" s="27">
        <v>4.5999999999999996</v>
      </c>
      <c r="FD31" s="27">
        <v>109.62919900990384</v>
      </c>
      <c r="FE31" s="27">
        <v>109.62919900990384</v>
      </c>
      <c r="FF31" s="27">
        <v>109.62919900990384</v>
      </c>
      <c r="FG31" s="27">
        <v>109.62919900990384</v>
      </c>
      <c r="FH31" s="27">
        <v>109.62919900990384</v>
      </c>
      <c r="FI31" s="27">
        <v>109.62919900990384</v>
      </c>
      <c r="FJ31" s="27">
        <v>109.62919900990384</v>
      </c>
      <c r="FK31" s="27">
        <v>109.62919900990384</v>
      </c>
      <c r="FL31" s="27">
        <v>109.62919900990384</v>
      </c>
      <c r="FM31" s="27">
        <v>4.5999999999999996</v>
      </c>
      <c r="FO31" s="27">
        <v>172.44211091020682</v>
      </c>
      <c r="FP31" s="27">
        <v>172.44211091020682</v>
      </c>
      <c r="FQ31" s="27">
        <v>172.44211091020682</v>
      </c>
      <c r="FR31" s="27">
        <v>172.44211091020682</v>
      </c>
      <c r="FS31" s="27">
        <v>172.44211091020682</v>
      </c>
      <c r="FT31" s="27">
        <v>172.44211091020682</v>
      </c>
      <c r="FU31" s="27">
        <v>172.44211091020682</v>
      </c>
      <c r="FV31" s="27">
        <v>172.44211091020682</v>
      </c>
      <c r="FW31" s="27">
        <v>172.44211091020682</v>
      </c>
      <c r="FX31" s="27">
        <v>4.5999999999999996</v>
      </c>
      <c r="FZ31" s="27">
        <v>172.44211091020682</v>
      </c>
      <c r="GA31" s="27">
        <v>172.44211091020682</v>
      </c>
      <c r="GB31" s="27">
        <v>172.44211091020682</v>
      </c>
      <c r="GC31" s="27">
        <v>172.44211091020682</v>
      </c>
      <c r="GD31" s="27">
        <v>172.44211091020682</v>
      </c>
      <c r="GE31" s="27">
        <v>172.44211091020682</v>
      </c>
      <c r="GF31" s="27">
        <v>172.44211091020682</v>
      </c>
      <c r="GG31" s="27">
        <v>172.44211091020682</v>
      </c>
      <c r="GH31" s="27">
        <v>172.44211091020682</v>
      </c>
      <c r="GI31" s="27">
        <v>4.5999999999999996</v>
      </c>
      <c r="GJ31" s="27"/>
      <c r="GK31" s="27">
        <v>41.227114693767867</v>
      </c>
      <c r="GL31" s="27">
        <v>41.227114693767867</v>
      </c>
      <c r="GM31" s="27">
        <v>41.227114693767867</v>
      </c>
      <c r="GN31" s="27">
        <v>41.227114693767867</v>
      </c>
      <c r="GO31" s="27">
        <v>41.227114693767867</v>
      </c>
      <c r="GP31" s="27">
        <v>41.227114693767867</v>
      </c>
      <c r="GQ31" s="27">
        <v>41.227114693767867</v>
      </c>
      <c r="GR31" s="27">
        <v>41.227114693767867</v>
      </c>
      <c r="GS31" s="27">
        <v>41.227114693767867</v>
      </c>
      <c r="GT31" s="27">
        <v>4.5999999999999996</v>
      </c>
      <c r="GV31" s="27">
        <v>48.952739821513596</v>
      </c>
      <c r="GW31" s="27">
        <v>48.952739821513596</v>
      </c>
      <c r="GX31" s="27">
        <v>48.952739821513596</v>
      </c>
      <c r="GY31" s="27">
        <v>48.952739821513596</v>
      </c>
      <c r="GZ31" s="27">
        <v>48.952739821513596</v>
      </c>
      <c r="HA31" s="27">
        <v>48.952739821513596</v>
      </c>
      <c r="HB31" s="27">
        <v>48.952739821513596</v>
      </c>
      <c r="HC31" s="27">
        <v>48.952739821513596</v>
      </c>
      <c r="HD31" s="27">
        <v>48.952739821513596</v>
      </c>
      <c r="HE31" s="27">
        <v>4.5999999999999996</v>
      </c>
      <c r="HG31" s="27">
        <v>67.449044879313178</v>
      </c>
      <c r="HH31" s="27">
        <v>67.449044879313178</v>
      </c>
      <c r="HI31" s="27">
        <v>67.449044879313178</v>
      </c>
      <c r="HJ31" s="27">
        <v>67.449044879313178</v>
      </c>
      <c r="HK31" s="27">
        <v>67.449044879313178</v>
      </c>
      <c r="HL31" s="27">
        <v>67.449044879313178</v>
      </c>
      <c r="HM31" s="27">
        <v>67.449044879313178</v>
      </c>
      <c r="HN31" s="27">
        <v>67.449044879313178</v>
      </c>
      <c r="HO31" s="27">
        <v>67.449044879313178</v>
      </c>
      <c r="HP31" s="27">
        <v>4.5999999999999996</v>
      </c>
      <c r="HR31" s="27">
        <v>67.449044879313178</v>
      </c>
      <c r="HS31" s="27">
        <v>67.449044879313178</v>
      </c>
      <c r="HT31" s="27">
        <v>67.449044879313178</v>
      </c>
      <c r="HU31" s="27">
        <v>67.449044879313178</v>
      </c>
      <c r="HV31" s="27">
        <v>67.449044879313178</v>
      </c>
      <c r="HW31" s="27">
        <v>67.449044879313178</v>
      </c>
      <c r="HX31" s="27">
        <v>67.449044879313178</v>
      </c>
      <c r="HY31" s="27">
        <v>67.449044879313178</v>
      </c>
      <c r="HZ31" s="27">
        <v>67.449044879313178</v>
      </c>
      <c r="IA31" s="27">
        <v>4.5999999999999996</v>
      </c>
    </row>
    <row r="32" spans="2:235" ht="3" customHeight="1">
      <c r="O32" s="87">
        <v>119.72056980472718</v>
      </c>
      <c r="P32" s="87">
        <v>119.72056980472718</v>
      </c>
      <c r="Q32" s="87">
        <v>119.72056980472718</v>
      </c>
      <c r="R32" s="87">
        <v>119.72056980472718</v>
      </c>
      <c r="S32" s="87">
        <v>119.72056980472718</v>
      </c>
      <c r="T32" s="87">
        <v>119.72056980472718</v>
      </c>
      <c r="U32" s="87">
        <v>119.72056980472718</v>
      </c>
      <c r="V32" s="87">
        <v>119.72056980472718</v>
      </c>
      <c r="W32" s="87">
        <v>119.72056980472718</v>
      </c>
      <c r="X32" s="27">
        <v>2.7</v>
      </c>
      <c r="Y32" s="27"/>
      <c r="Z32" s="87">
        <v>186.49961991570544</v>
      </c>
      <c r="AA32" s="87">
        <v>186.49961991570544</v>
      </c>
      <c r="AB32" s="87">
        <v>186.49961991570544</v>
      </c>
      <c r="AC32" s="87">
        <v>186.49961991570544</v>
      </c>
      <c r="AD32" s="87">
        <v>186.49961991570544</v>
      </c>
      <c r="AE32" s="87">
        <v>186.49961991570544</v>
      </c>
      <c r="AF32" s="87">
        <v>186.49961991570544</v>
      </c>
      <c r="AG32" s="87">
        <v>186.49961991570544</v>
      </c>
      <c r="AH32" s="87">
        <v>186.49961991570544</v>
      </c>
      <c r="AI32" s="27">
        <v>2.7</v>
      </c>
      <c r="AK32" s="87">
        <v>178.44762922365263</v>
      </c>
      <c r="AL32" s="87">
        <v>178.44762922365263</v>
      </c>
      <c r="AM32" s="87">
        <v>178.44762922365263</v>
      </c>
      <c r="AN32" s="87">
        <v>178.44762922365263</v>
      </c>
      <c r="AO32" s="87">
        <v>178.44762922365263</v>
      </c>
      <c r="AP32" s="87">
        <v>178.44762922365263</v>
      </c>
      <c r="AQ32" s="87">
        <v>178.44762922365263</v>
      </c>
      <c r="AR32" s="87">
        <v>178.44762922365263</v>
      </c>
      <c r="AS32" s="87">
        <v>178.44762922365263</v>
      </c>
      <c r="AT32" s="27">
        <v>2.7</v>
      </c>
      <c r="AV32" s="87">
        <v>187.42821034945987</v>
      </c>
      <c r="AW32" s="87">
        <v>187.42821034945987</v>
      </c>
      <c r="AX32" s="87">
        <v>187.42821034945987</v>
      </c>
      <c r="AY32" s="87">
        <v>187.42821034945987</v>
      </c>
      <c r="AZ32" s="87">
        <v>187.42821034945987</v>
      </c>
      <c r="BA32" s="87">
        <v>187.42821034945987</v>
      </c>
      <c r="BB32" s="87">
        <v>187.42821034945987</v>
      </c>
      <c r="BC32" s="87">
        <v>187.42821034945987</v>
      </c>
      <c r="BD32" s="87">
        <v>187.42821034945987</v>
      </c>
      <c r="BE32" s="27">
        <v>2.7</v>
      </c>
      <c r="BG32" s="87">
        <v>197.29910714285745</v>
      </c>
      <c r="BH32" s="87">
        <v>197.29910714285745</v>
      </c>
      <c r="BI32" s="87">
        <v>197.29910714285745</v>
      </c>
      <c r="BJ32" s="87">
        <v>197.29910714285745</v>
      </c>
      <c r="BK32" s="87">
        <v>197.29910714285745</v>
      </c>
      <c r="BL32" s="87">
        <v>197.29910714285745</v>
      </c>
      <c r="BM32" s="87">
        <v>197.29910714285745</v>
      </c>
      <c r="BN32" s="87">
        <v>197.29910714285745</v>
      </c>
      <c r="BO32" s="87">
        <v>197.29910714285745</v>
      </c>
      <c r="BP32" s="27">
        <v>2.7</v>
      </c>
      <c r="BR32" s="87">
        <v>197.29910714285745</v>
      </c>
      <c r="BS32" s="87">
        <v>197.29910714285745</v>
      </c>
      <c r="BT32" s="87">
        <v>197.29910714285745</v>
      </c>
      <c r="BU32" s="87">
        <v>197.29910714285745</v>
      </c>
      <c r="BV32" s="87">
        <v>197.29910714285745</v>
      </c>
      <c r="BW32" s="87">
        <v>197.29910714285745</v>
      </c>
      <c r="BX32" s="87">
        <v>197.29910714285745</v>
      </c>
      <c r="BY32" s="87">
        <v>197.29910714285745</v>
      </c>
      <c r="BZ32" s="87">
        <v>197.29910714285745</v>
      </c>
      <c r="CA32" s="27">
        <v>2.7</v>
      </c>
      <c r="CC32" s="87">
        <v>69.120176150237114</v>
      </c>
      <c r="CD32" s="87">
        <v>69.120176150237114</v>
      </c>
      <c r="CE32" s="87">
        <v>69.120176150237114</v>
      </c>
      <c r="CF32" s="87">
        <v>69.120176150237114</v>
      </c>
      <c r="CG32" s="87">
        <v>69.120176150237114</v>
      </c>
      <c r="CH32" s="87">
        <v>69.120176150237114</v>
      </c>
      <c r="CI32" s="87">
        <v>69.120176150237114</v>
      </c>
      <c r="CJ32" s="87">
        <v>69.120176150237114</v>
      </c>
      <c r="CK32" s="87">
        <v>69.120176150237114</v>
      </c>
      <c r="CL32" s="27">
        <v>2.7</v>
      </c>
      <c r="CN32" s="87">
        <v>82.622954936954997</v>
      </c>
      <c r="CO32" s="87">
        <v>82.622954936954997</v>
      </c>
      <c r="CP32" s="87">
        <v>82.622954936954997</v>
      </c>
      <c r="CQ32" s="87">
        <v>82.622954936954997</v>
      </c>
      <c r="CR32" s="87">
        <v>82.622954936954997</v>
      </c>
      <c r="CS32" s="87">
        <v>82.622954936954997</v>
      </c>
      <c r="CT32" s="87">
        <v>82.622954936954997</v>
      </c>
      <c r="CU32" s="87">
        <v>82.622954936954997</v>
      </c>
      <c r="CV32" s="87">
        <v>82.622954936954997</v>
      </c>
      <c r="CW32" s="27">
        <v>2.7</v>
      </c>
      <c r="CY32" s="87">
        <v>115.8086191007346</v>
      </c>
      <c r="CZ32" s="87">
        <v>115.8086191007346</v>
      </c>
      <c r="DA32" s="87">
        <v>115.8086191007346</v>
      </c>
      <c r="DB32" s="87">
        <v>115.8086191007346</v>
      </c>
      <c r="DC32" s="87">
        <v>115.8086191007346</v>
      </c>
      <c r="DD32" s="87">
        <v>115.8086191007346</v>
      </c>
      <c r="DE32" s="87">
        <v>115.8086191007346</v>
      </c>
      <c r="DF32" s="87">
        <v>115.8086191007346</v>
      </c>
      <c r="DG32" s="87">
        <v>115.8086191007346</v>
      </c>
      <c r="DH32" s="27">
        <v>2.7</v>
      </c>
      <c r="DJ32" s="87">
        <v>115.8086191007346</v>
      </c>
      <c r="DK32" s="87">
        <v>115.8086191007346</v>
      </c>
      <c r="DL32" s="87">
        <v>115.8086191007346</v>
      </c>
      <c r="DM32" s="87">
        <v>115.8086191007346</v>
      </c>
      <c r="DN32" s="87">
        <v>115.8086191007346</v>
      </c>
      <c r="DO32" s="87">
        <v>115.8086191007346</v>
      </c>
      <c r="DP32" s="87">
        <v>115.8086191007346</v>
      </c>
      <c r="DQ32" s="87">
        <v>115.8086191007346</v>
      </c>
      <c r="DR32" s="87">
        <v>115.8086191007346</v>
      </c>
      <c r="DS32" s="27">
        <v>2.7</v>
      </c>
      <c r="DW32" s="27">
        <v>51.578275471628892</v>
      </c>
      <c r="DX32" s="27">
        <v>51.578275471628892</v>
      </c>
      <c r="DY32" s="27">
        <v>51.578275471628892</v>
      </c>
      <c r="DZ32" s="27">
        <v>51.578275471628892</v>
      </c>
      <c r="EA32" s="27">
        <v>51.578275471628892</v>
      </c>
      <c r="EB32" s="27">
        <v>51.578275471628892</v>
      </c>
      <c r="EC32" s="27">
        <v>51.578275471628892</v>
      </c>
      <c r="ED32" s="27">
        <v>51.578275471628892</v>
      </c>
      <c r="EE32" s="27">
        <v>51.578275471628892</v>
      </c>
      <c r="EF32" s="27">
        <v>4.7</v>
      </c>
      <c r="EH32" s="27">
        <v>88.698861623355285</v>
      </c>
      <c r="EI32" s="27">
        <v>88.698861623355285</v>
      </c>
      <c r="EJ32" s="27">
        <v>88.698861623355285</v>
      </c>
      <c r="EK32" s="27">
        <v>88.698861623355285</v>
      </c>
      <c r="EL32" s="27">
        <v>88.698861623355285</v>
      </c>
      <c r="EM32" s="27">
        <v>88.698861623355285</v>
      </c>
      <c r="EN32" s="27">
        <v>88.698861623355285</v>
      </c>
      <c r="EO32" s="27">
        <v>88.698861623355285</v>
      </c>
      <c r="EP32" s="27">
        <v>88.698861623355285</v>
      </c>
      <c r="EQ32" s="27">
        <v>4.7</v>
      </c>
      <c r="ES32" s="27">
        <v>103.20702721563056</v>
      </c>
      <c r="ET32" s="27">
        <v>103.20702721563056</v>
      </c>
      <c r="EU32" s="27">
        <v>103.20702721563056</v>
      </c>
      <c r="EV32" s="27">
        <v>103.20702721563056</v>
      </c>
      <c r="EW32" s="27">
        <v>103.20702721563056</v>
      </c>
      <c r="EX32" s="27">
        <v>103.20702721563056</v>
      </c>
      <c r="EY32" s="27">
        <v>103.20702721563056</v>
      </c>
      <c r="EZ32" s="27">
        <v>103.20702721563056</v>
      </c>
      <c r="FA32" s="27">
        <v>103.20702721563056</v>
      </c>
      <c r="FB32" s="27">
        <v>4.7</v>
      </c>
      <c r="FD32" s="27">
        <v>107.31110091368508</v>
      </c>
      <c r="FE32" s="27">
        <v>107.31110091368508</v>
      </c>
      <c r="FF32" s="27">
        <v>107.31110091368508</v>
      </c>
      <c r="FG32" s="27">
        <v>107.31110091368508</v>
      </c>
      <c r="FH32" s="27">
        <v>107.31110091368508</v>
      </c>
      <c r="FI32" s="27">
        <v>107.31110091368508</v>
      </c>
      <c r="FJ32" s="27">
        <v>107.31110091368508</v>
      </c>
      <c r="FK32" s="27">
        <v>107.31110091368508</v>
      </c>
      <c r="FL32" s="27">
        <v>107.31110091368508</v>
      </c>
      <c r="FM32" s="27">
        <v>4.7</v>
      </c>
      <c r="FO32" s="27">
        <v>168.75174370092512</v>
      </c>
      <c r="FP32" s="27">
        <v>168.75174370092512</v>
      </c>
      <c r="FQ32" s="27">
        <v>168.75174370092512</v>
      </c>
      <c r="FR32" s="27">
        <v>168.75174370092512</v>
      </c>
      <c r="FS32" s="27">
        <v>168.75174370092512</v>
      </c>
      <c r="FT32" s="27">
        <v>168.75174370092512</v>
      </c>
      <c r="FU32" s="27">
        <v>168.75174370092512</v>
      </c>
      <c r="FV32" s="27">
        <v>168.75174370092512</v>
      </c>
      <c r="FW32" s="27">
        <v>168.75174370092512</v>
      </c>
      <c r="FX32" s="27">
        <v>4.7</v>
      </c>
      <c r="FZ32" s="27">
        <v>168.75174370092512</v>
      </c>
      <c r="GA32" s="27">
        <v>168.75174370092512</v>
      </c>
      <c r="GB32" s="27">
        <v>168.75174370092512</v>
      </c>
      <c r="GC32" s="27">
        <v>168.75174370092512</v>
      </c>
      <c r="GD32" s="27">
        <v>168.75174370092512</v>
      </c>
      <c r="GE32" s="27">
        <v>168.75174370092512</v>
      </c>
      <c r="GF32" s="27">
        <v>168.75174370092512</v>
      </c>
      <c r="GG32" s="27">
        <v>168.75174370092512</v>
      </c>
      <c r="GH32" s="27">
        <v>168.75174370092512</v>
      </c>
      <c r="GI32" s="27">
        <v>4.7</v>
      </c>
      <c r="GJ32" s="27"/>
      <c r="GK32" s="27">
        <v>40.343178375097835</v>
      </c>
      <c r="GL32" s="27">
        <v>40.343178375097835</v>
      </c>
      <c r="GM32" s="27">
        <v>40.343178375097835</v>
      </c>
      <c r="GN32" s="27">
        <v>40.343178375097835</v>
      </c>
      <c r="GO32" s="27">
        <v>40.343178375097835</v>
      </c>
      <c r="GP32" s="27">
        <v>40.343178375097835</v>
      </c>
      <c r="GQ32" s="27">
        <v>40.343178375097835</v>
      </c>
      <c r="GR32" s="27">
        <v>40.343178375097835</v>
      </c>
      <c r="GS32" s="27">
        <v>40.343178375097835</v>
      </c>
      <c r="GT32" s="27">
        <v>4.7</v>
      </c>
      <c r="GV32" s="27">
        <v>47.914600797039419</v>
      </c>
      <c r="GW32" s="27">
        <v>47.914600797039419</v>
      </c>
      <c r="GX32" s="27">
        <v>47.914600797039419</v>
      </c>
      <c r="GY32" s="27">
        <v>47.914600797039419</v>
      </c>
      <c r="GZ32" s="27">
        <v>47.914600797039419</v>
      </c>
      <c r="HA32" s="27">
        <v>47.914600797039419</v>
      </c>
      <c r="HB32" s="27">
        <v>47.914600797039419</v>
      </c>
      <c r="HC32" s="27">
        <v>47.914600797039419</v>
      </c>
      <c r="HD32" s="27">
        <v>47.914600797039419</v>
      </c>
      <c r="HE32" s="27">
        <v>4.7</v>
      </c>
      <c r="HG32" s="27">
        <v>66.015959008356774</v>
      </c>
      <c r="HH32" s="27">
        <v>66.015959008356774</v>
      </c>
      <c r="HI32" s="27">
        <v>66.015959008356774</v>
      </c>
      <c r="HJ32" s="27">
        <v>66.015959008356774</v>
      </c>
      <c r="HK32" s="27">
        <v>66.015959008356774</v>
      </c>
      <c r="HL32" s="27">
        <v>66.015959008356774</v>
      </c>
      <c r="HM32" s="27">
        <v>66.015959008356774</v>
      </c>
      <c r="HN32" s="27">
        <v>66.015959008356774</v>
      </c>
      <c r="HO32" s="27">
        <v>66.015959008356774</v>
      </c>
      <c r="HP32" s="27">
        <v>4.7</v>
      </c>
      <c r="HR32" s="27">
        <v>66.015959008356774</v>
      </c>
      <c r="HS32" s="27">
        <v>66.015959008356774</v>
      </c>
      <c r="HT32" s="27">
        <v>66.015959008356774</v>
      </c>
      <c r="HU32" s="27">
        <v>66.015959008356774</v>
      </c>
      <c r="HV32" s="27">
        <v>66.015959008356774</v>
      </c>
      <c r="HW32" s="27">
        <v>66.015959008356774</v>
      </c>
      <c r="HX32" s="27">
        <v>66.015959008356774</v>
      </c>
      <c r="HY32" s="27">
        <v>66.015959008356774</v>
      </c>
      <c r="HZ32" s="27">
        <v>66.015959008356774</v>
      </c>
      <c r="IA32" s="27">
        <v>4.7</v>
      </c>
    </row>
    <row r="33" spans="15:235" ht="3" customHeight="1">
      <c r="O33" s="87">
        <v>114.08327445565413</v>
      </c>
      <c r="P33" s="87">
        <v>114.08327445565413</v>
      </c>
      <c r="Q33" s="87">
        <v>114.08327445565413</v>
      </c>
      <c r="R33" s="87">
        <v>114.08327445565413</v>
      </c>
      <c r="S33" s="87">
        <v>114.08327445565413</v>
      </c>
      <c r="T33" s="87">
        <v>114.08327445565413</v>
      </c>
      <c r="U33" s="87">
        <v>114.08327445565413</v>
      </c>
      <c r="V33" s="87">
        <v>114.08327445565413</v>
      </c>
      <c r="W33" s="87">
        <v>114.08327445565413</v>
      </c>
      <c r="X33" s="27">
        <v>2.8</v>
      </c>
      <c r="Y33" s="27"/>
      <c r="Z33" s="87">
        <v>178.35662420330019</v>
      </c>
      <c r="AA33" s="87">
        <v>178.35662420330019</v>
      </c>
      <c r="AB33" s="87">
        <v>178.35662420330019</v>
      </c>
      <c r="AC33" s="87">
        <v>178.35662420330019</v>
      </c>
      <c r="AD33" s="87">
        <v>178.35662420330019</v>
      </c>
      <c r="AE33" s="87">
        <v>178.35662420330019</v>
      </c>
      <c r="AF33" s="87">
        <v>178.35662420330019</v>
      </c>
      <c r="AG33" s="87">
        <v>178.35662420330019</v>
      </c>
      <c r="AH33" s="87">
        <v>178.35662420330019</v>
      </c>
      <c r="AI33" s="27">
        <v>2.8</v>
      </c>
      <c r="AK33" s="87">
        <v>172.14961132721936</v>
      </c>
      <c r="AL33" s="87">
        <v>172.14961132721936</v>
      </c>
      <c r="AM33" s="87">
        <v>172.14961132721936</v>
      </c>
      <c r="AN33" s="87">
        <v>172.14961132721936</v>
      </c>
      <c r="AO33" s="87">
        <v>172.14961132721936</v>
      </c>
      <c r="AP33" s="87">
        <v>172.14961132721936</v>
      </c>
      <c r="AQ33" s="87">
        <v>172.14961132721936</v>
      </c>
      <c r="AR33" s="87">
        <v>172.14961132721936</v>
      </c>
      <c r="AS33" s="87">
        <v>172.14961132721936</v>
      </c>
      <c r="AT33" s="27">
        <v>2.8</v>
      </c>
      <c r="AV33" s="87">
        <v>180.73668201635579</v>
      </c>
      <c r="AW33" s="87">
        <v>180.73668201635579</v>
      </c>
      <c r="AX33" s="87">
        <v>180.73668201635579</v>
      </c>
      <c r="AY33" s="87">
        <v>180.73668201635579</v>
      </c>
      <c r="AZ33" s="87">
        <v>180.73668201635579</v>
      </c>
      <c r="BA33" s="87">
        <v>180.73668201635579</v>
      </c>
      <c r="BB33" s="87">
        <v>180.73668201635579</v>
      </c>
      <c r="BC33" s="87">
        <v>180.73668201635579</v>
      </c>
      <c r="BD33" s="87">
        <v>180.73668201635579</v>
      </c>
      <c r="BE33" s="27">
        <v>2.8</v>
      </c>
      <c r="BG33" s="87">
        <v>194.92261904761935</v>
      </c>
      <c r="BH33" s="87">
        <v>194.92261904761935</v>
      </c>
      <c r="BI33" s="87">
        <v>194.92261904761935</v>
      </c>
      <c r="BJ33" s="87">
        <v>194.92261904761935</v>
      </c>
      <c r="BK33" s="87">
        <v>194.92261904761935</v>
      </c>
      <c r="BL33" s="87">
        <v>194.92261904761935</v>
      </c>
      <c r="BM33" s="87">
        <v>194.92261904761935</v>
      </c>
      <c r="BN33" s="87">
        <v>194.92261904761935</v>
      </c>
      <c r="BO33" s="87">
        <v>194.92261904761935</v>
      </c>
      <c r="BP33" s="27">
        <v>2.8</v>
      </c>
      <c r="BR33" s="87">
        <v>194.92261904761935</v>
      </c>
      <c r="BS33" s="87">
        <v>194.92261904761935</v>
      </c>
      <c r="BT33" s="87">
        <v>194.92261904761935</v>
      </c>
      <c r="BU33" s="87">
        <v>194.92261904761935</v>
      </c>
      <c r="BV33" s="87">
        <v>194.92261904761935</v>
      </c>
      <c r="BW33" s="87">
        <v>194.92261904761935</v>
      </c>
      <c r="BX33" s="87">
        <v>194.92261904761935</v>
      </c>
      <c r="BY33" s="87">
        <v>194.92261904761935</v>
      </c>
      <c r="BZ33" s="87">
        <v>194.92261904761935</v>
      </c>
      <c r="CA33" s="27">
        <v>2.8</v>
      </c>
      <c r="CC33" s="87">
        <v>66.675842454960275</v>
      </c>
      <c r="CD33" s="87">
        <v>66.675842454960275</v>
      </c>
      <c r="CE33" s="87">
        <v>66.675842454960275</v>
      </c>
      <c r="CF33" s="87">
        <v>66.675842454960275</v>
      </c>
      <c r="CG33" s="87">
        <v>66.675842454960275</v>
      </c>
      <c r="CH33" s="87">
        <v>66.675842454960275</v>
      </c>
      <c r="CI33" s="87">
        <v>66.675842454960275</v>
      </c>
      <c r="CJ33" s="87">
        <v>66.675842454960275</v>
      </c>
      <c r="CK33" s="87">
        <v>66.675842454960275</v>
      </c>
      <c r="CL33" s="27">
        <v>2.8</v>
      </c>
      <c r="CN33" s="87">
        <v>79.709811365536552</v>
      </c>
      <c r="CO33" s="87">
        <v>79.709811365536552</v>
      </c>
      <c r="CP33" s="87">
        <v>79.709811365536552</v>
      </c>
      <c r="CQ33" s="87">
        <v>79.709811365536552</v>
      </c>
      <c r="CR33" s="87">
        <v>79.709811365536552</v>
      </c>
      <c r="CS33" s="87">
        <v>79.709811365536552</v>
      </c>
      <c r="CT33" s="87">
        <v>79.709811365536552</v>
      </c>
      <c r="CU33" s="87">
        <v>79.709811365536552</v>
      </c>
      <c r="CV33" s="87">
        <v>79.709811365536552</v>
      </c>
      <c r="CW33" s="27">
        <v>2.8</v>
      </c>
      <c r="CY33" s="87">
        <v>111.65229248976229</v>
      </c>
      <c r="CZ33" s="87">
        <v>111.65229248976229</v>
      </c>
      <c r="DA33" s="87">
        <v>111.65229248976229</v>
      </c>
      <c r="DB33" s="87">
        <v>111.65229248976229</v>
      </c>
      <c r="DC33" s="87">
        <v>111.65229248976229</v>
      </c>
      <c r="DD33" s="87">
        <v>111.65229248976229</v>
      </c>
      <c r="DE33" s="87">
        <v>111.65229248976229</v>
      </c>
      <c r="DF33" s="87">
        <v>111.65229248976229</v>
      </c>
      <c r="DG33" s="87">
        <v>111.65229248976229</v>
      </c>
      <c r="DH33" s="27">
        <v>2.8</v>
      </c>
      <c r="DJ33" s="87">
        <v>111.65229248976229</v>
      </c>
      <c r="DK33" s="87">
        <v>111.65229248976229</v>
      </c>
      <c r="DL33" s="87">
        <v>111.65229248976229</v>
      </c>
      <c r="DM33" s="87">
        <v>111.65229248976229</v>
      </c>
      <c r="DN33" s="87">
        <v>111.65229248976229</v>
      </c>
      <c r="DO33" s="87">
        <v>111.65229248976229</v>
      </c>
      <c r="DP33" s="87">
        <v>111.65229248976229</v>
      </c>
      <c r="DQ33" s="87">
        <v>111.65229248976229</v>
      </c>
      <c r="DR33" s="87">
        <v>111.65229248976229</v>
      </c>
      <c r="DS33" s="27">
        <v>2.8</v>
      </c>
      <c r="DW33" s="27">
        <v>50.496709067790611</v>
      </c>
      <c r="DX33" s="27">
        <v>50.496709067790611</v>
      </c>
      <c r="DY33" s="27">
        <v>50.496709067790611</v>
      </c>
      <c r="DZ33" s="27">
        <v>50.496709067790611</v>
      </c>
      <c r="EA33" s="27">
        <v>50.496709067790611</v>
      </c>
      <c r="EB33" s="27">
        <v>50.496709067790611</v>
      </c>
      <c r="EC33" s="27">
        <v>50.496709067790611</v>
      </c>
      <c r="ED33" s="27">
        <v>50.496709067790611</v>
      </c>
      <c r="EE33" s="27">
        <v>50.496709067790611</v>
      </c>
      <c r="EF33" s="27">
        <v>4.8</v>
      </c>
      <c r="EH33" s="27">
        <v>86.772734076489513</v>
      </c>
      <c r="EI33" s="27">
        <v>86.772734076489513</v>
      </c>
      <c r="EJ33" s="27">
        <v>86.772734076489513</v>
      </c>
      <c r="EK33" s="27">
        <v>86.772734076489513</v>
      </c>
      <c r="EL33" s="27">
        <v>86.772734076489513</v>
      </c>
      <c r="EM33" s="27">
        <v>86.772734076489513</v>
      </c>
      <c r="EN33" s="27">
        <v>86.772734076489513</v>
      </c>
      <c r="EO33" s="27">
        <v>86.772734076489513</v>
      </c>
      <c r="EP33" s="27">
        <v>86.772734076489513</v>
      </c>
      <c r="EQ33" s="27">
        <v>4.8</v>
      </c>
      <c r="ES33" s="27">
        <v>101.08152410116197</v>
      </c>
      <c r="ET33" s="27">
        <v>101.08152410116197</v>
      </c>
      <c r="EU33" s="27">
        <v>101.08152410116197</v>
      </c>
      <c r="EV33" s="27">
        <v>101.08152410116197</v>
      </c>
      <c r="EW33" s="27">
        <v>101.08152410116197</v>
      </c>
      <c r="EX33" s="27">
        <v>101.08152410116197</v>
      </c>
      <c r="EY33" s="27">
        <v>101.08152410116197</v>
      </c>
      <c r="EZ33" s="27">
        <v>101.08152410116197</v>
      </c>
      <c r="FA33" s="27">
        <v>101.08152410116197</v>
      </c>
      <c r="FB33" s="27">
        <v>4.8</v>
      </c>
      <c r="FD33" s="27">
        <v>105.0892944320681</v>
      </c>
      <c r="FE33" s="27">
        <v>105.0892944320681</v>
      </c>
      <c r="FF33" s="27">
        <v>105.0892944320681</v>
      </c>
      <c r="FG33" s="27">
        <v>105.0892944320681</v>
      </c>
      <c r="FH33" s="27">
        <v>105.0892944320681</v>
      </c>
      <c r="FI33" s="27">
        <v>105.0892944320681</v>
      </c>
      <c r="FJ33" s="27">
        <v>105.0892944320681</v>
      </c>
      <c r="FK33" s="27">
        <v>105.0892944320681</v>
      </c>
      <c r="FL33" s="27">
        <v>105.0892944320681</v>
      </c>
      <c r="FM33" s="27">
        <v>4.8</v>
      </c>
      <c r="FO33" s="27">
        <v>165.21558524958277</v>
      </c>
      <c r="FP33" s="27">
        <v>165.21558524958277</v>
      </c>
      <c r="FQ33" s="27">
        <v>165.21558524958277</v>
      </c>
      <c r="FR33" s="27">
        <v>165.21558524958277</v>
      </c>
      <c r="FS33" s="27">
        <v>165.21558524958277</v>
      </c>
      <c r="FT33" s="27">
        <v>165.21558524958277</v>
      </c>
      <c r="FU33" s="27">
        <v>165.21558524958277</v>
      </c>
      <c r="FV33" s="27">
        <v>165.21558524958277</v>
      </c>
      <c r="FW33" s="27">
        <v>165.21558524958277</v>
      </c>
      <c r="FX33" s="27">
        <v>4.8</v>
      </c>
      <c r="FZ33" s="27">
        <v>165.21558524958277</v>
      </c>
      <c r="GA33" s="27">
        <v>165.21558524958277</v>
      </c>
      <c r="GB33" s="27">
        <v>165.21558524958277</v>
      </c>
      <c r="GC33" s="27">
        <v>165.21558524958277</v>
      </c>
      <c r="GD33" s="27">
        <v>165.21558524958277</v>
      </c>
      <c r="GE33" s="27">
        <v>165.21558524958277</v>
      </c>
      <c r="GF33" s="27">
        <v>165.21558524958277</v>
      </c>
      <c r="GG33" s="27">
        <v>165.21558524958277</v>
      </c>
      <c r="GH33" s="27">
        <v>165.21558524958277</v>
      </c>
      <c r="GI33" s="27">
        <v>4.8</v>
      </c>
      <c r="GJ33" s="27"/>
      <c r="GK33" s="27">
        <v>39.496213248551832</v>
      </c>
      <c r="GL33" s="27">
        <v>39.496213248551832</v>
      </c>
      <c r="GM33" s="27">
        <v>39.496213248551832</v>
      </c>
      <c r="GN33" s="27">
        <v>39.496213248551832</v>
      </c>
      <c r="GO33" s="27">
        <v>39.496213248551832</v>
      </c>
      <c r="GP33" s="27">
        <v>39.496213248551832</v>
      </c>
      <c r="GQ33" s="27">
        <v>39.496213248551832</v>
      </c>
      <c r="GR33" s="27">
        <v>39.496213248551832</v>
      </c>
      <c r="GS33" s="27">
        <v>39.496213248551832</v>
      </c>
      <c r="GT33" s="27">
        <v>4.8</v>
      </c>
      <c r="GV33" s="27">
        <v>46.919647524367164</v>
      </c>
      <c r="GW33" s="27">
        <v>46.919647524367164</v>
      </c>
      <c r="GX33" s="27">
        <v>46.919647524367164</v>
      </c>
      <c r="GY33" s="27">
        <v>46.919647524367164</v>
      </c>
      <c r="GZ33" s="27">
        <v>46.919647524367164</v>
      </c>
      <c r="HA33" s="27">
        <v>46.919647524367164</v>
      </c>
      <c r="HB33" s="27">
        <v>46.919647524367164</v>
      </c>
      <c r="HC33" s="27">
        <v>46.919647524367164</v>
      </c>
      <c r="HD33" s="27">
        <v>46.919647524367164</v>
      </c>
      <c r="HE33" s="27">
        <v>4.8</v>
      </c>
      <c r="HG33" s="27">
        <v>64.642543871099491</v>
      </c>
      <c r="HH33" s="27">
        <v>64.642543871099491</v>
      </c>
      <c r="HI33" s="27">
        <v>64.642543871099491</v>
      </c>
      <c r="HJ33" s="27">
        <v>64.642543871099491</v>
      </c>
      <c r="HK33" s="27">
        <v>64.642543871099491</v>
      </c>
      <c r="HL33" s="27">
        <v>64.642543871099491</v>
      </c>
      <c r="HM33" s="27">
        <v>64.642543871099491</v>
      </c>
      <c r="HN33" s="27">
        <v>64.642543871099491</v>
      </c>
      <c r="HO33" s="27">
        <v>64.642543871099491</v>
      </c>
      <c r="HP33" s="27">
        <v>4.8</v>
      </c>
      <c r="HR33" s="27">
        <v>64.642543871099491</v>
      </c>
      <c r="HS33" s="27">
        <v>64.642543871099491</v>
      </c>
      <c r="HT33" s="27">
        <v>64.642543871099491</v>
      </c>
      <c r="HU33" s="27">
        <v>64.642543871099491</v>
      </c>
      <c r="HV33" s="27">
        <v>64.642543871099491</v>
      </c>
      <c r="HW33" s="27">
        <v>64.642543871099491</v>
      </c>
      <c r="HX33" s="27">
        <v>64.642543871099491</v>
      </c>
      <c r="HY33" s="27">
        <v>64.642543871099491</v>
      </c>
      <c r="HZ33" s="27">
        <v>64.642543871099491</v>
      </c>
      <c r="IA33" s="27">
        <v>4.8</v>
      </c>
    </row>
    <row r="34" spans="15:235" ht="3" customHeight="1">
      <c r="O34" s="87">
        <v>108.89559436018064</v>
      </c>
      <c r="P34" s="87">
        <v>108.89559436018064</v>
      </c>
      <c r="Q34" s="87">
        <v>108.89559436018064</v>
      </c>
      <c r="R34" s="87">
        <v>108.89559436018064</v>
      </c>
      <c r="S34" s="87">
        <v>108.89559436018064</v>
      </c>
      <c r="T34" s="87">
        <v>108.89559436018064</v>
      </c>
      <c r="U34" s="87">
        <v>108.89559436018064</v>
      </c>
      <c r="V34" s="87">
        <v>108.89559436018064</v>
      </c>
      <c r="W34" s="87">
        <v>108.89559436018064</v>
      </c>
      <c r="X34" s="27">
        <v>2.9</v>
      </c>
      <c r="Y34" s="27"/>
      <c r="Z34" s="87">
        <v>170.83662543994834</v>
      </c>
      <c r="AA34" s="87">
        <v>170.83662543994834</v>
      </c>
      <c r="AB34" s="87">
        <v>170.83662543994834</v>
      </c>
      <c r="AC34" s="87">
        <v>170.83662543994834</v>
      </c>
      <c r="AD34" s="87">
        <v>170.83662543994834</v>
      </c>
      <c r="AE34" s="87">
        <v>170.83662543994834</v>
      </c>
      <c r="AF34" s="87">
        <v>170.83662543994834</v>
      </c>
      <c r="AG34" s="87">
        <v>170.83662543994834</v>
      </c>
      <c r="AH34" s="87">
        <v>170.83662543994834</v>
      </c>
      <c r="AI34" s="27">
        <v>2.9</v>
      </c>
      <c r="AK34" s="87">
        <v>166.28342435029461</v>
      </c>
      <c r="AL34" s="87">
        <v>166.28342435029461</v>
      </c>
      <c r="AM34" s="87">
        <v>166.28342435029461</v>
      </c>
      <c r="AN34" s="87">
        <v>166.28342435029461</v>
      </c>
      <c r="AO34" s="87">
        <v>166.28342435029461</v>
      </c>
      <c r="AP34" s="87">
        <v>166.28342435029461</v>
      </c>
      <c r="AQ34" s="87">
        <v>166.28342435029461</v>
      </c>
      <c r="AR34" s="87">
        <v>166.28342435029461</v>
      </c>
      <c r="AS34" s="87">
        <v>166.28342435029461</v>
      </c>
      <c r="AT34" s="27">
        <v>2.9</v>
      </c>
      <c r="AV34" s="87">
        <v>174.50655925752906</v>
      </c>
      <c r="AW34" s="87">
        <v>174.50655925752906</v>
      </c>
      <c r="AX34" s="87">
        <v>174.50655925752906</v>
      </c>
      <c r="AY34" s="87">
        <v>174.50655925752906</v>
      </c>
      <c r="AZ34" s="87">
        <v>174.50655925752906</v>
      </c>
      <c r="BA34" s="87">
        <v>174.50655925752906</v>
      </c>
      <c r="BB34" s="87">
        <v>174.50655925752906</v>
      </c>
      <c r="BC34" s="87">
        <v>174.50655925752906</v>
      </c>
      <c r="BD34" s="87">
        <v>174.50655925752906</v>
      </c>
      <c r="BE34" s="27">
        <v>2.9</v>
      </c>
      <c r="BG34" s="87">
        <v>192.56696428571459</v>
      </c>
      <c r="BH34" s="87">
        <v>192.56696428571459</v>
      </c>
      <c r="BI34" s="87">
        <v>192.56696428571459</v>
      </c>
      <c r="BJ34" s="87">
        <v>192.56696428571459</v>
      </c>
      <c r="BK34" s="87">
        <v>192.56696428571459</v>
      </c>
      <c r="BL34" s="87">
        <v>192.56696428571459</v>
      </c>
      <c r="BM34" s="87">
        <v>192.56696428571459</v>
      </c>
      <c r="BN34" s="87">
        <v>192.56696428571459</v>
      </c>
      <c r="BO34" s="87">
        <v>192.56696428571459</v>
      </c>
      <c r="BP34" s="27">
        <v>2.9</v>
      </c>
      <c r="BR34" s="87">
        <v>192.56696428571459</v>
      </c>
      <c r="BS34" s="87">
        <v>192.56696428571459</v>
      </c>
      <c r="BT34" s="87">
        <v>192.56696428571459</v>
      </c>
      <c r="BU34" s="87">
        <v>192.56696428571459</v>
      </c>
      <c r="BV34" s="87">
        <v>192.56696428571459</v>
      </c>
      <c r="BW34" s="87">
        <v>192.56696428571459</v>
      </c>
      <c r="BX34" s="87">
        <v>192.56696428571459</v>
      </c>
      <c r="BY34" s="87">
        <v>192.56696428571459</v>
      </c>
      <c r="BZ34" s="87">
        <v>192.56696428571459</v>
      </c>
      <c r="CA34" s="27">
        <v>2.9</v>
      </c>
      <c r="CC34" s="87">
        <v>64.399270062967034</v>
      </c>
      <c r="CD34" s="87">
        <v>64.399270062967034</v>
      </c>
      <c r="CE34" s="87">
        <v>64.399270062967034</v>
      </c>
      <c r="CF34" s="87">
        <v>64.399270062967034</v>
      </c>
      <c r="CG34" s="87">
        <v>64.399270062967034</v>
      </c>
      <c r="CH34" s="87">
        <v>64.399270062967034</v>
      </c>
      <c r="CI34" s="87">
        <v>64.399270062967034</v>
      </c>
      <c r="CJ34" s="87">
        <v>64.399270062967034</v>
      </c>
      <c r="CK34" s="87">
        <v>64.399270062967034</v>
      </c>
      <c r="CL34" s="27">
        <v>2.9</v>
      </c>
      <c r="CN34" s="87">
        <v>76.996313899590334</v>
      </c>
      <c r="CO34" s="87">
        <v>76.996313899590334</v>
      </c>
      <c r="CP34" s="87">
        <v>76.996313899590334</v>
      </c>
      <c r="CQ34" s="87">
        <v>76.996313899590334</v>
      </c>
      <c r="CR34" s="87">
        <v>76.996313899590334</v>
      </c>
      <c r="CS34" s="87">
        <v>76.996313899590334</v>
      </c>
      <c r="CT34" s="87">
        <v>76.996313899590334</v>
      </c>
      <c r="CU34" s="87">
        <v>76.996313899590334</v>
      </c>
      <c r="CV34" s="87">
        <v>76.996313899590334</v>
      </c>
      <c r="CW34" s="27">
        <v>2.9</v>
      </c>
      <c r="CY34" s="87">
        <v>107.78330048790005</v>
      </c>
      <c r="CZ34" s="87">
        <v>107.78330048790005</v>
      </c>
      <c r="DA34" s="87">
        <v>107.78330048790005</v>
      </c>
      <c r="DB34" s="87">
        <v>107.78330048790005</v>
      </c>
      <c r="DC34" s="87">
        <v>107.78330048790005</v>
      </c>
      <c r="DD34" s="87">
        <v>107.78330048790005</v>
      </c>
      <c r="DE34" s="87">
        <v>107.78330048790005</v>
      </c>
      <c r="DF34" s="87">
        <v>107.78330048790005</v>
      </c>
      <c r="DG34" s="87">
        <v>107.78330048790005</v>
      </c>
      <c r="DH34" s="27">
        <v>2.9</v>
      </c>
      <c r="DJ34" s="87">
        <v>107.78330048790005</v>
      </c>
      <c r="DK34" s="87">
        <v>107.78330048790005</v>
      </c>
      <c r="DL34" s="87">
        <v>107.78330048790005</v>
      </c>
      <c r="DM34" s="87">
        <v>107.78330048790005</v>
      </c>
      <c r="DN34" s="87">
        <v>107.78330048790005</v>
      </c>
      <c r="DO34" s="87">
        <v>107.78330048790005</v>
      </c>
      <c r="DP34" s="87">
        <v>107.78330048790005</v>
      </c>
      <c r="DQ34" s="87">
        <v>107.78330048790005</v>
      </c>
      <c r="DR34" s="87">
        <v>107.78330048790005</v>
      </c>
      <c r="DS34" s="27">
        <v>2.9</v>
      </c>
      <c r="DW34" s="27">
        <v>49.459430935955538</v>
      </c>
      <c r="DX34" s="27">
        <v>49.459430935955538</v>
      </c>
      <c r="DY34" s="27">
        <v>49.459430935955538</v>
      </c>
      <c r="DZ34" s="27">
        <v>49.459430935955538</v>
      </c>
      <c r="EA34" s="27">
        <v>49.459430935955538</v>
      </c>
      <c r="EB34" s="27">
        <v>49.459430935955538</v>
      </c>
      <c r="EC34" s="27">
        <v>49.459430935955538</v>
      </c>
      <c r="ED34" s="27">
        <v>49.459430935955538</v>
      </c>
      <c r="EE34" s="27">
        <v>49.459430935955538</v>
      </c>
      <c r="EF34" s="27">
        <v>4.9000000000000004</v>
      </c>
      <c r="EH34" s="27">
        <v>84.92687117269513</v>
      </c>
      <c r="EI34" s="27">
        <v>84.92687117269513</v>
      </c>
      <c r="EJ34" s="27">
        <v>84.92687117269513</v>
      </c>
      <c r="EK34" s="27">
        <v>84.92687117269513</v>
      </c>
      <c r="EL34" s="27">
        <v>84.92687117269513</v>
      </c>
      <c r="EM34" s="27">
        <v>84.92687117269513</v>
      </c>
      <c r="EN34" s="27">
        <v>84.92687117269513</v>
      </c>
      <c r="EO34" s="27">
        <v>84.92687117269513</v>
      </c>
      <c r="EP34" s="27">
        <v>84.92687117269513</v>
      </c>
      <c r="EQ34" s="27">
        <v>4.9000000000000004</v>
      </c>
      <c r="ES34" s="27">
        <v>99.042284146724668</v>
      </c>
      <c r="ET34" s="27">
        <v>99.042284146724668</v>
      </c>
      <c r="EU34" s="27">
        <v>99.042284146724668</v>
      </c>
      <c r="EV34" s="27">
        <v>99.042284146724668</v>
      </c>
      <c r="EW34" s="27">
        <v>99.042284146724668</v>
      </c>
      <c r="EX34" s="27">
        <v>99.042284146724668</v>
      </c>
      <c r="EY34" s="27">
        <v>99.042284146724668</v>
      </c>
      <c r="EZ34" s="27">
        <v>99.042284146724668</v>
      </c>
      <c r="FA34" s="27">
        <v>99.042284146724668</v>
      </c>
      <c r="FB34" s="27">
        <v>4.9000000000000004</v>
      </c>
      <c r="FD34" s="27">
        <v>102.95789607401024</v>
      </c>
      <c r="FE34" s="27">
        <v>102.95789607401024</v>
      </c>
      <c r="FF34" s="27">
        <v>102.95789607401024</v>
      </c>
      <c r="FG34" s="27">
        <v>102.95789607401024</v>
      </c>
      <c r="FH34" s="27">
        <v>102.95789607401024</v>
      </c>
      <c r="FI34" s="27">
        <v>102.95789607401024</v>
      </c>
      <c r="FJ34" s="27">
        <v>102.95789607401024</v>
      </c>
      <c r="FK34" s="27">
        <v>102.95789607401024</v>
      </c>
      <c r="FL34" s="27">
        <v>102.95789607401024</v>
      </c>
      <c r="FM34" s="27">
        <v>4.9000000000000004</v>
      </c>
      <c r="FO34" s="27">
        <v>161.82417623631721</v>
      </c>
      <c r="FP34" s="27">
        <v>161.82417623631721</v>
      </c>
      <c r="FQ34" s="27">
        <v>161.82417623631721</v>
      </c>
      <c r="FR34" s="27">
        <v>161.82417623631721</v>
      </c>
      <c r="FS34" s="27">
        <v>161.82417623631721</v>
      </c>
      <c r="FT34" s="27">
        <v>161.82417623631721</v>
      </c>
      <c r="FU34" s="27">
        <v>161.82417623631721</v>
      </c>
      <c r="FV34" s="27">
        <v>161.82417623631721</v>
      </c>
      <c r="FW34" s="27">
        <v>161.82417623631721</v>
      </c>
      <c r="FX34" s="27">
        <v>4.9000000000000004</v>
      </c>
      <c r="FZ34" s="27">
        <v>161.82417623631721</v>
      </c>
      <c r="GA34" s="27">
        <v>161.82417623631721</v>
      </c>
      <c r="GB34" s="27">
        <v>161.82417623631721</v>
      </c>
      <c r="GC34" s="27">
        <v>161.82417623631721</v>
      </c>
      <c r="GD34" s="27">
        <v>161.82417623631721</v>
      </c>
      <c r="GE34" s="27">
        <v>161.82417623631721</v>
      </c>
      <c r="GF34" s="27">
        <v>161.82417623631721</v>
      </c>
      <c r="GG34" s="27">
        <v>161.82417623631721</v>
      </c>
      <c r="GH34" s="27">
        <v>161.82417623631721</v>
      </c>
      <c r="GI34" s="27">
        <v>4.9000000000000004</v>
      </c>
      <c r="GJ34" s="27"/>
      <c r="GK34" s="27">
        <v>38.68395007340991</v>
      </c>
      <c r="GL34" s="27">
        <v>38.68395007340991</v>
      </c>
      <c r="GM34" s="27">
        <v>38.68395007340991</v>
      </c>
      <c r="GN34" s="27">
        <v>38.68395007340991</v>
      </c>
      <c r="GO34" s="27">
        <v>38.68395007340991</v>
      </c>
      <c r="GP34" s="27">
        <v>38.68395007340991</v>
      </c>
      <c r="GQ34" s="27">
        <v>38.68395007340991</v>
      </c>
      <c r="GR34" s="27">
        <v>38.68395007340991</v>
      </c>
      <c r="GS34" s="27">
        <v>38.68395007340991</v>
      </c>
      <c r="GT34" s="27">
        <v>4.9000000000000004</v>
      </c>
      <c r="GV34" s="27">
        <v>45.965238802939567</v>
      </c>
      <c r="GW34" s="27">
        <v>45.965238802939567</v>
      </c>
      <c r="GX34" s="27">
        <v>45.965238802939567</v>
      </c>
      <c r="GY34" s="27">
        <v>45.965238802939567</v>
      </c>
      <c r="GZ34" s="27">
        <v>45.965238802939567</v>
      </c>
      <c r="HA34" s="27">
        <v>45.965238802939567</v>
      </c>
      <c r="HB34" s="27">
        <v>45.965238802939567</v>
      </c>
      <c r="HC34" s="27">
        <v>45.965238802939567</v>
      </c>
      <c r="HD34" s="27">
        <v>45.965238802939567</v>
      </c>
      <c r="HE34" s="27">
        <v>4.9000000000000004</v>
      </c>
      <c r="HG34" s="27">
        <v>63.325147819738888</v>
      </c>
      <c r="HH34" s="27">
        <v>63.325147819738888</v>
      </c>
      <c r="HI34" s="27">
        <v>63.325147819738888</v>
      </c>
      <c r="HJ34" s="27">
        <v>63.325147819738888</v>
      </c>
      <c r="HK34" s="27">
        <v>63.325147819738888</v>
      </c>
      <c r="HL34" s="27">
        <v>63.325147819738888</v>
      </c>
      <c r="HM34" s="27">
        <v>63.325147819738888</v>
      </c>
      <c r="HN34" s="27">
        <v>63.325147819738888</v>
      </c>
      <c r="HO34" s="27">
        <v>63.325147819738888</v>
      </c>
      <c r="HP34" s="27">
        <v>4.9000000000000004</v>
      </c>
      <c r="HR34" s="27">
        <v>63.325147819738888</v>
      </c>
      <c r="HS34" s="27">
        <v>63.325147819738888</v>
      </c>
      <c r="HT34" s="27">
        <v>63.325147819738888</v>
      </c>
      <c r="HU34" s="27">
        <v>63.325147819738888</v>
      </c>
      <c r="HV34" s="27">
        <v>63.325147819738888</v>
      </c>
      <c r="HW34" s="27">
        <v>63.325147819738888</v>
      </c>
      <c r="HX34" s="27">
        <v>63.325147819738888</v>
      </c>
      <c r="HY34" s="27">
        <v>63.325147819738888</v>
      </c>
      <c r="HZ34" s="27">
        <v>63.325147819738888</v>
      </c>
      <c r="IA34" s="27">
        <v>4.9000000000000004</v>
      </c>
    </row>
    <row r="35" spans="15:235" ht="3" customHeight="1">
      <c r="O35" s="87">
        <v>104.10795512706915</v>
      </c>
      <c r="P35" s="87">
        <v>104.10795512706915</v>
      </c>
      <c r="Q35" s="87">
        <v>104.10795512706915</v>
      </c>
      <c r="R35" s="87">
        <v>104.10795512706915</v>
      </c>
      <c r="S35" s="87">
        <v>104.10795512706915</v>
      </c>
      <c r="T35" s="87">
        <v>104.10795512706915</v>
      </c>
      <c r="U35" s="87">
        <v>104.10795512706915</v>
      </c>
      <c r="V35" s="87">
        <v>104.10795512706915</v>
      </c>
      <c r="W35" s="87">
        <v>104.10795512706915</v>
      </c>
      <c r="X35" s="27">
        <v>3</v>
      </c>
      <c r="Y35" s="27"/>
      <c r="Z35" s="87">
        <v>163.87285741079714</v>
      </c>
      <c r="AA35" s="87">
        <v>163.87285741079714</v>
      </c>
      <c r="AB35" s="87">
        <v>163.87285741079714</v>
      </c>
      <c r="AC35" s="87">
        <v>163.87285741079714</v>
      </c>
      <c r="AD35" s="87">
        <v>163.87285741079714</v>
      </c>
      <c r="AE35" s="87">
        <v>163.87285741079714</v>
      </c>
      <c r="AF35" s="87">
        <v>163.87285741079714</v>
      </c>
      <c r="AG35" s="87">
        <v>163.87285741079714</v>
      </c>
      <c r="AH35" s="87">
        <v>163.87285741079714</v>
      </c>
      <c r="AI35" s="27">
        <v>3</v>
      </c>
      <c r="AK35" s="87">
        <v>160.80604912862165</v>
      </c>
      <c r="AL35" s="87">
        <v>160.80604912862165</v>
      </c>
      <c r="AM35" s="87">
        <v>160.80604912862165</v>
      </c>
      <c r="AN35" s="87">
        <v>160.80604912862165</v>
      </c>
      <c r="AO35" s="87">
        <v>160.80604912862165</v>
      </c>
      <c r="AP35" s="87">
        <v>160.80604912862165</v>
      </c>
      <c r="AQ35" s="87">
        <v>160.80604912862165</v>
      </c>
      <c r="AR35" s="87">
        <v>160.80604912862165</v>
      </c>
      <c r="AS35" s="87">
        <v>160.80604912862165</v>
      </c>
      <c r="AT35" s="27">
        <v>3</v>
      </c>
      <c r="AV35" s="87">
        <v>168.69170670267377</v>
      </c>
      <c r="AW35" s="87">
        <v>168.69170670267377</v>
      </c>
      <c r="AX35" s="87">
        <v>168.69170670267377</v>
      </c>
      <c r="AY35" s="87">
        <v>168.69170670267377</v>
      </c>
      <c r="AZ35" s="87">
        <v>168.69170670267377</v>
      </c>
      <c r="BA35" s="87">
        <v>168.69170670267377</v>
      </c>
      <c r="BB35" s="87">
        <v>168.69170670267377</v>
      </c>
      <c r="BC35" s="87">
        <v>168.69170670267377</v>
      </c>
      <c r="BD35" s="87">
        <v>168.69170670267377</v>
      </c>
      <c r="BE35" s="27">
        <v>3</v>
      </c>
      <c r="BG35" s="87">
        <v>190.23214285714315</v>
      </c>
      <c r="BH35" s="87">
        <v>190.23214285714315</v>
      </c>
      <c r="BI35" s="87">
        <v>190.23214285714315</v>
      </c>
      <c r="BJ35" s="87">
        <v>190.23214285714315</v>
      </c>
      <c r="BK35" s="87">
        <v>190.23214285714315</v>
      </c>
      <c r="BL35" s="87">
        <v>190.23214285714315</v>
      </c>
      <c r="BM35" s="87">
        <v>190.23214285714315</v>
      </c>
      <c r="BN35" s="87">
        <v>190.23214285714315</v>
      </c>
      <c r="BO35" s="87">
        <v>190.23214285714315</v>
      </c>
      <c r="BP35" s="27">
        <v>3</v>
      </c>
      <c r="BR35" s="87">
        <v>190.23214285714315</v>
      </c>
      <c r="BS35" s="87">
        <v>190.23214285714315</v>
      </c>
      <c r="BT35" s="87">
        <v>190.23214285714315</v>
      </c>
      <c r="BU35" s="87">
        <v>190.23214285714315</v>
      </c>
      <c r="BV35" s="87">
        <v>190.23214285714315</v>
      </c>
      <c r="BW35" s="87">
        <v>190.23214285714315</v>
      </c>
      <c r="BX35" s="87">
        <v>190.23214285714315</v>
      </c>
      <c r="BY35" s="87">
        <v>190.23214285714315</v>
      </c>
      <c r="BZ35" s="87">
        <v>190.23214285714315</v>
      </c>
      <c r="CA35" s="27">
        <v>3</v>
      </c>
      <c r="CC35" s="87">
        <v>62.273735912092199</v>
      </c>
      <c r="CD35" s="87">
        <v>62.273735912092199</v>
      </c>
      <c r="CE35" s="87">
        <v>62.273735912092199</v>
      </c>
      <c r="CF35" s="87">
        <v>62.273735912092199</v>
      </c>
      <c r="CG35" s="87">
        <v>62.273735912092199</v>
      </c>
      <c r="CH35" s="87">
        <v>62.273735912092199</v>
      </c>
      <c r="CI35" s="87">
        <v>62.273735912092199</v>
      </c>
      <c r="CJ35" s="87">
        <v>62.273735912092199</v>
      </c>
      <c r="CK35" s="87">
        <v>62.273735912092199</v>
      </c>
      <c r="CL35" s="27">
        <v>3</v>
      </c>
      <c r="CN35" s="87">
        <v>74.462580033470942</v>
      </c>
      <c r="CO35" s="87">
        <v>74.462580033470942</v>
      </c>
      <c r="CP35" s="87">
        <v>74.462580033470942</v>
      </c>
      <c r="CQ35" s="87">
        <v>74.462580033470942</v>
      </c>
      <c r="CR35" s="87">
        <v>74.462580033470942</v>
      </c>
      <c r="CS35" s="87">
        <v>74.462580033470942</v>
      </c>
      <c r="CT35" s="87">
        <v>74.462580033470942</v>
      </c>
      <c r="CU35" s="87">
        <v>74.462580033470942</v>
      </c>
      <c r="CV35" s="87">
        <v>74.462580033470942</v>
      </c>
      <c r="CW35" s="27">
        <v>3</v>
      </c>
      <c r="CY35" s="87">
        <v>104.17286419959791</v>
      </c>
      <c r="CZ35" s="87">
        <v>104.17286419959791</v>
      </c>
      <c r="DA35" s="87">
        <v>104.17286419959791</v>
      </c>
      <c r="DB35" s="87">
        <v>104.17286419959791</v>
      </c>
      <c r="DC35" s="87">
        <v>104.17286419959791</v>
      </c>
      <c r="DD35" s="87">
        <v>104.17286419959791</v>
      </c>
      <c r="DE35" s="87">
        <v>104.17286419959791</v>
      </c>
      <c r="DF35" s="87">
        <v>104.17286419959791</v>
      </c>
      <c r="DG35" s="87">
        <v>104.17286419959791</v>
      </c>
      <c r="DH35" s="27">
        <v>3</v>
      </c>
      <c r="DJ35" s="87">
        <v>104.17286419959791</v>
      </c>
      <c r="DK35" s="87">
        <v>104.17286419959791</v>
      </c>
      <c r="DL35" s="87">
        <v>104.17286419959791</v>
      </c>
      <c r="DM35" s="87">
        <v>104.17286419959791</v>
      </c>
      <c r="DN35" s="87">
        <v>104.17286419959791</v>
      </c>
      <c r="DO35" s="87">
        <v>104.17286419959791</v>
      </c>
      <c r="DP35" s="87">
        <v>104.17286419959791</v>
      </c>
      <c r="DQ35" s="87">
        <v>104.17286419959791</v>
      </c>
      <c r="DR35" s="87">
        <v>104.17286419959791</v>
      </c>
      <c r="DS35" s="27">
        <v>3</v>
      </c>
      <c r="DW35" s="27">
        <v>48.463778110420328</v>
      </c>
      <c r="DX35" s="27">
        <v>48.463778110420328</v>
      </c>
      <c r="DY35" s="27">
        <v>48.463778110420328</v>
      </c>
      <c r="DZ35" s="27">
        <v>48.463778110420328</v>
      </c>
      <c r="EA35" s="27">
        <v>48.463778110420328</v>
      </c>
      <c r="EB35" s="27">
        <v>48.463778110420328</v>
      </c>
      <c r="EC35" s="27">
        <v>48.463778110420328</v>
      </c>
      <c r="ED35" s="27">
        <v>48.463778110420328</v>
      </c>
      <c r="EE35" s="27">
        <v>48.463778110420328</v>
      </c>
      <c r="EF35" s="27">
        <v>5</v>
      </c>
      <c r="EH35" s="27">
        <v>83.156390437366142</v>
      </c>
      <c r="EI35" s="27">
        <v>83.156390437366142</v>
      </c>
      <c r="EJ35" s="27">
        <v>83.156390437366142</v>
      </c>
      <c r="EK35" s="27">
        <v>83.156390437366142</v>
      </c>
      <c r="EL35" s="27">
        <v>83.156390437366142</v>
      </c>
      <c r="EM35" s="27">
        <v>83.156390437366142</v>
      </c>
      <c r="EN35" s="27">
        <v>83.156390437366142</v>
      </c>
      <c r="EO35" s="27">
        <v>83.156390437366142</v>
      </c>
      <c r="EP35" s="27">
        <v>83.156390437366142</v>
      </c>
      <c r="EQ35" s="27">
        <v>5</v>
      </c>
      <c r="ES35" s="27">
        <v>97.084150938141775</v>
      </c>
      <c r="ET35" s="27">
        <v>97.084150938141775</v>
      </c>
      <c r="EU35" s="27">
        <v>97.084150938141775</v>
      </c>
      <c r="EV35" s="27">
        <v>97.084150938141775</v>
      </c>
      <c r="EW35" s="27">
        <v>97.084150938141775</v>
      </c>
      <c r="EX35" s="27">
        <v>97.084150938141775</v>
      </c>
      <c r="EY35" s="27">
        <v>97.084150938141775</v>
      </c>
      <c r="EZ35" s="27">
        <v>97.084150938141775</v>
      </c>
      <c r="FA35" s="27">
        <v>97.084150938141775</v>
      </c>
      <c r="FB35" s="27">
        <v>5</v>
      </c>
      <c r="FD35" s="27">
        <v>100.91149232146839</v>
      </c>
      <c r="FE35" s="27">
        <v>100.91149232146839</v>
      </c>
      <c r="FF35" s="27">
        <v>100.91149232146839</v>
      </c>
      <c r="FG35" s="27">
        <v>100.91149232146839</v>
      </c>
      <c r="FH35" s="27">
        <v>100.91149232146839</v>
      </c>
      <c r="FI35" s="27">
        <v>100.91149232146839</v>
      </c>
      <c r="FJ35" s="27">
        <v>100.91149232146839</v>
      </c>
      <c r="FK35" s="27">
        <v>100.91149232146839</v>
      </c>
      <c r="FL35" s="27">
        <v>100.91149232146839</v>
      </c>
      <c r="FM35" s="27">
        <v>5</v>
      </c>
      <c r="FO35" s="27">
        <v>158.5688151561873</v>
      </c>
      <c r="FP35" s="27">
        <v>158.5688151561873</v>
      </c>
      <c r="FQ35" s="27">
        <v>158.5688151561873</v>
      </c>
      <c r="FR35" s="27">
        <v>158.5688151561873</v>
      </c>
      <c r="FS35" s="27">
        <v>158.5688151561873</v>
      </c>
      <c r="FT35" s="27">
        <v>158.5688151561873</v>
      </c>
      <c r="FU35" s="27">
        <v>158.5688151561873</v>
      </c>
      <c r="FV35" s="27">
        <v>158.5688151561873</v>
      </c>
      <c r="FW35" s="27">
        <v>158.5688151561873</v>
      </c>
      <c r="FX35" s="27">
        <v>5</v>
      </c>
      <c r="FZ35" s="27">
        <v>158.5688151561873</v>
      </c>
      <c r="GA35" s="27">
        <v>158.5688151561873</v>
      </c>
      <c r="GB35" s="27">
        <v>158.5688151561873</v>
      </c>
      <c r="GC35" s="27">
        <v>158.5688151561873</v>
      </c>
      <c r="GD35" s="27">
        <v>158.5688151561873</v>
      </c>
      <c r="GE35" s="27">
        <v>158.5688151561873</v>
      </c>
      <c r="GF35" s="27">
        <v>158.5688151561873</v>
      </c>
      <c r="GG35" s="27">
        <v>158.5688151561873</v>
      </c>
      <c r="GH35" s="27">
        <v>158.5688151561873</v>
      </c>
      <c r="GI35" s="27">
        <v>5</v>
      </c>
      <c r="GJ35" s="27"/>
      <c r="GK35" s="27">
        <v>37.904301487556964</v>
      </c>
      <c r="GL35" s="27">
        <v>37.904301487556964</v>
      </c>
      <c r="GM35" s="27">
        <v>37.904301487556964</v>
      </c>
      <c r="GN35" s="27">
        <v>37.904301487556964</v>
      </c>
      <c r="GO35" s="27">
        <v>37.904301487556964</v>
      </c>
      <c r="GP35" s="27">
        <v>37.904301487556964</v>
      </c>
      <c r="GQ35" s="27">
        <v>37.904301487556964</v>
      </c>
      <c r="GR35" s="27">
        <v>37.904301487556964</v>
      </c>
      <c r="GS35" s="27">
        <v>37.904301487556964</v>
      </c>
      <c r="GT35" s="27">
        <v>5</v>
      </c>
      <c r="GV35" s="27">
        <v>45.048944560608199</v>
      </c>
      <c r="GW35" s="27">
        <v>45.048944560608199</v>
      </c>
      <c r="GX35" s="27">
        <v>45.048944560608199</v>
      </c>
      <c r="GY35" s="27">
        <v>45.048944560608199</v>
      </c>
      <c r="GZ35" s="27">
        <v>45.048944560608199</v>
      </c>
      <c r="HA35" s="27">
        <v>45.048944560608199</v>
      </c>
      <c r="HB35" s="27">
        <v>45.048944560608199</v>
      </c>
      <c r="HC35" s="27">
        <v>45.048944560608199</v>
      </c>
      <c r="HD35" s="27">
        <v>45.048944560608199</v>
      </c>
      <c r="HE35" s="27">
        <v>5</v>
      </c>
      <c r="HG35" s="27">
        <v>62.060411239589882</v>
      </c>
      <c r="HH35" s="27">
        <v>62.060411239589882</v>
      </c>
      <c r="HI35" s="27">
        <v>62.060411239589882</v>
      </c>
      <c r="HJ35" s="27">
        <v>62.060411239589882</v>
      </c>
      <c r="HK35" s="27">
        <v>62.060411239589882</v>
      </c>
      <c r="HL35" s="27">
        <v>62.060411239589882</v>
      </c>
      <c r="HM35" s="27">
        <v>62.060411239589882</v>
      </c>
      <c r="HN35" s="27">
        <v>62.060411239589882</v>
      </c>
      <c r="HO35" s="27">
        <v>62.060411239589882</v>
      </c>
      <c r="HP35" s="27">
        <v>5</v>
      </c>
      <c r="HR35" s="27">
        <v>62.060411239589882</v>
      </c>
      <c r="HS35" s="27">
        <v>62.060411239589882</v>
      </c>
      <c r="HT35" s="27">
        <v>62.060411239589882</v>
      </c>
      <c r="HU35" s="27">
        <v>62.060411239589882</v>
      </c>
      <c r="HV35" s="27">
        <v>62.060411239589882</v>
      </c>
      <c r="HW35" s="27">
        <v>62.060411239589882</v>
      </c>
      <c r="HX35" s="27">
        <v>62.060411239589882</v>
      </c>
      <c r="HY35" s="27">
        <v>62.060411239589882</v>
      </c>
      <c r="HZ35" s="27">
        <v>62.060411239589882</v>
      </c>
      <c r="IA35" s="27">
        <v>5</v>
      </c>
    </row>
    <row r="36" spans="15:235">
      <c r="O36" s="87">
        <v>99.67766343932982</v>
      </c>
      <c r="P36" s="87">
        <v>99.67766343932982</v>
      </c>
      <c r="Q36" s="87">
        <v>99.67766343932982</v>
      </c>
      <c r="R36" s="87">
        <v>99.67766343932982</v>
      </c>
      <c r="S36" s="87">
        <v>99.67766343932982</v>
      </c>
      <c r="T36" s="87">
        <v>99.67766343932982</v>
      </c>
      <c r="U36" s="87">
        <v>99.67766343932982</v>
      </c>
      <c r="V36" s="87">
        <v>99.67766343932982</v>
      </c>
      <c r="W36" s="87">
        <v>99.67766343932982</v>
      </c>
      <c r="X36" s="27">
        <v>3.1</v>
      </c>
      <c r="Y36" s="27"/>
      <c r="Z36" s="87">
        <v>157.40762474642671</v>
      </c>
      <c r="AA36" s="87">
        <v>157.40762474642671</v>
      </c>
      <c r="AB36" s="87">
        <v>157.40762474642671</v>
      </c>
      <c r="AC36" s="87">
        <v>157.40762474642671</v>
      </c>
      <c r="AD36" s="87">
        <v>157.40762474642671</v>
      </c>
      <c r="AE36" s="87">
        <v>157.40762474642671</v>
      </c>
      <c r="AF36" s="87">
        <v>157.40762474642671</v>
      </c>
      <c r="AG36" s="87">
        <v>157.40762474642671</v>
      </c>
      <c r="AH36" s="87">
        <v>157.40762474642671</v>
      </c>
      <c r="AI36" s="27">
        <v>3.1</v>
      </c>
      <c r="AK36" s="87">
        <v>155.68000180737798</v>
      </c>
      <c r="AL36" s="87">
        <v>155.68000180737798</v>
      </c>
      <c r="AM36" s="87">
        <v>155.68000180737798</v>
      </c>
      <c r="AN36" s="87">
        <v>155.68000180737798</v>
      </c>
      <c r="AO36" s="87">
        <v>155.68000180737798</v>
      </c>
      <c r="AP36" s="87">
        <v>155.68000180737798</v>
      </c>
      <c r="AQ36" s="87">
        <v>155.68000180737798</v>
      </c>
      <c r="AR36" s="87">
        <v>155.68000180737798</v>
      </c>
      <c r="AS36" s="87">
        <v>155.68000180737798</v>
      </c>
      <c r="AT36" s="27">
        <v>3.1</v>
      </c>
      <c r="AV36" s="87">
        <v>163.25194143860986</v>
      </c>
      <c r="AW36" s="87">
        <v>163.25194143860986</v>
      </c>
      <c r="AX36" s="87">
        <v>163.25194143860986</v>
      </c>
      <c r="AY36" s="87">
        <v>163.25194143860986</v>
      </c>
      <c r="AZ36" s="87">
        <v>163.25194143860986</v>
      </c>
      <c r="BA36" s="87">
        <v>163.25194143860986</v>
      </c>
      <c r="BB36" s="87">
        <v>163.25194143860986</v>
      </c>
      <c r="BC36" s="87">
        <v>163.25194143860986</v>
      </c>
      <c r="BD36" s="87">
        <v>163.25194143860986</v>
      </c>
      <c r="BE36" s="27">
        <v>3.1</v>
      </c>
      <c r="BG36" s="87">
        <v>187.91815476190504</v>
      </c>
      <c r="BH36" s="87">
        <v>187.91815476190504</v>
      </c>
      <c r="BI36" s="87">
        <v>187.91815476190504</v>
      </c>
      <c r="BJ36" s="87">
        <v>187.91815476190504</v>
      </c>
      <c r="BK36" s="87">
        <v>187.91815476190504</v>
      </c>
      <c r="BL36" s="87">
        <v>187.91815476190504</v>
      </c>
      <c r="BM36" s="87">
        <v>187.91815476190504</v>
      </c>
      <c r="BN36" s="87">
        <v>187.91815476190504</v>
      </c>
      <c r="BO36" s="87">
        <v>187.91815476190504</v>
      </c>
      <c r="BP36" s="27">
        <v>3.1</v>
      </c>
      <c r="BR36" s="87">
        <v>187.91815476190504</v>
      </c>
      <c r="BS36" s="87">
        <v>187.91815476190504</v>
      </c>
      <c r="BT36" s="87">
        <v>187.91815476190504</v>
      </c>
      <c r="BU36" s="87">
        <v>187.91815476190504</v>
      </c>
      <c r="BV36" s="87">
        <v>187.91815476190504</v>
      </c>
      <c r="BW36" s="87">
        <v>187.91815476190504</v>
      </c>
      <c r="BX36" s="87">
        <v>187.91815476190504</v>
      </c>
      <c r="BY36" s="87">
        <v>187.91815476190504</v>
      </c>
      <c r="BZ36" s="87">
        <v>187.91815476190504</v>
      </c>
      <c r="CA36" s="27">
        <v>3.1</v>
      </c>
      <c r="CC36" s="87">
        <v>60.284669717302563</v>
      </c>
      <c r="CD36" s="87">
        <v>60.284669717302563</v>
      </c>
      <c r="CE36" s="87">
        <v>60.284669717302563</v>
      </c>
      <c r="CF36" s="87">
        <v>60.284669717302563</v>
      </c>
      <c r="CG36" s="87">
        <v>60.284669717302563</v>
      </c>
      <c r="CH36" s="87">
        <v>60.284669717302563</v>
      </c>
      <c r="CI36" s="87">
        <v>60.284669717302563</v>
      </c>
      <c r="CJ36" s="87">
        <v>60.284669717302563</v>
      </c>
      <c r="CK36" s="87">
        <v>60.284669717302563</v>
      </c>
      <c r="CL36" s="27">
        <v>3.1</v>
      </c>
      <c r="CN36" s="87">
        <v>72.091284959993516</v>
      </c>
      <c r="CO36" s="87">
        <v>72.091284959993516</v>
      </c>
      <c r="CP36" s="87">
        <v>72.091284959993516</v>
      </c>
      <c r="CQ36" s="87">
        <v>72.091284959993516</v>
      </c>
      <c r="CR36" s="87">
        <v>72.091284959993516</v>
      </c>
      <c r="CS36" s="87">
        <v>72.091284959993516</v>
      </c>
      <c r="CT36" s="87">
        <v>72.091284959993516</v>
      </c>
      <c r="CU36" s="87">
        <v>72.091284959993516</v>
      </c>
      <c r="CV36" s="87">
        <v>72.091284959993516</v>
      </c>
      <c r="CW36" s="27">
        <v>3.1</v>
      </c>
      <c r="CY36" s="87">
        <v>100.79592246848567</v>
      </c>
      <c r="CZ36" s="87">
        <v>100.79592246848567</v>
      </c>
      <c r="DA36" s="87">
        <v>100.79592246848567</v>
      </c>
      <c r="DB36" s="87">
        <v>100.79592246848567</v>
      </c>
      <c r="DC36" s="87">
        <v>100.79592246848567</v>
      </c>
      <c r="DD36" s="87">
        <v>100.79592246848567</v>
      </c>
      <c r="DE36" s="87">
        <v>100.79592246848567</v>
      </c>
      <c r="DF36" s="87">
        <v>100.79592246848567</v>
      </c>
      <c r="DG36" s="87">
        <v>100.79592246848567</v>
      </c>
      <c r="DH36" s="27">
        <v>3.1</v>
      </c>
      <c r="DJ36" s="87">
        <v>100.79592246848567</v>
      </c>
      <c r="DK36" s="87">
        <v>100.79592246848567</v>
      </c>
      <c r="DL36" s="87">
        <v>100.79592246848567</v>
      </c>
      <c r="DM36" s="87">
        <v>100.79592246848567</v>
      </c>
      <c r="DN36" s="87">
        <v>100.79592246848567</v>
      </c>
      <c r="DO36" s="87">
        <v>100.79592246848567</v>
      </c>
      <c r="DP36" s="87">
        <v>100.79592246848567</v>
      </c>
      <c r="DQ36" s="87">
        <v>100.79592246848567</v>
      </c>
      <c r="DR36" s="87">
        <v>100.79592246848567</v>
      </c>
      <c r="DS36" s="27">
        <v>3.1</v>
      </c>
      <c r="DW36" s="27">
        <v>47.507296816477357</v>
      </c>
      <c r="DX36" s="27">
        <v>47.507296816477357</v>
      </c>
      <c r="DY36" s="27">
        <v>47.507296816477357</v>
      </c>
      <c r="DZ36" s="27">
        <v>47.507296816477357</v>
      </c>
      <c r="EA36" s="27">
        <v>47.507296816477357</v>
      </c>
      <c r="EB36" s="27">
        <v>47.507296816477357</v>
      </c>
      <c r="EC36" s="27">
        <v>47.507296816477357</v>
      </c>
      <c r="ED36" s="27">
        <v>47.507296816477357</v>
      </c>
      <c r="EE36" s="27">
        <v>47.507296816477357</v>
      </c>
      <c r="EF36" s="27">
        <v>5.0999999999999996</v>
      </c>
      <c r="EH36" s="27">
        <v>81.456796267896095</v>
      </c>
      <c r="EI36" s="27">
        <v>81.456796267896095</v>
      </c>
      <c r="EJ36" s="27">
        <v>81.456796267896095</v>
      </c>
      <c r="EK36" s="27">
        <v>81.456796267896095</v>
      </c>
      <c r="EL36" s="27">
        <v>81.456796267896095</v>
      </c>
      <c r="EM36" s="27">
        <v>81.456796267896095</v>
      </c>
      <c r="EN36" s="27">
        <v>81.456796267896095</v>
      </c>
      <c r="EO36" s="27">
        <v>81.456796267896095</v>
      </c>
      <c r="EP36" s="27">
        <v>81.456796267896095</v>
      </c>
      <c r="EQ36" s="27">
        <v>5.0999999999999996</v>
      </c>
      <c r="ES36" s="27">
        <v>95.202371361505755</v>
      </c>
      <c r="ET36" s="27">
        <v>95.202371361505755</v>
      </c>
      <c r="EU36" s="27">
        <v>95.202371361505755</v>
      </c>
      <c r="EV36" s="27">
        <v>95.202371361505755</v>
      </c>
      <c r="EW36" s="27">
        <v>95.202371361505755</v>
      </c>
      <c r="EX36" s="27">
        <v>95.202371361505755</v>
      </c>
      <c r="EY36" s="27">
        <v>95.202371361505755</v>
      </c>
      <c r="EZ36" s="27">
        <v>95.202371361505755</v>
      </c>
      <c r="FA36" s="27">
        <v>95.202371361505755</v>
      </c>
      <c r="FB36" s="27">
        <v>5.0999999999999996</v>
      </c>
      <c r="FD36" s="27">
        <v>98.945093608388021</v>
      </c>
      <c r="FE36" s="27">
        <v>98.945093608388021</v>
      </c>
      <c r="FF36" s="27">
        <v>98.945093608388021</v>
      </c>
      <c r="FG36" s="27">
        <v>98.945093608388021</v>
      </c>
      <c r="FH36" s="27">
        <v>98.945093608388021</v>
      </c>
      <c r="FI36" s="27">
        <v>98.945093608388021</v>
      </c>
      <c r="FJ36" s="27">
        <v>98.945093608388021</v>
      </c>
      <c r="FK36" s="27">
        <v>98.945093608388021</v>
      </c>
      <c r="FL36" s="27">
        <v>98.945093608388021</v>
      </c>
      <c r="FM36" s="27">
        <v>5.0999999999999996</v>
      </c>
      <c r="FO36" s="27">
        <v>155.44148394042281</v>
      </c>
      <c r="FP36" s="27">
        <v>155.44148394042281</v>
      </c>
      <c r="FQ36" s="27">
        <v>155.44148394042281</v>
      </c>
      <c r="FR36" s="27">
        <v>155.44148394042281</v>
      </c>
      <c r="FS36" s="27">
        <v>155.44148394042281</v>
      </c>
      <c r="FT36" s="27">
        <v>155.44148394042281</v>
      </c>
      <c r="FU36" s="27">
        <v>155.44148394042281</v>
      </c>
      <c r="FV36" s="27">
        <v>155.44148394042281</v>
      </c>
      <c r="FW36" s="27">
        <v>155.44148394042281</v>
      </c>
      <c r="FX36" s="27">
        <v>5.0999999999999996</v>
      </c>
      <c r="FZ36" s="27">
        <v>155.44148394042281</v>
      </c>
      <c r="GA36" s="27">
        <v>155.44148394042281</v>
      </c>
      <c r="GB36" s="27">
        <v>155.44148394042281</v>
      </c>
      <c r="GC36" s="27">
        <v>155.44148394042281</v>
      </c>
      <c r="GD36" s="27">
        <v>155.44148394042281</v>
      </c>
      <c r="GE36" s="27">
        <v>155.44148394042281</v>
      </c>
      <c r="GF36" s="27">
        <v>155.44148394042281</v>
      </c>
      <c r="GG36" s="27">
        <v>155.44148394042281</v>
      </c>
      <c r="GH36" s="27">
        <v>155.44148394042281</v>
      </c>
      <c r="GI36" s="27">
        <v>5.0999999999999996</v>
      </c>
      <c r="GJ36" s="27"/>
      <c r="GK36" s="27">
        <v>37.155344149841092</v>
      </c>
      <c r="GL36" s="27">
        <v>37.155344149841092</v>
      </c>
      <c r="GM36" s="27">
        <v>37.155344149841092</v>
      </c>
      <c r="GN36" s="27">
        <v>37.155344149841092</v>
      </c>
      <c r="GO36" s="27">
        <v>37.155344149841092</v>
      </c>
      <c r="GP36" s="27">
        <v>37.155344149841092</v>
      </c>
      <c r="GQ36" s="27">
        <v>37.155344149841092</v>
      </c>
      <c r="GR36" s="27">
        <v>37.155344149841092</v>
      </c>
      <c r="GS36" s="27">
        <v>37.155344149841092</v>
      </c>
      <c r="GT36" s="27">
        <v>5.0999999999999996</v>
      </c>
      <c r="GV36" s="27">
        <v>44.168525167779372</v>
      </c>
      <c r="GW36" s="27">
        <v>44.168525167779372</v>
      </c>
      <c r="GX36" s="27">
        <v>44.168525167779372</v>
      </c>
      <c r="GY36" s="27">
        <v>44.168525167779372</v>
      </c>
      <c r="GZ36" s="27">
        <v>44.168525167779372</v>
      </c>
      <c r="HA36" s="27">
        <v>44.168525167779372</v>
      </c>
      <c r="HB36" s="27">
        <v>44.168525167779372</v>
      </c>
      <c r="HC36" s="27">
        <v>44.168525167779372</v>
      </c>
      <c r="HD36" s="27">
        <v>44.168525167779372</v>
      </c>
      <c r="HE36" s="27">
        <v>5.0999999999999996</v>
      </c>
      <c r="HG36" s="27">
        <v>60.8452379260508</v>
      </c>
      <c r="HH36" s="27">
        <v>60.8452379260508</v>
      </c>
      <c r="HI36" s="27">
        <v>60.8452379260508</v>
      </c>
      <c r="HJ36" s="27">
        <v>60.8452379260508</v>
      </c>
      <c r="HK36" s="27">
        <v>60.8452379260508</v>
      </c>
      <c r="HL36" s="27">
        <v>60.8452379260508</v>
      </c>
      <c r="HM36" s="27">
        <v>60.8452379260508</v>
      </c>
      <c r="HN36" s="27">
        <v>60.8452379260508</v>
      </c>
      <c r="HO36" s="27">
        <v>60.8452379260508</v>
      </c>
      <c r="HP36" s="27">
        <v>5.0999999999999996</v>
      </c>
      <c r="HR36" s="27">
        <v>60.8452379260508</v>
      </c>
      <c r="HS36" s="27">
        <v>60.8452379260508</v>
      </c>
      <c r="HT36" s="27">
        <v>60.8452379260508</v>
      </c>
      <c r="HU36" s="27">
        <v>60.8452379260508</v>
      </c>
      <c r="HV36" s="27">
        <v>60.8452379260508</v>
      </c>
      <c r="HW36" s="27">
        <v>60.8452379260508</v>
      </c>
      <c r="HX36" s="27">
        <v>60.8452379260508</v>
      </c>
      <c r="HY36" s="27">
        <v>60.8452379260508</v>
      </c>
      <c r="HZ36" s="27">
        <v>60.8452379260508</v>
      </c>
      <c r="IA36" s="27">
        <v>5.0999999999999996</v>
      </c>
    </row>
    <row r="37" spans="15:235" ht="3" customHeight="1">
      <c r="O37" s="87">
        <v>95.567767751856536</v>
      </c>
      <c r="P37" s="87">
        <v>95.567767751856536</v>
      </c>
      <c r="Q37" s="87">
        <v>95.567767751856536</v>
      </c>
      <c r="R37" s="87">
        <v>95.567767751856536</v>
      </c>
      <c r="S37" s="87">
        <v>95.567767751856536</v>
      </c>
      <c r="T37" s="87">
        <v>95.567767751856536</v>
      </c>
      <c r="U37" s="87">
        <v>95.567767751856536</v>
      </c>
      <c r="V37" s="87">
        <v>95.567767751856536</v>
      </c>
      <c r="W37" s="87">
        <v>95.567767751856536</v>
      </c>
      <c r="X37" s="27">
        <v>3.2</v>
      </c>
      <c r="Y37" s="27"/>
      <c r="Z37" s="87">
        <v>151.39082652796179</v>
      </c>
      <c r="AA37" s="87">
        <v>151.39082652796179</v>
      </c>
      <c r="AB37" s="87">
        <v>151.39082652796179</v>
      </c>
      <c r="AC37" s="87">
        <v>151.39082652796179</v>
      </c>
      <c r="AD37" s="87">
        <v>151.39082652796179</v>
      </c>
      <c r="AE37" s="87">
        <v>151.39082652796179</v>
      </c>
      <c r="AF37" s="87">
        <v>151.39082652796179</v>
      </c>
      <c r="AG37" s="87">
        <v>151.39082652796179</v>
      </c>
      <c r="AH37" s="87">
        <v>151.39082652796179</v>
      </c>
      <c r="AI37" s="27">
        <v>3.2</v>
      </c>
      <c r="AK37" s="87">
        <v>150.87247085752111</v>
      </c>
      <c r="AL37" s="87">
        <v>150.87247085752111</v>
      </c>
      <c r="AM37" s="87">
        <v>150.87247085752111</v>
      </c>
      <c r="AN37" s="87">
        <v>150.87247085752111</v>
      </c>
      <c r="AO37" s="87">
        <v>150.87247085752111</v>
      </c>
      <c r="AP37" s="87">
        <v>150.87247085752111</v>
      </c>
      <c r="AQ37" s="87">
        <v>150.87247085752111</v>
      </c>
      <c r="AR37" s="87">
        <v>150.87247085752111</v>
      </c>
      <c r="AS37" s="87">
        <v>150.87247085752111</v>
      </c>
      <c r="AT37" s="27">
        <v>3.2</v>
      </c>
      <c r="AV37" s="87">
        <v>158.15210299863512</v>
      </c>
      <c r="AW37" s="87">
        <v>158.15210299863512</v>
      </c>
      <c r="AX37" s="87">
        <v>158.15210299863512</v>
      </c>
      <c r="AY37" s="87">
        <v>158.15210299863512</v>
      </c>
      <c r="AZ37" s="87">
        <v>158.15210299863512</v>
      </c>
      <c r="BA37" s="87">
        <v>158.15210299863512</v>
      </c>
      <c r="BB37" s="87">
        <v>158.15210299863512</v>
      </c>
      <c r="BC37" s="87">
        <v>158.15210299863512</v>
      </c>
      <c r="BD37" s="87">
        <v>158.15210299863512</v>
      </c>
      <c r="BE37" s="27">
        <v>3.2</v>
      </c>
      <c r="BG37" s="87">
        <v>185.62500000000028</v>
      </c>
      <c r="BH37" s="87">
        <v>185.62500000000028</v>
      </c>
      <c r="BI37" s="87">
        <v>185.62500000000028</v>
      </c>
      <c r="BJ37" s="87">
        <v>185.62500000000028</v>
      </c>
      <c r="BK37" s="87">
        <v>185.62500000000028</v>
      </c>
      <c r="BL37" s="87">
        <v>185.62500000000028</v>
      </c>
      <c r="BM37" s="87">
        <v>185.62500000000028</v>
      </c>
      <c r="BN37" s="87">
        <v>185.62500000000028</v>
      </c>
      <c r="BO37" s="87">
        <v>185.62500000000028</v>
      </c>
      <c r="BP37" s="27">
        <v>3.2</v>
      </c>
      <c r="BR37" s="87">
        <v>185.62500000000028</v>
      </c>
      <c r="BS37" s="87">
        <v>185.62500000000028</v>
      </c>
      <c r="BT37" s="87">
        <v>185.62500000000028</v>
      </c>
      <c r="BU37" s="87">
        <v>185.62500000000028</v>
      </c>
      <c r="BV37" s="87">
        <v>185.62500000000028</v>
      </c>
      <c r="BW37" s="87">
        <v>185.62500000000028</v>
      </c>
      <c r="BX37" s="87">
        <v>185.62500000000028</v>
      </c>
      <c r="BY37" s="87">
        <v>185.62500000000028</v>
      </c>
      <c r="BZ37" s="87">
        <v>185.62500000000028</v>
      </c>
      <c r="CA37" s="27">
        <v>3.2</v>
      </c>
      <c r="CC37" s="87">
        <v>58.419318217772066</v>
      </c>
      <c r="CD37" s="87">
        <v>58.419318217772066</v>
      </c>
      <c r="CE37" s="87">
        <v>58.419318217772066</v>
      </c>
      <c r="CF37" s="87">
        <v>58.419318217772066</v>
      </c>
      <c r="CG37" s="87">
        <v>58.419318217772066</v>
      </c>
      <c r="CH37" s="87">
        <v>58.419318217772066</v>
      </c>
      <c r="CI37" s="87">
        <v>58.419318217772066</v>
      </c>
      <c r="CJ37" s="87">
        <v>58.419318217772066</v>
      </c>
      <c r="CK37" s="87">
        <v>58.419318217772066</v>
      </c>
      <c r="CL37" s="27">
        <v>3.2</v>
      </c>
      <c r="CN37" s="87">
        <v>69.867262885385728</v>
      </c>
      <c r="CO37" s="87">
        <v>69.867262885385728</v>
      </c>
      <c r="CP37" s="87">
        <v>69.867262885385728</v>
      </c>
      <c r="CQ37" s="87">
        <v>69.867262885385728</v>
      </c>
      <c r="CR37" s="87">
        <v>69.867262885385728</v>
      </c>
      <c r="CS37" s="87">
        <v>69.867262885385728</v>
      </c>
      <c r="CT37" s="87">
        <v>69.867262885385728</v>
      </c>
      <c r="CU37" s="87">
        <v>69.867262885385728</v>
      </c>
      <c r="CV37" s="87">
        <v>69.867262885385728</v>
      </c>
      <c r="CW37" s="27">
        <v>3.2</v>
      </c>
      <c r="CY37" s="87">
        <v>97.630550446697995</v>
      </c>
      <c r="CZ37" s="87">
        <v>97.630550446697995</v>
      </c>
      <c r="DA37" s="87">
        <v>97.630550446697995</v>
      </c>
      <c r="DB37" s="87">
        <v>97.630550446697995</v>
      </c>
      <c r="DC37" s="87">
        <v>97.630550446697995</v>
      </c>
      <c r="DD37" s="87">
        <v>97.630550446697995</v>
      </c>
      <c r="DE37" s="87">
        <v>97.630550446697995</v>
      </c>
      <c r="DF37" s="87">
        <v>97.630550446697995</v>
      </c>
      <c r="DG37" s="87">
        <v>97.630550446697995</v>
      </c>
      <c r="DH37" s="27">
        <v>3.2</v>
      </c>
      <c r="DJ37" s="87">
        <v>97.630550446697995</v>
      </c>
      <c r="DK37" s="87">
        <v>97.630550446697995</v>
      </c>
      <c r="DL37" s="87">
        <v>97.630550446697995</v>
      </c>
      <c r="DM37" s="87">
        <v>97.630550446697995</v>
      </c>
      <c r="DN37" s="87">
        <v>97.630550446697995</v>
      </c>
      <c r="DO37" s="87">
        <v>97.630550446697995</v>
      </c>
      <c r="DP37" s="87">
        <v>97.630550446697995</v>
      </c>
      <c r="DQ37" s="87">
        <v>97.630550446697995</v>
      </c>
      <c r="DR37" s="87">
        <v>97.630550446697995</v>
      </c>
      <c r="DS37" s="27">
        <v>3.2</v>
      </c>
      <c r="DW37" s="27">
        <v>46.587722330642045</v>
      </c>
      <c r="DX37" s="27">
        <v>46.587722330642045</v>
      </c>
      <c r="DY37" s="27">
        <v>46.587722330642045</v>
      </c>
      <c r="DZ37" s="27">
        <v>46.587722330642045</v>
      </c>
      <c r="EA37" s="27">
        <v>46.587722330642045</v>
      </c>
      <c r="EB37" s="27">
        <v>46.587722330642045</v>
      </c>
      <c r="EC37" s="27">
        <v>46.587722330642045</v>
      </c>
      <c r="ED37" s="27">
        <v>46.587722330642045</v>
      </c>
      <c r="EE37" s="27">
        <v>46.587722330642045</v>
      </c>
      <c r="EF37" s="27">
        <v>5.2</v>
      </c>
      <c r="EH37" s="27">
        <v>79.823942431732149</v>
      </c>
      <c r="EI37" s="27">
        <v>79.823942431732149</v>
      </c>
      <c r="EJ37" s="27">
        <v>79.823942431732149</v>
      </c>
      <c r="EK37" s="27">
        <v>79.823942431732149</v>
      </c>
      <c r="EL37" s="27">
        <v>79.823942431732149</v>
      </c>
      <c r="EM37" s="27">
        <v>79.823942431732149</v>
      </c>
      <c r="EN37" s="27">
        <v>79.823942431732149</v>
      </c>
      <c r="EO37" s="27">
        <v>79.823942431732149</v>
      </c>
      <c r="EP37" s="27">
        <v>79.823942431732149</v>
      </c>
      <c r="EQ37" s="27">
        <v>5.2</v>
      </c>
      <c r="ES37" s="27">
        <v>93.39255690973269</v>
      </c>
      <c r="ET37" s="27">
        <v>93.39255690973269</v>
      </c>
      <c r="EU37" s="27">
        <v>93.39255690973269</v>
      </c>
      <c r="EV37" s="27">
        <v>93.39255690973269</v>
      </c>
      <c r="EW37" s="27">
        <v>93.39255690973269</v>
      </c>
      <c r="EX37" s="27">
        <v>93.39255690973269</v>
      </c>
      <c r="EY37" s="27">
        <v>93.39255690973269</v>
      </c>
      <c r="EZ37" s="27">
        <v>93.39255690973269</v>
      </c>
      <c r="FA37" s="27">
        <v>93.39255690973269</v>
      </c>
      <c r="FB37" s="27">
        <v>5.2</v>
      </c>
      <c r="FD37" s="27">
        <v>97.054093604598464</v>
      </c>
      <c r="FE37" s="27">
        <v>97.054093604598464</v>
      </c>
      <c r="FF37" s="27">
        <v>97.054093604598464</v>
      </c>
      <c r="FG37" s="27">
        <v>97.054093604598464</v>
      </c>
      <c r="FH37" s="27">
        <v>97.054093604598464</v>
      </c>
      <c r="FI37" s="27">
        <v>97.054093604598464</v>
      </c>
      <c r="FJ37" s="27">
        <v>97.054093604598464</v>
      </c>
      <c r="FK37" s="27">
        <v>97.054093604598464</v>
      </c>
      <c r="FL37" s="27">
        <v>97.054093604598464</v>
      </c>
      <c r="FM37" s="27">
        <v>5.2</v>
      </c>
      <c r="FO37" s="27">
        <v>152.43478216776668</v>
      </c>
      <c r="FP37" s="27">
        <v>152.43478216776668</v>
      </c>
      <c r="FQ37" s="27">
        <v>152.43478216776668</v>
      </c>
      <c r="FR37" s="27">
        <v>152.43478216776668</v>
      </c>
      <c r="FS37" s="27">
        <v>152.43478216776668</v>
      </c>
      <c r="FT37" s="27">
        <v>152.43478216776668</v>
      </c>
      <c r="FU37" s="27">
        <v>152.43478216776668</v>
      </c>
      <c r="FV37" s="27">
        <v>152.43478216776668</v>
      </c>
      <c r="FW37" s="27">
        <v>152.43478216776668</v>
      </c>
      <c r="FX37" s="27">
        <v>5.2</v>
      </c>
      <c r="FZ37" s="27">
        <v>152.43478216776668</v>
      </c>
      <c r="GA37" s="27">
        <v>152.43478216776668</v>
      </c>
      <c r="GB37" s="27">
        <v>152.43478216776668</v>
      </c>
      <c r="GC37" s="27">
        <v>152.43478216776668</v>
      </c>
      <c r="GD37" s="27">
        <v>152.43478216776668</v>
      </c>
      <c r="GE37" s="27">
        <v>152.43478216776668</v>
      </c>
      <c r="GF37" s="27">
        <v>152.43478216776668</v>
      </c>
      <c r="GG37" s="27">
        <v>152.43478216776668</v>
      </c>
      <c r="GH37" s="27">
        <v>152.43478216776668</v>
      </c>
      <c r="GI37" s="27">
        <v>5.2</v>
      </c>
      <c r="GJ37" s="27"/>
      <c r="GK37" s="27">
        <v>36.435302945447937</v>
      </c>
      <c r="GL37" s="27">
        <v>36.435302945447937</v>
      </c>
      <c r="GM37" s="27">
        <v>36.435302945447937</v>
      </c>
      <c r="GN37" s="27">
        <v>36.435302945447937</v>
      </c>
      <c r="GO37" s="27">
        <v>36.435302945447937</v>
      </c>
      <c r="GP37" s="27">
        <v>36.435302945447937</v>
      </c>
      <c r="GQ37" s="27">
        <v>36.435302945447937</v>
      </c>
      <c r="GR37" s="27">
        <v>36.435302945447937</v>
      </c>
      <c r="GS37" s="27">
        <v>36.435302945447937</v>
      </c>
      <c r="GT37" s="27">
        <v>5.2</v>
      </c>
      <c r="GV37" s="27">
        <v>43.321913137151228</v>
      </c>
      <c r="GW37" s="27">
        <v>43.321913137151228</v>
      </c>
      <c r="GX37" s="27">
        <v>43.321913137151228</v>
      </c>
      <c r="GY37" s="27">
        <v>43.321913137151228</v>
      </c>
      <c r="GZ37" s="27">
        <v>43.321913137151228</v>
      </c>
      <c r="HA37" s="27">
        <v>43.321913137151228</v>
      </c>
      <c r="HB37" s="27">
        <v>43.321913137151228</v>
      </c>
      <c r="HC37" s="27">
        <v>43.321913137151228</v>
      </c>
      <c r="HD37" s="27">
        <v>43.321913137151228</v>
      </c>
      <c r="HE37" s="27">
        <v>5.2</v>
      </c>
      <c r="HG37" s="27">
        <v>59.676769763497383</v>
      </c>
      <c r="HH37" s="27">
        <v>59.676769763497383</v>
      </c>
      <c r="HI37" s="27">
        <v>59.676769763497383</v>
      </c>
      <c r="HJ37" s="27">
        <v>59.676769763497383</v>
      </c>
      <c r="HK37" s="27">
        <v>59.676769763497383</v>
      </c>
      <c r="HL37" s="27">
        <v>59.676769763497383</v>
      </c>
      <c r="HM37" s="27">
        <v>59.676769763497383</v>
      </c>
      <c r="HN37" s="27">
        <v>59.676769763497383</v>
      </c>
      <c r="HO37" s="27">
        <v>59.676769763497383</v>
      </c>
      <c r="HP37" s="27">
        <v>5.2</v>
      </c>
      <c r="HR37" s="27">
        <v>59.676769763497383</v>
      </c>
      <c r="HS37" s="27">
        <v>59.676769763497383</v>
      </c>
      <c r="HT37" s="27">
        <v>59.676769763497383</v>
      </c>
      <c r="HU37" s="27">
        <v>59.676769763497383</v>
      </c>
      <c r="HV37" s="27">
        <v>59.676769763497383</v>
      </c>
      <c r="HW37" s="27">
        <v>59.676769763497383</v>
      </c>
      <c r="HX37" s="27">
        <v>59.676769763497383</v>
      </c>
      <c r="HY37" s="27">
        <v>59.676769763497383</v>
      </c>
      <c r="HZ37" s="27">
        <v>59.676769763497383</v>
      </c>
      <c r="IA37" s="27">
        <v>5.2</v>
      </c>
    </row>
    <row r="38" spans="15:235" ht="3" customHeight="1">
      <c r="O38" s="87">
        <v>91.746136279850248</v>
      </c>
      <c r="P38" s="87">
        <v>91.746136279850248</v>
      </c>
      <c r="Q38" s="87">
        <v>91.746136279850248</v>
      </c>
      <c r="R38" s="87">
        <v>91.746136279850248</v>
      </c>
      <c r="S38" s="87">
        <v>91.746136279850248</v>
      </c>
      <c r="T38" s="87">
        <v>91.746136279850248</v>
      </c>
      <c r="U38" s="87">
        <v>91.746136279850248</v>
      </c>
      <c r="V38" s="87">
        <v>91.746136279850248</v>
      </c>
      <c r="W38" s="87">
        <v>91.746136279850248</v>
      </c>
      <c r="X38" s="27">
        <v>3.3</v>
      </c>
      <c r="Y38" s="27"/>
      <c r="Z38" s="87">
        <v>145.77875751347563</v>
      </c>
      <c r="AA38" s="87">
        <v>145.77875751347563</v>
      </c>
      <c r="AB38" s="87">
        <v>145.77875751347563</v>
      </c>
      <c r="AC38" s="87">
        <v>145.77875751347563</v>
      </c>
      <c r="AD38" s="87">
        <v>145.77875751347563</v>
      </c>
      <c r="AE38" s="87">
        <v>145.77875751347563</v>
      </c>
      <c r="AF38" s="87">
        <v>145.77875751347563</v>
      </c>
      <c r="AG38" s="87">
        <v>145.77875751347563</v>
      </c>
      <c r="AH38" s="87">
        <v>145.77875751347563</v>
      </c>
      <c r="AI38" s="27">
        <v>3.3</v>
      </c>
      <c r="AK38" s="87">
        <v>146.3546107140269</v>
      </c>
      <c r="AL38" s="87">
        <v>146.3546107140269</v>
      </c>
      <c r="AM38" s="87">
        <v>146.3546107140269</v>
      </c>
      <c r="AN38" s="87">
        <v>146.3546107140269</v>
      </c>
      <c r="AO38" s="87">
        <v>146.3546107140269</v>
      </c>
      <c r="AP38" s="87">
        <v>146.3546107140269</v>
      </c>
      <c r="AQ38" s="87">
        <v>146.3546107140269</v>
      </c>
      <c r="AR38" s="87">
        <v>146.3546107140269</v>
      </c>
      <c r="AS38" s="87">
        <v>146.3546107140269</v>
      </c>
      <c r="AT38" s="27">
        <v>3.3</v>
      </c>
      <c r="AV38" s="87">
        <v>153.36129243565026</v>
      </c>
      <c r="AW38" s="87">
        <v>153.36129243565026</v>
      </c>
      <c r="AX38" s="87">
        <v>153.36129243565026</v>
      </c>
      <c r="AY38" s="87">
        <v>153.36129243565026</v>
      </c>
      <c r="AZ38" s="87">
        <v>153.36129243565026</v>
      </c>
      <c r="BA38" s="87">
        <v>153.36129243565026</v>
      </c>
      <c r="BB38" s="87">
        <v>153.36129243565026</v>
      </c>
      <c r="BC38" s="87">
        <v>153.36129243565026</v>
      </c>
      <c r="BD38" s="87">
        <v>153.36129243565026</v>
      </c>
      <c r="BE38" s="27">
        <v>3.3</v>
      </c>
      <c r="BG38" s="87">
        <v>183.35267857142887</v>
      </c>
      <c r="BH38" s="87">
        <v>183.35267857142887</v>
      </c>
      <c r="BI38" s="87">
        <v>183.35267857142887</v>
      </c>
      <c r="BJ38" s="87">
        <v>183.35267857142887</v>
      </c>
      <c r="BK38" s="87">
        <v>183.35267857142887</v>
      </c>
      <c r="BL38" s="87">
        <v>183.35267857142887</v>
      </c>
      <c r="BM38" s="87">
        <v>183.35267857142887</v>
      </c>
      <c r="BN38" s="87">
        <v>183.35267857142887</v>
      </c>
      <c r="BO38" s="87">
        <v>183.35267857142887</v>
      </c>
      <c r="BP38" s="27">
        <v>3.3</v>
      </c>
      <c r="BR38" s="87">
        <v>183.35267857142887</v>
      </c>
      <c r="BS38" s="87">
        <v>183.35267857142887</v>
      </c>
      <c r="BT38" s="87">
        <v>183.35267857142887</v>
      </c>
      <c r="BU38" s="87">
        <v>183.35267857142887</v>
      </c>
      <c r="BV38" s="87">
        <v>183.35267857142887</v>
      </c>
      <c r="BW38" s="87">
        <v>183.35267857142887</v>
      </c>
      <c r="BX38" s="87">
        <v>183.35267857142887</v>
      </c>
      <c r="BY38" s="87">
        <v>183.35267857142887</v>
      </c>
      <c r="BZ38" s="87">
        <v>183.35267857142887</v>
      </c>
      <c r="CA38" s="27">
        <v>3.3</v>
      </c>
      <c r="CC38" s="87">
        <v>56.666470377795051</v>
      </c>
      <c r="CD38" s="87">
        <v>56.666470377795051</v>
      </c>
      <c r="CE38" s="87">
        <v>56.666470377795051</v>
      </c>
      <c r="CF38" s="87">
        <v>56.666470377795051</v>
      </c>
      <c r="CG38" s="87">
        <v>56.666470377795051</v>
      </c>
      <c r="CH38" s="87">
        <v>56.666470377795051</v>
      </c>
      <c r="CI38" s="87">
        <v>56.666470377795051</v>
      </c>
      <c r="CJ38" s="87">
        <v>56.666470377795051</v>
      </c>
      <c r="CK38" s="87">
        <v>56.666470377795051</v>
      </c>
      <c r="CL38" s="27">
        <v>3.3</v>
      </c>
      <c r="CN38" s="87">
        <v>67.777180690177687</v>
      </c>
      <c r="CO38" s="87">
        <v>67.777180690177687</v>
      </c>
      <c r="CP38" s="87">
        <v>67.777180690177687</v>
      </c>
      <c r="CQ38" s="87">
        <v>67.777180690177687</v>
      </c>
      <c r="CR38" s="87">
        <v>67.777180690177687</v>
      </c>
      <c r="CS38" s="87">
        <v>67.777180690177687</v>
      </c>
      <c r="CT38" s="87">
        <v>67.777180690177687</v>
      </c>
      <c r="CU38" s="87">
        <v>67.777180690177687</v>
      </c>
      <c r="CV38" s="87">
        <v>67.777180690177687</v>
      </c>
      <c r="CW38" s="27">
        <v>3.3</v>
      </c>
      <c r="CY38" s="87">
        <v>94.657483958635851</v>
      </c>
      <c r="CZ38" s="87">
        <v>94.657483958635851</v>
      </c>
      <c r="DA38" s="87">
        <v>94.657483958635851</v>
      </c>
      <c r="DB38" s="87">
        <v>94.657483958635851</v>
      </c>
      <c r="DC38" s="87">
        <v>94.657483958635851</v>
      </c>
      <c r="DD38" s="87">
        <v>94.657483958635851</v>
      </c>
      <c r="DE38" s="87">
        <v>94.657483958635851</v>
      </c>
      <c r="DF38" s="87">
        <v>94.657483958635851</v>
      </c>
      <c r="DG38" s="87">
        <v>94.657483958635851</v>
      </c>
      <c r="DH38" s="27">
        <v>3.3</v>
      </c>
      <c r="DJ38" s="87">
        <v>94.657483958635851</v>
      </c>
      <c r="DK38" s="87">
        <v>94.657483958635851</v>
      </c>
      <c r="DL38" s="87">
        <v>94.657483958635851</v>
      </c>
      <c r="DM38" s="87">
        <v>94.657483958635851</v>
      </c>
      <c r="DN38" s="87">
        <v>94.657483958635851</v>
      </c>
      <c r="DO38" s="87">
        <v>94.657483958635851</v>
      </c>
      <c r="DP38" s="87">
        <v>94.657483958635851</v>
      </c>
      <c r="DQ38" s="87">
        <v>94.657483958635851</v>
      </c>
      <c r="DR38" s="87">
        <v>94.657483958635851</v>
      </c>
      <c r="DS38" s="27">
        <v>3.3</v>
      </c>
      <c r="DW38" s="27">
        <v>45.70296112321752</v>
      </c>
      <c r="DX38" s="27">
        <v>45.70296112321752</v>
      </c>
      <c r="DY38" s="27">
        <v>45.70296112321752</v>
      </c>
      <c r="DZ38" s="27">
        <v>45.70296112321752</v>
      </c>
      <c r="EA38" s="27">
        <v>45.70296112321752</v>
      </c>
      <c r="EB38" s="27">
        <v>45.70296112321752</v>
      </c>
      <c r="EC38" s="27">
        <v>45.70296112321752</v>
      </c>
      <c r="ED38" s="27">
        <v>45.70296112321752</v>
      </c>
      <c r="EE38" s="27">
        <v>45.70296112321752</v>
      </c>
      <c r="EF38" s="27">
        <v>5.3</v>
      </c>
      <c r="EH38" s="27">
        <v>78.253998838454564</v>
      </c>
      <c r="EI38" s="27">
        <v>78.253998838454564</v>
      </c>
      <c r="EJ38" s="27">
        <v>78.253998838454564</v>
      </c>
      <c r="EK38" s="27">
        <v>78.253998838454564</v>
      </c>
      <c r="EL38" s="27">
        <v>78.253998838454564</v>
      </c>
      <c r="EM38" s="27">
        <v>78.253998838454564</v>
      </c>
      <c r="EN38" s="27">
        <v>78.253998838454564</v>
      </c>
      <c r="EO38" s="27">
        <v>78.253998838454564</v>
      </c>
      <c r="EP38" s="27">
        <v>78.253998838454564</v>
      </c>
      <c r="EQ38" s="27">
        <v>5.3</v>
      </c>
      <c r="ES38" s="27">
        <v>91.650649361540133</v>
      </c>
      <c r="ET38" s="27">
        <v>91.650649361540133</v>
      </c>
      <c r="EU38" s="27">
        <v>91.650649361540133</v>
      </c>
      <c r="EV38" s="27">
        <v>91.650649361540133</v>
      </c>
      <c r="EW38" s="27">
        <v>91.650649361540133</v>
      </c>
      <c r="EX38" s="27">
        <v>91.650649361540133</v>
      </c>
      <c r="EY38" s="27">
        <v>91.650649361540133</v>
      </c>
      <c r="EZ38" s="27">
        <v>91.650649361540133</v>
      </c>
      <c r="FA38" s="27">
        <v>91.650649361540133</v>
      </c>
      <c r="FB38" s="27">
        <v>5.3</v>
      </c>
      <c r="FD38" s="27">
        <v>95.234233104550441</v>
      </c>
      <c r="FE38" s="27">
        <v>95.234233104550441</v>
      </c>
      <c r="FF38" s="27">
        <v>95.234233104550441</v>
      </c>
      <c r="FG38" s="27">
        <v>95.234233104550441</v>
      </c>
      <c r="FH38" s="27">
        <v>95.234233104550441</v>
      </c>
      <c r="FI38" s="27">
        <v>95.234233104550441</v>
      </c>
      <c r="FJ38" s="27">
        <v>95.234233104550441</v>
      </c>
      <c r="FK38" s="27">
        <v>95.234233104550441</v>
      </c>
      <c r="FL38" s="27">
        <v>95.234233104550441</v>
      </c>
      <c r="FM38" s="27">
        <v>5.3</v>
      </c>
      <c r="FO38" s="27">
        <v>149.54186873048047</v>
      </c>
      <c r="FP38" s="27">
        <v>149.54186873048047</v>
      </c>
      <c r="FQ38" s="27">
        <v>149.54186873048047</v>
      </c>
      <c r="FR38" s="27">
        <v>149.54186873048047</v>
      </c>
      <c r="FS38" s="27">
        <v>149.54186873048047</v>
      </c>
      <c r="FT38" s="27">
        <v>149.54186873048047</v>
      </c>
      <c r="FU38" s="27">
        <v>149.54186873048047</v>
      </c>
      <c r="FV38" s="27">
        <v>149.54186873048047</v>
      </c>
      <c r="FW38" s="27">
        <v>149.54186873048047</v>
      </c>
      <c r="FX38" s="27">
        <v>5.3</v>
      </c>
      <c r="FZ38" s="27">
        <v>149.54186873048047</v>
      </c>
      <c r="GA38" s="27">
        <v>149.54186873048047</v>
      </c>
      <c r="GB38" s="27">
        <v>149.54186873048047</v>
      </c>
      <c r="GC38" s="27">
        <v>149.54186873048047</v>
      </c>
      <c r="GD38" s="27">
        <v>149.54186873048047</v>
      </c>
      <c r="GE38" s="27">
        <v>149.54186873048047</v>
      </c>
      <c r="GF38" s="27">
        <v>149.54186873048047</v>
      </c>
      <c r="GG38" s="27">
        <v>149.54186873048047</v>
      </c>
      <c r="GH38" s="27">
        <v>149.54186873048047</v>
      </c>
      <c r="GI38" s="27">
        <v>5.3</v>
      </c>
      <c r="GJ38" s="27"/>
      <c r="GK38" s="27">
        <v>35.742536981533874</v>
      </c>
      <c r="GL38" s="27">
        <v>35.742536981533874</v>
      </c>
      <c r="GM38" s="27">
        <v>35.742536981533874</v>
      </c>
      <c r="GN38" s="27">
        <v>35.742536981533874</v>
      </c>
      <c r="GO38" s="27">
        <v>35.742536981533874</v>
      </c>
      <c r="GP38" s="27">
        <v>35.742536981533874</v>
      </c>
      <c r="GQ38" s="27">
        <v>35.742536981533874</v>
      </c>
      <c r="GR38" s="27">
        <v>35.742536981533874</v>
      </c>
      <c r="GS38" s="27">
        <v>35.742536981533874</v>
      </c>
      <c r="GT38" s="27">
        <v>5.3</v>
      </c>
      <c r="GV38" s="27">
        <v>42.507196894102648</v>
      </c>
      <c r="GW38" s="27">
        <v>42.507196894102648</v>
      </c>
      <c r="GX38" s="27">
        <v>42.507196894102648</v>
      </c>
      <c r="GY38" s="27">
        <v>42.507196894102648</v>
      </c>
      <c r="GZ38" s="27">
        <v>42.507196894102648</v>
      </c>
      <c r="HA38" s="27">
        <v>42.507196894102648</v>
      </c>
      <c r="HB38" s="27">
        <v>42.507196894102648</v>
      </c>
      <c r="HC38" s="27">
        <v>42.507196894102648</v>
      </c>
      <c r="HD38" s="27">
        <v>42.507196894102648</v>
      </c>
      <c r="HE38" s="27">
        <v>5.3</v>
      </c>
      <c r="HG38" s="27">
        <v>58.552364270083046</v>
      </c>
      <c r="HH38" s="27">
        <v>58.552364270083046</v>
      </c>
      <c r="HI38" s="27">
        <v>58.552364270083046</v>
      </c>
      <c r="HJ38" s="27">
        <v>58.552364270083046</v>
      </c>
      <c r="HK38" s="27">
        <v>58.552364270083046</v>
      </c>
      <c r="HL38" s="27">
        <v>58.552364270083046</v>
      </c>
      <c r="HM38" s="27">
        <v>58.552364270083046</v>
      </c>
      <c r="HN38" s="27">
        <v>58.552364270083046</v>
      </c>
      <c r="HO38" s="27">
        <v>58.552364270083046</v>
      </c>
      <c r="HP38" s="27">
        <v>5.3</v>
      </c>
      <c r="HR38" s="27">
        <v>58.552364270083046</v>
      </c>
      <c r="HS38" s="27">
        <v>58.552364270083046</v>
      </c>
      <c r="HT38" s="27">
        <v>58.552364270083046</v>
      </c>
      <c r="HU38" s="27">
        <v>58.552364270083046</v>
      </c>
      <c r="HV38" s="27">
        <v>58.552364270083046</v>
      </c>
      <c r="HW38" s="27">
        <v>58.552364270083046</v>
      </c>
      <c r="HX38" s="27">
        <v>58.552364270083046</v>
      </c>
      <c r="HY38" s="27">
        <v>58.552364270083046</v>
      </c>
      <c r="HZ38" s="27">
        <v>58.552364270083046</v>
      </c>
      <c r="IA38" s="27">
        <v>5.3</v>
      </c>
    </row>
    <row r="39" spans="15:235" ht="3" customHeight="1">
      <c r="O39" s="87">
        <v>88.184705690513965</v>
      </c>
      <c r="P39" s="87">
        <v>88.184705690513965</v>
      </c>
      <c r="Q39" s="87">
        <v>88.184705690513965</v>
      </c>
      <c r="R39" s="87">
        <v>88.184705690513965</v>
      </c>
      <c r="S39" s="87">
        <v>88.184705690513965</v>
      </c>
      <c r="T39" s="87">
        <v>88.184705690513965</v>
      </c>
      <c r="U39" s="87">
        <v>88.184705690513965</v>
      </c>
      <c r="V39" s="87">
        <v>88.184705690513965</v>
      </c>
      <c r="W39" s="87">
        <v>88.184705690513965</v>
      </c>
      <c r="X39" s="27">
        <v>3.4</v>
      </c>
      <c r="Y39" s="27"/>
      <c r="Z39" s="87">
        <v>140.53312817581167</v>
      </c>
      <c r="AA39" s="87">
        <v>140.53312817581167</v>
      </c>
      <c r="AB39" s="87">
        <v>140.53312817581167</v>
      </c>
      <c r="AC39" s="87">
        <v>140.53312817581167</v>
      </c>
      <c r="AD39" s="87">
        <v>140.53312817581167</v>
      </c>
      <c r="AE39" s="87">
        <v>140.53312817581167</v>
      </c>
      <c r="AF39" s="87">
        <v>140.53312817581167</v>
      </c>
      <c r="AG39" s="87">
        <v>140.53312817581167</v>
      </c>
      <c r="AH39" s="87">
        <v>140.53312817581167</v>
      </c>
      <c r="AI39" s="27">
        <v>3.4</v>
      </c>
      <c r="AK39" s="87">
        <v>142.10095983968421</v>
      </c>
      <c r="AL39" s="87">
        <v>142.10095983968421</v>
      </c>
      <c r="AM39" s="87">
        <v>142.10095983968421</v>
      </c>
      <c r="AN39" s="87">
        <v>142.10095983968421</v>
      </c>
      <c r="AO39" s="87">
        <v>142.10095983968421</v>
      </c>
      <c r="AP39" s="87">
        <v>142.10095983968421</v>
      </c>
      <c r="AQ39" s="87">
        <v>142.10095983968421</v>
      </c>
      <c r="AR39" s="87">
        <v>142.10095983968421</v>
      </c>
      <c r="AS39" s="87">
        <v>142.10095983968421</v>
      </c>
      <c r="AT39" s="27">
        <v>3.4</v>
      </c>
      <c r="AV39" s="87">
        <v>148.8522456692715</v>
      </c>
      <c r="AW39" s="87">
        <v>148.8522456692715</v>
      </c>
      <c r="AX39" s="87">
        <v>148.8522456692715</v>
      </c>
      <c r="AY39" s="87">
        <v>148.8522456692715</v>
      </c>
      <c r="AZ39" s="87">
        <v>148.8522456692715</v>
      </c>
      <c r="BA39" s="87">
        <v>148.8522456692715</v>
      </c>
      <c r="BB39" s="87">
        <v>148.8522456692715</v>
      </c>
      <c r="BC39" s="87">
        <v>148.8522456692715</v>
      </c>
      <c r="BD39" s="87">
        <v>148.8522456692715</v>
      </c>
      <c r="BE39" s="27">
        <v>3.4</v>
      </c>
      <c r="BG39" s="87">
        <v>181.10119047619077</v>
      </c>
      <c r="BH39" s="87">
        <v>181.10119047619077</v>
      </c>
      <c r="BI39" s="87">
        <v>181.10119047619077</v>
      </c>
      <c r="BJ39" s="87">
        <v>181.10119047619077</v>
      </c>
      <c r="BK39" s="87">
        <v>181.10119047619077</v>
      </c>
      <c r="BL39" s="87">
        <v>181.10119047619077</v>
      </c>
      <c r="BM39" s="87">
        <v>181.10119047619077</v>
      </c>
      <c r="BN39" s="87">
        <v>181.10119047619077</v>
      </c>
      <c r="BO39" s="87">
        <v>181.10119047619077</v>
      </c>
      <c r="BP39" s="27">
        <v>3.4</v>
      </c>
      <c r="BR39" s="87">
        <v>181.10119047619077</v>
      </c>
      <c r="BS39" s="87">
        <v>181.10119047619077</v>
      </c>
      <c r="BT39" s="87">
        <v>181.10119047619077</v>
      </c>
      <c r="BU39" s="87">
        <v>181.10119047619077</v>
      </c>
      <c r="BV39" s="87">
        <v>181.10119047619077</v>
      </c>
      <c r="BW39" s="87">
        <v>181.10119047619077</v>
      </c>
      <c r="BX39" s="87">
        <v>181.10119047619077</v>
      </c>
      <c r="BY39" s="87">
        <v>181.10119047619077</v>
      </c>
      <c r="BZ39" s="87">
        <v>181.10119047619077</v>
      </c>
      <c r="CA39" s="27">
        <v>3.4</v>
      </c>
      <c r="CC39" s="87">
        <v>55.016231008222029</v>
      </c>
      <c r="CD39" s="87">
        <v>55.016231008222029</v>
      </c>
      <c r="CE39" s="87">
        <v>55.016231008222029</v>
      </c>
      <c r="CF39" s="87">
        <v>55.016231008222029</v>
      </c>
      <c r="CG39" s="87">
        <v>55.016231008222029</v>
      </c>
      <c r="CH39" s="87">
        <v>55.016231008222029</v>
      </c>
      <c r="CI39" s="87">
        <v>55.016231008222029</v>
      </c>
      <c r="CJ39" s="87">
        <v>55.016231008222029</v>
      </c>
      <c r="CK39" s="87">
        <v>55.016231008222029</v>
      </c>
      <c r="CL39" s="27">
        <v>3.4</v>
      </c>
      <c r="CN39" s="87">
        <v>65.809269065971648</v>
      </c>
      <c r="CO39" s="87">
        <v>65.809269065971648</v>
      </c>
      <c r="CP39" s="87">
        <v>65.809269065971648</v>
      </c>
      <c r="CQ39" s="87">
        <v>65.809269065971648</v>
      </c>
      <c r="CR39" s="87">
        <v>65.809269065971648</v>
      </c>
      <c r="CS39" s="87">
        <v>65.809269065971648</v>
      </c>
      <c r="CT39" s="87">
        <v>65.809269065971648</v>
      </c>
      <c r="CU39" s="87">
        <v>65.809269065971648</v>
      </c>
      <c r="CV39" s="87">
        <v>65.809269065971648</v>
      </c>
      <c r="CW39" s="27">
        <v>3.4</v>
      </c>
      <c r="CY39" s="87">
        <v>91.859727864071687</v>
      </c>
      <c r="CZ39" s="87">
        <v>91.859727864071687</v>
      </c>
      <c r="DA39" s="87">
        <v>91.859727864071687</v>
      </c>
      <c r="DB39" s="87">
        <v>91.859727864071687</v>
      </c>
      <c r="DC39" s="87">
        <v>91.859727864071687</v>
      </c>
      <c r="DD39" s="87">
        <v>91.859727864071687</v>
      </c>
      <c r="DE39" s="87">
        <v>91.859727864071687</v>
      </c>
      <c r="DF39" s="87">
        <v>91.859727864071687</v>
      </c>
      <c r="DG39" s="87">
        <v>91.859727864071687</v>
      </c>
      <c r="DH39" s="27">
        <v>3.4</v>
      </c>
      <c r="DJ39" s="87">
        <v>91.859727864071687</v>
      </c>
      <c r="DK39" s="87">
        <v>91.859727864071687</v>
      </c>
      <c r="DL39" s="87">
        <v>91.859727864071687</v>
      </c>
      <c r="DM39" s="87">
        <v>91.859727864071687</v>
      </c>
      <c r="DN39" s="87">
        <v>91.859727864071687</v>
      </c>
      <c r="DO39" s="87">
        <v>91.859727864071687</v>
      </c>
      <c r="DP39" s="87">
        <v>91.859727864071687</v>
      </c>
      <c r="DQ39" s="87">
        <v>91.859727864071687</v>
      </c>
      <c r="DR39" s="87">
        <v>91.859727864071687</v>
      </c>
      <c r="DS39" s="27">
        <v>3.4</v>
      </c>
      <c r="DW39" s="27">
        <v>44.851074987077752</v>
      </c>
      <c r="DX39" s="27">
        <v>44.851074987077752</v>
      </c>
      <c r="DY39" s="27">
        <v>44.851074987077752</v>
      </c>
      <c r="DZ39" s="27">
        <v>44.851074987077752</v>
      </c>
      <c r="EA39" s="27">
        <v>44.851074987077752</v>
      </c>
      <c r="EB39" s="27">
        <v>44.851074987077752</v>
      </c>
      <c r="EC39" s="27">
        <v>44.851074987077752</v>
      </c>
      <c r="ED39" s="27">
        <v>44.851074987077752</v>
      </c>
      <c r="EE39" s="27">
        <v>44.851074987077752</v>
      </c>
      <c r="EF39" s="27">
        <v>5.4</v>
      </c>
      <c r="EH39" s="27">
        <v>76.743422028679447</v>
      </c>
      <c r="EI39" s="27">
        <v>76.743422028679447</v>
      </c>
      <c r="EJ39" s="27">
        <v>76.743422028679447</v>
      </c>
      <c r="EK39" s="27">
        <v>76.743422028679447</v>
      </c>
      <c r="EL39" s="27">
        <v>76.743422028679447</v>
      </c>
      <c r="EM39" s="27">
        <v>76.743422028679447</v>
      </c>
      <c r="EN39" s="27">
        <v>76.743422028679447</v>
      </c>
      <c r="EO39" s="27">
        <v>76.743422028679447</v>
      </c>
      <c r="EP39" s="27">
        <v>76.743422028679447</v>
      </c>
      <c r="EQ39" s="27">
        <v>5.4</v>
      </c>
      <c r="ES39" s="27">
        <v>89.972890266928644</v>
      </c>
      <c r="ET39" s="27">
        <v>89.972890266928644</v>
      </c>
      <c r="EU39" s="27">
        <v>89.972890266928644</v>
      </c>
      <c r="EV39" s="27">
        <v>89.972890266928644</v>
      </c>
      <c r="EW39" s="27">
        <v>89.972890266928644</v>
      </c>
      <c r="EX39" s="27">
        <v>89.972890266928644</v>
      </c>
      <c r="EY39" s="27">
        <v>89.972890266928644</v>
      </c>
      <c r="EZ39" s="27">
        <v>89.972890266928644</v>
      </c>
      <c r="FA39" s="27">
        <v>89.972890266928644</v>
      </c>
      <c r="FB39" s="27">
        <v>5.4</v>
      </c>
      <c r="FD39" s="27">
        <v>93.481567924469502</v>
      </c>
      <c r="FE39" s="27">
        <v>93.481567924469502</v>
      </c>
      <c r="FF39" s="27">
        <v>93.481567924469502</v>
      </c>
      <c r="FG39" s="27">
        <v>93.481567924469502</v>
      </c>
      <c r="FH39" s="27">
        <v>93.481567924469502</v>
      </c>
      <c r="FI39" s="27">
        <v>93.481567924469502</v>
      </c>
      <c r="FJ39" s="27">
        <v>93.481567924469502</v>
      </c>
      <c r="FK39" s="27">
        <v>93.481567924469502</v>
      </c>
      <c r="FL39" s="27">
        <v>93.481567924469502</v>
      </c>
      <c r="FM39" s="27">
        <v>5.4</v>
      </c>
      <c r="FO39" s="27">
        <v>146.75640998790763</v>
      </c>
      <c r="FP39" s="27">
        <v>146.75640998790763</v>
      </c>
      <c r="FQ39" s="27">
        <v>146.75640998790763</v>
      </c>
      <c r="FR39" s="27">
        <v>146.75640998790763</v>
      </c>
      <c r="FS39" s="27">
        <v>146.75640998790763</v>
      </c>
      <c r="FT39" s="27">
        <v>146.75640998790763</v>
      </c>
      <c r="FU39" s="27">
        <v>146.75640998790763</v>
      </c>
      <c r="FV39" s="27">
        <v>146.75640998790763</v>
      </c>
      <c r="FW39" s="27">
        <v>146.75640998790763</v>
      </c>
      <c r="FX39" s="27">
        <v>5.4</v>
      </c>
      <c r="FZ39" s="27">
        <v>146.75640998790763</v>
      </c>
      <c r="GA39" s="27">
        <v>146.75640998790763</v>
      </c>
      <c r="GB39" s="27">
        <v>146.75640998790763</v>
      </c>
      <c r="GC39" s="27">
        <v>146.75640998790763</v>
      </c>
      <c r="GD39" s="27">
        <v>146.75640998790763</v>
      </c>
      <c r="GE39" s="27">
        <v>146.75640998790763</v>
      </c>
      <c r="GF39" s="27">
        <v>146.75640998790763</v>
      </c>
      <c r="GG39" s="27">
        <v>146.75640998790763</v>
      </c>
      <c r="GH39" s="27">
        <v>146.75640998790763</v>
      </c>
      <c r="GI39" s="27">
        <v>5.4</v>
      </c>
      <c r="GJ39" s="27"/>
      <c r="GK39" s="27">
        <v>35.075527140806578</v>
      </c>
      <c r="GL39" s="27">
        <v>35.075527140806578</v>
      </c>
      <c r="GM39" s="27">
        <v>35.075527140806578</v>
      </c>
      <c r="GN39" s="27">
        <v>35.075527140806578</v>
      </c>
      <c r="GO39" s="27">
        <v>35.075527140806578</v>
      </c>
      <c r="GP39" s="27">
        <v>35.075527140806578</v>
      </c>
      <c r="GQ39" s="27">
        <v>35.075527140806578</v>
      </c>
      <c r="GR39" s="27">
        <v>35.075527140806578</v>
      </c>
      <c r="GS39" s="27">
        <v>35.075527140806578</v>
      </c>
      <c r="GT39" s="27">
        <v>5.4</v>
      </c>
      <c r="GV39" s="27">
        <v>41.722606349434436</v>
      </c>
      <c r="GW39" s="27">
        <v>41.722606349434436</v>
      </c>
      <c r="GX39" s="27">
        <v>41.722606349434436</v>
      </c>
      <c r="GY39" s="27">
        <v>41.722606349434436</v>
      </c>
      <c r="GZ39" s="27">
        <v>41.722606349434436</v>
      </c>
      <c r="HA39" s="27">
        <v>41.722606349434436</v>
      </c>
      <c r="HB39" s="27">
        <v>41.722606349434436</v>
      </c>
      <c r="HC39" s="27">
        <v>41.722606349434436</v>
      </c>
      <c r="HD39" s="27">
        <v>41.722606349434436</v>
      </c>
      <c r="HE39" s="27">
        <v>5.4</v>
      </c>
      <c r="HG39" s="27">
        <v>57.469574637008805</v>
      </c>
      <c r="HH39" s="27">
        <v>57.469574637008805</v>
      </c>
      <c r="HI39" s="27">
        <v>57.469574637008805</v>
      </c>
      <c r="HJ39" s="27">
        <v>57.469574637008805</v>
      </c>
      <c r="HK39" s="27">
        <v>57.469574637008805</v>
      </c>
      <c r="HL39" s="27">
        <v>57.469574637008805</v>
      </c>
      <c r="HM39" s="27">
        <v>57.469574637008805</v>
      </c>
      <c r="HN39" s="27">
        <v>57.469574637008805</v>
      </c>
      <c r="HO39" s="27">
        <v>57.469574637008805</v>
      </c>
      <c r="HP39" s="27">
        <v>5.4</v>
      </c>
      <c r="HR39" s="27">
        <v>57.469574637008805</v>
      </c>
      <c r="HS39" s="27">
        <v>57.469574637008805</v>
      </c>
      <c r="HT39" s="27">
        <v>57.469574637008805</v>
      </c>
      <c r="HU39" s="27">
        <v>57.469574637008805</v>
      </c>
      <c r="HV39" s="27">
        <v>57.469574637008805</v>
      </c>
      <c r="HW39" s="27">
        <v>57.469574637008805</v>
      </c>
      <c r="HX39" s="27">
        <v>57.469574637008805</v>
      </c>
      <c r="HY39" s="27">
        <v>57.469574637008805</v>
      </c>
      <c r="HZ39" s="27">
        <v>57.469574637008805</v>
      </c>
      <c r="IA39" s="27">
        <v>5.4</v>
      </c>
    </row>
    <row r="40" spans="15:235" ht="3" customHeight="1">
      <c r="O40" s="87">
        <v>84.858864939320711</v>
      </c>
      <c r="P40" s="87">
        <v>84.858864939320711</v>
      </c>
      <c r="Q40" s="87">
        <v>84.858864939320711</v>
      </c>
      <c r="R40" s="87">
        <v>84.858864939320711</v>
      </c>
      <c r="S40" s="87">
        <v>84.858864939320711</v>
      </c>
      <c r="T40" s="87">
        <v>84.858864939320711</v>
      </c>
      <c r="U40" s="87">
        <v>84.858864939320711</v>
      </c>
      <c r="V40" s="87">
        <v>84.858864939320711</v>
      </c>
      <c r="W40" s="87">
        <v>84.858864939320711</v>
      </c>
      <c r="X40" s="27">
        <v>3.5</v>
      </c>
      <c r="Y40" s="27"/>
      <c r="Z40" s="87">
        <v>135.62025851957617</v>
      </c>
      <c r="AA40" s="87">
        <v>135.62025851957617</v>
      </c>
      <c r="AB40" s="87">
        <v>135.62025851957617</v>
      </c>
      <c r="AC40" s="87">
        <v>135.62025851957617</v>
      </c>
      <c r="AD40" s="87">
        <v>135.62025851957617</v>
      </c>
      <c r="AE40" s="87">
        <v>135.62025851957617</v>
      </c>
      <c r="AF40" s="87">
        <v>135.62025851957617</v>
      </c>
      <c r="AG40" s="87">
        <v>135.62025851957617</v>
      </c>
      <c r="AH40" s="87">
        <v>135.62025851957617</v>
      </c>
      <c r="AI40" s="27">
        <v>3.5</v>
      </c>
      <c r="AK40" s="87">
        <v>138.08895836755428</v>
      </c>
      <c r="AL40" s="87">
        <v>138.08895836755428</v>
      </c>
      <c r="AM40" s="87">
        <v>138.08895836755428</v>
      </c>
      <c r="AN40" s="87">
        <v>138.08895836755428</v>
      </c>
      <c r="AO40" s="87">
        <v>138.08895836755428</v>
      </c>
      <c r="AP40" s="87">
        <v>138.08895836755428</v>
      </c>
      <c r="AQ40" s="87">
        <v>138.08895836755428</v>
      </c>
      <c r="AR40" s="87">
        <v>138.08895836755428</v>
      </c>
      <c r="AS40" s="87">
        <v>138.08895836755428</v>
      </c>
      <c r="AT40" s="27">
        <v>3.5</v>
      </c>
      <c r="AV40" s="87">
        <v>144.60081425335312</v>
      </c>
      <c r="AW40" s="87">
        <v>144.60081425335312</v>
      </c>
      <c r="AX40" s="87">
        <v>144.60081425335312</v>
      </c>
      <c r="AY40" s="87">
        <v>144.60081425335312</v>
      </c>
      <c r="AZ40" s="87">
        <v>144.60081425335312</v>
      </c>
      <c r="BA40" s="87">
        <v>144.60081425335312</v>
      </c>
      <c r="BB40" s="87">
        <v>144.60081425335312</v>
      </c>
      <c r="BC40" s="87">
        <v>144.60081425335312</v>
      </c>
      <c r="BD40" s="87">
        <v>144.60081425335312</v>
      </c>
      <c r="BE40" s="27">
        <v>3.5</v>
      </c>
      <c r="BG40" s="87">
        <v>178.87053571428601</v>
      </c>
      <c r="BH40" s="87">
        <v>178.87053571428601</v>
      </c>
      <c r="BI40" s="87">
        <v>178.87053571428601</v>
      </c>
      <c r="BJ40" s="87">
        <v>178.87053571428601</v>
      </c>
      <c r="BK40" s="87">
        <v>178.87053571428601</v>
      </c>
      <c r="BL40" s="87">
        <v>178.87053571428601</v>
      </c>
      <c r="BM40" s="87">
        <v>178.87053571428601</v>
      </c>
      <c r="BN40" s="87">
        <v>178.87053571428601</v>
      </c>
      <c r="BO40" s="87">
        <v>178.87053571428601</v>
      </c>
      <c r="BP40" s="27">
        <v>3.5</v>
      </c>
      <c r="BR40" s="87">
        <v>178.87053571428601</v>
      </c>
      <c r="BS40" s="87">
        <v>178.87053571428601</v>
      </c>
      <c r="BT40" s="87">
        <v>178.87053571428601</v>
      </c>
      <c r="BU40" s="87">
        <v>178.87053571428601</v>
      </c>
      <c r="BV40" s="87">
        <v>178.87053571428601</v>
      </c>
      <c r="BW40" s="87">
        <v>178.87053571428601</v>
      </c>
      <c r="BX40" s="87">
        <v>178.87053571428601</v>
      </c>
      <c r="BY40" s="87">
        <v>178.87053571428601</v>
      </c>
      <c r="BZ40" s="87">
        <v>178.87053571428601</v>
      </c>
      <c r="CA40" s="27">
        <v>3.5</v>
      </c>
      <c r="CC40" s="87">
        <v>53.45983313670709</v>
      </c>
      <c r="CD40" s="87">
        <v>53.45983313670709</v>
      </c>
      <c r="CE40" s="87">
        <v>53.45983313670709</v>
      </c>
      <c r="CF40" s="87">
        <v>53.45983313670709</v>
      </c>
      <c r="CG40" s="87">
        <v>53.45983313670709</v>
      </c>
      <c r="CH40" s="87">
        <v>53.45983313670709</v>
      </c>
      <c r="CI40" s="87">
        <v>53.45983313670709</v>
      </c>
      <c r="CJ40" s="87">
        <v>53.45983313670709</v>
      </c>
      <c r="CK40" s="87">
        <v>53.45983313670709</v>
      </c>
      <c r="CL40" s="27">
        <v>3.5</v>
      </c>
      <c r="CN40" s="87">
        <v>63.953099652042319</v>
      </c>
      <c r="CO40" s="87">
        <v>63.953099652042319</v>
      </c>
      <c r="CP40" s="87">
        <v>63.953099652042319</v>
      </c>
      <c r="CQ40" s="87">
        <v>63.953099652042319</v>
      </c>
      <c r="CR40" s="87">
        <v>63.953099652042319</v>
      </c>
      <c r="CS40" s="87">
        <v>63.953099652042319</v>
      </c>
      <c r="CT40" s="87">
        <v>63.953099652042319</v>
      </c>
      <c r="CU40" s="87">
        <v>63.953099652042319</v>
      </c>
      <c r="CV40" s="87">
        <v>63.953099652042319</v>
      </c>
      <c r="CW40" s="27">
        <v>3.5</v>
      </c>
      <c r="CY40" s="87">
        <v>89.22223160998098</v>
      </c>
      <c r="CZ40" s="87">
        <v>89.22223160998098</v>
      </c>
      <c r="DA40" s="87">
        <v>89.22223160998098</v>
      </c>
      <c r="DB40" s="87">
        <v>89.22223160998098</v>
      </c>
      <c r="DC40" s="87">
        <v>89.22223160998098</v>
      </c>
      <c r="DD40" s="87">
        <v>89.22223160998098</v>
      </c>
      <c r="DE40" s="87">
        <v>89.22223160998098</v>
      </c>
      <c r="DF40" s="87">
        <v>89.22223160998098</v>
      </c>
      <c r="DG40" s="87">
        <v>89.22223160998098</v>
      </c>
      <c r="DH40" s="27">
        <v>3.5</v>
      </c>
      <c r="DJ40" s="87">
        <v>89.22223160998098</v>
      </c>
      <c r="DK40" s="87">
        <v>89.22223160998098</v>
      </c>
      <c r="DL40" s="87">
        <v>89.22223160998098</v>
      </c>
      <c r="DM40" s="87">
        <v>89.22223160998098</v>
      </c>
      <c r="DN40" s="87">
        <v>89.22223160998098</v>
      </c>
      <c r="DO40" s="87">
        <v>89.22223160998098</v>
      </c>
      <c r="DP40" s="87">
        <v>89.22223160998098</v>
      </c>
      <c r="DQ40" s="87">
        <v>89.22223160998098</v>
      </c>
      <c r="DR40" s="87">
        <v>89.22223160998098</v>
      </c>
      <c r="DS40" s="27">
        <v>3.5</v>
      </c>
      <c r="DW40" s="27">
        <v>44.03026689965494</v>
      </c>
      <c r="DX40" s="27">
        <v>44.03026689965494</v>
      </c>
      <c r="DY40" s="27">
        <v>44.03026689965494</v>
      </c>
      <c r="DZ40" s="27">
        <v>44.03026689965494</v>
      </c>
      <c r="EA40" s="27">
        <v>44.03026689965494</v>
      </c>
      <c r="EB40" s="27">
        <v>44.03026689965494</v>
      </c>
      <c r="EC40" s="27">
        <v>44.03026689965494</v>
      </c>
      <c r="ED40" s="27">
        <v>44.03026689965494</v>
      </c>
      <c r="EE40" s="27">
        <v>44.03026689965494</v>
      </c>
      <c r="EF40" s="27">
        <v>5.5</v>
      </c>
      <c r="EH40" s="27">
        <v>75.288928904032346</v>
      </c>
      <c r="EI40" s="27">
        <v>75.288928904032346</v>
      </c>
      <c r="EJ40" s="27">
        <v>75.288928904032346</v>
      </c>
      <c r="EK40" s="27">
        <v>75.288928904032346</v>
      </c>
      <c r="EL40" s="27">
        <v>75.288928904032346</v>
      </c>
      <c r="EM40" s="27">
        <v>75.288928904032346</v>
      </c>
      <c r="EN40" s="27">
        <v>75.288928904032346</v>
      </c>
      <c r="EO40" s="27">
        <v>75.288928904032346</v>
      </c>
      <c r="EP40" s="27">
        <v>75.288928904032346</v>
      </c>
      <c r="EQ40" s="27">
        <v>5.5</v>
      </c>
      <c r="ES40" s="27">
        <v>88.355793755452382</v>
      </c>
      <c r="ET40" s="27">
        <v>88.355793755452382</v>
      </c>
      <c r="EU40" s="27">
        <v>88.355793755452382</v>
      </c>
      <c r="EV40" s="27">
        <v>88.355793755452382</v>
      </c>
      <c r="EW40" s="27">
        <v>88.355793755452382</v>
      </c>
      <c r="EX40" s="27">
        <v>88.355793755452382</v>
      </c>
      <c r="EY40" s="27">
        <v>88.355793755452382</v>
      </c>
      <c r="EZ40" s="27">
        <v>88.355793755452382</v>
      </c>
      <c r="FA40" s="27">
        <v>88.355793755452382</v>
      </c>
      <c r="FB40" s="27">
        <v>5.5</v>
      </c>
      <c r="FD40" s="27">
        <v>91.792440298190115</v>
      </c>
      <c r="FE40" s="27">
        <v>91.792440298190115</v>
      </c>
      <c r="FF40" s="27">
        <v>91.792440298190115</v>
      </c>
      <c r="FG40" s="27">
        <v>91.792440298190115</v>
      </c>
      <c r="FH40" s="27">
        <v>91.792440298190115</v>
      </c>
      <c r="FI40" s="27">
        <v>91.792440298190115</v>
      </c>
      <c r="FJ40" s="27">
        <v>91.792440298190115</v>
      </c>
      <c r="FK40" s="27">
        <v>91.792440298190115</v>
      </c>
      <c r="FL40" s="27">
        <v>91.792440298190115</v>
      </c>
      <c r="FM40" s="27">
        <v>5.5</v>
      </c>
      <c r="FO40" s="27">
        <v>144.07253358125658</v>
      </c>
      <c r="FP40" s="27">
        <v>144.07253358125658</v>
      </c>
      <c r="FQ40" s="27">
        <v>144.07253358125658</v>
      </c>
      <c r="FR40" s="27">
        <v>144.07253358125658</v>
      </c>
      <c r="FS40" s="27">
        <v>144.07253358125658</v>
      </c>
      <c r="FT40" s="27">
        <v>144.07253358125658</v>
      </c>
      <c r="FU40" s="27">
        <v>144.07253358125658</v>
      </c>
      <c r="FV40" s="27">
        <v>144.07253358125658</v>
      </c>
      <c r="FW40" s="27">
        <v>144.07253358125658</v>
      </c>
      <c r="FX40" s="27">
        <v>5.5</v>
      </c>
      <c r="FZ40" s="27">
        <v>144.07253358125658</v>
      </c>
      <c r="GA40" s="27">
        <v>144.07253358125658</v>
      </c>
      <c r="GB40" s="27">
        <v>144.07253358125658</v>
      </c>
      <c r="GC40" s="27">
        <v>144.07253358125658</v>
      </c>
      <c r="GD40" s="27">
        <v>144.07253358125658</v>
      </c>
      <c r="GE40" s="27">
        <v>144.07253358125658</v>
      </c>
      <c r="GF40" s="27">
        <v>144.07253358125658</v>
      </c>
      <c r="GG40" s="27">
        <v>144.07253358125658</v>
      </c>
      <c r="GH40" s="27">
        <v>144.07253358125658</v>
      </c>
      <c r="GI40" s="27">
        <v>5.5</v>
      </c>
      <c r="GJ40" s="27"/>
      <c r="GK40" s="27">
        <v>34.432864994562294</v>
      </c>
      <c r="GL40" s="27">
        <v>34.432864994562294</v>
      </c>
      <c r="GM40" s="27">
        <v>34.432864994562294</v>
      </c>
      <c r="GN40" s="27">
        <v>34.432864994562294</v>
      </c>
      <c r="GO40" s="27">
        <v>34.432864994562294</v>
      </c>
      <c r="GP40" s="27">
        <v>34.432864994562294</v>
      </c>
      <c r="GQ40" s="27">
        <v>34.432864994562294</v>
      </c>
      <c r="GR40" s="27">
        <v>34.432864994562294</v>
      </c>
      <c r="GS40" s="27">
        <v>34.432864994562294</v>
      </c>
      <c r="GT40" s="27">
        <v>5.5</v>
      </c>
      <c r="GV40" s="27">
        <v>40.966500045174065</v>
      </c>
      <c r="GW40" s="27">
        <v>40.966500045174065</v>
      </c>
      <c r="GX40" s="27">
        <v>40.966500045174065</v>
      </c>
      <c r="GY40" s="27">
        <v>40.966500045174065</v>
      </c>
      <c r="GZ40" s="27">
        <v>40.966500045174065</v>
      </c>
      <c r="HA40" s="27">
        <v>40.966500045174065</v>
      </c>
      <c r="HB40" s="27">
        <v>40.966500045174065</v>
      </c>
      <c r="HC40" s="27">
        <v>40.966500045174065</v>
      </c>
      <c r="HD40" s="27">
        <v>40.966500045174065</v>
      </c>
      <c r="HE40" s="27">
        <v>5.5</v>
      </c>
      <c r="HG40" s="27">
        <v>56.426131944844485</v>
      </c>
      <c r="HH40" s="27">
        <v>56.426131944844485</v>
      </c>
      <c r="HI40" s="27">
        <v>56.426131944844485</v>
      </c>
      <c r="HJ40" s="27">
        <v>56.426131944844485</v>
      </c>
      <c r="HK40" s="27">
        <v>56.426131944844485</v>
      </c>
      <c r="HL40" s="27">
        <v>56.426131944844485</v>
      </c>
      <c r="HM40" s="27">
        <v>56.426131944844485</v>
      </c>
      <c r="HN40" s="27">
        <v>56.426131944844485</v>
      </c>
      <c r="HO40" s="27">
        <v>56.426131944844485</v>
      </c>
      <c r="HP40" s="27">
        <v>5.5</v>
      </c>
      <c r="HR40" s="27">
        <v>56.426131944844485</v>
      </c>
      <c r="HS40" s="27">
        <v>56.426131944844485</v>
      </c>
      <c r="HT40" s="27">
        <v>56.426131944844485</v>
      </c>
      <c r="HU40" s="27">
        <v>56.426131944844485</v>
      </c>
      <c r="HV40" s="27">
        <v>56.426131944844485</v>
      </c>
      <c r="HW40" s="27">
        <v>56.426131944844485</v>
      </c>
      <c r="HX40" s="27">
        <v>56.426131944844485</v>
      </c>
      <c r="HY40" s="27">
        <v>56.426131944844485</v>
      </c>
      <c r="HZ40" s="27">
        <v>56.426131944844485</v>
      </c>
      <c r="IA40" s="27">
        <v>5.5</v>
      </c>
    </row>
    <row r="41" spans="15:235" ht="3" customHeight="1">
      <c r="O41" s="87">
        <v>81.746946877421308</v>
      </c>
      <c r="P41" s="87">
        <v>81.746946877421308</v>
      </c>
      <c r="Q41" s="87">
        <v>81.746946877421308</v>
      </c>
      <c r="R41" s="87">
        <v>81.746946877421308</v>
      </c>
      <c r="S41" s="87">
        <v>81.746946877421308</v>
      </c>
      <c r="T41" s="87">
        <v>81.746946877421308</v>
      </c>
      <c r="U41" s="87">
        <v>81.746946877421308</v>
      </c>
      <c r="V41" s="87">
        <v>81.746946877421308</v>
      </c>
      <c r="W41" s="87">
        <v>81.746946877421308</v>
      </c>
      <c r="X41" s="27">
        <v>3.6</v>
      </c>
      <c r="Y41" s="27"/>
      <c r="Z41" s="87">
        <v>131.01041090290988</v>
      </c>
      <c r="AA41" s="87">
        <v>131.01041090290988</v>
      </c>
      <c r="AB41" s="87">
        <v>131.01041090290988</v>
      </c>
      <c r="AC41" s="87">
        <v>131.01041090290988</v>
      </c>
      <c r="AD41" s="87">
        <v>131.01041090290988</v>
      </c>
      <c r="AE41" s="87">
        <v>131.01041090290988</v>
      </c>
      <c r="AF41" s="87">
        <v>131.01041090290988</v>
      </c>
      <c r="AG41" s="87">
        <v>131.01041090290988</v>
      </c>
      <c r="AH41" s="87">
        <v>131.01041090290988</v>
      </c>
      <c r="AI41" s="27">
        <v>3.6</v>
      </c>
      <c r="AK41" s="87">
        <v>134.29854598941557</v>
      </c>
      <c r="AL41" s="87">
        <v>134.29854598941557</v>
      </c>
      <c r="AM41" s="87">
        <v>134.29854598941557</v>
      </c>
      <c r="AN41" s="87">
        <v>134.29854598941557</v>
      </c>
      <c r="AO41" s="87">
        <v>134.29854598941557</v>
      </c>
      <c r="AP41" s="87">
        <v>134.29854598941557</v>
      </c>
      <c r="AQ41" s="87">
        <v>134.29854598941557</v>
      </c>
      <c r="AR41" s="87">
        <v>134.29854598941557</v>
      </c>
      <c r="AS41" s="87">
        <v>134.29854598941557</v>
      </c>
      <c r="AT41" s="27">
        <v>3.6</v>
      </c>
      <c r="AV41" s="87">
        <v>140.58553267757256</v>
      </c>
      <c r="AW41" s="87">
        <v>140.58553267757256</v>
      </c>
      <c r="AX41" s="87">
        <v>140.58553267757256</v>
      </c>
      <c r="AY41" s="87">
        <v>140.58553267757256</v>
      </c>
      <c r="AZ41" s="87">
        <v>140.58553267757256</v>
      </c>
      <c r="BA41" s="87">
        <v>140.58553267757256</v>
      </c>
      <c r="BB41" s="87">
        <v>140.58553267757256</v>
      </c>
      <c r="BC41" s="87">
        <v>140.58553267757256</v>
      </c>
      <c r="BD41" s="87">
        <v>140.58553267757256</v>
      </c>
      <c r="BE41" s="27">
        <v>3.6</v>
      </c>
      <c r="BG41" s="87">
        <v>176.66071428571456</v>
      </c>
      <c r="BH41" s="87">
        <v>176.66071428571456</v>
      </c>
      <c r="BI41" s="87">
        <v>176.66071428571456</v>
      </c>
      <c r="BJ41" s="87">
        <v>176.66071428571456</v>
      </c>
      <c r="BK41" s="87">
        <v>176.66071428571456</v>
      </c>
      <c r="BL41" s="87">
        <v>176.66071428571456</v>
      </c>
      <c r="BM41" s="87">
        <v>176.66071428571456</v>
      </c>
      <c r="BN41" s="87">
        <v>176.66071428571456</v>
      </c>
      <c r="BO41" s="87">
        <v>176.66071428571456</v>
      </c>
      <c r="BP41" s="27">
        <v>3.6</v>
      </c>
      <c r="BR41" s="87">
        <v>176.66071428571456</v>
      </c>
      <c r="BS41" s="87">
        <v>176.66071428571456</v>
      </c>
      <c r="BT41" s="87">
        <v>176.66071428571456</v>
      </c>
      <c r="BU41" s="87">
        <v>176.66071428571456</v>
      </c>
      <c r="BV41" s="87">
        <v>176.66071428571456</v>
      </c>
      <c r="BW41" s="87">
        <v>176.66071428571456</v>
      </c>
      <c r="BX41" s="87">
        <v>176.66071428571456</v>
      </c>
      <c r="BY41" s="87">
        <v>176.66071428571456</v>
      </c>
      <c r="BZ41" s="87">
        <v>176.66071428571456</v>
      </c>
      <c r="CA41" s="27">
        <v>3.6</v>
      </c>
      <c r="CC41" s="87">
        <v>51.989481601951738</v>
      </c>
      <c r="CD41" s="87">
        <v>51.989481601951738</v>
      </c>
      <c r="CE41" s="87">
        <v>51.989481601951738</v>
      </c>
      <c r="CF41" s="87">
        <v>51.989481601951738</v>
      </c>
      <c r="CG41" s="87">
        <v>51.989481601951738</v>
      </c>
      <c r="CH41" s="87">
        <v>51.989481601951738</v>
      </c>
      <c r="CI41" s="87">
        <v>51.989481601951738</v>
      </c>
      <c r="CJ41" s="87">
        <v>51.989481601951738</v>
      </c>
      <c r="CK41" s="87">
        <v>51.989481601951738</v>
      </c>
      <c r="CL41" s="27">
        <v>3.6</v>
      </c>
      <c r="CN41" s="87">
        <v>62.19939924228882</v>
      </c>
      <c r="CO41" s="87">
        <v>62.19939924228882</v>
      </c>
      <c r="CP41" s="87">
        <v>62.19939924228882</v>
      </c>
      <c r="CQ41" s="87">
        <v>62.19939924228882</v>
      </c>
      <c r="CR41" s="87">
        <v>62.19939924228882</v>
      </c>
      <c r="CS41" s="87">
        <v>62.19939924228882</v>
      </c>
      <c r="CT41" s="87">
        <v>62.19939924228882</v>
      </c>
      <c r="CU41" s="87">
        <v>62.19939924228882</v>
      </c>
      <c r="CV41" s="87">
        <v>62.19939924228882</v>
      </c>
      <c r="CW41" s="27">
        <v>3.6</v>
      </c>
      <c r="CY41" s="87">
        <v>86.731618898239802</v>
      </c>
      <c r="CZ41" s="87">
        <v>86.731618898239802</v>
      </c>
      <c r="DA41" s="87">
        <v>86.731618898239802</v>
      </c>
      <c r="DB41" s="87">
        <v>86.731618898239802</v>
      </c>
      <c r="DC41" s="87">
        <v>86.731618898239802</v>
      </c>
      <c r="DD41" s="87">
        <v>86.731618898239802</v>
      </c>
      <c r="DE41" s="87">
        <v>86.731618898239802</v>
      </c>
      <c r="DF41" s="87">
        <v>86.731618898239802</v>
      </c>
      <c r="DG41" s="87">
        <v>86.731618898239802</v>
      </c>
      <c r="DH41" s="27">
        <v>3.6</v>
      </c>
      <c r="DJ41" s="87">
        <v>86.731618898239802</v>
      </c>
      <c r="DK41" s="87">
        <v>86.731618898239802</v>
      </c>
      <c r="DL41" s="87">
        <v>86.731618898239802</v>
      </c>
      <c r="DM41" s="87">
        <v>86.731618898239802</v>
      </c>
      <c r="DN41" s="87">
        <v>86.731618898239802</v>
      </c>
      <c r="DO41" s="87">
        <v>86.731618898239802</v>
      </c>
      <c r="DP41" s="87">
        <v>86.731618898239802</v>
      </c>
      <c r="DQ41" s="87">
        <v>86.731618898239802</v>
      </c>
      <c r="DR41" s="87">
        <v>86.731618898239802</v>
      </c>
      <c r="DS41" s="27">
        <v>3.6</v>
      </c>
      <c r="DW41" s="27">
        <v>43.23886840128916</v>
      </c>
      <c r="DX41" s="27">
        <v>43.23886840128916</v>
      </c>
      <c r="DY41" s="27">
        <v>43.23886840128916</v>
      </c>
      <c r="DZ41" s="27">
        <v>43.23886840128916</v>
      </c>
      <c r="EA41" s="27">
        <v>43.23886840128916</v>
      </c>
      <c r="EB41" s="27">
        <v>43.23886840128916</v>
      </c>
      <c r="EC41" s="27">
        <v>43.23886840128916</v>
      </c>
      <c r="ED41" s="27">
        <v>43.23886840128916</v>
      </c>
      <c r="EE41" s="27">
        <v>43.23886840128916</v>
      </c>
      <c r="EF41" s="27">
        <v>5.6</v>
      </c>
      <c r="EH41" s="27">
        <v>73.887473290740473</v>
      </c>
      <c r="EI41" s="27">
        <v>73.887473290740473</v>
      </c>
      <c r="EJ41" s="27">
        <v>73.887473290740473</v>
      </c>
      <c r="EK41" s="27">
        <v>73.887473290740473</v>
      </c>
      <c r="EL41" s="27">
        <v>73.887473290740473</v>
      </c>
      <c r="EM41" s="27">
        <v>73.887473290740473</v>
      </c>
      <c r="EN41" s="27">
        <v>73.887473290740473</v>
      </c>
      <c r="EO41" s="27">
        <v>73.887473290740473</v>
      </c>
      <c r="EP41" s="27">
        <v>73.887473290740473</v>
      </c>
      <c r="EQ41" s="27">
        <v>5.6</v>
      </c>
      <c r="ES41" s="27">
        <v>86.796122252572701</v>
      </c>
      <c r="ET41" s="27">
        <v>86.796122252572701</v>
      </c>
      <c r="EU41" s="27">
        <v>86.796122252572701</v>
      </c>
      <c r="EV41" s="27">
        <v>86.796122252572701</v>
      </c>
      <c r="EW41" s="27">
        <v>86.796122252572701</v>
      </c>
      <c r="EX41" s="27">
        <v>86.796122252572701</v>
      </c>
      <c r="EY41" s="27">
        <v>86.796122252572701</v>
      </c>
      <c r="EZ41" s="27">
        <v>86.796122252572701</v>
      </c>
      <c r="FA41" s="27">
        <v>86.796122252572701</v>
      </c>
      <c r="FB41" s="27">
        <v>5.6</v>
      </c>
      <c r="FD41" s="27">
        <v>90.163453334700606</v>
      </c>
      <c r="FE41" s="27">
        <v>90.163453334700606</v>
      </c>
      <c r="FF41" s="27">
        <v>90.163453334700606</v>
      </c>
      <c r="FG41" s="27">
        <v>90.163453334700606</v>
      </c>
      <c r="FH41" s="27">
        <v>90.163453334700606</v>
      </c>
      <c r="FI41" s="27">
        <v>90.163453334700606</v>
      </c>
      <c r="FJ41" s="27">
        <v>90.163453334700606</v>
      </c>
      <c r="FK41" s="27">
        <v>90.163453334700606</v>
      </c>
      <c r="FL41" s="27">
        <v>90.163453334700606</v>
      </c>
      <c r="FM41" s="27">
        <v>5.6</v>
      </c>
      <c r="FO41" s="27">
        <v>141.48478720139272</v>
      </c>
      <c r="FP41" s="27">
        <v>141.48478720139272</v>
      </c>
      <c r="FQ41" s="27">
        <v>141.48478720139272</v>
      </c>
      <c r="FR41" s="27">
        <v>141.48478720139272</v>
      </c>
      <c r="FS41" s="27">
        <v>141.48478720139272</v>
      </c>
      <c r="FT41" s="27">
        <v>141.48478720139272</v>
      </c>
      <c r="FU41" s="27">
        <v>141.48478720139272</v>
      </c>
      <c r="FV41" s="27">
        <v>141.48478720139272</v>
      </c>
      <c r="FW41" s="27">
        <v>141.48478720139272</v>
      </c>
      <c r="FX41" s="27">
        <v>5.6</v>
      </c>
      <c r="FZ41" s="27">
        <v>141.48478720139272</v>
      </c>
      <c r="GA41" s="27">
        <v>141.48478720139272</v>
      </c>
      <c r="GB41" s="27">
        <v>141.48478720139272</v>
      </c>
      <c r="GC41" s="27">
        <v>141.48478720139272</v>
      </c>
      <c r="GD41" s="27">
        <v>141.48478720139272</v>
      </c>
      <c r="GE41" s="27">
        <v>141.48478720139272</v>
      </c>
      <c r="GF41" s="27">
        <v>141.48478720139272</v>
      </c>
      <c r="GG41" s="27">
        <v>141.48478720139272</v>
      </c>
      <c r="GH41" s="27">
        <v>141.48478720139272</v>
      </c>
      <c r="GI41" s="27">
        <v>5.6</v>
      </c>
      <c r="GJ41" s="27"/>
      <c r="GK41" s="27">
        <v>33.813242905070581</v>
      </c>
      <c r="GL41" s="27">
        <v>33.813242905070581</v>
      </c>
      <c r="GM41" s="27">
        <v>33.813242905070581</v>
      </c>
      <c r="GN41" s="27">
        <v>33.813242905070581</v>
      </c>
      <c r="GO41" s="27">
        <v>33.813242905070581</v>
      </c>
      <c r="GP41" s="27">
        <v>33.813242905070581</v>
      </c>
      <c r="GQ41" s="27">
        <v>33.813242905070581</v>
      </c>
      <c r="GR41" s="27">
        <v>33.813242905070581</v>
      </c>
      <c r="GS41" s="27">
        <v>33.813242905070581</v>
      </c>
      <c r="GT41" s="27">
        <v>5.6</v>
      </c>
      <c r="GV41" s="27">
        <v>40.237353676897705</v>
      </c>
      <c r="GW41" s="27">
        <v>40.237353676897705</v>
      </c>
      <c r="GX41" s="27">
        <v>40.237353676897705</v>
      </c>
      <c r="GY41" s="27">
        <v>40.237353676897705</v>
      </c>
      <c r="GZ41" s="27">
        <v>40.237353676897705</v>
      </c>
      <c r="HA41" s="27">
        <v>40.237353676897705</v>
      </c>
      <c r="HB41" s="27">
        <v>40.237353676897705</v>
      </c>
      <c r="HC41" s="27">
        <v>40.237353676897705</v>
      </c>
      <c r="HD41" s="27">
        <v>40.237353676897705</v>
      </c>
      <c r="HE41" s="27">
        <v>5.6</v>
      </c>
      <c r="HG41" s="27">
        <v>55.419929284821329</v>
      </c>
      <c r="HH41" s="27">
        <v>55.419929284821329</v>
      </c>
      <c r="HI41" s="27">
        <v>55.419929284821329</v>
      </c>
      <c r="HJ41" s="27">
        <v>55.419929284821329</v>
      </c>
      <c r="HK41" s="27">
        <v>55.419929284821329</v>
      </c>
      <c r="HL41" s="27">
        <v>55.419929284821329</v>
      </c>
      <c r="HM41" s="27">
        <v>55.419929284821329</v>
      </c>
      <c r="HN41" s="27">
        <v>55.419929284821329</v>
      </c>
      <c r="HO41" s="27">
        <v>55.419929284821329</v>
      </c>
      <c r="HP41" s="27">
        <v>5.6</v>
      </c>
      <c r="HR41" s="27">
        <v>55.419929284821329</v>
      </c>
      <c r="HS41" s="27">
        <v>55.419929284821329</v>
      </c>
      <c r="HT41" s="27">
        <v>55.419929284821329</v>
      </c>
      <c r="HU41" s="27">
        <v>55.419929284821329</v>
      </c>
      <c r="HV41" s="27">
        <v>55.419929284821329</v>
      </c>
      <c r="HW41" s="27">
        <v>55.419929284821329</v>
      </c>
      <c r="HX41" s="27">
        <v>55.419929284821329</v>
      </c>
      <c r="HY41" s="27">
        <v>55.419929284821329</v>
      </c>
      <c r="HZ41" s="27">
        <v>55.419929284821329</v>
      </c>
      <c r="IA41" s="27">
        <v>5.6</v>
      </c>
    </row>
    <row r="42" spans="15:235" ht="3" customHeight="1">
      <c r="O42" s="87">
        <v>78.829806388378955</v>
      </c>
      <c r="P42" s="87">
        <v>78.829806388378955</v>
      </c>
      <c r="Q42" s="87">
        <v>78.829806388378955</v>
      </c>
      <c r="R42" s="87">
        <v>78.829806388378955</v>
      </c>
      <c r="S42" s="87">
        <v>78.829806388378955</v>
      </c>
      <c r="T42" s="87">
        <v>78.829806388378955</v>
      </c>
      <c r="U42" s="87">
        <v>78.829806388378955</v>
      </c>
      <c r="V42" s="87">
        <v>78.829806388378955</v>
      </c>
      <c r="W42" s="87">
        <v>78.829806388378955</v>
      </c>
      <c r="X42" s="27">
        <v>3.7</v>
      </c>
      <c r="Y42" s="27"/>
      <c r="Z42" s="87">
        <v>126.67723479750757</v>
      </c>
      <c r="AA42" s="87">
        <v>126.67723479750757</v>
      </c>
      <c r="AB42" s="87">
        <v>126.67723479750757</v>
      </c>
      <c r="AC42" s="87">
        <v>126.67723479750757</v>
      </c>
      <c r="AD42" s="87">
        <v>126.67723479750757</v>
      </c>
      <c r="AE42" s="87">
        <v>126.67723479750757</v>
      </c>
      <c r="AF42" s="87">
        <v>126.67723479750757</v>
      </c>
      <c r="AG42" s="87">
        <v>126.67723479750757</v>
      </c>
      <c r="AH42" s="87">
        <v>126.67723479750757</v>
      </c>
      <c r="AI42" s="27">
        <v>3.7</v>
      </c>
      <c r="AK42" s="87">
        <v>130.71182493199007</v>
      </c>
      <c r="AL42" s="87">
        <v>130.71182493199007</v>
      </c>
      <c r="AM42" s="87">
        <v>130.71182493199007</v>
      </c>
      <c r="AN42" s="87">
        <v>130.71182493199007</v>
      </c>
      <c r="AO42" s="87">
        <v>130.71182493199007</v>
      </c>
      <c r="AP42" s="87">
        <v>130.71182493199007</v>
      </c>
      <c r="AQ42" s="87">
        <v>130.71182493199007</v>
      </c>
      <c r="AR42" s="87">
        <v>130.71182493199007</v>
      </c>
      <c r="AS42" s="87">
        <v>130.71182493199007</v>
      </c>
      <c r="AT42" s="27">
        <v>3.7</v>
      </c>
      <c r="AV42" s="87">
        <v>136.78725583251691</v>
      </c>
      <c r="AW42" s="87">
        <v>136.78725583251691</v>
      </c>
      <c r="AX42" s="87">
        <v>136.78725583251691</v>
      </c>
      <c r="AY42" s="87">
        <v>136.78725583251691</v>
      </c>
      <c r="AZ42" s="87">
        <v>136.78725583251691</v>
      </c>
      <c r="BA42" s="87">
        <v>136.78725583251691</v>
      </c>
      <c r="BB42" s="87">
        <v>136.78725583251691</v>
      </c>
      <c r="BC42" s="87">
        <v>136.78725583251691</v>
      </c>
      <c r="BD42" s="87">
        <v>136.78725583251691</v>
      </c>
      <c r="BE42" s="27">
        <v>3.7</v>
      </c>
      <c r="BG42" s="87">
        <v>174.47172619047646</v>
      </c>
      <c r="BH42" s="87">
        <v>174.47172619047646</v>
      </c>
      <c r="BI42" s="87">
        <v>174.47172619047646</v>
      </c>
      <c r="BJ42" s="87">
        <v>174.47172619047646</v>
      </c>
      <c r="BK42" s="87">
        <v>174.47172619047646</v>
      </c>
      <c r="BL42" s="87">
        <v>174.47172619047646</v>
      </c>
      <c r="BM42" s="87">
        <v>174.47172619047646</v>
      </c>
      <c r="BN42" s="87">
        <v>174.47172619047646</v>
      </c>
      <c r="BO42" s="87">
        <v>174.47172619047646</v>
      </c>
      <c r="BP42" s="27">
        <v>3.7</v>
      </c>
      <c r="BR42" s="87">
        <v>174.47172619047646</v>
      </c>
      <c r="BS42" s="87">
        <v>174.47172619047646</v>
      </c>
      <c r="BT42" s="87">
        <v>174.47172619047646</v>
      </c>
      <c r="BU42" s="87">
        <v>174.47172619047646</v>
      </c>
      <c r="BV42" s="87">
        <v>174.47172619047646</v>
      </c>
      <c r="BW42" s="87">
        <v>174.47172619047646</v>
      </c>
      <c r="BX42" s="87">
        <v>174.47172619047646</v>
      </c>
      <c r="BY42" s="87">
        <v>174.47172619047646</v>
      </c>
      <c r="BZ42" s="87">
        <v>174.47172619047646</v>
      </c>
      <c r="CA42" s="27">
        <v>3.7</v>
      </c>
      <c r="CC42" s="87">
        <v>50.598221972312096</v>
      </c>
      <c r="CD42" s="87">
        <v>50.598221972312096</v>
      </c>
      <c r="CE42" s="87">
        <v>50.598221972312096</v>
      </c>
      <c r="CF42" s="87">
        <v>50.598221972312096</v>
      </c>
      <c r="CG42" s="87">
        <v>50.598221972312096</v>
      </c>
      <c r="CH42" s="87">
        <v>50.598221972312096</v>
      </c>
      <c r="CI42" s="87">
        <v>50.598221972312096</v>
      </c>
      <c r="CJ42" s="87">
        <v>50.598221972312096</v>
      </c>
      <c r="CK42" s="87">
        <v>50.598221972312096</v>
      </c>
      <c r="CL42" s="27">
        <v>3.7</v>
      </c>
      <c r="CN42" s="87">
        <v>60.539894060973907</v>
      </c>
      <c r="CO42" s="87">
        <v>60.539894060973907</v>
      </c>
      <c r="CP42" s="87">
        <v>60.539894060973907</v>
      </c>
      <c r="CQ42" s="87">
        <v>60.539894060973907</v>
      </c>
      <c r="CR42" s="87">
        <v>60.539894060973907</v>
      </c>
      <c r="CS42" s="87">
        <v>60.539894060973907</v>
      </c>
      <c r="CT42" s="87">
        <v>60.539894060973907</v>
      </c>
      <c r="CU42" s="87">
        <v>60.539894060973907</v>
      </c>
      <c r="CV42" s="87">
        <v>60.539894060973907</v>
      </c>
      <c r="CW42" s="27">
        <v>3.7</v>
      </c>
      <c r="CY42" s="87">
        <v>84.375961224457711</v>
      </c>
      <c r="CZ42" s="87">
        <v>84.375961224457711</v>
      </c>
      <c r="DA42" s="87">
        <v>84.375961224457711</v>
      </c>
      <c r="DB42" s="87">
        <v>84.375961224457711</v>
      </c>
      <c r="DC42" s="87">
        <v>84.375961224457711</v>
      </c>
      <c r="DD42" s="87">
        <v>84.375961224457711</v>
      </c>
      <c r="DE42" s="87">
        <v>84.375961224457711</v>
      </c>
      <c r="DF42" s="87">
        <v>84.375961224457711</v>
      </c>
      <c r="DG42" s="87">
        <v>84.375961224457711</v>
      </c>
      <c r="DH42" s="27">
        <v>3.7</v>
      </c>
      <c r="DJ42" s="87">
        <v>84.375961224457711</v>
      </c>
      <c r="DK42" s="87">
        <v>84.375961224457711</v>
      </c>
      <c r="DL42" s="87">
        <v>84.375961224457711</v>
      </c>
      <c r="DM42" s="87">
        <v>84.375961224457711</v>
      </c>
      <c r="DN42" s="87">
        <v>84.375961224457711</v>
      </c>
      <c r="DO42" s="87">
        <v>84.375961224457711</v>
      </c>
      <c r="DP42" s="87">
        <v>84.375961224457711</v>
      </c>
      <c r="DQ42" s="87">
        <v>84.375961224457711</v>
      </c>
      <c r="DR42" s="87">
        <v>84.375961224457711</v>
      </c>
      <c r="DS42" s="27">
        <v>3.7</v>
      </c>
      <c r="DW42" s="27">
        <v>42.47532830355614</v>
      </c>
      <c r="DX42" s="27">
        <v>42.47532830355614</v>
      </c>
      <c r="DY42" s="27">
        <v>42.47532830355614</v>
      </c>
      <c r="DZ42" s="27">
        <v>42.47532830355614</v>
      </c>
      <c r="EA42" s="27">
        <v>42.47532830355614</v>
      </c>
      <c r="EB42" s="27">
        <v>42.47532830355614</v>
      </c>
      <c r="EC42" s="27">
        <v>42.47532830355614</v>
      </c>
      <c r="ED42" s="27">
        <v>42.47532830355614</v>
      </c>
      <c r="EE42" s="27">
        <v>42.47532830355614</v>
      </c>
      <c r="EF42" s="27">
        <v>5.7</v>
      </c>
      <c r="EH42" s="27">
        <v>72.536224986862763</v>
      </c>
      <c r="EI42" s="27">
        <v>72.536224986862763</v>
      </c>
      <c r="EJ42" s="27">
        <v>72.536224986862763</v>
      </c>
      <c r="EK42" s="27">
        <v>72.536224986862763</v>
      </c>
      <c r="EL42" s="27">
        <v>72.536224986862763</v>
      </c>
      <c r="EM42" s="27">
        <v>72.536224986862763</v>
      </c>
      <c r="EN42" s="27">
        <v>72.536224986862763</v>
      </c>
      <c r="EO42" s="27">
        <v>72.536224986862763</v>
      </c>
      <c r="EP42" s="27">
        <v>72.536224986862763</v>
      </c>
      <c r="EQ42" s="27">
        <v>5.7</v>
      </c>
      <c r="ES42" s="27">
        <v>85.290864747516352</v>
      </c>
      <c r="ET42" s="27">
        <v>85.290864747516352</v>
      </c>
      <c r="EU42" s="27">
        <v>85.290864747516352</v>
      </c>
      <c r="EV42" s="27">
        <v>85.290864747516352</v>
      </c>
      <c r="EW42" s="27">
        <v>85.290864747516352</v>
      </c>
      <c r="EX42" s="27">
        <v>85.290864747516352</v>
      </c>
      <c r="EY42" s="27">
        <v>85.290864747516352</v>
      </c>
      <c r="EZ42" s="27">
        <v>85.290864747516352</v>
      </c>
      <c r="FA42" s="27">
        <v>85.290864747516352</v>
      </c>
      <c r="FB42" s="27">
        <v>5.7</v>
      </c>
      <c r="FD42" s="27">
        <v>88.591448161714681</v>
      </c>
      <c r="FE42" s="27">
        <v>88.591448161714681</v>
      </c>
      <c r="FF42" s="27">
        <v>88.591448161714681</v>
      </c>
      <c r="FG42" s="27">
        <v>88.591448161714681</v>
      </c>
      <c r="FH42" s="27">
        <v>88.591448161714681</v>
      </c>
      <c r="FI42" s="27">
        <v>88.591448161714681</v>
      </c>
      <c r="FJ42" s="27">
        <v>88.591448161714681</v>
      </c>
      <c r="FK42" s="27">
        <v>88.591448161714681</v>
      </c>
      <c r="FL42" s="27">
        <v>88.591448161714681</v>
      </c>
      <c r="FM42" s="27">
        <v>5.7</v>
      </c>
      <c r="FO42" s="27">
        <v>138.98810170089629</v>
      </c>
      <c r="FP42" s="27">
        <v>138.98810170089629</v>
      </c>
      <c r="FQ42" s="27">
        <v>138.98810170089629</v>
      </c>
      <c r="FR42" s="27">
        <v>138.98810170089629</v>
      </c>
      <c r="FS42" s="27">
        <v>138.98810170089629</v>
      </c>
      <c r="FT42" s="27">
        <v>138.98810170089629</v>
      </c>
      <c r="FU42" s="27">
        <v>138.98810170089629</v>
      </c>
      <c r="FV42" s="27">
        <v>138.98810170089629</v>
      </c>
      <c r="FW42" s="27">
        <v>138.98810170089629</v>
      </c>
      <c r="FX42" s="27">
        <v>5.7</v>
      </c>
      <c r="FZ42" s="27">
        <v>138.98810170089629</v>
      </c>
      <c r="GA42" s="27">
        <v>138.98810170089629</v>
      </c>
      <c r="GB42" s="27">
        <v>138.98810170089629</v>
      </c>
      <c r="GC42" s="27">
        <v>138.98810170089629</v>
      </c>
      <c r="GD42" s="27">
        <v>138.98810170089629</v>
      </c>
      <c r="GE42" s="27">
        <v>138.98810170089629</v>
      </c>
      <c r="GF42" s="27">
        <v>138.98810170089629</v>
      </c>
      <c r="GG42" s="27">
        <v>138.98810170089629</v>
      </c>
      <c r="GH42" s="27">
        <v>138.98810170089629</v>
      </c>
      <c r="GI42" s="27">
        <v>5.7</v>
      </c>
      <c r="GJ42" s="27"/>
      <c r="GK42" s="27">
        <v>33.215445171093897</v>
      </c>
      <c r="GL42" s="27">
        <v>33.215445171093897</v>
      </c>
      <c r="GM42" s="27">
        <v>33.215445171093897</v>
      </c>
      <c r="GN42" s="27">
        <v>33.215445171093897</v>
      </c>
      <c r="GO42" s="27">
        <v>33.215445171093897</v>
      </c>
      <c r="GP42" s="27">
        <v>33.215445171093897</v>
      </c>
      <c r="GQ42" s="27">
        <v>33.215445171093897</v>
      </c>
      <c r="GR42" s="27">
        <v>33.215445171093897</v>
      </c>
      <c r="GS42" s="27">
        <v>33.215445171093897</v>
      </c>
      <c r="GT42" s="27">
        <v>5.7</v>
      </c>
      <c r="GV42" s="27">
        <v>39.533749823598683</v>
      </c>
      <c r="GW42" s="27">
        <v>39.533749823598683</v>
      </c>
      <c r="GX42" s="27">
        <v>39.533749823598683</v>
      </c>
      <c r="GY42" s="27">
        <v>39.533749823598683</v>
      </c>
      <c r="GZ42" s="27">
        <v>39.533749823598683</v>
      </c>
      <c r="HA42" s="27">
        <v>39.533749823598683</v>
      </c>
      <c r="HB42" s="27">
        <v>39.533749823598683</v>
      </c>
      <c r="HC42" s="27">
        <v>39.533749823598683</v>
      </c>
      <c r="HD42" s="27">
        <v>39.533749823598683</v>
      </c>
      <c r="HE42" s="27">
        <v>5.7</v>
      </c>
      <c r="HG42" s="27">
        <v>54.449007551195898</v>
      </c>
      <c r="HH42" s="27">
        <v>54.449007551195898</v>
      </c>
      <c r="HI42" s="27">
        <v>54.449007551195898</v>
      </c>
      <c r="HJ42" s="27">
        <v>54.449007551195898</v>
      </c>
      <c r="HK42" s="27">
        <v>54.449007551195898</v>
      </c>
      <c r="HL42" s="27">
        <v>54.449007551195898</v>
      </c>
      <c r="HM42" s="27">
        <v>54.449007551195898</v>
      </c>
      <c r="HN42" s="27">
        <v>54.449007551195898</v>
      </c>
      <c r="HO42" s="27">
        <v>54.449007551195898</v>
      </c>
      <c r="HP42" s="27">
        <v>5.7</v>
      </c>
      <c r="HR42" s="27">
        <v>54.449007551195898</v>
      </c>
      <c r="HS42" s="27">
        <v>54.449007551195898</v>
      </c>
      <c r="HT42" s="27">
        <v>54.449007551195898</v>
      </c>
      <c r="HU42" s="27">
        <v>54.449007551195898</v>
      </c>
      <c r="HV42" s="27">
        <v>54.449007551195898</v>
      </c>
      <c r="HW42" s="27">
        <v>54.449007551195898</v>
      </c>
      <c r="HX42" s="27">
        <v>54.449007551195898</v>
      </c>
      <c r="HY42" s="27">
        <v>54.449007551195898</v>
      </c>
      <c r="HZ42" s="27">
        <v>54.449007551195898</v>
      </c>
      <c r="IA42" s="27">
        <v>5.7</v>
      </c>
    </row>
    <row r="43" spans="15:235" ht="3" customHeight="1">
      <c r="O43" s="87">
        <v>76.090468445936651</v>
      </c>
      <c r="P43" s="87">
        <v>76.090468445936651</v>
      </c>
      <c r="Q43" s="87">
        <v>76.090468445936651</v>
      </c>
      <c r="R43" s="87">
        <v>76.090468445936651</v>
      </c>
      <c r="S43" s="87">
        <v>76.090468445936651</v>
      </c>
      <c r="T43" s="87">
        <v>76.090468445936651</v>
      </c>
      <c r="U43" s="87">
        <v>76.090468445936651</v>
      </c>
      <c r="V43" s="87">
        <v>76.090468445936651</v>
      </c>
      <c r="W43" s="87">
        <v>76.090468445936651</v>
      </c>
      <c r="X43" s="27">
        <v>3.8</v>
      </c>
      <c r="Y43" s="27"/>
      <c r="Z43" s="87">
        <v>122.59730226238507</v>
      </c>
      <c r="AA43" s="87">
        <v>122.59730226238507</v>
      </c>
      <c r="AB43" s="87">
        <v>122.59730226238507</v>
      </c>
      <c r="AC43" s="87">
        <v>122.59730226238507</v>
      </c>
      <c r="AD43" s="87">
        <v>122.59730226238507</v>
      </c>
      <c r="AE43" s="87">
        <v>122.59730226238507</v>
      </c>
      <c r="AF43" s="87">
        <v>122.59730226238507</v>
      </c>
      <c r="AG43" s="87">
        <v>122.59730226238507</v>
      </c>
      <c r="AH43" s="87">
        <v>122.59730226238507</v>
      </c>
      <c r="AI43" s="27">
        <v>3.8</v>
      </c>
      <c r="AK43" s="87">
        <v>127.31277604968825</v>
      </c>
      <c r="AL43" s="87">
        <v>127.31277604968825</v>
      </c>
      <c r="AM43" s="87">
        <v>127.31277604968825</v>
      </c>
      <c r="AN43" s="87">
        <v>127.31277604968825</v>
      </c>
      <c r="AO43" s="87">
        <v>127.31277604968825</v>
      </c>
      <c r="AP43" s="87">
        <v>127.31277604968825</v>
      </c>
      <c r="AQ43" s="87">
        <v>127.31277604968825</v>
      </c>
      <c r="AR43" s="87">
        <v>127.31277604968825</v>
      </c>
      <c r="AS43" s="87">
        <v>127.31277604968825</v>
      </c>
      <c r="AT43" s="27">
        <v>3.8</v>
      </c>
      <c r="AV43" s="87">
        <v>133.18885371401095</v>
      </c>
      <c r="AW43" s="87">
        <v>133.18885371401095</v>
      </c>
      <c r="AX43" s="87">
        <v>133.18885371401095</v>
      </c>
      <c r="AY43" s="87">
        <v>133.18885371401095</v>
      </c>
      <c r="AZ43" s="87">
        <v>133.18885371401095</v>
      </c>
      <c r="BA43" s="87">
        <v>133.18885371401095</v>
      </c>
      <c r="BB43" s="87">
        <v>133.18885371401095</v>
      </c>
      <c r="BC43" s="87">
        <v>133.18885371401095</v>
      </c>
      <c r="BD43" s="87">
        <v>133.18885371401095</v>
      </c>
      <c r="BE43" s="27">
        <v>3.8</v>
      </c>
      <c r="BG43" s="87">
        <v>172.3035714285717</v>
      </c>
      <c r="BH43" s="87">
        <v>172.3035714285717</v>
      </c>
      <c r="BI43" s="87">
        <v>172.3035714285717</v>
      </c>
      <c r="BJ43" s="87">
        <v>172.3035714285717</v>
      </c>
      <c r="BK43" s="87">
        <v>172.3035714285717</v>
      </c>
      <c r="BL43" s="87">
        <v>172.3035714285717</v>
      </c>
      <c r="BM43" s="87">
        <v>172.3035714285717</v>
      </c>
      <c r="BN43" s="87">
        <v>172.3035714285717</v>
      </c>
      <c r="BO43" s="87">
        <v>172.3035714285717</v>
      </c>
      <c r="BP43" s="27">
        <v>3.8</v>
      </c>
      <c r="BR43" s="87">
        <v>172.3035714285717</v>
      </c>
      <c r="BS43" s="87">
        <v>172.3035714285717</v>
      </c>
      <c r="BT43" s="87">
        <v>172.3035714285717</v>
      </c>
      <c r="BU43" s="87">
        <v>172.3035714285717</v>
      </c>
      <c r="BV43" s="87">
        <v>172.3035714285717</v>
      </c>
      <c r="BW43" s="87">
        <v>172.3035714285717</v>
      </c>
      <c r="BX43" s="87">
        <v>172.3035714285717</v>
      </c>
      <c r="BY43" s="87">
        <v>172.3035714285717</v>
      </c>
      <c r="BZ43" s="87">
        <v>172.3035714285717</v>
      </c>
      <c r="CA43" s="27">
        <v>3.8</v>
      </c>
      <c r="CC43" s="87">
        <v>49.279830129783015</v>
      </c>
      <c r="CD43" s="87">
        <v>49.279830129783015</v>
      </c>
      <c r="CE43" s="87">
        <v>49.279830129783015</v>
      </c>
      <c r="CF43" s="87">
        <v>49.279830129783015</v>
      </c>
      <c r="CG43" s="87">
        <v>49.279830129783015</v>
      </c>
      <c r="CH43" s="87">
        <v>49.279830129783015</v>
      </c>
      <c r="CI43" s="87">
        <v>49.279830129783015</v>
      </c>
      <c r="CJ43" s="87">
        <v>49.279830129783015</v>
      </c>
      <c r="CK43" s="87">
        <v>49.279830129783015</v>
      </c>
      <c r="CL43" s="27">
        <v>3.8</v>
      </c>
      <c r="CN43" s="87">
        <v>58.967178577568006</v>
      </c>
      <c r="CO43" s="87">
        <v>58.967178577568006</v>
      </c>
      <c r="CP43" s="87">
        <v>58.967178577568006</v>
      </c>
      <c r="CQ43" s="87">
        <v>58.967178577568006</v>
      </c>
      <c r="CR43" s="87">
        <v>58.967178577568006</v>
      </c>
      <c r="CS43" s="87">
        <v>58.967178577568006</v>
      </c>
      <c r="CT43" s="87">
        <v>58.967178577568006</v>
      </c>
      <c r="CU43" s="87">
        <v>58.967178577568006</v>
      </c>
      <c r="CV43" s="87">
        <v>58.967178577568006</v>
      </c>
      <c r="CW43" s="27">
        <v>3.8</v>
      </c>
      <c r="CY43" s="87">
        <v>82.144587201202341</v>
      </c>
      <c r="CZ43" s="87">
        <v>82.144587201202341</v>
      </c>
      <c r="DA43" s="87">
        <v>82.144587201202341</v>
      </c>
      <c r="DB43" s="87">
        <v>82.144587201202341</v>
      </c>
      <c r="DC43" s="87">
        <v>82.144587201202341</v>
      </c>
      <c r="DD43" s="87">
        <v>82.144587201202341</v>
      </c>
      <c r="DE43" s="87">
        <v>82.144587201202341</v>
      </c>
      <c r="DF43" s="87">
        <v>82.144587201202341</v>
      </c>
      <c r="DG43" s="87">
        <v>82.144587201202341</v>
      </c>
      <c r="DH43" s="27">
        <v>3.8</v>
      </c>
      <c r="DJ43" s="87">
        <v>82.144587201202341</v>
      </c>
      <c r="DK43" s="87">
        <v>82.144587201202341</v>
      </c>
      <c r="DL43" s="87">
        <v>82.144587201202341</v>
      </c>
      <c r="DM43" s="87">
        <v>82.144587201202341</v>
      </c>
      <c r="DN43" s="87">
        <v>82.144587201202341</v>
      </c>
      <c r="DO43" s="87">
        <v>82.144587201202341</v>
      </c>
      <c r="DP43" s="87">
        <v>82.144587201202341</v>
      </c>
      <c r="DQ43" s="87">
        <v>82.144587201202341</v>
      </c>
      <c r="DR43" s="87">
        <v>82.144587201202341</v>
      </c>
      <c r="DS43" s="27">
        <v>3.8</v>
      </c>
      <c r="DW43" s="27">
        <v>41.738202566916165</v>
      </c>
      <c r="DX43" s="27">
        <v>41.738202566916165</v>
      </c>
      <c r="DY43" s="27">
        <v>41.738202566916165</v>
      </c>
      <c r="DZ43" s="27">
        <v>41.738202566916165</v>
      </c>
      <c r="EA43" s="27">
        <v>41.738202566916165</v>
      </c>
      <c r="EB43" s="27">
        <v>41.738202566916165</v>
      </c>
      <c r="EC43" s="27">
        <v>41.738202566916165</v>
      </c>
      <c r="ED43" s="27">
        <v>41.738202566916165</v>
      </c>
      <c r="EE43" s="27">
        <v>41.738202566916165</v>
      </c>
      <c r="EF43" s="27">
        <v>5.8</v>
      </c>
      <c r="EH43" s="27">
        <v>71.232550991688711</v>
      </c>
      <c r="EI43" s="27">
        <v>71.232550991688711</v>
      </c>
      <c r="EJ43" s="27">
        <v>71.232550991688711</v>
      </c>
      <c r="EK43" s="27">
        <v>71.232550991688711</v>
      </c>
      <c r="EL43" s="27">
        <v>71.232550991688711</v>
      </c>
      <c r="EM43" s="27">
        <v>71.232550991688711</v>
      </c>
      <c r="EN43" s="27">
        <v>71.232550991688711</v>
      </c>
      <c r="EO43" s="27">
        <v>71.232550991688711</v>
      </c>
      <c r="EP43" s="27">
        <v>71.232550991688711</v>
      </c>
      <c r="EQ43" s="27">
        <v>5.8</v>
      </c>
      <c r="ES43" s="27">
        <v>83.837217305175301</v>
      </c>
      <c r="ET43" s="27">
        <v>83.837217305175301</v>
      </c>
      <c r="EU43" s="27">
        <v>83.837217305175301</v>
      </c>
      <c r="EV43" s="27">
        <v>83.837217305175301</v>
      </c>
      <c r="EW43" s="27">
        <v>83.837217305175301</v>
      </c>
      <c r="EX43" s="27">
        <v>83.837217305175301</v>
      </c>
      <c r="EY43" s="27">
        <v>83.837217305175301</v>
      </c>
      <c r="EZ43" s="27">
        <v>83.837217305175301</v>
      </c>
      <c r="FA43" s="27">
        <v>83.837217305175301</v>
      </c>
      <c r="FB43" s="27">
        <v>5.8</v>
      </c>
      <c r="FD43" s="27">
        <v>87.073483431365773</v>
      </c>
      <c r="FE43" s="27">
        <v>87.073483431365773</v>
      </c>
      <c r="FF43" s="27">
        <v>87.073483431365773</v>
      </c>
      <c r="FG43" s="27">
        <v>87.073483431365773</v>
      </c>
      <c r="FH43" s="27">
        <v>87.073483431365773</v>
      </c>
      <c r="FI43" s="27">
        <v>87.073483431365773</v>
      </c>
      <c r="FJ43" s="27">
        <v>87.073483431365773</v>
      </c>
      <c r="FK43" s="27">
        <v>87.073483431365773</v>
      </c>
      <c r="FL43" s="27">
        <v>87.073483431365773</v>
      </c>
      <c r="FM43" s="27">
        <v>5.8</v>
      </c>
      <c r="FO43" s="27">
        <v>136.57775802566366</v>
      </c>
      <c r="FP43" s="27">
        <v>136.57775802566366</v>
      </c>
      <c r="FQ43" s="27">
        <v>136.57775802566366</v>
      </c>
      <c r="FR43" s="27">
        <v>136.57775802566366</v>
      </c>
      <c r="FS43" s="27">
        <v>136.57775802566366</v>
      </c>
      <c r="FT43" s="27">
        <v>136.57775802566366</v>
      </c>
      <c r="FU43" s="27">
        <v>136.57775802566366</v>
      </c>
      <c r="FV43" s="27">
        <v>136.57775802566366</v>
      </c>
      <c r="FW43" s="27">
        <v>136.57775802566366</v>
      </c>
      <c r="FX43" s="27">
        <v>5.8</v>
      </c>
      <c r="FZ43" s="27">
        <v>136.57775802566366</v>
      </c>
      <c r="GA43" s="27">
        <v>136.57775802566366</v>
      </c>
      <c r="GB43" s="27">
        <v>136.57775802566366</v>
      </c>
      <c r="GC43" s="27">
        <v>136.57775802566366</v>
      </c>
      <c r="GD43" s="27">
        <v>136.57775802566366</v>
      </c>
      <c r="GE43" s="27">
        <v>136.57775802566366</v>
      </c>
      <c r="GF43" s="27">
        <v>136.57775802566366</v>
      </c>
      <c r="GG43" s="27">
        <v>136.57775802566366</v>
      </c>
      <c r="GH43" s="27">
        <v>136.57775802566366</v>
      </c>
      <c r="GI43" s="27">
        <v>5.8</v>
      </c>
      <c r="GJ43" s="27"/>
      <c r="GK43" s="27">
        <v>32.638340090515179</v>
      </c>
      <c r="GL43" s="27">
        <v>32.638340090515179</v>
      </c>
      <c r="GM43" s="27">
        <v>32.638340090515179</v>
      </c>
      <c r="GN43" s="27">
        <v>32.638340090515179</v>
      </c>
      <c r="GO43" s="27">
        <v>32.638340090515179</v>
      </c>
      <c r="GP43" s="27">
        <v>32.638340090515179</v>
      </c>
      <c r="GQ43" s="27">
        <v>32.638340090515179</v>
      </c>
      <c r="GR43" s="27">
        <v>32.638340090515179</v>
      </c>
      <c r="GS43" s="27">
        <v>32.638340090515179</v>
      </c>
      <c r="GT43" s="27">
        <v>5.8</v>
      </c>
      <c r="GV43" s="27">
        <v>38.85436873942853</v>
      </c>
      <c r="GW43" s="27">
        <v>38.85436873942853</v>
      </c>
      <c r="GX43" s="27">
        <v>38.85436873942853</v>
      </c>
      <c r="GY43" s="27">
        <v>38.85436873942853</v>
      </c>
      <c r="GZ43" s="27">
        <v>38.85436873942853</v>
      </c>
      <c r="HA43" s="27">
        <v>38.85436873942853</v>
      </c>
      <c r="HB43" s="27">
        <v>38.85436873942853</v>
      </c>
      <c r="HC43" s="27">
        <v>38.85436873942853</v>
      </c>
      <c r="HD43" s="27">
        <v>38.85436873942853</v>
      </c>
      <c r="HE43" s="27">
        <v>5.8</v>
      </c>
      <c r="HG43" s="27">
        <v>53.511542703042856</v>
      </c>
      <c r="HH43" s="27">
        <v>53.511542703042856</v>
      </c>
      <c r="HI43" s="27">
        <v>53.511542703042856</v>
      </c>
      <c r="HJ43" s="27">
        <v>53.511542703042856</v>
      </c>
      <c r="HK43" s="27">
        <v>53.511542703042856</v>
      </c>
      <c r="HL43" s="27">
        <v>53.511542703042856</v>
      </c>
      <c r="HM43" s="27">
        <v>53.511542703042856</v>
      </c>
      <c r="HN43" s="27">
        <v>53.511542703042856</v>
      </c>
      <c r="HO43" s="27">
        <v>53.511542703042856</v>
      </c>
      <c r="HP43" s="27">
        <v>5.8</v>
      </c>
      <c r="HR43" s="27">
        <v>53.511542703042856</v>
      </c>
      <c r="HS43" s="27">
        <v>53.511542703042856</v>
      </c>
      <c r="HT43" s="27">
        <v>53.511542703042856</v>
      </c>
      <c r="HU43" s="27">
        <v>53.511542703042856</v>
      </c>
      <c r="HV43" s="27">
        <v>53.511542703042856</v>
      </c>
      <c r="HW43" s="27">
        <v>53.511542703042856</v>
      </c>
      <c r="HX43" s="27">
        <v>53.511542703042856</v>
      </c>
      <c r="HY43" s="27">
        <v>53.511542703042856</v>
      </c>
      <c r="HZ43" s="27">
        <v>53.511542703042856</v>
      </c>
      <c r="IA43" s="27">
        <v>5.8</v>
      </c>
    </row>
    <row r="44" spans="15:235" ht="3" customHeight="1">
      <c r="O44" s="87">
        <v>73.513833014852651</v>
      </c>
      <c r="P44" s="87">
        <v>73.513833014852651</v>
      </c>
      <c r="Q44" s="87">
        <v>73.513833014852651</v>
      </c>
      <c r="R44" s="87">
        <v>73.513833014852651</v>
      </c>
      <c r="S44" s="87">
        <v>73.513833014852651</v>
      </c>
      <c r="T44" s="87">
        <v>73.513833014852651</v>
      </c>
      <c r="U44" s="87">
        <v>73.513833014852651</v>
      </c>
      <c r="V44" s="87">
        <v>73.513833014852651</v>
      </c>
      <c r="W44" s="87">
        <v>73.513833014852651</v>
      </c>
      <c r="X44" s="27">
        <v>3.9</v>
      </c>
      <c r="Y44" s="27"/>
      <c r="Z44" s="87">
        <v>118.74971737088701</v>
      </c>
      <c r="AA44" s="87">
        <v>118.74971737088701</v>
      </c>
      <c r="AB44" s="87">
        <v>118.74971737088701</v>
      </c>
      <c r="AC44" s="87">
        <v>118.74971737088701</v>
      </c>
      <c r="AD44" s="87">
        <v>118.74971737088701</v>
      </c>
      <c r="AE44" s="87">
        <v>118.74971737088701</v>
      </c>
      <c r="AF44" s="87">
        <v>118.74971737088701</v>
      </c>
      <c r="AG44" s="87">
        <v>118.74971737088701</v>
      </c>
      <c r="AH44" s="87">
        <v>118.74971737088701</v>
      </c>
      <c r="AI44" s="27">
        <v>3.9</v>
      </c>
      <c r="AK44" s="87">
        <v>124.08701851496126</v>
      </c>
      <c r="AL44" s="87">
        <v>124.08701851496126</v>
      </c>
      <c r="AM44" s="87">
        <v>124.08701851496126</v>
      </c>
      <c r="AN44" s="87">
        <v>124.08701851496126</v>
      </c>
      <c r="AO44" s="87">
        <v>124.08701851496126</v>
      </c>
      <c r="AP44" s="87">
        <v>124.08701851496126</v>
      </c>
      <c r="AQ44" s="87">
        <v>124.08701851496126</v>
      </c>
      <c r="AR44" s="87">
        <v>124.08701851496126</v>
      </c>
      <c r="AS44" s="87">
        <v>124.08701851496126</v>
      </c>
      <c r="AT44" s="27">
        <v>3.9</v>
      </c>
      <c r="AV44" s="87">
        <v>129.77495309344746</v>
      </c>
      <c r="AW44" s="87">
        <v>129.77495309344746</v>
      </c>
      <c r="AX44" s="87">
        <v>129.77495309344746</v>
      </c>
      <c r="AY44" s="87">
        <v>129.77495309344746</v>
      </c>
      <c r="AZ44" s="87">
        <v>129.77495309344746</v>
      </c>
      <c r="BA44" s="87">
        <v>129.77495309344746</v>
      </c>
      <c r="BB44" s="87">
        <v>129.77495309344746</v>
      </c>
      <c r="BC44" s="87">
        <v>129.77495309344746</v>
      </c>
      <c r="BD44" s="87">
        <v>129.77495309344746</v>
      </c>
      <c r="BE44" s="27">
        <v>3.9</v>
      </c>
      <c r="BG44" s="87">
        <v>170.15625000000028</v>
      </c>
      <c r="BH44" s="87">
        <v>170.15625000000028</v>
      </c>
      <c r="BI44" s="87">
        <v>170.15625000000028</v>
      </c>
      <c r="BJ44" s="87">
        <v>170.15625000000028</v>
      </c>
      <c r="BK44" s="87">
        <v>170.15625000000028</v>
      </c>
      <c r="BL44" s="87">
        <v>170.15625000000028</v>
      </c>
      <c r="BM44" s="87">
        <v>170.15625000000028</v>
      </c>
      <c r="BN44" s="87">
        <v>170.15625000000028</v>
      </c>
      <c r="BO44" s="87">
        <v>170.15625000000028</v>
      </c>
      <c r="BP44" s="27">
        <v>3.9</v>
      </c>
      <c r="BR44" s="87">
        <v>170.15625000000028</v>
      </c>
      <c r="BS44" s="87">
        <v>170.15625000000028</v>
      </c>
      <c r="BT44" s="87">
        <v>170.15625000000028</v>
      </c>
      <c r="BU44" s="87">
        <v>170.15625000000028</v>
      </c>
      <c r="BV44" s="87">
        <v>170.15625000000028</v>
      </c>
      <c r="BW44" s="87">
        <v>170.15625000000028</v>
      </c>
      <c r="BX44" s="87">
        <v>170.15625000000028</v>
      </c>
      <c r="BY44" s="87">
        <v>170.15625000000028</v>
      </c>
      <c r="BZ44" s="87">
        <v>170.15625000000028</v>
      </c>
      <c r="CA44" s="27">
        <v>3.9</v>
      </c>
      <c r="CC44" s="87">
        <v>48.028718814994583</v>
      </c>
      <c r="CD44" s="87">
        <v>48.028718814994583</v>
      </c>
      <c r="CE44" s="87">
        <v>48.028718814994583</v>
      </c>
      <c r="CF44" s="87">
        <v>48.028718814994583</v>
      </c>
      <c r="CG44" s="87">
        <v>48.028718814994583</v>
      </c>
      <c r="CH44" s="87">
        <v>48.028718814994583</v>
      </c>
      <c r="CI44" s="87">
        <v>48.028718814994583</v>
      </c>
      <c r="CJ44" s="87">
        <v>48.028718814994583</v>
      </c>
      <c r="CK44" s="87">
        <v>48.028718814994583</v>
      </c>
      <c r="CL44" s="27">
        <v>3.9</v>
      </c>
      <c r="CN44" s="87">
        <v>57.474604463662054</v>
      </c>
      <c r="CO44" s="87">
        <v>57.474604463662054</v>
      </c>
      <c r="CP44" s="87">
        <v>57.474604463662054</v>
      </c>
      <c r="CQ44" s="87">
        <v>57.474604463662054</v>
      </c>
      <c r="CR44" s="87">
        <v>57.474604463662054</v>
      </c>
      <c r="CS44" s="87">
        <v>57.474604463662054</v>
      </c>
      <c r="CT44" s="87">
        <v>57.474604463662054</v>
      </c>
      <c r="CU44" s="87">
        <v>57.474604463662054</v>
      </c>
      <c r="CV44" s="87">
        <v>57.474604463662054</v>
      </c>
      <c r="CW44" s="27">
        <v>3.9</v>
      </c>
      <c r="CY44" s="87">
        <v>80.027921238614141</v>
      </c>
      <c r="CZ44" s="87">
        <v>80.027921238614141</v>
      </c>
      <c r="DA44" s="87">
        <v>80.027921238614141</v>
      </c>
      <c r="DB44" s="87">
        <v>80.027921238614141</v>
      </c>
      <c r="DC44" s="87">
        <v>80.027921238614141</v>
      </c>
      <c r="DD44" s="87">
        <v>80.027921238614141</v>
      </c>
      <c r="DE44" s="87">
        <v>80.027921238614141</v>
      </c>
      <c r="DF44" s="87">
        <v>80.027921238614141</v>
      </c>
      <c r="DG44" s="87">
        <v>80.027921238614141</v>
      </c>
      <c r="DH44" s="27">
        <v>3.9</v>
      </c>
      <c r="DJ44" s="87">
        <v>80.027921238614141</v>
      </c>
      <c r="DK44" s="87">
        <v>80.027921238614141</v>
      </c>
      <c r="DL44" s="87">
        <v>80.027921238614141</v>
      </c>
      <c r="DM44" s="87">
        <v>80.027921238614141</v>
      </c>
      <c r="DN44" s="87">
        <v>80.027921238614141</v>
      </c>
      <c r="DO44" s="87">
        <v>80.027921238614141</v>
      </c>
      <c r="DP44" s="87">
        <v>80.027921238614141</v>
      </c>
      <c r="DQ44" s="87">
        <v>80.027921238614141</v>
      </c>
      <c r="DR44" s="87">
        <v>80.027921238614141</v>
      </c>
      <c r="DS44" s="27">
        <v>3.9</v>
      </c>
      <c r="DW44" s="27">
        <v>41.026145208828538</v>
      </c>
      <c r="DX44" s="27">
        <v>41.026145208828538</v>
      </c>
      <c r="DY44" s="27">
        <v>41.026145208828538</v>
      </c>
      <c r="DZ44" s="27">
        <v>41.026145208828538</v>
      </c>
      <c r="EA44" s="27">
        <v>41.026145208828538</v>
      </c>
      <c r="EB44" s="27">
        <v>41.026145208828538</v>
      </c>
      <c r="EC44" s="27">
        <v>41.026145208828538</v>
      </c>
      <c r="ED44" s="27">
        <v>41.026145208828538</v>
      </c>
      <c r="EE44" s="27">
        <v>41.026145208828538</v>
      </c>
      <c r="EF44" s="27">
        <v>5.9</v>
      </c>
      <c r="EH44" s="27">
        <v>69.973998656918624</v>
      </c>
      <c r="EI44" s="27">
        <v>69.973998656918624</v>
      </c>
      <c r="EJ44" s="27">
        <v>69.973998656918624</v>
      </c>
      <c r="EK44" s="27">
        <v>69.973998656918624</v>
      </c>
      <c r="EL44" s="27">
        <v>69.973998656918624</v>
      </c>
      <c r="EM44" s="27">
        <v>69.973998656918624</v>
      </c>
      <c r="EN44" s="27">
        <v>69.973998656918624</v>
      </c>
      <c r="EO44" s="27">
        <v>69.973998656918624</v>
      </c>
      <c r="EP44" s="27">
        <v>69.973998656918624</v>
      </c>
      <c r="EQ44" s="27">
        <v>5.9</v>
      </c>
      <c r="ES44" s="27">
        <v>82.432565556220155</v>
      </c>
      <c r="ET44" s="27">
        <v>82.432565556220155</v>
      </c>
      <c r="EU44" s="27">
        <v>82.432565556220155</v>
      </c>
      <c r="EV44" s="27">
        <v>82.432565556220155</v>
      </c>
      <c r="EW44" s="27">
        <v>82.432565556220155</v>
      </c>
      <c r="EX44" s="27">
        <v>82.432565556220155</v>
      </c>
      <c r="EY44" s="27">
        <v>82.432565556220155</v>
      </c>
      <c r="EZ44" s="27">
        <v>82.432565556220155</v>
      </c>
      <c r="FA44" s="27">
        <v>82.432565556220155</v>
      </c>
      <c r="FB44" s="27">
        <v>5.9</v>
      </c>
      <c r="FD44" s="27">
        <v>85.606816908007161</v>
      </c>
      <c r="FE44" s="27">
        <v>85.606816908007161</v>
      </c>
      <c r="FF44" s="27">
        <v>85.606816908007161</v>
      </c>
      <c r="FG44" s="27">
        <v>85.606816908007161</v>
      </c>
      <c r="FH44" s="27">
        <v>85.606816908007161</v>
      </c>
      <c r="FI44" s="27">
        <v>85.606816908007161</v>
      </c>
      <c r="FJ44" s="27">
        <v>85.606816908007161</v>
      </c>
      <c r="FK44" s="27">
        <v>85.606816908007161</v>
      </c>
      <c r="FL44" s="27">
        <v>85.606816908007161</v>
      </c>
      <c r="FM44" s="27">
        <v>5.9</v>
      </c>
      <c r="FO44" s="27">
        <v>134.24935751252715</v>
      </c>
      <c r="FP44" s="27">
        <v>134.24935751252715</v>
      </c>
      <c r="FQ44" s="27">
        <v>134.24935751252715</v>
      </c>
      <c r="FR44" s="27">
        <v>134.24935751252715</v>
      </c>
      <c r="FS44" s="27">
        <v>134.24935751252715</v>
      </c>
      <c r="FT44" s="27">
        <v>134.24935751252715</v>
      </c>
      <c r="FU44" s="27">
        <v>134.24935751252715</v>
      </c>
      <c r="FV44" s="27">
        <v>134.24935751252715</v>
      </c>
      <c r="FW44" s="27">
        <v>134.24935751252715</v>
      </c>
      <c r="FX44" s="27">
        <v>5.9</v>
      </c>
      <c r="FZ44" s="27">
        <v>134.24935751252715</v>
      </c>
      <c r="GA44" s="27">
        <v>134.24935751252715</v>
      </c>
      <c r="GB44" s="27">
        <v>134.24935751252715</v>
      </c>
      <c r="GC44" s="27">
        <v>134.24935751252715</v>
      </c>
      <c r="GD44" s="27">
        <v>134.24935751252715</v>
      </c>
      <c r="GE44" s="27">
        <v>134.24935751252715</v>
      </c>
      <c r="GF44" s="27">
        <v>134.24935751252715</v>
      </c>
      <c r="GG44" s="27">
        <v>134.24935751252715</v>
      </c>
      <c r="GH44" s="27">
        <v>134.24935751252715</v>
      </c>
      <c r="GI44" s="27">
        <v>5.9</v>
      </c>
      <c r="GJ44" s="27"/>
      <c r="GK44" s="27">
        <v>32.080872831149712</v>
      </c>
      <c r="GL44" s="27">
        <v>32.080872831149712</v>
      </c>
      <c r="GM44" s="27">
        <v>32.080872831149712</v>
      </c>
      <c r="GN44" s="27">
        <v>32.080872831149712</v>
      </c>
      <c r="GO44" s="27">
        <v>32.080872831149712</v>
      </c>
      <c r="GP44" s="27">
        <v>32.080872831149712</v>
      </c>
      <c r="GQ44" s="27">
        <v>32.080872831149712</v>
      </c>
      <c r="GR44" s="27">
        <v>32.080872831149712</v>
      </c>
      <c r="GS44" s="27">
        <v>32.080872831149712</v>
      </c>
      <c r="GT44" s="27">
        <v>5.9</v>
      </c>
      <c r="GV44" s="27">
        <v>38.197980081381516</v>
      </c>
      <c r="GW44" s="27">
        <v>38.197980081381516</v>
      </c>
      <c r="GX44" s="27">
        <v>38.197980081381516</v>
      </c>
      <c r="GY44" s="27">
        <v>38.197980081381516</v>
      </c>
      <c r="GZ44" s="27">
        <v>38.197980081381516</v>
      </c>
      <c r="HA44" s="27">
        <v>38.197980081381516</v>
      </c>
      <c r="HB44" s="27">
        <v>38.197980081381516</v>
      </c>
      <c r="HC44" s="27">
        <v>38.197980081381516</v>
      </c>
      <c r="HD44" s="27">
        <v>38.197980081381516</v>
      </c>
      <c r="HE44" s="27">
        <v>5.9</v>
      </c>
      <c r="HG44" s="27">
        <v>52.605834321169887</v>
      </c>
      <c r="HH44" s="27">
        <v>52.605834321169887</v>
      </c>
      <c r="HI44" s="27">
        <v>52.605834321169887</v>
      </c>
      <c r="HJ44" s="27">
        <v>52.605834321169887</v>
      </c>
      <c r="HK44" s="27">
        <v>52.605834321169887</v>
      </c>
      <c r="HL44" s="27">
        <v>52.605834321169887</v>
      </c>
      <c r="HM44" s="27">
        <v>52.605834321169887</v>
      </c>
      <c r="HN44" s="27">
        <v>52.605834321169887</v>
      </c>
      <c r="HO44" s="27">
        <v>52.605834321169887</v>
      </c>
      <c r="HP44" s="27">
        <v>5.9</v>
      </c>
      <c r="HR44" s="27">
        <v>52.605834321169887</v>
      </c>
      <c r="HS44" s="27">
        <v>52.605834321169887</v>
      </c>
      <c r="HT44" s="27">
        <v>52.605834321169887</v>
      </c>
      <c r="HU44" s="27">
        <v>52.605834321169887</v>
      </c>
      <c r="HV44" s="27">
        <v>52.605834321169887</v>
      </c>
      <c r="HW44" s="27">
        <v>52.605834321169887</v>
      </c>
      <c r="HX44" s="27">
        <v>52.605834321169887</v>
      </c>
      <c r="HY44" s="27">
        <v>52.605834321169887</v>
      </c>
      <c r="HZ44" s="27">
        <v>52.605834321169887</v>
      </c>
      <c r="IA44" s="27">
        <v>5.9</v>
      </c>
    </row>
    <row r="45" spans="15:235" ht="9" customHeight="1">
      <c r="O45" s="87">
        <v>71.086426427561534</v>
      </c>
      <c r="P45" s="87">
        <v>71.086426427561534</v>
      </c>
      <c r="Q45" s="87">
        <v>71.086426427561534</v>
      </c>
      <c r="R45" s="87">
        <v>71.086426427561534</v>
      </c>
      <c r="S45" s="87">
        <v>71.086426427561534</v>
      </c>
      <c r="T45" s="87">
        <v>71.086426427561534</v>
      </c>
      <c r="U45" s="87">
        <v>71.086426427561534</v>
      </c>
      <c r="V45" s="87">
        <v>71.086426427561534</v>
      </c>
      <c r="W45" s="87">
        <v>71.086426427561534</v>
      </c>
      <c r="X45" s="27">
        <v>4</v>
      </c>
      <c r="Y45" s="27"/>
      <c r="Z45" s="87">
        <v>115.11578626769389</v>
      </c>
      <c r="AA45" s="87">
        <v>115.11578626769389</v>
      </c>
      <c r="AB45" s="87">
        <v>115.11578626769389</v>
      </c>
      <c r="AC45" s="87">
        <v>115.11578626769389</v>
      </c>
      <c r="AD45" s="87">
        <v>115.11578626769389</v>
      </c>
      <c r="AE45" s="87">
        <v>115.11578626769389</v>
      </c>
      <c r="AF45" s="87">
        <v>115.11578626769389</v>
      </c>
      <c r="AG45" s="87">
        <v>115.11578626769389</v>
      </c>
      <c r="AH45" s="87">
        <v>115.11578626769389</v>
      </c>
      <c r="AI45" s="27">
        <v>4</v>
      </c>
      <c r="AK45" s="87">
        <v>121.0216054885751</v>
      </c>
      <c r="AL45" s="87">
        <v>121.0216054885751</v>
      </c>
      <c r="AM45" s="87">
        <v>121.0216054885751</v>
      </c>
      <c r="AN45" s="87">
        <v>121.0216054885751</v>
      </c>
      <c r="AO45" s="87">
        <v>121.0216054885751</v>
      </c>
      <c r="AP45" s="87">
        <v>121.0216054885751</v>
      </c>
      <c r="AQ45" s="87">
        <v>121.0216054885751</v>
      </c>
      <c r="AR45" s="87">
        <v>121.0216054885751</v>
      </c>
      <c r="AS45" s="87">
        <v>121.0216054885751</v>
      </c>
      <c r="AT45" s="27">
        <v>4</v>
      </c>
      <c r="AV45" s="87">
        <v>126.53171793545093</v>
      </c>
      <c r="AW45" s="87">
        <v>126.53171793545093</v>
      </c>
      <c r="AX45" s="87">
        <v>126.53171793545093</v>
      </c>
      <c r="AY45" s="87">
        <v>126.53171793545093</v>
      </c>
      <c r="AZ45" s="87">
        <v>126.53171793545093</v>
      </c>
      <c r="BA45" s="87">
        <v>126.53171793545093</v>
      </c>
      <c r="BB45" s="87">
        <v>126.53171793545093</v>
      </c>
      <c r="BC45" s="87">
        <v>126.53171793545093</v>
      </c>
      <c r="BD45" s="87">
        <v>126.53171793545093</v>
      </c>
      <c r="BE45" s="27">
        <v>4</v>
      </c>
      <c r="BG45" s="87">
        <v>168.02976190476215</v>
      </c>
      <c r="BH45" s="87">
        <v>168.02976190476215</v>
      </c>
      <c r="BI45" s="87">
        <v>168.02976190476215</v>
      </c>
      <c r="BJ45" s="87">
        <v>168.02976190476215</v>
      </c>
      <c r="BK45" s="87">
        <v>168.02976190476215</v>
      </c>
      <c r="BL45" s="87">
        <v>168.02976190476215</v>
      </c>
      <c r="BM45" s="87">
        <v>168.02976190476215</v>
      </c>
      <c r="BN45" s="87">
        <v>168.02976190476215</v>
      </c>
      <c r="BO45" s="87">
        <v>168.02976190476215</v>
      </c>
      <c r="BP45" s="27">
        <v>4</v>
      </c>
      <c r="BR45" s="87">
        <v>168.02976190476215</v>
      </c>
      <c r="BS45" s="87">
        <v>168.02976190476215</v>
      </c>
      <c r="BT45" s="87">
        <v>168.02976190476215</v>
      </c>
      <c r="BU45" s="87">
        <v>168.02976190476215</v>
      </c>
      <c r="BV45" s="87">
        <v>168.02976190476215</v>
      </c>
      <c r="BW45" s="87">
        <v>168.02976190476215</v>
      </c>
      <c r="BX45" s="87">
        <v>168.02976190476215</v>
      </c>
      <c r="BY45" s="87">
        <v>168.02976190476215</v>
      </c>
      <c r="BZ45" s="87">
        <v>168.02976190476215</v>
      </c>
      <c r="CA45" s="27">
        <v>4</v>
      </c>
      <c r="CC45" s="87">
        <v>46.839858168900406</v>
      </c>
      <c r="CD45" s="87">
        <v>46.839858168900406</v>
      </c>
      <c r="CE45" s="87">
        <v>46.839858168900406</v>
      </c>
      <c r="CF45" s="87">
        <v>46.839858168900406</v>
      </c>
      <c r="CG45" s="87">
        <v>46.839858168900406</v>
      </c>
      <c r="CH45" s="87">
        <v>46.839858168900406</v>
      </c>
      <c r="CI45" s="87">
        <v>46.839858168900406</v>
      </c>
      <c r="CJ45" s="87">
        <v>46.839858168900406</v>
      </c>
      <c r="CK45" s="87">
        <v>46.839858168900406</v>
      </c>
      <c r="CL45" s="27">
        <v>4</v>
      </c>
      <c r="CN45" s="87">
        <v>56.056186173041205</v>
      </c>
      <c r="CO45" s="87">
        <v>56.056186173041205</v>
      </c>
      <c r="CP45" s="87">
        <v>56.056186173041205</v>
      </c>
      <c r="CQ45" s="87">
        <v>56.056186173041205</v>
      </c>
      <c r="CR45" s="87">
        <v>56.056186173041205</v>
      </c>
      <c r="CS45" s="87">
        <v>56.056186173041205</v>
      </c>
      <c r="CT45" s="87">
        <v>56.056186173041205</v>
      </c>
      <c r="CU45" s="87">
        <v>56.056186173041205</v>
      </c>
      <c r="CV45" s="87">
        <v>56.056186173041205</v>
      </c>
      <c r="CW45" s="27">
        <v>4</v>
      </c>
      <c r="CY45" s="87">
        <v>78.017346441533547</v>
      </c>
      <c r="CZ45" s="87">
        <v>78.017346441533547</v>
      </c>
      <c r="DA45" s="87">
        <v>78.017346441533547</v>
      </c>
      <c r="DB45" s="87">
        <v>78.017346441533547</v>
      </c>
      <c r="DC45" s="87">
        <v>78.017346441533547</v>
      </c>
      <c r="DD45" s="87">
        <v>78.017346441533547</v>
      </c>
      <c r="DE45" s="87">
        <v>78.017346441533547</v>
      </c>
      <c r="DF45" s="87">
        <v>78.017346441533547</v>
      </c>
      <c r="DG45" s="87">
        <v>78.017346441533547</v>
      </c>
      <c r="DH45" s="27">
        <v>4</v>
      </c>
      <c r="DJ45" s="87">
        <v>78.017346441533547</v>
      </c>
      <c r="DK45" s="87">
        <v>78.017346441533547</v>
      </c>
      <c r="DL45" s="87">
        <v>78.017346441533547</v>
      </c>
      <c r="DM45" s="87">
        <v>78.017346441533547</v>
      </c>
      <c r="DN45" s="87">
        <v>78.017346441533547</v>
      </c>
      <c r="DO45" s="87">
        <v>78.017346441533547</v>
      </c>
      <c r="DP45" s="87">
        <v>78.017346441533547</v>
      </c>
      <c r="DQ45" s="87">
        <v>78.017346441533547</v>
      </c>
      <c r="DR45" s="87">
        <v>78.017346441533547</v>
      </c>
      <c r="DS45" s="27">
        <v>4</v>
      </c>
      <c r="DW45" s="27">
        <v>40</v>
      </c>
      <c r="DX45" s="27">
        <v>40</v>
      </c>
      <c r="DY45" s="27">
        <v>40</v>
      </c>
      <c r="DZ45" s="27">
        <v>40</v>
      </c>
      <c r="EA45" s="27">
        <v>40</v>
      </c>
      <c r="EB45" s="27">
        <v>40</v>
      </c>
      <c r="EC45" s="27">
        <v>40</v>
      </c>
      <c r="ED45" s="27">
        <v>40</v>
      </c>
      <c r="EE45" s="27">
        <v>40</v>
      </c>
      <c r="EF45" s="129">
        <v>6</v>
      </c>
      <c r="EH45" s="27">
        <v>68</v>
      </c>
      <c r="EI45" s="27">
        <v>68</v>
      </c>
      <c r="EJ45" s="27">
        <v>68</v>
      </c>
      <c r="EK45" s="27">
        <v>68</v>
      </c>
      <c r="EL45" s="27">
        <v>68</v>
      </c>
      <c r="EM45" s="27">
        <v>68</v>
      </c>
      <c r="EN45" s="27">
        <v>68</v>
      </c>
      <c r="EO45" s="27">
        <v>68</v>
      </c>
      <c r="EP45" s="27">
        <v>68</v>
      </c>
      <c r="EQ45" s="129">
        <v>6</v>
      </c>
      <c r="ES45" s="27">
        <v>81</v>
      </c>
      <c r="ET45" s="27">
        <v>81</v>
      </c>
      <c r="EU45" s="27">
        <v>81</v>
      </c>
      <c r="EV45" s="27">
        <v>81</v>
      </c>
      <c r="EW45" s="27">
        <v>81</v>
      </c>
      <c r="EX45" s="27">
        <v>81</v>
      </c>
      <c r="EY45" s="27">
        <v>81</v>
      </c>
      <c r="EZ45" s="27">
        <v>81</v>
      </c>
      <c r="FA45" s="27">
        <v>81</v>
      </c>
      <c r="FB45" s="129">
        <v>6</v>
      </c>
      <c r="FD45" s="27">
        <v>85</v>
      </c>
      <c r="FE45" s="27">
        <v>85</v>
      </c>
      <c r="FF45" s="27">
        <v>85</v>
      </c>
      <c r="FG45" s="27">
        <v>85</v>
      </c>
      <c r="FH45" s="27">
        <v>85</v>
      </c>
      <c r="FI45" s="27">
        <v>85</v>
      </c>
      <c r="FJ45" s="27">
        <v>85</v>
      </c>
      <c r="FK45" s="27">
        <v>85</v>
      </c>
      <c r="FL45" s="27">
        <v>85</v>
      </c>
      <c r="FM45" s="129">
        <v>6</v>
      </c>
      <c r="FO45" s="27">
        <v>131</v>
      </c>
      <c r="FP45" s="27">
        <v>131</v>
      </c>
      <c r="FQ45" s="27">
        <v>131</v>
      </c>
      <c r="FR45" s="27">
        <v>131</v>
      </c>
      <c r="FS45" s="27">
        <v>131</v>
      </c>
      <c r="FT45" s="27">
        <v>131</v>
      </c>
      <c r="FU45" s="27">
        <v>131</v>
      </c>
      <c r="FV45" s="27">
        <v>131</v>
      </c>
      <c r="FW45" s="27">
        <v>131</v>
      </c>
      <c r="FX45" s="129">
        <v>6</v>
      </c>
      <c r="FZ45" s="27">
        <v>131</v>
      </c>
      <c r="GA45" s="27">
        <v>131</v>
      </c>
      <c r="GB45" s="27">
        <v>131</v>
      </c>
      <c r="GC45" s="27">
        <v>131</v>
      </c>
      <c r="GD45" s="27">
        <v>131</v>
      </c>
      <c r="GE45" s="27">
        <v>131</v>
      </c>
      <c r="GF45" s="27">
        <v>131</v>
      </c>
      <c r="GG45" s="27">
        <v>131</v>
      </c>
      <c r="GH45" s="27">
        <v>131</v>
      </c>
      <c r="GI45" s="129">
        <v>6</v>
      </c>
      <c r="GJ45" s="27"/>
      <c r="GK45" s="27">
        <v>31</v>
      </c>
      <c r="GL45" s="27">
        <v>31</v>
      </c>
      <c r="GM45" s="27">
        <v>31</v>
      </c>
      <c r="GN45" s="27">
        <v>31</v>
      </c>
      <c r="GO45" s="27">
        <v>31</v>
      </c>
      <c r="GP45" s="27">
        <v>31</v>
      </c>
      <c r="GQ45" s="27">
        <v>31</v>
      </c>
      <c r="GR45" s="27">
        <v>31</v>
      </c>
      <c r="GS45" s="27">
        <v>31</v>
      </c>
      <c r="GT45" s="129">
        <v>6</v>
      </c>
      <c r="GV45" s="27">
        <v>38</v>
      </c>
      <c r="GW45" s="27">
        <v>38</v>
      </c>
      <c r="GX45" s="27">
        <v>38</v>
      </c>
      <c r="GY45" s="27">
        <v>38</v>
      </c>
      <c r="GZ45" s="27">
        <v>38</v>
      </c>
      <c r="HA45" s="27">
        <v>38</v>
      </c>
      <c r="HB45" s="27">
        <v>38</v>
      </c>
      <c r="HC45" s="27">
        <v>38</v>
      </c>
      <c r="HD45" s="27">
        <v>38</v>
      </c>
      <c r="HE45" s="129">
        <v>6</v>
      </c>
      <c r="HG45" s="27">
        <v>52</v>
      </c>
      <c r="HH45" s="27">
        <v>52</v>
      </c>
      <c r="HI45" s="27">
        <v>52</v>
      </c>
      <c r="HJ45" s="27">
        <v>52</v>
      </c>
      <c r="HK45" s="27">
        <v>52</v>
      </c>
      <c r="HL45" s="27">
        <v>52</v>
      </c>
      <c r="HM45" s="27">
        <v>52</v>
      </c>
      <c r="HN45" s="27">
        <v>52</v>
      </c>
      <c r="HO45" s="27">
        <v>52</v>
      </c>
      <c r="HP45" s="129">
        <v>6</v>
      </c>
      <c r="HR45" s="27">
        <v>52</v>
      </c>
      <c r="HS45" s="27">
        <v>52</v>
      </c>
      <c r="HT45" s="27">
        <v>52</v>
      </c>
      <c r="HU45" s="27">
        <v>52</v>
      </c>
      <c r="HV45" s="27">
        <v>52</v>
      </c>
      <c r="HW45" s="27">
        <v>52</v>
      </c>
      <c r="HX45" s="27">
        <v>52</v>
      </c>
      <c r="HY45" s="27">
        <v>52</v>
      </c>
      <c r="HZ45" s="27">
        <v>52</v>
      </c>
      <c r="IA45" s="129">
        <v>6</v>
      </c>
    </row>
    <row r="46" spans="15:235">
      <c r="O46" s="87">
        <v>68.796190966089597</v>
      </c>
      <c r="P46" s="87">
        <v>68.796190966089597</v>
      </c>
      <c r="Q46" s="87">
        <v>68.796190966089597</v>
      </c>
      <c r="R46" s="87">
        <v>68.796190966089597</v>
      </c>
      <c r="S46" s="87">
        <v>68.796190966089597</v>
      </c>
      <c r="T46" s="87">
        <v>68.796190966089597</v>
      </c>
      <c r="U46" s="87">
        <v>68.796190966089597</v>
      </c>
      <c r="V46" s="87">
        <v>68.796190966089597</v>
      </c>
      <c r="W46" s="87">
        <v>68.796190966089597</v>
      </c>
      <c r="X46" s="27">
        <v>4.0999999999999996</v>
      </c>
      <c r="Y46" s="27"/>
      <c r="Z46" s="87">
        <v>111.67873719848743</v>
      </c>
      <c r="AA46" s="87">
        <v>111.67873719848743</v>
      </c>
      <c r="AB46" s="87">
        <v>111.67873719848743</v>
      </c>
      <c r="AC46" s="87">
        <v>111.67873719848743</v>
      </c>
      <c r="AD46" s="87">
        <v>111.67873719848743</v>
      </c>
      <c r="AE46" s="87">
        <v>111.67873719848743</v>
      </c>
      <c r="AF46" s="87">
        <v>111.67873719848743</v>
      </c>
      <c r="AG46" s="87">
        <v>111.67873719848743</v>
      </c>
      <c r="AH46" s="87">
        <v>111.67873719848743</v>
      </c>
      <c r="AI46" s="27">
        <v>4.0999999999999996</v>
      </c>
      <c r="AK46" s="87">
        <v>118.10484963649397</v>
      </c>
      <c r="AL46" s="87">
        <v>118.10484963649397</v>
      </c>
      <c r="AM46" s="87">
        <v>118.10484963649397</v>
      </c>
      <c r="AN46" s="87">
        <v>118.10484963649397</v>
      </c>
      <c r="AO46" s="87">
        <v>118.10484963649397</v>
      </c>
      <c r="AP46" s="87">
        <v>118.10484963649397</v>
      </c>
      <c r="AQ46" s="87">
        <v>118.10484963649397</v>
      </c>
      <c r="AR46" s="87">
        <v>118.10484963649397</v>
      </c>
      <c r="AS46" s="87">
        <v>118.10484963649397</v>
      </c>
      <c r="AT46" s="27">
        <v>4.0999999999999996</v>
      </c>
      <c r="AV46" s="87">
        <v>123.446661947781</v>
      </c>
      <c r="AW46" s="87">
        <v>123.446661947781</v>
      </c>
      <c r="AX46" s="87">
        <v>123.446661947781</v>
      </c>
      <c r="AY46" s="87">
        <v>123.446661947781</v>
      </c>
      <c r="AZ46" s="87">
        <v>123.446661947781</v>
      </c>
      <c r="BA46" s="87">
        <v>123.446661947781</v>
      </c>
      <c r="BB46" s="87">
        <v>123.446661947781</v>
      </c>
      <c r="BC46" s="87">
        <v>123.446661947781</v>
      </c>
      <c r="BD46" s="87">
        <v>123.446661947781</v>
      </c>
      <c r="BE46" s="27">
        <v>4.0999999999999996</v>
      </c>
      <c r="BG46" s="87">
        <v>165.92410714285742</v>
      </c>
      <c r="BH46" s="87">
        <v>165.92410714285742</v>
      </c>
      <c r="BI46" s="87">
        <v>165.92410714285742</v>
      </c>
      <c r="BJ46" s="87">
        <v>165.92410714285742</v>
      </c>
      <c r="BK46" s="87">
        <v>165.92410714285742</v>
      </c>
      <c r="BL46" s="87">
        <v>165.92410714285742</v>
      </c>
      <c r="BM46" s="87">
        <v>165.92410714285742</v>
      </c>
      <c r="BN46" s="87">
        <v>165.92410714285742</v>
      </c>
      <c r="BO46" s="87">
        <v>165.92410714285742</v>
      </c>
      <c r="BP46" s="27">
        <v>4.0999999999999996</v>
      </c>
      <c r="BR46" s="87">
        <v>165.92410714285742</v>
      </c>
      <c r="BS46" s="87">
        <v>165.92410714285742</v>
      </c>
      <c r="BT46" s="87">
        <v>165.92410714285742</v>
      </c>
      <c r="BU46" s="87">
        <v>165.92410714285742</v>
      </c>
      <c r="BV46" s="87">
        <v>165.92410714285742</v>
      </c>
      <c r="BW46" s="87">
        <v>165.92410714285742</v>
      </c>
      <c r="BX46" s="87">
        <v>165.92410714285742</v>
      </c>
      <c r="BY46" s="87">
        <v>165.92410714285742</v>
      </c>
      <c r="BZ46" s="87">
        <v>165.92410714285742</v>
      </c>
      <c r="CA46" s="27">
        <v>4.0999999999999996</v>
      </c>
      <c r="CC46" s="87">
        <v>45.708707884590602</v>
      </c>
      <c r="CD46" s="87">
        <v>45.708707884590602</v>
      </c>
      <c r="CE46" s="87">
        <v>45.708707884590602</v>
      </c>
      <c r="CF46" s="87">
        <v>45.708707884590602</v>
      </c>
      <c r="CG46" s="87">
        <v>45.708707884590602</v>
      </c>
      <c r="CH46" s="87">
        <v>45.708707884590602</v>
      </c>
      <c r="CI46" s="87">
        <v>45.708707884590602</v>
      </c>
      <c r="CJ46" s="87">
        <v>45.708707884590602</v>
      </c>
      <c r="CK46" s="87">
        <v>45.708707884590602</v>
      </c>
      <c r="CL46" s="27">
        <v>4.0999999999999996</v>
      </c>
      <c r="CN46" s="87">
        <v>54.706520311623763</v>
      </c>
      <c r="CO46" s="87">
        <v>54.706520311623763</v>
      </c>
      <c r="CP46" s="87">
        <v>54.706520311623763</v>
      </c>
      <c r="CQ46" s="87">
        <v>54.706520311623763</v>
      </c>
      <c r="CR46" s="87">
        <v>54.706520311623763</v>
      </c>
      <c r="CS46" s="87">
        <v>54.706520311623763</v>
      </c>
      <c r="CT46" s="87">
        <v>54.706520311623763</v>
      </c>
      <c r="CU46" s="87">
        <v>54.706520311623763</v>
      </c>
      <c r="CV46" s="87">
        <v>54.706520311623763</v>
      </c>
      <c r="CW46" s="27">
        <v>4.0999999999999996</v>
      </c>
      <c r="CY46" s="87">
        <v>76.105087585920231</v>
      </c>
      <c r="CZ46" s="87">
        <v>76.105087585920231</v>
      </c>
      <c r="DA46" s="87">
        <v>76.105087585920231</v>
      </c>
      <c r="DB46" s="87">
        <v>76.105087585920231</v>
      </c>
      <c r="DC46" s="87">
        <v>76.105087585920231</v>
      </c>
      <c r="DD46" s="87">
        <v>76.105087585920231</v>
      </c>
      <c r="DE46" s="87">
        <v>76.105087585920231</v>
      </c>
      <c r="DF46" s="87">
        <v>76.105087585920231</v>
      </c>
      <c r="DG46" s="87">
        <v>76.105087585920231</v>
      </c>
      <c r="DH46" s="27">
        <v>4.0999999999999996</v>
      </c>
      <c r="DJ46" s="87">
        <v>76.105087585920231</v>
      </c>
      <c r="DK46" s="87">
        <v>76.105087585920231</v>
      </c>
      <c r="DL46" s="87">
        <v>76.105087585920231</v>
      </c>
      <c r="DM46" s="87">
        <v>76.105087585920231</v>
      </c>
      <c r="DN46" s="87">
        <v>76.105087585920231</v>
      </c>
      <c r="DO46" s="87">
        <v>76.105087585920231</v>
      </c>
      <c r="DP46" s="87">
        <v>76.105087585920231</v>
      </c>
      <c r="DQ46" s="87">
        <v>76.105087585920231</v>
      </c>
      <c r="DR46" s="87">
        <v>76.105087585920231</v>
      </c>
      <c r="DS46" s="27">
        <v>4.0999999999999996</v>
      </c>
      <c r="DW46" s="27">
        <v>39.5</v>
      </c>
      <c r="DX46" s="27">
        <v>39.5</v>
      </c>
      <c r="DY46" s="27">
        <v>39.5</v>
      </c>
      <c r="DZ46" s="27">
        <v>39.5</v>
      </c>
      <c r="EA46" s="27">
        <v>39.5</v>
      </c>
      <c r="EB46" s="27">
        <v>39.5</v>
      </c>
      <c r="EC46" s="27">
        <v>39.5</v>
      </c>
      <c r="ED46" s="27">
        <v>39.5</v>
      </c>
      <c r="EE46" s="27">
        <v>39.5</v>
      </c>
      <c r="EF46" s="129">
        <v>6.1</v>
      </c>
      <c r="EH46" s="27">
        <v>67</v>
      </c>
      <c r="EI46" s="27">
        <v>67</v>
      </c>
      <c r="EJ46" s="27">
        <v>67</v>
      </c>
      <c r="EK46" s="27">
        <v>67</v>
      </c>
      <c r="EL46" s="27">
        <v>67</v>
      </c>
      <c r="EM46" s="27">
        <v>67</v>
      </c>
      <c r="EN46" s="27">
        <v>67</v>
      </c>
      <c r="EO46" s="27">
        <v>67</v>
      </c>
      <c r="EP46" s="27">
        <v>67</v>
      </c>
      <c r="EQ46" s="129">
        <v>6.1</v>
      </c>
      <c r="ES46" s="27">
        <v>79.900000000000006</v>
      </c>
      <c r="ET46" s="27">
        <v>79.900000000000006</v>
      </c>
      <c r="EU46" s="27">
        <v>79.900000000000006</v>
      </c>
      <c r="EV46" s="27">
        <v>79.900000000000006</v>
      </c>
      <c r="EW46" s="27">
        <v>79.900000000000006</v>
      </c>
      <c r="EX46" s="27">
        <v>79.900000000000006</v>
      </c>
      <c r="EY46" s="27">
        <v>79.900000000000006</v>
      </c>
      <c r="EZ46" s="27">
        <v>79.900000000000006</v>
      </c>
      <c r="FA46" s="27">
        <v>79.900000000000006</v>
      </c>
      <c r="FB46" s="129">
        <v>6.1</v>
      </c>
      <c r="FD46" s="27">
        <v>83.7</v>
      </c>
      <c r="FE46" s="27">
        <v>83.7</v>
      </c>
      <c r="FF46" s="27">
        <v>83.7</v>
      </c>
      <c r="FG46" s="27">
        <v>83.7</v>
      </c>
      <c r="FH46" s="27">
        <v>83.7</v>
      </c>
      <c r="FI46" s="27">
        <v>83.7</v>
      </c>
      <c r="FJ46" s="27">
        <v>83.7</v>
      </c>
      <c r="FK46" s="27">
        <v>83.7</v>
      </c>
      <c r="FL46" s="27">
        <v>83.7</v>
      </c>
      <c r="FM46" s="129">
        <v>6.1</v>
      </c>
      <c r="FO46" s="27">
        <v>129.19999999999999</v>
      </c>
      <c r="FP46" s="27">
        <v>129.19999999999999</v>
      </c>
      <c r="FQ46" s="27">
        <v>129.19999999999999</v>
      </c>
      <c r="FR46" s="27">
        <v>129.19999999999999</v>
      </c>
      <c r="FS46" s="27">
        <v>129.19999999999999</v>
      </c>
      <c r="FT46" s="27">
        <v>129.19999999999999</v>
      </c>
      <c r="FU46" s="27">
        <v>129.19999999999999</v>
      </c>
      <c r="FV46" s="27">
        <v>129.19999999999999</v>
      </c>
      <c r="FW46" s="27">
        <v>129.19999999999999</v>
      </c>
      <c r="FX46" s="129">
        <v>6.1</v>
      </c>
      <c r="FZ46" s="27">
        <v>129.19999999999999</v>
      </c>
      <c r="GA46" s="27">
        <v>129.19999999999999</v>
      </c>
      <c r="GB46" s="27">
        <v>129.19999999999999</v>
      </c>
      <c r="GC46" s="27">
        <v>129.19999999999999</v>
      </c>
      <c r="GD46" s="27">
        <v>129.19999999999999</v>
      </c>
      <c r="GE46" s="27">
        <v>129.19999999999999</v>
      </c>
      <c r="GF46" s="27">
        <v>129.19999999999999</v>
      </c>
      <c r="GG46" s="27">
        <v>129.19999999999999</v>
      </c>
      <c r="GH46" s="27">
        <v>129.19999999999999</v>
      </c>
      <c r="GI46" s="129">
        <v>6.1</v>
      </c>
      <c r="GJ46" s="27"/>
      <c r="GK46" s="27">
        <v>30.6</v>
      </c>
      <c r="GL46" s="27">
        <v>30.6</v>
      </c>
      <c r="GM46" s="27">
        <v>30.6</v>
      </c>
      <c r="GN46" s="27">
        <v>30.6</v>
      </c>
      <c r="GO46" s="27">
        <v>30.6</v>
      </c>
      <c r="GP46" s="27">
        <v>30.6</v>
      </c>
      <c r="GQ46" s="27">
        <v>30.6</v>
      </c>
      <c r="GR46" s="27">
        <v>30.6</v>
      </c>
      <c r="GS46" s="27">
        <v>30.6</v>
      </c>
      <c r="GT46" s="129">
        <v>6.1</v>
      </c>
      <c r="GV46" s="27">
        <v>37.4</v>
      </c>
      <c r="GW46" s="27">
        <v>37.4</v>
      </c>
      <c r="GX46" s="27">
        <v>37.4</v>
      </c>
      <c r="GY46" s="27">
        <v>37.4</v>
      </c>
      <c r="GZ46" s="27">
        <v>37.4</v>
      </c>
      <c r="HA46" s="27">
        <v>37.4</v>
      </c>
      <c r="HB46" s="27">
        <v>37.4</v>
      </c>
      <c r="HC46" s="27">
        <v>37.4</v>
      </c>
      <c r="HD46" s="27">
        <v>37.4</v>
      </c>
      <c r="HE46" s="129">
        <v>6.1</v>
      </c>
      <c r="HG46" s="27">
        <v>51.2</v>
      </c>
      <c r="HH46" s="27">
        <v>51.2</v>
      </c>
      <c r="HI46" s="27">
        <v>51.2</v>
      </c>
      <c r="HJ46" s="27">
        <v>51.2</v>
      </c>
      <c r="HK46" s="27">
        <v>51.2</v>
      </c>
      <c r="HL46" s="27">
        <v>51.2</v>
      </c>
      <c r="HM46" s="27">
        <v>51.2</v>
      </c>
      <c r="HN46" s="27">
        <v>51.2</v>
      </c>
      <c r="HO46" s="27">
        <v>51.2</v>
      </c>
      <c r="HP46" s="129">
        <v>6.1</v>
      </c>
      <c r="HR46" s="27">
        <v>51.2</v>
      </c>
      <c r="HS46" s="27">
        <v>51.2</v>
      </c>
      <c r="HT46" s="27">
        <v>51.2</v>
      </c>
      <c r="HU46" s="27">
        <v>51.2</v>
      </c>
      <c r="HV46" s="27">
        <v>51.2</v>
      </c>
      <c r="HW46" s="27">
        <v>51.2</v>
      </c>
      <c r="HX46" s="27">
        <v>51.2</v>
      </c>
      <c r="HY46" s="27">
        <v>51.2</v>
      </c>
      <c r="HZ46" s="27">
        <v>51.2</v>
      </c>
      <c r="IA46" s="129">
        <v>6.1</v>
      </c>
    </row>
    <row r="47" spans="15:235" ht="3" customHeight="1">
      <c r="O47" s="87">
        <v>66.632306011639642</v>
      </c>
      <c r="P47" s="87">
        <v>66.632306011639642</v>
      </c>
      <c r="Q47" s="87">
        <v>66.632306011639642</v>
      </c>
      <c r="R47" s="87">
        <v>66.632306011639642</v>
      </c>
      <c r="S47" s="87">
        <v>66.632306011639642</v>
      </c>
      <c r="T47" s="87">
        <v>66.632306011639642</v>
      </c>
      <c r="U47" s="87">
        <v>66.632306011639642</v>
      </c>
      <c r="V47" s="87">
        <v>66.632306011639642</v>
      </c>
      <c r="W47" s="87">
        <v>66.632306011639642</v>
      </c>
      <c r="X47" s="27">
        <v>4.2</v>
      </c>
      <c r="Y47" s="27"/>
      <c r="Z47" s="87">
        <v>108.42348193678278</v>
      </c>
      <c r="AA47" s="87">
        <v>108.42348193678278</v>
      </c>
      <c r="AB47" s="87">
        <v>108.42348193678278</v>
      </c>
      <c r="AC47" s="87">
        <v>108.42348193678278</v>
      </c>
      <c r="AD47" s="87">
        <v>108.42348193678278</v>
      </c>
      <c r="AE47" s="87">
        <v>108.42348193678278</v>
      </c>
      <c r="AF47" s="87">
        <v>108.42348193678278</v>
      </c>
      <c r="AG47" s="87">
        <v>108.42348193678278</v>
      </c>
      <c r="AH47" s="87">
        <v>108.42348193678278</v>
      </c>
      <c r="AI47" s="27">
        <v>4.2</v>
      </c>
      <c r="AK47" s="87">
        <v>115.32617352673113</v>
      </c>
      <c r="AL47" s="87">
        <v>115.32617352673113</v>
      </c>
      <c r="AM47" s="87">
        <v>115.32617352673113</v>
      </c>
      <c r="AN47" s="87">
        <v>115.32617352673113</v>
      </c>
      <c r="AO47" s="87">
        <v>115.32617352673113</v>
      </c>
      <c r="AP47" s="87">
        <v>115.32617352673113</v>
      </c>
      <c r="AQ47" s="87">
        <v>115.32617352673113</v>
      </c>
      <c r="AR47" s="87">
        <v>115.32617352673113</v>
      </c>
      <c r="AS47" s="87">
        <v>115.32617352673113</v>
      </c>
      <c r="AT47" s="27">
        <v>4.2</v>
      </c>
      <c r="AV47" s="87">
        <v>120.50848790835175</v>
      </c>
      <c r="AW47" s="87">
        <v>120.50848790835175</v>
      </c>
      <c r="AX47" s="87">
        <v>120.50848790835175</v>
      </c>
      <c r="AY47" s="87">
        <v>120.50848790835175</v>
      </c>
      <c r="AZ47" s="87">
        <v>120.50848790835175</v>
      </c>
      <c r="BA47" s="87">
        <v>120.50848790835175</v>
      </c>
      <c r="BB47" s="87">
        <v>120.50848790835175</v>
      </c>
      <c r="BC47" s="87">
        <v>120.50848790835175</v>
      </c>
      <c r="BD47" s="87">
        <v>120.50848790835175</v>
      </c>
      <c r="BE47" s="27">
        <v>4.2</v>
      </c>
      <c r="BG47" s="87">
        <v>163.83928571428598</v>
      </c>
      <c r="BH47" s="87">
        <v>163.83928571428598</v>
      </c>
      <c r="BI47" s="87">
        <v>163.83928571428598</v>
      </c>
      <c r="BJ47" s="87">
        <v>163.83928571428598</v>
      </c>
      <c r="BK47" s="87">
        <v>163.83928571428598</v>
      </c>
      <c r="BL47" s="87">
        <v>163.83928571428598</v>
      </c>
      <c r="BM47" s="87">
        <v>163.83928571428598</v>
      </c>
      <c r="BN47" s="87">
        <v>163.83928571428598</v>
      </c>
      <c r="BO47" s="87">
        <v>163.83928571428598</v>
      </c>
      <c r="BP47" s="27">
        <v>4.2</v>
      </c>
      <c r="BR47" s="87">
        <v>163.83928571428598</v>
      </c>
      <c r="BS47" s="87">
        <v>163.83928571428598</v>
      </c>
      <c r="BT47" s="87">
        <v>163.83928571428598</v>
      </c>
      <c r="BU47" s="87">
        <v>163.83928571428598</v>
      </c>
      <c r="BV47" s="87">
        <v>163.83928571428598</v>
      </c>
      <c r="BW47" s="87">
        <v>163.83928571428598</v>
      </c>
      <c r="BX47" s="87">
        <v>163.83928571428598</v>
      </c>
      <c r="BY47" s="87">
        <v>163.83928571428598</v>
      </c>
      <c r="BZ47" s="87">
        <v>163.83928571428598</v>
      </c>
      <c r="CA47" s="27">
        <v>4.2</v>
      </c>
      <c r="CC47" s="87">
        <v>44.631159036735326</v>
      </c>
      <c r="CD47" s="87">
        <v>44.631159036735326</v>
      </c>
      <c r="CE47" s="87">
        <v>44.631159036735326</v>
      </c>
      <c r="CF47" s="87">
        <v>44.631159036735326</v>
      </c>
      <c r="CG47" s="87">
        <v>44.631159036735326</v>
      </c>
      <c r="CH47" s="87">
        <v>44.631159036735326</v>
      </c>
      <c r="CI47" s="87">
        <v>44.631159036735326</v>
      </c>
      <c r="CJ47" s="87">
        <v>44.631159036735326</v>
      </c>
      <c r="CK47" s="87">
        <v>44.631159036735326</v>
      </c>
      <c r="CL47" s="27">
        <v>4.2</v>
      </c>
      <c r="CN47" s="87">
        <v>53.42071650285579</v>
      </c>
      <c r="CO47" s="87">
        <v>53.42071650285579</v>
      </c>
      <c r="CP47" s="87">
        <v>53.42071650285579</v>
      </c>
      <c r="CQ47" s="87">
        <v>53.42071650285579</v>
      </c>
      <c r="CR47" s="87">
        <v>53.42071650285579</v>
      </c>
      <c r="CS47" s="87">
        <v>53.42071650285579</v>
      </c>
      <c r="CT47" s="87">
        <v>53.42071650285579</v>
      </c>
      <c r="CU47" s="87">
        <v>53.42071650285579</v>
      </c>
      <c r="CV47" s="87">
        <v>53.42071650285579</v>
      </c>
      <c r="CW47" s="27">
        <v>4.2</v>
      </c>
      <c r="CY47" s="87">
        <v>74.284110825832698</v>
      </c>
      <c r="CZ47" s="87">
        <v>74.284110825832698</v>
      </c>
      <c r="DA47" s="87">
        <v>74.284110825832698</v>
      </c>
      <c r="DB47" s="87">
        <v>74.284110825832698</v>
      </c>
      <c r="DC47" s="87">
        <v>74.284110825832698</v>
      </c>
      <c r="DD47" s="87">
        <v>74.284110825832698</v>
      </c>
      <c r="DE47" s="87">
        <v>74.284110825832698</v>
      </c>
      <c r="DF47" s="87">
        <v>74.284110825832698</v>
      </c>
      <c r="DG47" s="87">
        <v>74.284110825832698</v>
      </c>
      <c r="DH47" s="27">
        <v>4.2</v>
      </c>
      <c r="DJ47" s="87">
        <v>74.284110825832698</v>
      </c>
      <c r="DK47" s="87">
        <v>74.284110825832698</v>
      </c>
      <c r="DL47" s="87">
        <v>74.284110825832698</v>
      </c>
      <c r="DM47" s="87">
        <v>74.284110825832698</v>
      </c>
      <c r="DN47" s="87">
        <v>74.284110825832698</v>
      </c>
      <c r="DO47" s="87">
        <v>74.284110825832698</v>
      </c>
      <c r="DP47" s="87">
        <v>74.284110825832698</v>
      </c>
      <c r="DQ47" s="87">
        <v>74.284110825832698</v>
      </c>
      <c r="DR47" s="87">
        <v>74.284110825832698</v>
      </c>
      <c r="DS47" s="27">
        <v>4.2</v>
      </c>
      <c r="DW47" s="27">
        <v>39</v>
      </c>
      <c r="DX47" s="27">
        <v>39</v>
      </c>
      <c r="DY47" s="27">
        <v>39</v>
      </c>
      <c r="DZ47" s="27">
        <v>39</v>
      </c>
      <c r="EA47" s="27">
        <v>39</v>
      </c>
      <c r="EB47" s="27">
        <v>39</v>
      </c>
      <c r="EC47" s="27">
        <v>39</v>
      </c>
      <c r="ED47" s="27">
        <v>39</v>
      </c>
      <c r="EE47" s="27">
        <v>39</v>
      </c>
      <c r="EF47" s="129">
        <v>6.2</v>
      </c>
      <c r="EH47" s="27">
        <v>66</v>
      </c>
      <c r="EI47" s="27">
        <v>66</v>
      </c>
      <c r="EJ47" s="27">
        <v>66</v>
      </c>
      <c r="EK47" s="27">
        <v>66</v>
      </c>
      <c r="EL47" s="27">
        <v>66</v>
      </c>
      <c r="EM47" s="27">
        <v>66</v>
      </c>
      <c r="EN47" s="27">
        <v>66</v>
      </c>
      <c r="EO47" s="27">
        <v>66</v>
      </c>
      <c r="EP47" s="27">
        <v>66</v>
      </c>
      <c r="EQ47" s="129">
        <v>6.2</v>
      </c>
      <c r="ES47" s="27">
        <v>78.800000000000011</v>
      </c>
      <c r="ET47" s="27">
        <v>78.800000000000011</v>
      </c>
      <c r="EU47" s="27">
        <v>78.800000000000011</v>
      </c>
      <c r="EV47" s="27">
        <v>78.800000000000011</v>
      </c>
      <c r="EW47" s="27">
        <v>78.800000000000011</v>
      </c>
      <c r="EX47" s="27">
        <v>78.800000000000011</v>
      </c>
      <c r="EY47" s="27">
        <v>78.800000000000011</v>
      </c>
      <c r="EZ47" s="27">
        <v>78.800000000000011</v>
      </c>
      <c r="FA47" s="27">
        <v>78.800000000000011</v>
      </c>
      <c r="FB47" s="129">
        <v>6.2</v>
      </c>
      <c r="FD47" s="27">
        <v>82.4</v>
      </c>
      <c r="FE47" s="27">
        <v>82.4</v>
      </c>
      <c r="FF47" s="27">
        <v>82.4</v>
      </c>
      <c r="FG47" s="27">
        <v>82.4</v>
      </c>
      <c r="FH47" s="27">
        <v>82.4</v>
      </c>
      <c r="FI47" s="27">
        <v>82.4</v>
      </c>
      <c r="FJ47" s="27">
        <v>82.4</v>
      </c>
      <c r="FK47" s="27">
        <v>82.4</v>
      </c>
      <c r="FL47" s="27">
        <v>82.4</v>
      </c>
      <c r="FM47" s="129">
        <v>6.2</v>
      </c>
      <c r="FO47" s="27">
        <v>127.39999999999999</v>
      </c>
      <c r="FP47" s="27">
        <v>127.39999999999999</v>
      </c>
      <c r="FQ47" s="27">
        <v>127.39999999999999</v>
      </c>
      <c r="FR47" s="27">
        <v>127.39999999999999</v>
      </c>
      <c r="FS47" s="27">
        <v>127.39999999999999</v>
      </c>
      <c r="FT47" s="27">
        <v>127.39999999999999</v>
      </c>
      <c r="FU47" s="27">
        <v>127.39999999999999</v>
      </c>
      <c r="FV47" s="27">
        <v>127.39999999999999</v>
      </c>
      <c r="FW47" s="27">
        <v>127.39999999999999</v>
      </c>
      <c r="FX47" s="129">
        <v>6.2</v>
      </c>
      <c r="FZ47" s="27">
        <v>127.39999999999999</v>
      </c>
      <c r="GA47" s="27">
        <v>127.39999999999999</v>
      </c>
      <c r="GB47" s="27">
        <v>127.39999999999999</v>
      </c>
      <c r="GC47" s="27">
        <v>127.39999999999999</v>
      </c>
      <c r="GD47" s="27">
        <v>127.39999999999999</v>
      </c>
      <c r="GE47" s="27">
        <v>127.39999999999999</v>
      </c>
      <c r="GF47" s="27">
        <v>127.39999999999999</v>
      </c>
      <c r="GG47" s="27">
        <v>127.39999999999999</v>
      </c>
      <c r="GH47" s="27">
        <v>127.39999999999999</v>
      </c>
      <c r="GI47" s="129">
        <v>6.2</v>
      </c>
      <c r="GJ47" s="27"/>
      <c r="GK47" s="27">
        <v>30.200000000000003</v>
      </c>
      <c r="GL47" s="27">
        <v>30.200000000000003</v>
      </c>
      <c r="GM47" s="27">
        <v>30.200000000000003</v>
      </c>
      <c r="GN47" s="27">
        <v>30.200000000000003</v>
      </c>
      <c r="GO47" s="27">
        <v>30.200000000000003</v>
      </c>
      <c r="GP47" s="27">
        <v>30.200000000000003</v>
      </c>
      <c r="GQ47" s="27">
        <v>30.200000000000003</v>
      </c>
      <c r="GR47" s="27">
        <v>30.200000000000003</v>
      </c>
      <c r="GS47" s="27">
        <v>30.200000000000003</v>
      </c>
      <c r="GT47" s="129">
        <v>6.2</v>
      </c>
      <c r="GV47" s="27">
        <v>36.799999999999997</v>
      </c>
      <c r="GW47" s="27">
        <v>36.799999999999997</v>
      </c>
      <c r="GX47" s="27">
        <v>36.799999999999997</v>
      </c>
      <c r="GY47" s="27">
        <v>36.799999999999997</v>
      </c>
      <c r="GZ47" s="27">
        <v>36.799999999999997</v>
      </c>
      <c r="HA47" s="27">
        <v>36.799999999999997</v>
      </c>
      <c r="HB47" s="27">
        <v>36.799999999999997</v>
      </c>
      <c r="HC47" s="27">
        <v>36.799999999999997</v>
      </c>
      <c r="HD47" s="27">
        <v>36.799999999999997</v>
      </c>
      <c r="HE47" s="129">
        <v>6.2</v>
      </c>
      <c r="HG47" s="27">
        <v>50.400000000000006</v>
      </c>
      <c r="HH47" s="27">
        <v>50.400000000000006</v>
      </c>
      <c r="HI47" s="27">
        <v>50.400000000000006</v>
      </c>
      <c r="HJ47" s="27">
        <v>50.400000000000006</v>
      </c>
      <c r="HK47" s="27">
        <v>50.400000000000006</v>
      </c>
      <c r="HL47" s="27">
        <v>50.400000000000006</v>
      </c>
      <c r="HM47" s="27">
        <v>50.400000000000006</v>
      </c>
      <c r="HN47" s="27">
        <v>50.400000000000006</v>
      </c>
      <c r="HO47" s="27">
        <v>50.400000000000006</v>
      </c>
      <c r="HP47" s="129">
        <v>6.2</v>
      </c>
      <c r="HR47" s="27">
        <v>50.400000000000006</v>
      </c>
      <c r="HS47" s="27">
        <v>50.400000000000006</v>
      </c>
      <c r="HT47" s="27">
        <v>50.400000000000006</v>
      </c>
      <c r="HU47" s="27">
        <v>50.400000000000006</v>
      </c>
      <c r="HV47" s="27">
        <v>50.400000000000006</v>
      </c>
      <c r="HW47" s="27">
        <v>50.400000000000006</v>
      </c>
      <c r="HX47" s="27">
        <v>50.400000000000006</v>
      </c>
      <c r="HY47" s="27">
        <v>50.400000000000006</v>
      </c>
      <c r="HZ47" s="27">
        <v>50.400000000000006</v>
      </c>
      <c r="IA47" s="129">
        <v>6.2</v>
      </c>
    </row>
    <row r="48" spans="15:235" ht="3" customHeight="1">
      <c r="O48" s="87">
        <v>64.585035404465671</v>
      </c>
      <c r="P48" s="87">
        <v>64.585035404465671</v>
      </c>
      <c r="Q48" s="87">
        <v>64.585035404465671</v>
      </c>
      <c r="R48" s="87">
        <v>64.585035404465671</v>
      </c>
      <c r="S48" s="87">
        <v>64.585035404465671</v>
      </c>
      <c r="T48" s="87">
        <v>64.585035404465671</v>
      </c>
      <c r="U48" s="87">
        <v>64.585035404465671</v>
      </c>
      <c r="V48" s="87">
        <v>64.585035404465671</v>
      </c>
      <c r="W48" s="87">
        <v>64.585035404465671</v>
      </c>
      <c r="X48" s="27">
        <v>4.3</v>
      </c>
      <c r="Y48" s="27"/>
      <c r="Z48" s="87">
        <v>105.33641166875941</v>
      </c>
      <c r="AA48" s="87">
        <v>105.33641166875941</v>
      </c>
      <c r="AB48" s="87">
        <v>105.33641166875941</v>
      </c>
      <c r="AC48" s="87">
        <v>105.33641166875941</v>
      </c>
      <c r="AD48" s="87">
        <v>105.33641166875941</v>
      </c>
      <c r="AE48" s="87">
        <v>105.33641166875941</v>
      </c>
      <c r="AF48" s="87">
        <v>105.33641166875941</v>
      </c>
      <c r="AG48" s="87">
        <v>105.33641166875941</v>
      </c>
      <c r="AH48" s="87">
        <v>105.33641166875941</v>
      </c>
      <c r="AI48" s="27">
        <v>4.3</v>
      </c>
      <c r="AK48" s="87">
        <v>112.67598086230056</v>
      </c>
      <c r="AL48" s="87">
        <v>112.67598086230056</v>
      </c>
      <c r="AM48" s="87">
        <v>112.67598086230056</v>
      </c>
      <c r="AN48" s="87">
        <v>112.67598086230056</v>
      </c>
      <c r="AO48" s="87">
        <v>112.67598086230056</v>
      </c>
      <c r="AP48" s="87">
        <v>112.67598086230056</v>
      </c>
      <c r="AQ48" s="87">
        <v>112.67598086230056</v>
      </c>
      <c r="AR48" s="87">
        <v>112.67598086230056</v>
      </c>
      <c r="AS48" s="87">
        <v>112.67598086230056</v>
      </c>
      <c r="AT48" s="27">
        <v>4.3</v>
      </c>
      <c r="AV48" s="87">
        <v>117.70694941050373</v>
      </c>
      <c r="AW48" s="87">
        <v>117.70694941050373</v>
      </c>
      <c r="AX48" s="87">
        <v>117.70694941050373</v>
      </c>
      <c r="AY48" s="87">
        <v>117.70694941050373</v>
      </c>
      <c r="AZ48" s="87">
        <v>117.70694941050373</v>
      </c>
      <c r="BA48" s="87">
        <v>117.70694941050373</v>
      </c>
      <c r="BB48" s="87">
        <v>117.70694941050373</v>
      </c>
      <c r="BC48" s="87">
        <v>117.70694941050373</v>
      </c>
      <c r="BD48" s="87">
        <v>117.70694941050373</v>
      </c>
      <c r="BE48" s="27">
        <v>4.3</v>
      </c>
      <c r="BG48" s="87">
        <v>161.77529761904788</v>
      </c>
      <c r="BH48" s="87">
        <v>161.77529761904788</v>
      </c>
      <c r="BI48" s="87">
        <v>161.77529761904788</v>
      </c>
      <c r="BJ48" s="87">
        <v>161.77529761904788</v>
      </c>
      <c r="BK48" s="87">
        <v>161.77529761904788</v>
      </c>
      <c r="BL48" s="87">
        <v>161.77529761904788</v>
      </c>
      <c r="BM48" s="87">
        <v>161.77529761904788</v>
      </c>
      <c r="BN48" s="87">
        <v>161.77529761904788</v>
      </c>
      <c r="BO48" s="87">
        <v>161.77529761904788</v>
      </c>
      <c r="BP48" s="27">
        <v>4.3</v>
      </c>
      <c r="BR48" s="87">
        <v>161.77529761904788</v>
      </c>
      <c r="BS48" s="87">
        <v>161.77529761904788</v>
      </c>
      <c r="BT48" s="87">
        <v>161.77529761904788</v>
      </c>
      <c r="BU48" s="87">
        <v>161.77529761904788</v>
      </c>
      <c r="BV48" s="87">
        <v>161.77529761904788</v>
      </c>
      <c r="BW48" s="87">
        <v>161.77529761904788</v>
      </c>
      <c r="BX48" s="87">
        <v>161.77529761904788</v>
      </c>
      <c r="BY48" s="87">
        <v>161.77529761904788</v>
      </c>
      <c r="BZ48" s="87">
        <v>161.77529761904788</v>
      </c>
      <c r="CA48" s="27">
        <v>4.3</v>
      </c>
      <c r="CC48" s="87">
        <v>43.603484015291876</v>
      </c>
      <c r="CD48" s="87">
        <v>43.603484015291876</v>
      </c>
      <c r="CE48" s="87">
        <v>43.603484015291876</v>
      </c>
      <c r="CF48" s="87">
        <v>43.603484015291876</v>
      </c>
      <c r="CG48" s="87">
        <v>43.603484015291876</v>
      </c>
      <c r="CH48" s="87">
        <v>43.603484015291876</v>
      </c>
      <c r="CI48" s="87">
        <v>43.603484015291876</v>
      </c>
      <c r="CJ48" s="87">
        <v>43.603484015291876</v>
      </c>
      <c r="CK48" s="87">
        <v>43.603484015291876</v>
      </c>
      <c r="CL48" s="27">
        <v>4.3</v>
      </c>
      <c r="CN48" s="87">
        <v>52.194337880391281</v>
      </c>
      <c r="CO48" s="87">
        <v>52.194337880391281</v>
      </c>
      <c r="CP48" s="87">
        <v>52.194337880391281</v>
      </c>
      <c r="CQ48" s="87">
        <v>52.194337880391281</v>
      </c>
      <c r="CR48" s="87">
        <v>52.194337880391281</v>
      </c>
      <c r="CS48" s="87">
        <v>52.194337880391281</v>
      </c>
      <c r="CT48" s="87">
        <v>52.194337880391281</v>
      </c>
      <c r="CU48" s="87">
        <v>52.194337880391281</v>
      </c>
      <c r="CV48" s="87">
        <v>52.194337880391281</v>
      </c>
      <c r="CW48" s="27">
        <v>4.3</v>
      </c>
      <c r="CY48" s="87">
        <v>72.548037405606834</v>
      </c>
      <c r="CZ48" s="87">
        <v>72.548037405606834</v>
      </c>
      <c r="DA48" s="87">
        <v>72.548037405606834</v>
      </c>
      <c r="DB48" s="87">
        <v>72.548037405606834</v>
      </c>
      <c r="DC48" s="87">
        <v>72.548037405606834</v>
      </c>
      <c r="DD48" s="87">
        <v>72.548037405606834</v>
      </c>
      <c r="DE48" s="87">
        <v>72.548037405606834</v>
      </c>
      <c r="DF48" s="87">
        <v>72.548037405606834</v>
      </c>
      <c r="DG48" s="87">
        <v>72.548037405606834</v>
      </c>
      <c r="DH48" s="27">
        <v>4.3</v>
      </c>
      <c r="DJ48" s="87">
        <v>72.548037405606834</v>
      </c>
      <c r="DK48" s="87">
        <v>72.548037405606834</v>
      </c>
      <c r="DL48" s="87">
        <v>72.548037405606834</v>
      </c>
      <c r="DM48" s="87">
        <v>72.548037405606834</v>
      </c>
      <c r="DN48" s="87">
        <v>72.548037405606834</v>
      </c>
      <c r="DO48" s="87">
        <v>72.548037405606834</v>
      </c>
      <c r="DP48" s="87">
        <v>72.548037405606834</v>
      </c>
      <c r="DQ48" s="87">
        <v>72.548037405606834</v>
      </c>
      <c r="DR48" s="87">
        <v>72.548037405606834</v>
      </c>
      <c r="DS48" s="27">
        <v>4.3</v>
      </c>
      <c r="DW48" s="27">
        <v>38.5</v>
      </c>
      <c r="DX48" s="27">
        <v>38.5</v>
      </c>
      <c r="DY48" s="27">
        <v>38.5</v>
      </c>
      <c r="DZ48" s="27">
        <v>38.5</v>
      </c>
      <c r="EA48" s="27">
        <v>38.5</v>
      </c>
      <c r="EB48" s="27">
        <v>38.5</v>
      </c>
      <c r="EC48" s="27">
        <v>38.5</v>
      </c>
      <c r="ED48" s="27">
        <v>38.5</v>
      </c>
      <c r="EE48" s="27">
        <v>38.5</v>
      </c>
      <c r="EF48" s="129">
        <v>6.3</v>
      </c>
      <c r="EH48" s="27">
        <v>65</v>
      </c>
      <c r="EI48" s="27">
        <v>65</v>
      </c>
      <c r="EJ48" s="27">
        <v>65</v>
      </c>
      <c r="EK48" s="27">
        <v>65</v>
      </c>
      <c r="EL48" s="27">
        <v>65</v>
      </c>
      <c r="EM48" s="27">
        <v>65</v>
      </c>
      <c r="EN48" s="27">
        <v>65</v>
      </c>
      <c r="EO48" s="27">
        <v>65</v>
      </c>
      <c r="EP48" s="27">
        <v>65</v>
      </c>
      <c r="EQ48" s="129">
        <v>6.3</v>
      </c>
      <c r="ES48" s="27">
        <v>77.700000000000017</v>
      </c>
      <c r="ET48" s="27">
        <v>77.700000000000017</v>
      </c>
      <c r="EU48" s="27">
        <v>77.700000000000017</v>
      </c>
      <c r="EV48" s="27">
        <v>77.700000000000017</v>
      </c>
      <c r="EW48" s="27">
        <v>77.700000000000017</v>
      </c>
      <c r="EX48" s="27">
        <v>77.700000000000017</v>
      </c>
      <c r="EY48" s="27">
        <v>77.700000000000017</v>
      </c>
      <c r="EZ48" s="27">
        <v>77.700000000000017</v>
      </c>
      <c r="FA48" s="27">
        <v>77.700000000000017</v>
      </c>
      <c r="FB48" s="129">
        <v>6.3</v>
      </c>
      <c r="FD48" s="27">
        <v>81.100000000000009</v>
      </c>
      <c r="FE48" s="27">
        <v>81.100000000000009</v>
      </c>
      <c r="FF48" s="27">
        <v>81.100000000000009</v>
      </c>
      <c r="FG48" s="27">
        <v>81.100000000000009</v>
      </c>
      <c r="FH48" s="27">
        <v>81.100000000000009</v>
      </c>
      <c r="FI48" s="27">
        <v>81.100000000000009</v>
      </c>
      <c r="FJ48" s="27">
        <v>81.100000000000009</v>
      </c>
      <c r="FK48" s="27">
        <v>81.100000000000009</v>
      </c>
      <c r="FL48" s="27">
        <v>81.100000000000009</v>
      </c>
      <c r="FM48" s="129">
        <v>6.3</v>
      </c>
      <c r="FO48" s="27">
        <v>125.6</v>
      </c>
      <c r="FP48" s="27">
        <v>125.6</v>
      </c>
      <c r="FQ48" s="27">
        <v>125.6</v>
      </c>
      <c r="FR48" s="27">
        <v>125.6</v>
      </c>
      <c r="FS48" s="27">
        <v>125.6</v>
      </c>
      <c r="FT48" s="27">
        <v>125.6</v>
      </c>
      <c r="FU48" s="27">
        <v>125.6</v>
      </c>
      <c r="FV48" s="27">
        <v>125.6</v>
      </c>
      <c r="FW48" s="27">
        <v>125.6</v>
      </c>
      <c r="FX48" s="129">
        <v>6.3</v>
      </c>
      <c r="FZ48" s="27">
        <v>125.6</v>
      </c>
      <c r="GA48" s="27">
        <v>125.6</v>
      </c>
      <c r="GB48" s="27">
        <v>125.6</v>
      </c>
      <c r="GC48" s="27">
        <v>125.6</v>
      </c>
      <c r="GD48" s="27">
        <v>125.6</v>
      </c>
      <c r="GE48" s="27">
        <v>125.6</v>
      </c>
      <c r="GF48" s="27">
        <v>125.6</v>
      </c>
      <c r="GG48" s="27">
        <v>125.6</v>
      </c>
      <c r="GH48" s="27">
        <v>125.6</v>
      </c>
      <c r="GI48" s="129">
        <v>6.3</v>
      </c>
      <c r="GJ48" s="27"/>
      <c r="GK48" s="27">
        <v>29.800000000000004</v>
      </c>
      <c r="GL48" s="27">
        <v>29.800000000000004</v>
      </c>
      <c r="GM48" s="27">
        <v>29.800000000000004</v>
      </c>
      <c r="GN48" s="27">
        <v>29.800000000000004</v>
      </c>
      <c r="GO48" s="27">
        <v>29.800000000000004</v>
      </c>
      <c r="GP48" s="27">
        <v>29.800000000000004</v>
      </c>
      <c r="GQ48" s="27">
        <v>29.800000000000004</v>
      </c>
      <c r="GR48" s="27">
        <v>29.800000000000004</v>
      </c>
      <c r="GS48" s="27">
        <v>29.800000000000004</v>
      </c>
      <c r="GT48" s="129">
        <v>6.3</v>
      </c>
      <c r="GV48" s="27">
        <v>36.199999999999996</v>
      </c>
      <c r="GW48" s="27">
        <v>36.199999999999996</v>
      </c>
      <c r="GX48" s="27">
        <v>36.199999999999996</v>
      </c>
      <c r="GY48" s="27">
        <v>36.199999999999996</v>
      </c>
      <c r="GZ48" s="27">
        <v>36.199999999999996</v>
      </c>
      <c r="HA48" s="27">
        <v>36.199999999999996</v>
      </c>
      <c r="HB48" s="27">
        <v>36.199999999999996</v>
      </c>
      <c r="HC48" s="27">
        <v>36.199999999999996</v>
      </c>
      <c r="HD48" s="27">
        <v>36.199999999999996</v>
      </c>
      <c r="HE48" s="129">
        <v>6.3</v>
      </c>
      <c r="HG48" s="27">
        <v>49.600000000000009</v>
      </c>
      <c r="HH48" s="27">
        <v>49.600000000000009</v>
      </c>
      <c r="HI48" s="27">
        <v>49.600000000000009</v>
      </c>
      <c r="HJ48" s="27">
        <v>49.600000000000009</v>
      </c>
      <c r="HK48" s="27">
        <v>49.600000000000009</v>
      </c>
      <c r="HL48" s="27">
        <v>49.600000000000009</v>
      </c>
      <c r="HM48" s="27">
        <v>49.600000000000009</v>
      </c>
      <c r="HN48" s="27">
        <v>49.600000000000009</v>
      </c>
      <c r="HO48" s="27">
        <v>49.600000000000009</v>
      </c>
      <c r="HP48" s="129">
        <v>6.3</v>
      </c>
      <c r="HR48" s="27">
        <v>49.600000000000009</v>
      </c>
      <c r="HS48" s="27">
        <v>49.600000000000009</v>
      </c>
      <c r="HT48" s="27">
        <v>49.600000000000009</v>
      </c>
      <c r="HU48" s="27">
        <v>49.600000000000009</v>
      </c>
      <c r="HV48" s="27">
        <v>49.600000000000009</v>
      </c>
      <c r="HW48" s="27">
        <v>49.600000000000009</v>
      </c>
      <c r="HX48" s="27">
        <v>49.600000000000009</v>
      </c>
      <c r="HY48" s="27">
        <v>49.600000000000009</v>
      </c>
      <c r="HZ48" s="27">
        <v>49.600000000000009</v>
      </c>
      <c r="IA48" s="129">
        <v>6.3</v>
      </c>
    </row>
    <row r="49" spans="15:235" ht="3" customHeight="1">
      <c r="O49" s="87">
        <v>62.645596666559079</v>
      </c>
      <c r="P49" s="87">
        <v>62.645596666559079</v>
      </c>
      <c r="Q49" s="87">
        <v>62.645596666559079</v>
      </c>
      <c r="R49" s="87">
        <v>62.645596666559079</v>
      </c>
      <c r="S49" s="87">
        <v>62.645596666559079</v>
      </c>
      <c r="T49" s="87">
        <v>62.645596666559079</v>
      </c>
      <c r="U49" s="87">
        <v>62.645596666559079</v>
      </c>
      <c r="V49" s="87">
        <v>62.645596666559079</v>
      </c>
      <c r="W49" s="87">
        <v>62.645596666559079</v>
      </c>
      <c r="X49" s="27">
        <v>4.4000000000000004</v>
      </c>
      <c r="Y49" s="27"/>
      <c r="Z49" s="87">
        <v>102.40522169100559</v>
      </c>
      <c r="AA49" s="87">
        <v>102.40522169100559</v>
      </c>
      <c r="AB49" s="87">
        <v>102.40522169100559</v>
      </c>
      <c r="AC49" s="87">
        <v>102.40522169100559</v>
      </c>
      <c r="AD49" s="87">
        <v>102.40522169100559</v>
      </c>
      <c r="AE49" s="87">
        <v>102.40522169100559</v>
      </c>
      <c r="AF49" s="87">
        <v>102.40522169100559</v>
      </c>
      <c r="AG49" s="87">
        <v>102.40522169100559</v>
      </c>
      <c r="AH49" s="87">
        <v>102.40522169100559</v>
      </c>
      <c r="AI49" s="27">
        <v>4.4000000000000004</v>
      </c>
      <c r="AK49" s="87">
        <v>110.14554524065102</v>
      </c>
      <c r="AL49" s="87">
        <v>110.14554524065102</v>
      </c>
      <c r="AM49" s="87">
        <v>110.14554524065102</v>
      </c>
      <c r="AN49" s="87">
        <v>110.14554524065102</v>
      </c>
      <c r="AO49" s="87">
        <v>110.14554524065102</v>
      </c>
      <c r="AP49" s="87">
        <v>110.14554524065102</v>
      </c>
      <c r="AQ49" s="87">
        <v>110.14554524065102</v>
      </c>
      <c r="AR49" s="87">
        <v>110.14554524065102</v>
      </c>
      <c r="AS49" s="87">
        <v>110.14554524065102</v>
      </c>
      <c r="AT49" s="27">
        <v>4.4000000000000004</v>
      </c>
      <c r="AV49" s="87">
        <v>115.03273146015499</v>
      </c>
      <c r="AW49" s="87">
        <v>115.03273146015499</v>
      </c>
      <c r="AX49" s="87">
        <v>115.03273146015499</v>
      </c>
      <c r="AY49" s="87">
        <v>115.03273146015499</v>
      </c>
      <c r="AZ49" s="87">
        <v>115.03273146015499</v>
      </c>
      <c r="BA49" s="87">
        <v>115.03273146015499</v>
      </c>
      <c r="BB49" s="87">
        <v>115.03273146015499</v>
      </c>
      <c r="BC49" s="87">
        <v>115.03273146015499</v>
      </c>
      <c r="BD49" s="87">
        <v>115.03273146015499</v>
      </c>
      <c r="BE49" s="27">
        <v>4.4000000000000004</v>
      </c>
      <c r="BG49" s="87">
        <v>159.73214285714312</v>
      </c>
      <c r="BH49" s="87">
        <v>159.73214285714312</v>
      </c>
      <c r="BI49" s="87">
        <v>159.73214285714312</v>
      </c>
      <c r="BJ49" s="87">
        <v>159.73214285714312</v>
      </c>
      <c r="BK49" s="87">
        <v>159.73214285714312</v>
      </c>
      <c r="BL49" s="87">
        <v>159.73214285714312</v>
      </c>
      <c r="BM49" s="87">
        <v>159.73214285714312</v>
      </c>
      <c r="BN49" s="87">
        <v>159.73214285714312</v>
      </c>
      <c r="BO49" s="87">
        <v>159.73214285714312</v>
      </c>
      <c r="BP49" s="27">
        <v>4.4000000000000004</v>
      </c>
      <c r="BR49" s="87">
        <v>159.73214285714312</v>
      </c>
      <c r="BS49" s="87">
        <v>159.73214285714312</v>
      </c>
      <c r="BT49" s="87">
        <v>159.73214285714312</v>
      </c>
      <c r="BU49" s="87">
        <v>159.73214285714312</v>
      </c>
      <c r="BV49" s="87">
        <v>159.73214285714312</v>
      </c>
      <c r="BW49" s="87">
        <v>159.73214285714312</v>
      </c>
      <c r="BX49" s="87">
        <v>159.73214285714312</v>
      </c>
      <c r="BY49" s="87">
        <v>159.73214285714312</v>
      </c>
      <c r="BZ49" s="87">
        <v>159.73214285714312</v>
      </c>
      <c r="CA49" s="27">
        <v>4.4000000000000004</v>
      </c>
      <c r="CC49" s="87">
        <v>42.62229327585144</v>
      </c>
      <c r="CD49" s="87">
        <v>42.62229327585144</v>
      </c>
      <c r="CE49" s="87">
        <v>42.62229327585144</v>
      </c>
      <c r="CF49" s="87">
        <v>42.62229327585144</v>
      </c>
      <c r="CG49" s="87">
        <v>42.62229327585144</v>
      </c>
      <c r="CH49" s="87">
        <v>42.62229327585144</v>
      </c>
      <c r="CI49" s="87">
        <v>42.62229327585144</v>
      </c>
      <c r="CJ49" s="87">
        <v>42.62229327585144</v>
      </c>
      <c r="CK49" s="87">
        <v>42.62229327585144</v>
      </c>
      <c r="CL49" s="27">
        <v>4.4000000000000004</v>
      </c>
      <c r="CN49" s="87">
        <v>51.023349679055613</v>
      </c>
      <c r="CO49" s="87">
        <v>51.023349679055613</v>
      </c>
      <c r="CP49" s="87">
        <v>51.023349679055613</v>
      </c>
      <c r="CQ49" s="87">
        <v>51.023349679055613</v>
      </c>
      <c r="CR49" s="87">
        <v>51.023349679055613</v>
      </c>
      <c r="CS49" s="87">
        <v>51.023349679055613</v>
      </c>
      <c r="CT49" s="87">
        <v>51.023349679055613</v>
      </c>
      <c r="CU49" s="87">
        <v>51.023349679055613</v>
      </c>
      <c r="CV49" s="87">
        <v>51.023349679055613</v>
      </c>
      <c r="CW49" s="27">
        <v>4.4000000000000004</v>
      </c>
      <c r="CY49" s="87">
        <v>70.891069147672539</v>
      </c>
      <c r="CZ49" s="87">
        <v>70.891069147672539</v>
      </c>
      <c r="DA49" s="87">
        <v>70.891069147672539</v>
      </c>
      <c r="DB49" s="87">
        <v>70.891069147672539</v>
      </c>
      <c r="DC49" s="87">
        <v>70.891069147672539</v>
      </c>
      <c r="DD49" s="87">
        <v>70.891069147672539</v>
      </c>
      <c r="DE49" s="87">
        <v>70.891069147672539</v>
      </c>
      <c r="DF49" s="87">
        <v>70.891069147672539</v>
      </c>
      <c r="DG49" s="87">
        <v>70.891069147672539</v>
      </c>
      <c r="DH49" s="27">
        <v>4.4000000000000004</v>
      </c>
      <c r="DJ49" s="87">
        <v>70.891069147672539</v>
      </c>
      <c r="DK49" s="87">
        <v>70.891069147672539</v>
      </c>
      <c r="DL49" s="87">
        <v>70.891069147672539</v>
      </c>
      <c r="DM49" s="87">
        <v>70.891069147672539</v>
      </c>
      <c r="DN49" s="87">
        <v>70.891069147672539</v>
      </c>
      <c r="DO49" s="87">
        <v>70.891069147672539</v>
      </c>
      <c r="DP49" s="87">
        <v>70.891069147672539</v>
      </c>
      <c r="DQ49" s="87">
        <v>70.891069147672539</v>
      </c>
      <c r="DR49" s="87">
        <v>70.891069147672539</v>
      </c>
      <c r="DS49" s="27">
        <v>4.4000000000000004</v>
      </c>
      <c r="DW49" s="27">
        <v>38</v>
      </c>
      <c r="DX49" s="27">
        <v>38</v>
      </c>
      <c r="DY49" s="27">
        <v>38</v>
      </c>
      <c r="DZ49" s="27">
        <v>38</v>
      </c>
      <c r="EA49" s="27">
        <v>38</v>
      </c>
      <c r="EB49" s="27">
        <v>38</v>
      </c>
      <c r="EC49" s="27">
        <v>38</v>
      </c>
      <c r="ED49" s="27">
        <v>38</v>
      </c>
      <c r="EE49" s="27">
        <v>38</v>
      </c>
      <c r="EF49" s="129">
        <v>6.4</v>
      </c>
      <c r="EH49" s="27">
        <v>64</v>
      </c>
      <c r="EI49" s="27">
        <v>64</v>
      </c>
      <c r="EJ49" s="27">
        <v>64</v>
      </c>
      <c r="EK49" s="27">
        <v>64</v>
      </c>
      <c r="EL49" s="27">
        <v>64</v>
      </c>
      <c r="EM49" s="27">
        <v>64</v>
      </c>
      <c r="EN49" s="27">
        <v>64</v>
      </c>
      <c r="EO49" s="27">
        <v>64</v>
      </c>
      <c r="EP49" s="27">
        <v>64</v>
      </c>
      <c r="EQ49" s="129">
        <v>6.4</v>
      </c>
      <c r="ES49" s="27">
        <v>76.600000000000023</v>
      </c>
      <c r="ET49" s="27">
        <v>76.600000000000023</v>
      </c>
      <c r="EU49" s="27">
        <v>76.600000000000023</v>
      </c>
      <c r="EV49" s="27">
        <v>76.600000000000023</v>
      </c>
      <c r="EW49" s="27">
        <v>76.600000000000023</v>
      </c>
      <c r="EX49" s="27">
        <v>76.600000000000023</v>
      </c>
      <c r="EY49" s="27">
        <v>76.600000000000023</v>
      </c>
      <c r="EZ49" s="27">
        <v>76.600000000000023</v>
      </c>
      <c r="FA49" s="27">
        <v>76.600000000000023</v>
      </c>
      <c r="FB49" s="129">
        <v>6.4</v>
      </c>
      <c r="FD49" s="27">
        <v>79.800000000000011</v>
      </c>
      <c r="FE49" s="27">
        <v>79.800000000000011</v>
      </c>
      <c r="FF49" s="27">
        <v>79.800000000000011</v>
      </c>
      <c r="FG49" s="27">
        <v>79.800000000000011</v>
      </c>
      <c r="FH49" s="27">
        <v>79.800000000000011</v>
      </c>
      <c r="FI49" s="27">
        <v>79.800000000000011</v>
      </c>
      <c r="FJ49" s="27">
        <v>79.800000000000011</v>
      </c>
      <c r="FK49" s="27">
        <v>79.800000000000011</v>
      </c>
      <c r="FL49" s="27">
        <v>79.800000000000011</v>
      </c>
      <c r="FM49" s="129">
        <v>6.4</v>
      </c>
      <c r="FO49" s="27">
        <v>123.8</v>
      </c>
      <c r="FP49" s="27">
        <v>123.8</v>
      </c>
      <c r="FQ49" s="27">
        <v>123.8</v>
      </c>
      <c r="FR49" s="27">
        <v>123.8</v>
      </c>
      <c r="FS49" s="27">
        <v>123.8</v>
      </c>
      <c r="FT49" s="27">
        <v>123.8</v>
      </c>
      <c r="FU49" s="27">
        <v>123.8</v>
      </c>
      <c r="FV49" s="27">
        <v>123.8</v>
      </c>
      <c r="FW49" s="27">
        <v>123.8</v>
      </c>
      <c r="FX49" s="129">
        <v>6.4</v>
      </c>
      <c r="FZ49" s="27">
        <v>123.8</v>
      </c>
      <c r="GA49" s="27">
        <v>123.8</v>
      </c>
      <c r="GB49" s="27">
        <v>123.8</v>
      </c>
      <c r="GC49" s="27">
        <v>123.8</v>
      </c>
      <c r="GD49" s="27">
        <v>123.8</v>
      </c>
      <c r="GE49" s="27">
        <v>123.8</v>
      </c>
      <c r="GF49" s="27">
        <v>123.8</v>
      </c>
      <c r="GG49" s="27">
        <v>123.8</v>
      </c>
      <c r="GH49" s="27">
        <v>123.8</v>
      </c>
      <c r="GI49" s="129">
        <v>6.4</v>
      </c>
      <c r="GJ49" s="27"/>
      <c r="GK49" s="27">
        <v>29.400000000000006</v>
      </c>
      <c r="GL49" s="27">
        <v>29.400000000000006</v>
      </c>
      <c r="GM49" s="27">
        <v>29.400000000000006</v>
      </c>
      <c r="GN49" s="27">
        <v>29.400000000000006</v>
      </c>
      <c r="GO49" s="27">
        <v>29.400000000000006</v>
      </c>
      <c r="GP49" s="27">
        <v>29.400000000000006</v>
      </c>
      <c r="GQ49" s="27">
        <v>29.400000000000006</v>
      </c>
      <c r="GR49" s="27">
        <v>29.400000000000006</v>
      </c>
      <c r="GS49" s="27">
        <v>29.400000000000006</v>
      </c>
      <c r="GT49" s="129">
        <v>6.4</v>
      </c>
      <c r="GV49" s="27">
        <v>35.599999999999994</v>
      </c>
      <c r="GW49" s="27">
        <v>35.599999999999994</v>
      </c>
      <c r="GX49" s="27">
        <v>35.599999999999994</v>
      </c>
      <c r="GY49" s="27">
        <v>35.599999999999994</v>
      </c>
      <c r="GZ49" s="27">
        <v>35.599999999999994</v>
      </c>
      <c r="HA49" s="27">
        <v>35.599999999999994</v>
      </c>
      <c r="HB49" s="27">
        <v>35.599999999999994</v>
      </c>
      <c r="HC49" s="27">
        <v>35.599999999999994</v>
      </c>
      <c r="HD49" s="27">
        <v>35.599999999999994</v>
      </c>
      <c r="HE49" s="129">
        <v>6.4</v>
      </c>
      <c r="HG49" s="27">
        <v>48.800000000000011</v>
      </c>
      <c r="HH49" s="27">
        <v>48.800000000000011</v>
      </c>
      <c r="HI49" s="27">
        <v>48.800000000000011</v>
      </c>
      <c r="HJ49" s="27">
        <v>48.800000000000011</v>
      </c>
      <c r="HK49" s="27">
        <v>48.800000000000011</v>
      </c>
      <c r="HL49" s="27">
        <v>48.800000000000011</v>
      </c>
      <c r="HM49" s="27">
        <v>48.800000000000011</v>
      </c>
      <c r="HN49" s="27">
        <v>48.800000000000011</v>
      </c>
      <c r="HO49" s="27">
        <v>48.800000000000011</v>
      </c>
      <c r="HP49" s="129">
        <v>6.4</v>
      </c>
      <c r="HR49" s="27">
        <v>48.800000000000011</v>
      </c>
      <c r="HS49" s="27">
        <v>48.800000000000011</v>
      </c>
      <c r="HT49" s="27">
        <v>48.800000000000011</v>
      </c>
      <c r="HU49" s="27">
        <v>48.800000000000011</v>
      </c>
      <c r="HV49" s="27">
        <v>48.800000000000011</v>
      </c>
      <c r="HW49" s="27">
        <v>48.800000000000011</v>
      </c>
      <c r="HX49" s="27">
        <v>48.800000000000011</v>
      </c>
      <c r="HY49" s="27">
        <v>48.800000000000011</v>
      </c>
      <c r="HZ49" s="27">
        <v>48.800000000000011</v>
      </c>
      <c r="IA49" s="129">
        <v>6.4</v>
      </c>
    </row>
    <row r="50" spans="15:235" ht="3" customHeight="1">
      <c r="O50" s="87">
        <v>60.806048541054253</v>
      </c>
      <c r="P50" s="87">
        <v>60.806048541054253</v>
      </c>
      <c r="Q50" s="87">
        <v>60.806048541054253</v>
      </c>
      <c r="R50" s="87">
        <v>60.806048541054253</v>
      </c>
      <c r="S50" s="87">
        <v>60.806048541054253</v>
      </c>
      <c r="T50" s="87">
        <v>60.806048541054253</v>
      </c>
      <c r="U50" s="87">
        <v>60.806048541054253</v>
      </c>
      <c r="V50" s="87">
        <v>60.806048541054253</v>
      </c>
      <c r="W50" s="87">
        <v>60.806048541054253</v>
      </c>
      <c r="X50" s="27">
        <v>4.5</v>
      </c>
      <c r="Y50" s="27"/>
      <c r="Z50" s="87">
        <v>99.618760305510335</v>
      </c>
      <c r="AA50" s="87">
        <v>99.618760305510335</v>
      </c>
      <c r="AB50" s="87">
        <v>99.618760305510335</v>
      </c>
      <c r="AC50" s="87">
        <v>99.618760305510335</v>
      </c>
      <c r="AD50" s="87">
        <v>99.618760305510335</v>
      </c>
      <c r="AE50" s="87">
        <v>99.618760305510335</v>
      </c>
      <c r="AF50" s="87">
        <v>99.618760305510335</v>
      </c>
      <c r="AG50" s="87">
        <v>99.618760305510335</v>
      </c>
      <c r="AH50" s="87">
        <v>99.618760305510335</v>
      </c>
      <c r="AI50" s="27">
        <v>4.5</v>
      </c>
      <c r="AK50" s="87">
        <v>107.7269137175404</v>
      </c>
      <c r="AL50" s="87">
        <v>107.7269137175404</v>
      </c>
      <c r="AM50" s="87">
        <v>107.7269137175404</v>
      </c>
      <c r="AN50" s="87">
        <v>107.7269137175404</v>
      </c>
      <c r="AO50" s="87">
        <v>107.7269137175404</v>
      </c>
      <c r="AP50" s="87">
        <v>107.7269137175404</v>
      </c>
      <c r="AQ50" s="87">
        <v>107.7269137175404</v>
      </c>
      <c r="AR50" s="87">
        <v>107.7269137175404</v>
      </c>
      <c r="AS50" s="87">
        <v>107.7269137175404</v>
      </c>
      <c r="AT50" s="27">
        <v>4.5</v>
      </c>
      <c r="AV50" s="87">
        <v>112.4773469924535</v>
      </c>
      <c r="AW50" s="87">
        <v>112.4773469924535</v>
      </c>
      <c r="AX50" s="87">
        <v>112.4773469924535</v>
      </c>
      <c r="AY50" s="87">
        <v>112.4773469924535</v>
      </c>
      <c r="AZ50" s="87">
        <v>112.4773469924535</v>
      </c>
      <c r="BA50" s="87">
        <v>112.4773469924535</v>
      </c>
      <c r="BB50" s="87">
        <v>112.4773469924535</v>
      </c>
      <c r="BC50" s="87">
        <v>112.4773469924535</v>
      </c>
      <c r="BD50" s="87">
        <v>112.4773469924535</v>
      </c>
      <c r="BE50" s="27">
        <v>4.5</v>
      </c>
      <c r="BG50" s="87">
        <v>157.70982142857167</v>
      </c>
      <c r="BH50" s="87">
        <v>157.70982142857167</v>
      </c>
      <c r="BI50" s="87">
        <v>157.70982142857167</v>
      </c>
      <c r="BJ50" s="87">
        <v>157.70982142857167</v>
      </c>
      <c r="BK50" s="87">
        <v>157.70982142857167</v>
      </c>
      <c r="BL50" s="87">
        <v>157.70982142857167</v>
      </c>
      <c r="BM50" s="87">
        <v>157.70982142857167</v>
      </c>
      <c r="BN50" s="87">
        <v>157.70982142857167</v>
      </c>
      <c r="BO50" s="87">
        <v>157.70982142857167</v>
      </c>
      <c r="BP50" s="27">
        <v>4.5</v>
      </c>
      <c r="BR50" s="87">
        <v>157.70982142857167</v>
      </c>
      <c r="BS50" s="87">
        <v>157.70982142857167</v>
      </c>
      <c r="BT50" s="87">
        <v>157.70982142857167</v>
      </c>
      <c r="BU50" s="87">
        <v>157.70982142857167</v>
      </c>
      <c r="BV50" s="87">
        <v>157.70982142857167</v>
      </c>
      <c r="BW50" s="87">
        <v>157.70982142857167</v>
      </c>
      <c r="BX50" s="87">
        <v>157.70982142857167</v>
      </c>
      <c r="BY50" s="87">
        <v>157.70982142857167</v>
      </c>
      <c r="BZ50" s="87">
        <v>157.70982142857167</v>
      </c>
      <c r="CA50" s="27">
        <v>4.5</v>
      </c>
      <c r="CC50" s="87">
        <v>41.684497847653013</v>
      </c>
      <c r="CD50" s="87">
        <v>41.684497847653013</v>
      </c>
      <c r="CE50" s="87">
        <v>41.684497847653013</v>
      </c>
      <c r="CF50" s="87">
        <v>41.684497847653013</v>
      </c>
      <c r="CG50" s="87">
        <v>41.684497847653013</v>
      </c>
      <c r="CH50" s="87">
        <v>41.684497847653013</v>
      </c>
      <c r="CI50" s="87">
        <v>41.684497847653013</v>
      </c>
      <c r="CJ50" s="87">
        <v>41.684497847653013</v>
      </c>
      <c r="CK50" s="87">
        <v>41.684497847653013</v>
      </c>
      <c r="CL50" s="27">
        <v>4.5</v>
      </c>
      <c r="CN50" s="87">
        <v>49.904074666511228</v>
      </c>
      <c r="CO50" s="87">
        <v>49.904074666511228</v>
      </c>
      <c r="CP50" s="87">
        <v>49.904074666511228</v>
      </c>
      <c r="CQ50" s="87">
        <v>49.904074666511228</v>
      </c>
      <c r="CR50" s="87">
        <v>49.904074666511228</v>
      </c>
      <c r="CS50" s="87">
        <v>49.904074666511228</v>
      </c>
      <c r="CT50" s="87">
        <v>49.904074666511228</v>
      </c>
      <c r="CU50" s="87">
        <v>49.904074666511228</v>
      </c>
      <c r="CV50" s="87">
        <v>49.904074666511228</v>
      </c>
      <c r="CW50" s="27">
        <v>4.5</v>
      </c>
      <c r="CY50" s="87">
        <v>69.307923883039905</v>
      </c>
      <c r="CZ50" s="87">
        <v>69.307923883039905</v>
      </c>
      <c r="DA50" s="87">
        <v>69.307923883039905</v>
      </c>
      <c r="DB50" s="87">
        <v>69.307923883039905</v>
      </c>
      <c r="DC50" s="87">
        <v>69.307923883039905</v>
      </c>
      <c r="DD50" s="87">
        <v>69.307923883039905</v>
      </c>
      <c r="DE50" s="87">
        <v>69.307923883039905</v>
      </c>
      <c r="DF50" s="87">
        <v>69.307923883039905</v>
      </c>
      <c r="DG50" s="87">
        <v>69.307923883039905</v>
      </c>
      <c r="DH50" s="27">
        <v>4.5</v>
      </c>
      <c r="DJ50" s="87">
        <v>69.307923883039905</v>
      </c>
      <c r="DK50" s="87">
        <v>69.307923883039905</v>
      </c>
      <c r="DL50" s="87">
        <v>69.307923883039905</v>
      </c>
      <c r="DM50" s="87">
        <v>69.307923883039905</v>
      </c>
      <c r="DN50" s="87">
        <v>69.307923883039905</v>
      </c>
      <c r="DO50" s="87">
        <v>69.307923883039905</v>
      </c>
      <c r="DP50" s="87">
        <v>69.307923883039905</v>
      </c>
      <c r="DQ50" s="87">
        <v>69.307923883039905</v>
      </c>
      <c r="DR50" s="87">
        <v>69.307923883039905</v>
      </c>
      <c r="DS50" s="27">
        <v>4.5</v>
      </c>
      <c r="DW50" s="27">
        <v>37.5</v>
      </c>
      <c r="DX50" s="27">
        <v>37.5</v>
      </c>
      <c r="DY50" s="27">
        <v>37.5</v>
      </c>
      <c r="DZ50" s="27">
        <v>37.5</v>
      </c>
      <c r="EA50" s="27">
        <v>37.5</v>
      </c>
      <c r="EB50" s="27">
        <v>37.5</v>
      </c>
      <c r="EC50" s="27">
        <v>37.5</v>
      </c>
      <c r="ED50" s="27">
        <v>37.5</v>
      </c>
      <c r="EE50" s="27">
        <v>37.5</v>
      </c>
      <c r="EF50" s="129">
        <v>6.5</v>
      </c>
      <c r="EH50" s="27">
        <v>63</v>
      </c>
      <c r="EI50" s="27">
        <v>63</v>
      </c>
      <c r="EJ50" s="27">
        <v>63</v>
      </c>
      <c r="EK50" s="27">
        <v>63</v>
      </c>
      <c r="EL50" s="27">
        <v>63</v>
      </c>
      <c r="EM50" s="27">
        <v>63</v>
      </c>
      <c r="EN50" s="27">
        <v>63</v>
      </c>
      <c r="EO50" s="27">
        <v>63</v>
      </c>
      <c r="EP50" s="27">
        <v>63</v>
      </c>
      <c r="EQ50" s="129">
        <v>6.5</v>
      </c>
      <c r="ES50" s="27">
        <v>75.500000000000028</v>
      </c>
      <c r="ET50" s="27">
        <v>75.500000000000028</v>
      </c>
      <c r="EU50" s="27">
        <v>75.500000000000028</v>
      </c>
      <c r="EV50" s="27">
        <v>75.500000000000028</v>
      </c>
      <c r="EW50" s="27">
        <v>75.500000000000028</v>
      </c>
      <c r="EX50" s="27">
        <v>75.500000000000028</v>
      </c>
      <c r="EY50" s="27">
        <v>75.500000000000028</v>
      </c>
      <c r="EZ50" s="27">
        <v>75.500000000000028</v>
      </c>
      <c r="FA50" s="27">
        <v>75.500000000000028</v>
      </c>
      <c r="FB50" s="129">
        <v>6.5</v>
      </c>
      <c r="FD50" s="27">
        <v>78.500000000000014</v>
      </c>
      <c r="FE50" s="27">
        <v>78.500000000000014</v>
      </c>
      <c r="FF50" s="27">
        <v>78.500000000000014</v>
      </c>
      <c r="FG50" s="27">
        <v>78.500000000000014</v>
      </c>
      <c r="FH50" s="27">
        <v>78.500000000000014</v>
      </c>
      <c r="FI50" s="27">
        <v>78.500000000000014</v>
      </c>
      <c r="FJ50" s="27">
        <v>78.500000000000014</v>
      </c>
      <c r="FK50" s="27">
        <v>78.500000000000014</v>
      </c>
      <c r="FL50" s="27">
        <v>78.500000000000014</v>
      </c>
      <c r="FM50" s="129">
        <v>6.5</v>
      </c>
      <c r="FO50" s="27">
        <v>122</v>
      </c>
      <c r="FP50" s="27">
        <v>122</v>
      </c>
      <c r="FQ50" s="27">
        <v>122</v>
      </c>
      <c r="FR50" s="27">
        <v>122</v>
      </c>
      <c r="FS50" s="27">
        <v>122</v>
      </c>
      <c r="FT50" s="27">
        <v>122</v>
      </c>
      <c r="FU50" s="27">
        <v>122</v>
      </c>
      <c r="FV50" s="27">
        <v>122</v>
      </c>
      <c r="FW50" s="27">
        <v>122</v>
      </c>
      <c r="FX50" s="129">
        <v>6.5</v>
      </c>
      <c r="FZ50" s="27">
        <v>122</v>
      </c>
      <c r="GA50" s="27">
        <v>122</v>
      </c>
      <c r="GB50" s="27">
        <v>122</v>
      </c>
      <c r="GC50" s="27">
        <v>122</v>
      </c>
      <c r="GD50" s="27">
        <v>122</v>
      </c>
      <c r="GE50" s="27">
        <v>122</v>
      </c>
      <c r="GF50" s="27">
        <v>122</v>
      </c>
      <c r="GG50" s="27">
        <v>122</v>
      </c>
      <c r="GH50" s="27">
        <v>122</v>
      </c>
      <c r="GI50" s="129">
        <v>6.5</v>
      </c>
      <c r="GJ50" s="27"/>
      <c r="GK50" s="27">
        <v>29.000000000000007</v>
      </c>
      <c r="GL50" s="27">
        <v>29.000000000000007</v>
      </c>
      <c r="GM50" s="27">
        <v>29.000000000000007</v>
      </c>
      <c r="GN50" s="27">
        <v>29.000000000000007</v>
      </c>
      <c r="GO50" s="27">
        <v>29.000000000000007</v>
      </c>
      <c r="GP50" s="27">
        <v>29.000000000000007</v>
      </c>
      <c r="GQ50" s="27">
        <v>29.000000000000007</v>
      </c>
      <c r="GR50" s="27">
        <v>29.000000000000007</v>
      </c>
      <c r="GS50" s="27">
        <v>29.000000000000007</v>
      </c>
      <c r="GT50" s="129">
        <v>6.5</v>
      </c>
      <c r="GV50" s="27">
        <v>34.999999999999993</v>
      </c>
      <c r="GW50" s="27">
        <v>34.999999999999993</v>
      </c>
      <c r="GX50" s="27">
        <v>34.999999999999993</v>
      </c>
      <c r="GY50" s="27">
        <v>34.999999999999993</v>
      </c>
      <c r="GZ50" s="27">
        <v>34.999999999999993</v>
      </c>
      <c r="HA50" s="27">
        <v>34.999999999999993</v>
      </c>
      <c r="HB50" s="27">
        <v>34.999999999999993</v>
      </c>
      <c r="HC50" s="27">
        <v>34.999999999999993</v>
      </c>
      <c r="HD50" s="27">
        <v>34.999999999999993</v>
      </c>
      <c r="HE50" s="129">
        <v>6.5</v>
      </c>
      <c r="HG50" s="27">
        <v>48.000000000000014</v>
      </c>
      <c r="HH50" s="27">
        <v>48.000000000000014</v>
      </c>
      <c r="HI50" s="27">
        <v>48.000000000000014</v>
      </c>
      <c r="HJ50" s="27">
        <v>48.000000000000014</v>
      </c>
      <c r="HK50" s="27">
        <v>48.000000000000014</v>
      </c>
      <c r="HL50" s="27">
        <v>48.000000000000014</v>
      </c>
      <c r="HM50" s="27">
        <v>48.000000000000014</v>
      </c>
      <c r="HN50" s="27">
        <v>48.000000000000014</v>
      </c>
      <c r="HO50" s="27">
        <v>48.000000000000014</v>
      </c>
      <c r="HP50" s="129">
        <v>6.5</v>
      </c>
      <c r="HR50" s="27">
        <v>48.000000000000014</v>
      </c>
      <c r="HS50" s="27">
        <v>48.000000000000014</v>
      </c>
      <c r="HT50" s="27">
        <v>48.000000000000014</v>
      </c>
      <c r="HU50" s="27">
        <v>48.000000000000014</v>
      </c>
      <c r="HV50" s="27">
        <v>48.000000000000014</v>
      </c>
      <c r="HW50" s="27">
        <v>48.000000000000014</v>
      </c>
      <c r="HX50" s="27">
        <v>48.000000000000014</v>
      </c>
      <c r="HY50" s="27">
        <v>48.000000000000014</v>
      </c>
      <c r="HZ50" s="27">
        <v>48.000000000000014</v>
      </c>
      <c r="IA50" s="129">
        <v>6.5</v>
      </c>
    </row>
    <row r="51" spans="15:235" ht="3" customHeight="1">
      <c r="O51" s="87">
        <v>59.059193941769905</v>
      </c>
      <c r="P51" s="87">
        <v>59.059193941769905</v>
      </c>
      <c r="Q51" s="87">
        <v>59.059193941769905</v>
      </c>
      <c r="R51" s="87">
        <v>59.059193941769905</v>
      </c>
      <c r="S51" s="87">
        <v>59.059193941769905</v>
      </c>
      <c r="T51" s="87">
        <v>59.059193941769905</v>
      </c>
      <c r="U51" s="87">
        <v>59.059193941769905</v>
      </c>
      <c r="V51" s="87">
        <v>59.059193941769905</v>
      </c>
      <c r="W51" s="87">
        <v>59.059193941769905</v>
      </c>
      <c r="X51" s="27">
        <v>4.5999999999999996</v>
      </c>
      <c r="Y51" s="27"/>
      <c r="Z51" s="87">
        <v>96.966898119683577</v>
      </c>
      <c r="AA51" s="87">
        <v>96.966898119683577</v>
      </c>
      <c r="AB51" s="87">
        <v>96.966898119683577</v>
      </c>
      <c r="AC51" s="87">
        <v>96.966898119683577</v>
      </c>
      <c r="AD51" s="87">
        <v>96.966898119683577</v>
      </c>
      <c r="AE51" s="87">
        <v>96.966898119683577</v>
      </c>
      <c r="AF51" s="87">
        <v>96.966898119683577</v>
      </c>
      <c r="AG51" s="87">
        <v>96.966898119683577</v>
      </c>
      <c r="AH51" s="87">
        <v>96.966898119683577</v>
      </c>
      <c r="AI51" s="27">
        <v>4.5999999999999996</v>
      </c>
      <c r="AK51" s="87">
        <v>105.41282292605982</v>
      </c>
      <c r="AL51" s="87">
        <v>105.41282292605982</v>
      </c>
      <c r="AM51" s="87">
        <v>105.41282292605982</v>
      </c>
      <c r="AN51" s="87">
        <v>105.41282292605982</v>
      </c>
      <c r="AO51" s="87">
        <v>105.41282292605982</v>
      </c>
      <c r="AP51" s="87">
        <v>105.41282292605982</v>
      </c>
      <c r="AQ51" s="87">
        <v>105.41282292605982</v>
      </c>
      <c r="AR51" s="87">
        <v>105.41282292605982</v>
      </c>
      <c r="AS51" s="87">
        <v>105.41282292605982</v>
      </c>
      <c r="AT51" s="27">
        <v>4.5999999999999996</v>
      </c>
      <c r="AV51" s="87">
        <v>110.03304688551124</v>
      </c>
      <c r="AW51" s="87">
        <v>110.03304688551124</v>
      </c>
      <c r="AX51" s="87">
        <v>110.03304688551124</v>
      </c>
      <c r="AY51" s="87">
        <v>110.03304688551124</v>
      </c>
      <c r="AZ51" s="87">
        <v>110.03304688551124</v>
      </c>
      <c r="BA51" s="87">
        <v>110.03304688551124</v>
      </c>
      <c r="BB51" s="87">
        <v>110.03304688551124</v>
      </c>
      <c r="BC51" s="87">
        <v>110.03304688551124</v>
      </c>
      <c r="BD51" s="87">
        <v>110.03304688551124</v>
      </c>
      <c r="BE51" s="27">
        <v>4.5999999999999996</v>
      </c>
      <c r="BG51" s="87">
        <v>155.70833333333357</v>
      </c>
      <c r="BH51" s="87">
        <v>155.70833333333357</v>
      </c>
      <c r="BI51" s="87">
        <v>155.70833333333357</v>
      </c>
      <c r="BJ51" s="87">
        <v>155.70833333333357</v>
      </c>
      <c r="BK51" s="87">
        <v>155.70833333333357</v>
      </c>
      <c r="BL51" s="87">
        <v>155.70833333333357</v>
      </c>
      <c r="BM51" s="87">
        <v>155.70833333333357</v>
      </c>
      <c r="BN51" s="87">
        <v>155.70833333333357</v>
      </c>
      <c r="BO51" s="87">
        <v>155.70833333333357</v>
      </c>
      <c r="BP51" s="27">
        <v>4.5999999999999996</v>
      </c>
      <c r="BR51" s="87">
        <v>155.70833333333357</v>
      </c>
      <c r="BS51" s="87">
        <v>155.70833333333357</v>
      </c>
      <c r="BT51" s="87">
        <v>155.70833333333357</v>
      </c>
      <c r="BU51" s="87">
        <v>155.70833333333357</v>
      </c>
      <c r="BV51" s="87">
        <v>155.70833333333357</v>
      </c>
      <c r="BW51" s="87">
        <v>155.70833333333357</v>
      </c>
      <c r="BX51" s="87">
        <v>155.70833333333357</v>
      </c>
      <c r="BY51" s="87">
        <v>155.70833333333357</v>
      </c>
      <c r="BZ51" s="87">
        <v>155.70833333333357</v>
      </c>
      <c r="CA51" s="27">
        <v>4.5999999999999996</v>
      </c>
      <c r="CC51" s="87">
        <v>40.787276724250738</v>
      </c>
      <c r="CD51" s="87">
        <v>40.787276724250738</v>
      </c>
      <c r="CE51" s="87">
        <v>40.787276724250738</v>
      </c>
      <c r="CF51" s="87">
        <v>40.787276724250738</v>
      </c>
      <c r="CG51" s="87">
        <v>40.787276724250738</v>
      </c>
      <c r="CH51" s="87">
        <v>40.787276724250738</v>
      </c>
      <c r="CI51" s="87">
        <v>40.787276724250738</v>
      </c>
      <c r="CJ51" s="87">
        <v>40.787276724250738</v>
      </c>
      <c r="CK51" s="87">
        <v>40.787276724250738</v>
      </c>
      <c r="CL51" s="27">
        <v>4.5999999999999996</v>
      </c>
      <c r="CN51" s="87">
        <v>48.833154376430919</v>
      </c>
      <c r="CO51" s="87">
        <v>48.833154376430919</v>
      </c>
      <c r="CP51" s="87">
        <v>48.833154376430919</v>
      </c>
      <c r="CQ51" s="87">
        <v>48.833154376430919</v>
      </c>
      <c r="CR51" s="87">
        <v>48.833154376430919</v>
      </c>
      <c r="CS51" s="87">
        <v>48.833154376430919</v>
      </c>
      <c r="CT51" s="87">
        <v>48.833154376430919</v>
      </c>
      <c r="CU51" s="87">
        <v>48.833154376430919</v>
      </c>
      <c r="CV51" s="87">
        <v>48.833154376430919</v>
      </c>
      <c r="CW51" s="27">
        <v>4.5999999999999996</v>
      </c>
      <c r="CY51" s="87">
        <v>67.793779310443384</v>
      </c>
      <c r="CZ51" s="87">
        <v>67.793779310443384</v>
      </c>
      <c r="DA51" s="87">
        <v>67.793779310443384</v>
      </c>
      <c r="DB51" s="87">
        <v>67.793779310443384</v>
      </c>
      <c r="DC51" s="87">
        <v>67.793779310443384</v>
      </c>
      <c r="DD51" s="87">
        <v>67.793779310443384</v>
      </c>
      <c r="DE51" s="87">
        <v>67.793779310443384</v>
      </c>
      <c r="DF51" s="87">
        <v>67.793779310443384</v>
      </c>
      <c r="DG51" s="87">
        <v>67.793779310443384</v>
      </c>
      <c r="DH51" s="27">
        <v>4.5999999999999996</v>
      </c>
      <c r="DJ51" s="87">
        <v>67.793779310443384</v>
      </c>
      <c r="DK51" s="87">
        <v>67.793779310443384</v>
      </c>
      <c r="DL51" s="87">
        <v>67.793779310443384</v>
      </c>
      <c r="DM51" s="87">
        <v>67.793779310443384</v>
      </c>
      <c r="DN51" s="87">
        <v>67.793779310443384</v>
      </c>
      <c r="DO51" s="87">
        <v>67.793779310443384</v>
      </c>
      <c r="DP51" s="87">
        <v>67.793779310443384</v>
      </c>
      <c r="DQ51" s="87">
        <v>67.793779310443384</v>
      </c>
      <c r="DR51" s="87">
        <v>67.793779310443384</v>
      </c>
      <c r="DS51" s="27">
        <v>4.5999999999999996</v>
      </c>
      <c r="DW51" s="27">
        <v>37</v>
      </c>
      <c r="DX51" s="27">
        <v>37</v>
      </c>
      <c r="DY51" s="27">
        <v>37</v>
      </c>
      <c r="DZ51" s="27">
        <v>37</v>
      </c>
      <c r="EA51" s="27">
        <v>37</v>
      </c>
      <c r="EB51" s="27">
        <v>37</v>
      </c>
      <c r="EC51" s="27">
        <v>37</v>
      </c>
      <c r="ED51" s="27">
        <v>37</v>
      </c>
      <c r="EE51" s="27">
        <v>37</v>
      </c>
      <c r="EF51" s="129">
        <v>6.6</v>
      </c>
      <c r="EH51" s="27">
        <v>62</v>
      </c>
      <c r="EI51" s="27">
        <v>62</v>
      </c>
      <c r="EJ51" s="27">
        <v>62</v>
      </c>
      <c r="EK51" s="27">
        <v>62</v>
      </c>
      <c r="EL51" s="27">
        <v>62</v>
      </c>
      <c r="EM51" s="27">
        <v>62</v>
      </c>
      <c r="EN51" s="27">
        <v>62</v>
      </c>
      <c r="EO51" s="27">
        <v>62</v>
      </c>
      <c r="EP51" s="27">
        <v>62</v>
      </c>
      <c r="EQ51" s="129">
        <v>6.6</v>
      </c>
      <c r="ES51" s="27">
        <v>74.400000000000034</v>
      </c>
      <c r="ET51" s="27">
        <v>74.400000000000034</v>
      </c>
      <c r="EU51" s="27">
        <v>74.400000000000034</v>
      </c>
      <c r="EV51" s="27">
        <v>74.400000000000034</v>
      </c>
      <c r="EW51" s="27">
        <v>74.400000000000034</v>
      </c>
      <c r="EX51" s="27">
        <v>74.400000000000034</v>
      </c>
      <c r="EY51" s="27">
        <v>74.400000000000034</v>
      </c>
      <c r="EZ51" s="27">
        <v>74.400000000000034</v>
      </c>
      <c r="FA51" s="27">
        <v>74.400000000000034</v>
      </c>
      <c r="FB51" s="129">
        <v>6.6</v>
      </c>
      <c r="FD51" s="27">
        <v>77.200000000000017</v>
      </c>
      <c r="FE51" s="27">
        <v>77.200000000000017</v>
      </c>
      <c r="FF51" s="27">
        <v>77.200000000000017</v>
      </c>
      <c r="FG51" s="27">
        <v>77.200000000000017</v>
      </c>
      <c r="FH51" s="27">
        <v>77.200000000000017</v>
      </c>
      <c r="FI51" s="27">
        <v>77.200000000000017</v>
      </c>
      <c r="FJ51" s="27">
        <v>77.200000000000017</v>
      </c>
      <c r="FK51" s="27">
        <v>77.200000000000017</v>
      </c>
      <c r="FL51" s="27">
        <v>77.200000000000017</v>
      </c>
      <c r="FM51" s="129">
        <v>6.6</v>
      </c>
      <c r="FO51" s="27">
        <v>120.2</v>
      </c>
      <c r="FP51" s="27">
        <v>120.2</v>
      </c>
      <c r="FQ51" s="27">
        <v>120.2</v>
      </c>
      <c r="FR51" s="27">
        <v>120.2</v>
      </c>
      <c r="FS51" s="27">
        <v>120.2</v>
      </c>
      <c r="FT51" s="27">
        <v>120.2</v>
      </c>
      <c r="FU51" s="27">
        <v>120.2</v>
      </c>
      <c r="FV51" s="27">
        <v>120.2</v>
      </c>
      <c r="FW51" s="27">
        <v>120.2</v>
      </c>
      <c r="FX51" s="129">
        <v>6.6</v>
      </c>
      <c r="FZ51" s="27">
        <v>120.2</v>
      </c>
      <c r="GA51" s="27">
        <v>120.2</v>
      </c>
      <c r="GB51" s="27">
        <v>120.2</v>
      </c>
      <c r="GC51" s="27">
        <v>120.2</v>
      </c>
      <c r="GD51" s="27">
        <v>120.2</v>
      </c>
      <c r="GE51" s="27">
        <v>120.2</v>
      </c>
      <c r="GF51" s="27">
        <v>120.2</v>
      </c>
      <c r="GG51" s="27">
        <v>120.2</v>
      </c>
      <c r="GH51" s="27">
        <v>120.2</v>
      </c>
      <c r="GI51" s="129">
        <v>6.6</v>
      </c>
      <c r="GJ51" s="27"/>
      <c r="GK51" s="27">
        <v>28.600000000000009</v>
      </c>
      <c r="GL51" s="27">
        <v>28.600000000000009</v>
      </c>
      <c r="GM51" s="27">
        <v>28.600000000000009</v>
      </c>
      <c r="GN51" s="27">
        <v>28.600000000000009</v>
      </c>
      <c r="GO51" s="27">
        <v>28.600000000000009</v>
      </c>
      <c r="GP51" s="27">
        <v>28.600000000000009</v>
      </c>
      <c r="GQ51" s="27">
        <v>28.600000000000009</v>
      </c>
      <c r="GR51" s="27">
        <v>28.600000000000009</v>
      </c>
      <c r="GS51" s="27">
        <v>28.600000000000009</v>
      </c>
      <c r="GT51" s="129">
        <v>6.6</v>
      </c>
      <c r="GV51" s="27">
        <v>34.399999999999991</v>
      </c>
      <c r="GW51" s="27">
        <v>34.399999999999991</v>
      </c>
      <c r="GX51" s="27">
        <v>34.399999999999991</v>
      </c>
      <c r="GY51" s="27">
        <v>34.399999999999991</v>
      </c>
      <c r="GZ51" s="27">
        <v>34.399999999999991</v>
      </c>
      <c r="HA51" s="27">
        <v>34.399999999999991</v>
      </c>
      <c r="HB51" s="27">
        <v>34.399999999999991</v>
      </c>
      <c r="HC51" s="27">
        <v>34.399999999999991</v>
      </c>
      <c r="HD51" s="27">
        <v>34.399999999999991</v>
      </c>
      <c r="HE51" s="129">
        <v>6.6</v>
      </c>
      <c r="HG51" s="27">
        <v>47.200000000000017</v>
      </c>
      <c r="HH51" s="27">
        <v>47.200000000000017</v>
      </c>
      <c r="HI51" s="27">
        <v>47.200000000000017</v>
      </c>
      <c r="HJ51" s="27">
        <v>47.200000000000017</v>
      </c>
      <c r="HK51" s="27">
        <v>47.200000000000017</v>
      </c>
      <c r="HL51" s="27">
        <v>47.200000000000017</v>
      </c>
      <c r="HM51" s="27">
        <v>47.200000000000017</v>
      </c>
      <c r="HN51" s="27">
        <v>47.200000000000017</v>
      </c>
      <c r="HO51" s="27">
        <v>47.200000000000017</v>
      </c>
      <c r="HP51" s="129">
        <v>6.6</v>
      </c>
      <c r="HR51" s="27">
        <v>47.200000000000017</v>
      </c>
      <c r="HS51" s="27">
        <v>47.200000000000017</v>
      </c>
      <c r="HT51" s="27">
        <v>47.200000000000017</v>
      </c>
      <c r="HU51" s="27">
        <v>47.200000000000017</v>
      </c>
      <c r="HV51" s="27">
        <v>47.200000000000017</v>
      </c>
      <c r="HW51" s="27">
        <v>47.200000000000017</v>
      </c>
      <c r="HX51" s="27">
        <v>47.200000000000017</v>
      </c>
      <c r="HY51" s="27">
        <v>47.200000000000017</v>
      </c>
      <c r="HZ51" s="27">
        <v>47.200000000000017</v>
      </c>
      <c r="IA51" s="129">
        <v>6.6</v>
      </c>
    </row>
    <row r="52" spans="15:235" ht="3" customHeight="1">
      <c r="O52" s="87">
        <v>57.39849591936995</v>
      </c>
      <c r="P52" s="87">
        <v>57.39849591936995</v>
      </c>
      <c r="Q52" s="87">
        <v>57.39849591936995</v>
      </c>
      <c r="R52" s="87">
        <v>57.39849591936995</v>
      </c>
      <c r="S52" s="87">
        <v>57.39849591936995</v>
      </c>
      <c r="T52" s="87">
        <v>57.39849591936995</v>
      </c>
      <c r="U52" s="87">
        <v>57.39849591936995</v>
      </c>
      <c r="V52" s="87">
        <v>57.39849591936995</v>
      </c>
      <c r="W52" s="87">
        <v>57.39849591936995</v>
      </c>
      <c r="X52" s="27">
        <v>4.7</v>
      </c>
      <c r="Y52" s="27"/>
      <c r="Z52" s="87">
        <v>94.440414621372696</v>
      </c>
      <c r="AA52" s="87">
        <v>94.440414621372696</v>
      </c>
      <c r="AB52" s="87">
        <v>94.440414621372696</v>
      </c>
      <c r="AC52" s="87">
        <v>94.440414621372696</v>
      </c>
      <c r="AD52" s="87">
        <v>94.440414621372696</v>
      </c>
      <c r="AE52" s="87">
        <v>94.440414621372696</v>
      </c>
      <c r="AF52" s="87">
        <v>94.440414621372696</v>
      </c>
      <c r="AG52" s="87">
        <v>94.440414621372696</v>
      </c>
      <c r="AH52" s="87">
        <v>94.440414621372696</v>
      </c>
      <c r="AI52" s="27">
        <v>4.7</v>
      </c>
      <c r="AK52" s="87">
        <v>103.19662588385152</v>
      </c>
      <c r="AL52" s="87">
        <v>103.19662588385152</v>
      </c>
      <c r="AM52" s="87">
        <v>103.19662588385152</v>
      </c>
      <c r="AN52" s="87">
        <v>103.19662588385152</v>
      </c>
      <c r="AO52" s="87">
        <v>103.19662588385152</v>
      </c>
      <c r="AP52" s="87">
        <v>103.19662588385152</v>
      </c>
      <c r="AQ52" s="87">
        <v>103.19662588385152</v>
      </c>
      <c r="AR52" s="87">
        <v>103.19662588385152</v>
      </c>
      <c r="AS52" s="87">
        <v>103.19662588385152</v>
      </c>
      <c r="AT52" s="27">
        <v>4.7</v>
      </c>
      <c r="AV52" s="87">
        <v>107.69274146111081</v>
      </c>
      <c r="AW52" s="87">
        <v>107.69274146111081</v>
      </c>
      <c r="AX52" s="87">
        <v>107.69274146111081</v>
      </c>
      <c r="AY52" s="87">
        <v>107.69274146111081</v>
      </c>
      <c r="AZ52" s="87">
        <v>107.69274146111081</v>
      </c>
      <c r="BA52" s="87">
        <v>107.69274146111081</v>
      </c>
      <c r="BB52" s="87">
        <v>107.69274146111081</v>
      </c>
      <c r="BC52" s="87">
        <v>107.69274146111081</v>
      </c>
      <c r="BD52" s="87">
        <v>107.69274146111081</v>
      </c>
      <c r="BE52" s="27">
        <v>4.7</v>
      </c>
      <c r="BG52" s="87">
        <v>153.72767857142884</v>
      </c>
      <c r="BH52" s="87">
        <v>153.72767857142884</v>
      </c>
      <c r="BI52" s="87">
        <v>153.72767857142884</v>
      </c>
      <c r="BJ52" s="87">
        <v>153.72767857142884</v>
      </c>
      <c r="BK52" s="87">
        <v>153.72767857142884</v>
      </c>
      <c r="BL52" s="87">
        <v>153.72767857142884</v>
      </c>
      <c r="BM52" s="87">
        <v>153.72767857142884</v>
      </c>
      <c r="BN52" s="87">
        <v>153.72767857142884</v>
      </c>
      <c r="BO52" s="87">
        <v>153.72767857142884</v>
      </c>
      <c r="BP52" s="27">
        <v>4.7</v>
      </c>
      <c r="BR52" s="87">
        <v>153.72767857142884</v>
      </c>
      <c r="BS52" s="87">
        <v>153.72767857142884</v>
      </c>
      <c r="BT52" s="87">
        <v>153.72767857142884</v>
      </c>
      <c r="BU52" s="87">
        <v>153.72767857142884</v>
      </c>
      <c r="BV52" s="87">
        <v>153.72767857142884</v>
      </c>
      <c r="BW52" s="87">
        <v>153.72767857142884</v>
      </c>
      <c r="BX52" s="87">
        <v>153.72767857142884</v>
      </c>
      <c r="BY52" s="87">
        <v>153.72767857142884</v>
      </c>
      <c r="BZ52" s="87">
        <v>153.72767857142884</v>
      </c>
      <c r="CA52" s="27">
        <v>4.7</v>
      </c>
      <c r="CC52" s="87">
        <v>39.928048410590733</v>
      </c>
      <c r="CD52" s="87">
        <v>39.928048410590733</v>
      </c>
      <c r="CE52" s="87">
        <v>39.928048410590733</v>
      </c>
      <c r="CF52" s="87">
        <v>39.928048410590733</v>
      </c>
      <c r="CG52" s="87">
        <v>39.928048410590733</v>
      </c>
      <c r="CH52" s="87">
        <v>39.928048410590733</v>
      </c>
      <c r="CI52" s="87">
        <v>39.928048410590733</v>
      </c>
      <c r="CJ52" s="87">
        <v>39.928048410590733</v>
      </c>
      <c r="CK52" s="87">
        <v>39.928048410590733</v>
      </c>
      <c r="CL52" s="27">
        <v>4.7</v>
      </c>
      <c r="CN52" s="87">
        <v>47.807515280605998</v>
      </c>
      <c r="CO52" s="87">
        <v>47.807515280605998</v>
      </c>
      <c r="CP52" s="87">
        <v>47.807515280605998</v>
      </c>
      <c r="CQ52" s="87">
        <v>47.807515280605998</v>
      </c>
      <c r="CR52" s="87">
        <v>47.807515280605998</v>
      </c>
      <c r="CS52" s="87">
        <v>47.807515280605998</v>
      </c>
      <c r="CT52" s="87">
        <v>47.807515280605998</v>
      </c>
      <c r="CU52" s="87">
        <v>47.807515280605998</v>
      </c>
      <c r="CV52" s="87">
        <v>47.807515280605998</v>
      </c>
      <c r="CW52" s="27">
        <v>4.7</v>
      </c>
      <c r="CY52" s="87">
        <v>66.344224027984836</v>
      </c>
      <c r="CZ52" s="87">
        <v>66.344224027984836</v>
      </c>
      <c r="DA52" s="87">
        <v>66.344224027984836</v>
      </c>
      <c r="DB52" s="87">
        <v>66.344224027984836</v>
      </c>
      <c r="DC52" s="87">
        <v>66.344224027984836</v>
      </c>
      <c r="DD52" s="87">
        <v>66.344224027984836</v>
      </c>
      <c r="DE52" s="87">
        <v>66.344224027984836</v>
      </c>
      <c r="DF52" s="87">
        <v>66.344224027984836</v>
      </c>
      <c r="DG52" s="87">
        <v>66.344224027984836</v>
      </c>
      <c r="DH52" s="27">
        <v>4.7</v>
      </c>
      <c r="DJ52" s="87">
        <v>66.344224027984836</v>
      </c>
      <c r="DK52" s="87">
        <v>66.344224027984836</v>
      </c>
      <c r="DL52" s="87">
        <v>66.344224027984836</v>
      </c>
      <c r="DM52" s="87">
        <v>66.344224027984836</v>
      </c>
      <c r="DN52" s="87">
        <v>66.344224027984836</v>
      </c>
      <c r="DO52" s="87">
        <v>66.344224027984836</v>
      </c>
      <c r="DP52" s="87">
        <v>66.344224027984836</v>
      </c>
      <c r="DQ52" s="87">
        <v>66.344224027984836</v>
      </c>
      <c r="DR52" s="87">
        <v>66.344224027984836</v>
      </c>
      <c r="DS52" s="27">
        <v>4.7</v>
      </c>
      <c r="DW52" s="27">
        <v>36.5</v>
      </c>
      <c r="DX52" s="27">
        <v>36.5</v>
      </c>
      <c r="DY52" s="27">
        <v>36.5</v>
      </c>
      <c r="DZ52" s="27">
        <v>36.5</v>
      </c>
      <c r="EA52" s="27">
        <v>36.5</v>
      </c>
      <c r="EB52" s="27">
        <v>36.5</v>
      </c>
      <c r="EC52" s="27">
        <v>36.5</v>
      </c>
      <c r="ED52" s="27">
        <v>36.5</v>
      </c>
      <c r="EE52" s="27">
        <v>36.5</v>
      </c>
      <c r="EF52" s="129">
        <v>6.7</v>
      </c>
      <c r="EH52" s="27">
        <v>61</v>
      </c>
      <c r="EI52" s="27">
        <v>61</v>
      </c>
      <c r="EJ52" s="27">
        <v>61</v>
      </c>
      <c r="EK52" s="27">
        <v>61</v>
      </c>
      <c r="EL52" s="27">
        <v>61</v>
      </c>
      <c r="EM52" s="27">
        <v>61</v>
      </c>
      <c r="EN52" s="27">
        <v>61</v>
      </c>
      <c r="EO52" s="27">
        <v>61</v>
      </c>
      <c r="EP52" s="27">
        <v>61</v>
      </c>
      <c r="EQ52" s="129">
        <v>6.7</v>
      </c>
      <c r="ES52" s="27">
        <v>73.30000000000004</v>
      </c>
      <c r="ET52" s="27">
        <v>73.30000000000004</v>
      </c>
      <c r="EU52" s="27">
        <v>73.30000000000004</v>
      </c>
      <c r="EV52" s="27">
        <v>73.30000000000004</v>
      </c>
      <c r="EW52" s="27">
        <v>73.30000000000004</v>
      </c>
      <c r="EX52" s="27">
        <v>73.30000000000004</v>
      </c>
      <c r="EY52" s="27">
        <v>73.30000000000004</v>
      </c>
      <c r="EZ52" s="27">
        <v>73.30000000000004</v>
      </c>
      <c r="FA52" s="27">
        <v>73.30000000000004</v>
      </c>
      <c r="FB52" s="129">
        <v>6.7</v>
      </c>
      <c r="FD52" s="27">
        <v>75.90000000000002</v>
      </c>
      <c r="FE52" s="27">
        <v>75.90000000000002</v>
      </c>
      <c r="FF52" s="27">
        <v>75.90000000000002</v>
      </c>
      <c r="FG52" s="27">
        <v>75.90000000000002</v>
      </c>
      <c r="FH52" s="27">
        <v>75.90000000000002</v>
      </c>
      <c r="FI52" s="27">
        <v>75.90000000000002</v>
      </c>
      <c r="FJ52" s="27">
        <v>75.90000000000002</v>
      </c>
      <c r="FK52" s="27">
        <v>75.90000000000002</v>
      </c>
      <c r="FL52" s="27">
        <v>75.90000000000002</v>
      </c>
      <c r="FM52" s="129">
        <v>6.7</v>
      </c>
      <c r="FO52" s="27">
        <v>118.4</v>
      </c>
      <c r="FP52" s="27">
        <v>118.4</v>
      </c>
      <c r="FQ52" s="27">
        <v>118.4</v>
      </c>
      <c r="FR52" s="27">
        <v>118.4</v>
      </c>
      <c r="FS52" s="27">
        <v>118.4</v>
      </c>
      <c r="FT52" s="27">
        <v>118.4</v>
      </c>
      <c r="FU52" s="27">
        <v>118.4</v>
      </c>
      <c r="FV52" s="27">
        <v>118.4</v>
      </c>
      <c r="FW52" s="27">
        <v>118.4</v>
      </c>
      <c r="FX52" s="129">
        <v>6.7</v>
      </c>
      <c r="FZ52" s="27">
        <v>118.4</v>
      </c>
      <c r="GA52" s="27">
        <v>118.4</v>
      </c>
      <c r="GB52" s="27">
        <v>118.4</v>
      </c>
      <c r="GC52" s="27">
        <v>118.4</v>
      </c>
      <c r="GD52" s="27">
        <v>118.4</v>
      </c>
      <c r="GE52" s="27">
        <v>118.4</v>
      </c>
      <c r="GF52" s="27">
        <v>118.4</v>
      </c>
      <c r="GG52" s="27">
        <v>118.4</v>
      </c>
      <c r="GH52" s="27">
        <v>118.4</v>
      </c>
      <c r="GI52" s="129">
        <v>6.7</v>
      </c>
      <c r="GJ52" s="27"/>
      <c r="GK52" s="27">
        <v>28.20000000000001</v>
      </c>
      <c r="GL52" s="27">
        <v>28.20000000000001</v>
      </c>
      <c r="GM52" s="27">
        <v>28.20000000000001</v>
      </c>
      <c r="GN52" s="27">
        <v>28.20000000000001</v>
      </c>
      <c r="GO52" s="27">
        <v>28.20000000000001</v>
      </c>
      <c r="GP52" s="27">
        <v>28.20000000000001</v>
      </c>
      <c r="GQ52" s="27">
        <v>28.20000000000001</v>
      </c>
      <c r="GR52" s="27">
        <v>28.20000000000001</v>
      </c>
      <c r="GS52" s="27">
        <v>28.20000000000001</v>
      </c>
      <c r="GT52" s="129">
        <v>6.7</v>
      </c>
      <c r="GV52" s="27">
        <v>33.79999999999999</v>
      </c>
      <c r="GW52" s="27">
        <v>33.79999999999999</v>
      </c>
      <c r="GX52" s="27">
        <v>33.79999999999999</v>
      </c>
      <c r="GY52" s="27">
        <v>33.79999999999999</v>
      </c>
      <c r="GZ52" s="27">
        <v>33.79999999999999</v>
      </c>
      <c r="HA52" s="27">
        <v>33.79999999999999</v>
      </c>
      <c r="HB52" s="27">
        <v>33.79999999999999</v>
      </c>
      <c r="HC52" s="27">
        <v>33.79999999999999</v>
      </c>
      <c r="HD52" s="27">
        <v>33.79999999999999</v>
      </c>
      <c r="HE52" s="129">
        <v>6.7</v>
      </c>
      <c r="HG52" s="27">
        <v>46.40000000000002</v>
      </c>
      <c r="HH52" s="27">
        <v>46.40000000000002</v>
      </c>
      <c r="HI52" s="27">
        <v>46.40000000000002</v>
      </c>
      <c r="HJ52" s="27">
        <v>46.40000000000002</v>
      </c>
      <c r="HK52" s="27">
        <v>46.40000000000002</v>
      </c>
      <c r="HL52" s="27">
        <v>46.40000000000002</v>
      </c>
      <c r="HM52" s="27">
        <v>46.40000000000002</v>
      </c>
      <c r="HN52" s="27">
        <v>46.40000000000002</v>
      </c>
      <c r="HO52" s="27">
        <v>46.40000000000002</v>
      </c>
      <c r="HP52" s="129">
        <v>6.7</v>
      </c>
      <c r="HR52" s="27">
        <v>46.40000000000002</v>
      </c>
      <c r="HS52" s="27">
        <v>46.40000000000002</v>
      </c>
      <c r="HT52" s="27">
        <v>46.40000000000002</v>
      </c>
      <c r="HU52" s="27">
        <v>46.40000000000002</v>
      </c>
      <c r="HV52" s="27">
        <v>46.40000000000002</v>
      </c>
      <c r="HW52" s="27">
        <v>46.40000000000002</v>
      </c>
      <c r="HX52" s="27">
        <v>46.40000000000002</v>
      </c>
      <c r="HY52" s="27">
        <v>46.40000000000002</v>
      </c>
      <c r="HZ52" s="27">
        <v>46.40000000000002</v>
      </c>
      <c r="IA52" s="129">
        <v>6.7</v>
      </c>
    </row>
    <row r="53" spans="15:235" ht="3" customHeight="1">
      <c r="O53" s="87">
        <v>55.818004664358682</v>
      </c>
      <c r="P53" s="87">
        <v>55.818004664358682</v>
      </c>
      <c r="Q53" s="87">
        <v>55.818004664358682</v>
      </c>
      <c r="R53" s="87">
        <v>55.818004664358682</v>
      </c>
      <c r="S53" s="87">
        <v>55.818004664358682</v>
      </c>
      <c r="T53" s="87">
        <v>55.818004664358682</v>
      </c>
      <c r="U53" s="87">
        <v>55.818004664358682</v>
      </c>
      <c r="V53" s="87">
        <v>55.818004664358682</v>
      </c>
      <c r="W53" s="87">
        <v>55.818004664358682</v>
      </c>
      <c r="X53" s="27">
        <v>4.8</v>
      </c>
      <c r="Y53" s="27"/>
      <c r="Z53" s="87">
        <v>92.030899434041672</v>
      </c>
      <c r="AA53" s="87">
        <v>92.030899434041672</v>
      </c>
      <c r="AB53" s="87">
        <v>92.030899434041672</v>
      </c>
      <c r="AC53" s="87">
        <v>92.030899434041672</v>
      </c>
      <c r="AD53" s="87">
        <v>92.030899434041672</v>
      </c>
      <c r="AE53" s="87">
        <v>92.030899434041672</v>
      </c>
      <c r="AF53" s="87">
        <v>92.030899434041672</v>
      </c>
      <c r="AG53" s="87">
        <v>92.030899434041672</v>
      </c>
      <c r="AH53" s="87">
        <v>92.030899434041672</v>
      </c>
      <c r="AI53" s="27">
        <v>4.8</v>
      </c>
      <c r="AK53" s="87">
        <v>101.07222793229766</v>
      </c>
      <c r="AL53" s="87">
        <v>101.07222793229766</v>
      </c>
      <c r="AM53" s="87">
        <v>101.07222793229766</v>
      </c>
      <c r="AN53" s="87">
        <v>101.07222793229766</v>
      </c>
      <c r="AO53" s="87">
        <v>101.07222793229766</v>
      </c>
      <c r="AP53" s="87">
        <v>101.07222793229766</v>
      </c>
      <c r="AQ53" s="87">
        <v>101.07222793229766</v>
      </c>
      <c r="AR53" s="87">
        <v>101.07222793229766</v>
      </c>
      <c r="AS53" s="87">
        <v>101.07222793229766</v>
      </c>
      <c r="AT53" s="27">
        <v>4.8</v>
      </c>
      <c r="AV53" s="87">
        <v>105.4499317972801</v>
      </c>
      <c r="AW53" s="87">
        <v>105.4499317972801</v>
      </c>
      <c r="AX53" s="87">
        <v>105.4499317972801</v>
      </c>
      <c r="AY53" s="87">
        <v>105.4499317972801</v>
      </c>
      <c r="AZ53" s="87">
        <v>105.4499317972801</v>
      </c>
      <c r="BA53" s="87">
        <v>105.4499317972801</v>
      </c>
      <c r="BB53" s="87">
        <v>105.4499317972801</v>
      </c>
      <c r="BC53" s="87">
        <v>105.4499317972801</v>
      </c>
      <c r="BD53" s="87">
        <v>105.4499317972801</v>
      </c>
      <c r="BE53" s="27">
        <v>4.8</v>
      </c>
      <c r="BG53" s="87">
        <v>151.76785714285739</v>
      </c>
      <c r="BH53" s="87">
        <v>151.76785714285739</v>
      </c>
      <c r="BI53" s="87">
        <v>151.76785714285739</v>
      </c>
      <c r="BJ53" s="87">
        <v>151.76785714285739</v>
      </c>
      <c r="BK53" s="87">
        <v>151.76785714285739</v>
      </c>
      <c r="BL53" s="87">
        <v>151.76785714285739</v>
      </c>
      <c r="BM53" s="87">
        <v>151.76785714285739</v>
      </c>
      <c r="BN53" s="87">
        <v>151.76785714285739</v>
      </c>
      <c r="BO53" s="87">
        <v>151.76785714285739</v>
      </c>
      <c r="BP53" s="27">
        <v>4.8</v>
      </c>
      <c r="BR53" s="87">
        <v>151.76785714285739</v>
      </c>
      <c r="BS53" s="87">
        <v>151.76785714285739</v>
      </c>
      <c r="BT53" s="87">
        <v>151.76785714285739</v>
      </c>
      <c r="BU53" s="87">
        <v>151.76785714285739</v>
      </c>
      <c r="BV53" s="87">
        <v>151.76785714285739</v>
      </c>
      <c r="BW53" s="87">
        <v>151.76785714285739</v>
      </c>
      <c r="BX53" s="87">
        <v>151.76785714285739</v>
      </c>
      <c r="BY53" s="87">
        <v>151.76785714285739</v>
      </c>
      <c r="BZ53" s="87">
        <v>151.76785714285739</v>
      </c>
      <c r="CA53" s="27">
        <v>4.8</v>
      </c>
      <c r="CC53" s="87">
        <v>39.104446021155084</v>
      </c>
      <c r="CD53" s="87">
        <v>39.104446021155084</v>
      </c>
      <c r="CE53" s="87">
        <v>39.104446021155084</v>
      </c>
      <c r="CF53" s="87">
        <v>39.104446021155084</v>
      </c>
      <c r="CG53" s="87">
        <v>39.104446021155084</v>
      </c>
      <c r="CH53" s="87">
        <v>39.104446021155084</v>
      </c>
      <c r="CI53" s="87">
        <v>39.104446021155084</v>
      </c>
      <c r="CJ53" s="87">
        <v>39.104446021155084</v>
      </c>
      <c r="CK53" s="87">
        <v>39.104446021155084</v>
      </c>
      <c r="CL53" s="27">
        <v>4.8</v>
      </c>
      <c r="CN53" s="87">
        <v>46.82433918096585</v>
      </c>
      <c r="CO53" s="87">
        <v>46.82433918096585</v>
      </c>
      <c r="CP53" s="87">
        <v>46.82433918096585</v>
      </c>
      <c r="CQ53" s="87">
        <v>46.82433918096585</v>
      </c>
      <c r="CR53" s="87">
        <v>46.82433918096585</v>
      </c>
      <c r="CS53" s="87">
        <v>46.82433918096585</v>
      </c>
      <c r="CT53" s="87">
        <v>46.82433918096585</v>
      </c>
      <c r="CU53" s="87">
        <v>46.82433918096585</v>
      </c>
      <c r="CV53" s="87">
        <v>46.82433918096585</v>
      </c>
      <c r="CW53" s="27">
        <v>4.8</v>
      </c>
      <c r="CY53" s="87">
        <v>64.955214690594516</v>
      </c>
      <c r="CZ53" s="87">
        <v>64.955214690594516</v>
      </c>
      <c r="DA53" s="87">
        <v>64.955214690594516</v>
      </c>
      <c r="DB53" s="87">
        <v>64.955214690594516</v>
      </c>
      <c r="DC53" s="87">
        <v>64.955214690594516</v>
      </c>
      <c r="DD53" s="87">
        <v>64.955214690594516</v>
      </c>
      <c r="DE53" s="87">
        <v>64.955214690594516</v>
      </c>
      <c r="DF53" s="87">
        <v>64.955214690594516</v>
      </c>
      <c r="DG53" s="87">
        <v>64.955214690594516</v>
      </c>
      <c r="DH53" s="27">
        <v>4.8</v>
      </c>
      <c r="DJ53" s="87">
        <v>64.955214690594516</v>
      </c>
      <c r="DK53" s="87">
        <v>64.955214690594516</v>
      </c>
      <c r="DL53" s="87">
        <v>64.955214690594516</v>
      </c>
      <c r="DM53" s="87">
        <v>64.955214690594516</v>
      </c>
      <c r="DN53" s="87">
        <v>64.955214690594516</v>
      </c>
      <c r="DO53" s="87">
        <v>64.955214690594516</v>
      </c>
      <c r="DP53" s="87">
        <v>64.955214690594516</v>
      </c>
      <c r="DQ53" s="87">
        <v>64.955214690594516</v>
      </c>
      <c r="DR53" s="87">
        <v>64.955214690594516</v>
      </c>
      <c r="DS53" s="27">
        <v>4.8</v>
      </c>
      <c r="DW53" s="27">
        <v>36</v>
      </c>
      <c r="DX53" s="27">
        <v>36</v>
      </c>
      <c r="DY53" s="27">
        <v>36</v>
      </c>
      <c r="DZ53" s="27">
        <v>36</v>
      </c>
      <c r="EA53" s="27">
        <v>36</v>
      </c>
      <c r="EB53" s="27">
        <v>36</v>
      </c>
      <c r="EC53" s="27">
        <v>36</v>
      </c>
      <c r="ED53" s="27">
        <v>36</v>
      </c>
      <c r="EE53" s="27">
        <v>36</v>
      </c>
      <c r="EF53" s="129">
        <v>6.8</v>
      </c>
      <c r="EH53" s="27">
        <v>60</v>
      </c>
      <c r="EI53" s="27">
        <v>60</v>
      </c>
      <c r="EJ53" s="27">
        <v>60</v>
      </c>
      <c r="EK53" s="27">
        <v>60</v>
      </c>
      <c r="EL53" s="27">
        <v>60</v>
      </c>
      <c r="EM53" s="27">
        <v>60</v>
      </c>
      <c r="EN53" s="27">
        <v>60</v>
      </c>
      <c r="EO53" s="27">
        <v>60</v>
      </c>
      <c r="EP53" s="27">
        <v>60</v>
      </c>
      <c r="EQ53" s="129">
        <v>6.8</v>
      </c>
      <c r="ES53" s="27">
        <v>72.200000000000045</v>
      </c>
      <c r="ET53" s="27">
        <v>72.200000000000045</v>
      </c>
      <c r="EU53" s="27">
        <v>72.200000000000045</v>
      </c>
      <c r="EV53" s="27">
        <v>72.200000000000045</v>
      </c>
      <c r="EW53" s="27">
        <v>72.200000000000045</v>
      </c>
      <c r="EX53" s="27">
        <v>72.200000000000045</v>
      </c>
      <c r="EY53" s="27">
        <v>72.200000000000045</v>
      </c>
      <c r="EZ53" s="27">
        <v>72.200000000000045</v>
      </c>
      <c r="FA53" s="27">
        <v>72.200000000000045</v>
      </c>
      <c r="FB53" s="129">
        <v>6.8</v>
      </c>
      <c r="FD53" s="27">
        <v>74.600000000000023</v>
      </c>
      <c r="FE53" s="27">
        <v>74.600000000000023</v>
      </c>
      <c r="FF53" s="27">
        <v>74.600000000000023</v>
      </c>
      <c r="FG53" s="27">
        <v>74.600000000000023</v>
      </c>
      <c r="FH53" s="27">
        <v>74.600000000000023</v>
      </c>
      <c r="FI53" s="27">
        <v>74.600000000000023</v>
      </c>
      <c r="FJ53" s="27">
        <v>74.600000000000023</v>
      </c>
      <c r="FK53" s="27">
        <v>74.600000000000023</v>
      </c>
      <c r="FL53" s="27">
        <v>74.600000000000023</v>
      </c>
      <c r="FM53" s="129">
        <v>6.8</v>
      </c>
      <c r="FO53" s="27">
        <v>116.60000000000001</v>
      </c>
      <c r="FP53" s="27">
        <v>116.60000000000001</v>
      </c>
      <c r="FQ53" s="27">
        <v>116.60000000000001</v>
      </c>
      <c r="FR53" s="27">
        <v>116.60000000000001</v>
      </c>
      <c r="FS53" s="27">
        <v>116.60000000000001</v>
      </c>
      <c r="FT53" s="27">
        <v>116.60000000000001</v>
      </c>
      <c r="FU53" s="27">
        <v>116.60000000000001</v>
      </c>
      <c r="FV53" s="27">
        <v>116.60000000000001</v>
      </c>
      <c r="FW53" s="27">
        <v>116.60000000000001</v>
      </c>
      <c r="FX53" s="129">
        <v>6.8</v>
      </c>
      <c r="FZ53" s="27">
        <v>116.60000000000001</v>
      </c>
      <c r="GA53" s="27">
        <v>116.60000000000001</v>
      </c>
      <c r="GB53" s="27">
        <v>116.60000000000001</v>
      </c>
      <c r="GC53" s="27">
        <v>116.60000000000001</v>
      </c>
      <c r="GD53" s="27">
        <v>116.60000000000001</v>
      </c>
      <c r="GE53" s="27">
        <v>116.60000000000001</v>
      </c>
      <c r="GF53" s="27">
        <v>116.60000000000001</v>
      </c>
      <c r="GG53" s="27">
        <v>116.60000000000001</v>
      </c>
      <c r="GH53" s="27">
        <v>116.60000000000001</v>
      </c>
      <c r="GI53" s="129">
        <v>6.8</v>
      </c>
      <c r="GJ53" s="27"/>
      <c r="GK53" s="27">
        <v>27.800000000000011</v>
      </c>
      <c r="GL53" s="27">
        <v>27.800000000000011</v>
      </c>
      <c r="GM53" s="27">
        <v>27.800000000000011</v>
      </c>
      <c r="GN53" s="27">
        <v>27.800000000000011</v>
      </c>
      <c r="GO53" s="27">
        <v>27.800000000000011</v>
      </c>
      <c r="GP53" s="27">
        <v>27.800000000000011</v>
      </c>
      <c r="GQ53" s="27">
        <v>27.800000000000011</v>
      </c>
      <c r="GR53" s="27">
        <v>27.800000000000011</v>
      </c>
      <c r="GS53" s="27">
        <v>27.800000000000011</v>
      </c>
      <c r="GT53" s="129">
        <v>6.8</v>
      </c>
      <c r="GV53" s="27">
        <v>33.199999999999989</v>
      </c>
      <c r="GW53" s="27">
        <v>33.199999999999989</v>
      </c>
      <c r="GX53" s="27">
        <v>33.199999999999989</v>
      </c>
      <c r="GY53" s="27">
        <v>33.199999999999989</v>
      </c>
      <c r="GZ53" s="27">
        <v>33.199999999999989</v>
      </c>
      <c r="HA53" s="27">
        <v>33.199999999999989</v>
      </c>
      <c r="HB53" s="27">
        <v>33.199999999999989</v>
      </c>
      <c r="HC53" s="27">
        <v>33.199999999999989</v>
      </c>
      <c r="HD53" s="27">
        <v>33.199999999999989</v>
      </c>
      <c r="HE53" s="129">
        <v>6.8</v>
      </c>
      <c r="HG53" s="27">
        <v>45.600000000000023</v>
      </c>
      <c r="HH53" s="27">
        <v>45.600000000000023</v>
      </c>
      <c r="HI53" s="27">
        <v>45.600000000000023</v>
      </c>
      <c r="HJ53" s="27">
        <v>45.600000000000023</v>
      </c>
      <c r="HK53" s="27">
        <v>45.600000000000023</v>
      </c>
      <c r="HL53" s="27">
        <v>45.600000000000023</v>
      </c>
      <c r="HM53" s="27">
        <v>45.600000000000023</v>
      </c>
      <c r="HN53" s="27">
        <v>45.600000000000023</v>
      </c>
      <c r="HO53" s="27">
        <v>45.600000000000023</v>
      </c>
      <c r="HP53" s="129">
        <v>6.8</v>
      </c>
      <c r="HR53" s="27">
        <v>45.600000000000023</v>
      </c>
      <c r="HS53" s="27">
        <v>45.600000000000023</v>
      </c>
      <c r="HT53" s="27">
        <v>45.600000000000023</v>
      </c>
      <c r="HU53" s="27">
        <v>45.600000000000023</v>
      </c>
      <c r="HV53" s="27">
        <v>45.600000000000023</v>
      </c>
      <c r="HW53" s="27">
        <v>45.600000000000023</v>
      </c>
      <c r="HX53" s="27">
        <v>45.600000000000023</v>
      </c>
      <c r="HY53" s="27">
        <v>45.600000000000023</v>
      </c>
      <c r="HZ53" s="27">
        <v>45.600000000000023</v>
      </c>
      <c r="IA53" s="129">
        <v>6.8</v>
      </c>
    </row>
    <row r="54" spans="15:235" ht="3" customHeight="1">
      <c r="O54" s="87">
        <v>54.312293902380468</v>
      </c>
      <c r="P54" s="87">
        <v>54.312293902380468</v>
      </c>
      <c r="Q54" s="87">
        <v>54.312293902380468</v>
      </c>
      <c r="R54" s="87">
        <v>54.312293902380468</v>
      </c>
      <c r="S54" s="87">
        <v>54.312293902380468</v>
      </c>
      <c r="T54" s="87">
        <v>54.312293902380468</v>
      </c>
      <c r="U54" s="87">
        <v>54.312293902380468</v>
      </c>
      <c r="V54" s="87">
        <v>54.312293902380468</v>
      </c>
      <c r="W54" s="87">
        <v>54.312293902380468</v>
      </c>
      <c r="X54" s="27">
        <v>4.9000000000000004</v>
      </c>
      <c r="Y54" s="27"/>
      <c r="Z54" s="87">
        <v>89.730666091932335</v>
      </c>
      <c r="AA54" s="87">
        <v>89.730666091932335</v>
      </c>
      <c r="AB54" s="87">
        <v>89.730666091932335</v>
      </c>
      <c r="AC54" s="87">
        <v>89.730666091932335</v>
      </c>
      <c r="AD54" s="87">
        <v>89.730666091932335</v>
      </c>
      <c r="AE54" s="87">
        <v>89.730666091932335</v>
      </c>
      <c r="AF54" s="87">
        <v>89.730666091932335</v>
      </c>
      <c r="AG54" s="87">
        <v>89.730666091932335</v>
      </c>
      <c r="AH54" s="87">
        <v>89.730666091932335</v>
      </c>
      <c r="AI54" s="27">
        <v>4.9000000000000004</v>
      </c>
      <c r="AK54" s="87">
        <v>99.034030505184475</v>
      </c>
      <c r="AL54" s="87">
        <v>99.034030505184475</v>
      </c>
      <c r="AM54" s="87">
        <v>99.034030505184475</v>
      </c>
      <c r="AN54" s="87">
        <v>99.034030505184475</v>
      </c>
      <c r="AO54" s="87">
        <v>99.034030505184475</v>
      </c>
      <c r="AP54" s="87">
        <v>99.034030505184475</v>
      </c>
      <c r="AQ54" s="87">
        <v>99.034030505184475</v>
      </c>
      <c r="AR54" s="87">
        <v>99.034030505184475</v>
      </c>
      <c r="AS54" s="87">
        <v>99.034030505184475</v>
      </c>
      <c r="AT54" s="27">
        <v>4.9000000000000004</v>
      </c>
      <c r="AV54" s="87">
        <v>103.29864945110447</v>
      </c>
      <c r="AW54" s="87">
        <v>103.29864945110447</v>
      </c>
      <c r="AX54" s="87">
        <v>103.29864945110447</v>
      </c>
      <c r="AY54" s="87">
        <v>103.29864945110447</v>
      </c>
      <c r="AZ54" s="87">
        <v>103.29864945110447</v>
      </c>
      <c r="BA54" s="87">
        <v>103.29864945110447</v>
      </c>
      <c r="BB54" s="87">
        <v>103.29864945110447</v>
      </c>
      <c r="BC54" s="87">
        <v>103.29864945110447</v>
      </c>
      <c r="BD54" s="87">
        <v>103.29864945110447</v>
      </c>
      <c r="BE54" s="27">
        <v>4.9000000000000004</v>
      </c>
      <c r="BG54" s="87">
        <v>149.82886904761926</v>
      </c>
      <c r="BH54" s="87">
        <v>149.82886904761926</v>
      </c>
      <c r="BI54" s="87">
        <v>149.82886904761926</v>
      </c>
      <c r="BJ54" s="87">
        <v>149.82886904761926</v>
      </c>
      <c r="BK54" s="87">
        <v>149.82886904761926</v>
      </c>
      <c r="BL54" s="87">
        <v>149.82886904761926</v>
      </c>
      <c r="BM54" s="87">
        <v>149.82886904761926</v>
      </c>
      <c r="BN54" s="87">
        <v>149.82886904761926</v>
      </c>
      <c r="BO54" s="87">
        <v>149.82886904761926</v>
      </c>
      <c r="BP54" s="27">
        <v>4.9000000000000004</v>
      </c>
      <c r="BR54" s="87">
        <v>149.82886904761926</v>
      </c>
      <c r="BS54" s="87">
        <v>149.82886904761926</v>
      </c>
      <c r="BT54" s="87">
        <v>149.82886904761926</v>
      </c>
      <c r="BU54" s="87">
        <v>149.82886904761926</v>
      </c>
      <c r="BV54" s="87">
        <v>149.82886904761926</v>
      </c>
      <c r="BW54" s="87">
        <v>149.82886904761926</v>
      </c>
      <c r="BX54" s="87">
        <v>149.82886904761926</v>
      </c>
      <c r="BY54" s="87">
        <v>149.82886904761926</v>
      </c>
      <c r="BZ54" s="87">
        <v>149.82886904761926</v>
      </c>
      <c r="CA54" s="27">
        <v>4.9000000000000004</v>
      </c>
      <c r="CC54" s="87">
        <v>38.314295422549122</v>
      </c>
      <c r="CD54" s="87">
        <v>38.314295422549122</v>
      </c>
      <c r="CE54" s="87">
        <v>38.314295422549122</v>
      </c>
      <c r="CF54" s="87">
        <v>38.314295422549122</v>
      </c>
      <c r="CG54" s="87">
        <v>38.314295422549122</v>
      </c>
      <c r="CH54" s="87">
        <v>38.314295422549122</v>
      </c>
      <c r="CI54" s="87">
        <v>38.314295422549122</v>
      </c>
      <c r="CJ54" s="87">
        <v>38.314295422549122</v>
      </c>
      <c r="CK54" s="87">
        <v>38.314295422549122</v>
      </c>
      <c r="CL54" s="27">
        <v>4.9000000000000004</v>
      </c>
      <c r="CN54" s="87">
        <v>45.881037219700893</v>
      </c>
      <c r="CO54" s="87">
        <v>45.881037219700893</v>
      </c>
      <c r="CP54" s="87">
        <v>45.881037219700893</v>
      </c>
      <c r="CQ54" s="87">
        <v>45.881037219700893</v>
      </c>
      <c r="CR54" s="87">
        <v>45.881037219700893</v>
      </c>
      <c r="CS54" s="87">
        <v>45.881037219700893</v>
      </c>
      <c r="CT54" s="87">
        <v>45.881037219700893</v>
      </c>
      <c r="CU54" s="87">
        <v>45.881037219700893</v>
      </c>
      <c r="CV54" s="87">
        <v>45.881037219700893</v>
      </c>
      <c r="CW54" s="27">
        <v>4.9000000000000004</v>
      </c>
      <c r="CY54" s="87">
        <v>63.623038417614339</v>
      </c>
      <c r="CZ54" s="87">
        <v>63.623038417614339</v>
      </c>
      <c r="DA54" s="87">
        <v>63.623038417614339</v>
      </c>
      <c r="DB54" s="87">
        <v>63.623038417614339</v>
      </c>
      <c r="DC54" s="87">
        <v>63.623038417614339</v>
      </c>
      <c r="DD54" s="87">
        <v>63.623038417614339</v>
      </c>
      <c r="DE54" s="87">
        <v>63.623038417614339</v>
      </c>
      <c r="DF54" s="87">
        <v>63.623038417614339</v>
      </c>
      <c r="DG54" s="87">
        <v>63.623038417614339</v>
      </c>
      <c r="DH54" s="27">
        <v>4.9000000000000004</v>
      </c>
      <c r="DJ54" s="87">
        <v>63.623038417614339</v>
      </c>
      <c r="DK54" s="87">
        <v>63.623038417614339</v>
      </c>
      <c r="DL54" s="87">
        <v>63.623038417614339</v>
      </c>
      <c r="DM54" s="87">
        <v>63.623038417614339</v>
      </c>
      <c r="DN54" s="87">
        <v>63.623038417614339</v>
      </c>
      <c r="DO54" s="87">
        <v>63.623038417614339</v>
      </c>
      <c r="DP54" s="87">
        <v>63.623038417614339</v>
      </c>
      <c r="DQ54" s="87">
        <v>63.623038417614339</v>
      </c>
      <c r="DR54" s="87">
        <v>63.623038417614339</v>
      </c>
      <c r="DS54" s="27">
        <v>4.9000000000000004</v>
      </c>
      <c r="DW54" s="27">
        <v>35.5</v>
      </c>
      <c r="DX54" s="27">
        <v>35.5</v>
      </c>
      <c r="DY54" s="27">
        <v>35.5</v>
      </c>
      <c r="DZ54" s="27">
        <v>35.5</v>
      </c>
      <c r="EA54" s="27">
        <v>35.5</v>
      </c>
      <c r="EB54" s="27">
        <v>35.5</v>
      </c>
      <c r="EC54" s="27">
        <v>35.5</v>
      </c>
      <c r="ED54" s="27">
        <v>35.5</v>
      </c>
      <c r="EE54" s="27">
        <v>35.5</v>
      </c>
      <c r="EF54" s="129">
        <v>6.9</v>
      </c>
      <c r="EH54" s="27">
        <v>59</v>
      </c>
      <c r="EI54" s="27">
        <v>59</v>
      </c>
      <c r="EJ54" s="27">
        <v>59</v>
      </c>
      <c r="EK54" s="27">
        <v>59</v>
      </c>
      <c r="EL54" s="27">
        <v>59</v>
      </c>
      <c r="EM54" s="27">
        <v>59</v>
      </c>
      <c r="EN54" s="27">
        <v>59</v>
      </c>
      <c r="EO54" s="27">
        <v>59</v>
      </c>
      <c r="EP54" s="27">
        <v>59</v>
      </c>
      <c r="EQ54" s="129">
        <v>6.9</v>
      </c>
      <c r="ES54" s="27">
        <v>71.100000000000051</v>
      </c>
      <c r="ET54" s="27">
        <v>71.100000000000051</v>
      </c>
      <c r="EU54" s="27">
        <v>71.100000000000051</v>
      </c>
      <c r="EV54" s="27">
        <v>71.100000000000051</v>
      </c>
      <c r="EW54" s="27">
        <v>71.100000000000051</v>
      </c>
      <c r="EX54" s="27">
        <v>71.100000000000051</v>
      </c>
      <c r="EY54" s="27">
        <v>71.100000000000051</v>
      </c>
      <c r="EZ54" s="27">
        <v>71.100000000000051</v>
      </c>
      <c r="FA54" s="27">
        <v>71.100000000000051</v>
      </c>
      <c r="FB54" s="129">
        <v>6.9</v>
      </c>
      <c r="FD54" s="27">
        <v>73.300000000000026</v>
      </c>
      <c r="FE54" s="27">
        <v>73.300000000000026</v>
      </c>
      <c r="FF54" s="27">
        <v>73.300000000000026</v>
      </c>
      <c r="FG54" s="27">
        <v>73.300000000000026</v>
      </c>
      <c r="FH54" s="27">
        <v>73.300000000000026</v>
      </c>
      <c r="FI54" s="27">
        <v>73.300000000000026</v>
      </c>
      <c r="FJ54" s="27">
        <v>73.300000000000026</v>
      </c>
      <c r="FK54" s="27">
        <v>73.300000000000026</v>
      </c>
      <c r="FL54" s="27">
        <v>73.300000000000026</v>
      </c>
      <c r="FM54" s="129">
        <v>6.9</v>
      </c>
      <c r="FO54" s="27">
        <v>114.80000000000001</v>
      </c>
      <c r="FP54" s="27">
        <v>114.80000000000001</v>
      </c>
      <c r="FQ54" s="27">
        <v>114.80000000000001</v>
      </c>
      <c r="FR54" s="27">
        <v>114.80000000000001</v>
      </c>
      <c r="FS54" s="27">
        <v>114.80000000000001</v>
      </c>
      <c r="FT54" s="27">
        <v>114.80000000000001</v>
      </c>
      <c r="FU54" s="27">
        <v>114.80000000000001</v>
      </c>
      <c r="FV54" s="27">
        <v>114.80000000000001</v>
      </c>
      <c r="FW54" s="27">
        <v>114.80000000000001</v>
      </c>
      <c r="FX54" s="129">
        <v>6.9</v>
      </c>
      <c r="FZ54" s="27">
        <v>114.80000000000001</v>
      </c>
      <c r="GA54" s="27">
        <v>114.80000000000001</v>
      </c>
      <c r="GB54" s="27">
        <v>114.80000000000001</v>
      </c>
      <c r="GC54" s="27">
        <v>114.80000000000001</v>
      </c>
      <c r="GD54" s="27">
        <v>114.80000000000001</v>
      </c>
      <c r="GE54" s="27">
        <v>114.80000000000001</v>
      </c>
      <c r="GF54" s="27">
        <v>114.80000000000001</v>
      </c>
      <c r="GG54" s="27">
        <v>114.80000000000001</v>
      </c>
      <c r="GH54" s="27">
        <v>114.80000000000001</v>
      </c>
      <c r="GI54" s="129">
        <v>6.9</v>
      </c>
      <c r="GJ54" s="27"/>
      <c r="GK54" s="27">
        <v>27.400000000000013</v>
      </c>
      <c r="GL54" s="27">
        <v>27.400000000000013</v>
      </c>
      <c r="GM54" s="27">
        <v>27.400000000000013</v>
      </c>
      <c r="GN54" s="27">
        <v>27.400000000000013</v>
      </c>
      <c r="GO54" s="27">
        <v>27.400000000000013</v>
      </c>
      <c r="GP54" s="27">
        <v>27.400000000000013</v>
      </c>
      <c r="GQ54" s="27">
        <v>27.400000000000013</v>
      </c>
      <c r="GR54" s="27">
        <v>27.400000000000013</v>
      </c>
      <c r="GS54" s="27">
        <v>27.400000000000013</v>
      </c>
      <c r="GT54" s="129">
        <v>6.9</v>
      </c>
      <c r="GV54" s="27">
        <v>32.599999999999987</v>
      </c>
      <c r="GW54" s="27">
        <v>32.599999999999987</v>
      </c>
      <c r="GX54" s="27">
        <v>32.599999999999987</v>
      </c>
      <c r="GY54" s="27">
        <v>32.599999999999987</v>
      </c>
      <c r="GZ54" s="27">
        <v>32.599999999999987</v>
      </c>
      <c r="HA54" s="27">
        <v>32.599999999999987</v>
      </c>
      <c r="HB54" s="27">
        <v>32.599999999999987</v>
      </c>
      <c r="HC54" s="27">
        <v>32.599999999999987</v>
      </c>
      <c r="HD54" s="27">
        <v>32.599999999999987</v>
      </c>
      <c r="HE54" s="129">
        <v>6.9</v>
      </c>
      <c r="HG54" s="27">
        <v>44.800000000000026</v>
      </c>
      <c r="HH54" s="27">
        <v>44.800000000000026</v>
      </c>
      <c r="HI54" s="27">
        <v>44.800000000000026</v>
      </c>
      <c r="HJ54" s="27">
        <v>44.800000000000026</v>
      </c>
      <c r="HK54" s="27">
        <v>44.800000000000026</v>
      </c>
      <c r="HL54" s="27">
        <v>44.800000000000026</v>
      </c>
      <c r="HM54" s="27">
        <v>44.800000000000026</v>
      </c>
      <c r="HN54" s="27">
        <v>44.800000000000026</v>
      </c>
      <c r="HO54" s="27">
        <v>44.800000000000026</v>
      </c>
      <c r="HP54" s="129">
        <v>6.9</v>
      </c>
      <c r="HR54" s="27">
        <v>44.800000000000026</v>
      </c>
      <c r="HS54" s="27">
        <v>44.800000000000026</v>
      </c>
      <c r="HT54" s="27">
        <v>44.800000000000026</v>
      </c>
      <c r="HU54" s="27">
        <v>44.800000000000026</v>
      </c>
      <c r="HV54" s="27">
        <v>44.800000000000026</v>
      </c>
      <c r="HW54" s="27">
        <v>44.800000000000026</v>
      </c>
      <c r="HX54" s="27">
        <v>44.800000000000026</v>
      </c>
      <c r="HY54" s="27">
        <v>44.800000000000026</v>
      </c>
      <c r="HZ54" s="27">
        <v>44.800000000000026</v>
      </c>
      <c r="IA54" s="129">
        <v>6.9</v>
      </c>
    </row>
    <row r="55" spans="15:235" ht="3" customHeight="1">
      <c r="O55" s="87">
        <v>52.87640531023024</v>
      </c>
      <c r="P55" s="87">
        <v>52.87640531023024</v>
      </c>
      <c r="Q55" s="87">
        <v>52.87640531023024</v>
      </c>
      <c r="R55" s="87">
        <v>52.87640531023024</v>
      </c>
      <c r="S55" s="87">
        <v>52.87640531023024</v>
      </c>
      <c r="T55" s="87">
        <v>52.87640531023024</v>
      </c>
      <c r="U55" s="87">
        <v>52.87640531023024</v>
      </c>
      <c r="V55" s="87">
        <v>52.87640531023024</v>
      </c>
      <c r="W55" s="87">
        <v>52.87640531023024</v>
      </c>
      <c r="X55" s="27">
        <v>5</v>
      </c>
      <c r="Y55" s="27"/>
      <c r="Z55" s="87">
        <v>87.532676529656214</v>
      </c>
      <c r="AA55" s="87">
        <v>87.532676529656214</v>
      </c>
      <c r="AB55" s="87">
        <v>87.532676529656214</v>
      </c>
      <c r="AC55" s="87">
        <v>87.532676529656214</v>
      </c>
      <c r="AD55" s="87">
        <v>87.532676529656214</v>
      </c>
      <c r="AE55" s="87">
        <v>87.532676529656214</v>
      </c>
      <c r="AF55" s="87">
        <v>87.532676529656214</v>
      </c>
      <c r="AG55" s="87">
        <v>87.532676529656214</v>
      </c>
      <c r="AH55" s="87">
        <v>87.532676529656214</v>
      </c>
      <c r="AI55" s="27">
        <v>5</v>
      </c>
      <c r="AK55" s="87">
        <v>97.076881632459759</v>
      </c>
      <c r="AL55" s="87">
        <v>97.076881632459759</v>
      </c>
      <c r="AM55" s="87">
        <v>97.076881632459759</v>
      </c>
      <c r="AN55" s="87">
        <v>97.076881632459759</v>
      </c>
      <c r="AO55" s="87">
        <v>97.076881632459759</v>
      </c>
      <c r="AP55" s="87">
        <v>97.076881632459759</v>
      </c>
      <c r="AQ55" s="87">
        <v>97.076881632459759</v>
      </c>
      <c r="AR55" s="87">
        <v>97.076881632459759</v>
      </c>
      <c r="AS55" s="87">
        <v>97.076881632459759</v>
      </c>
      <c r="AT55" s="27">
        <v>5</v>
      </c>
      <c r="AV55" s="87">
        <v>101.23340341439967</v>
      </c>
      <c r="AW55" s="87">
        <v>101.23340341439967</v>
      </c>
      <c r="AX55" s="87">
        <v>101.23340341439967</v>
      </c>
      <c r="AY55" s="87">
        <v>101.23340341439967</v>
      </c>
      <c r="AZ55" s="87">
        <v>101.23340341439967</v>
      </c>
      <c r="BA55" s="87">
        <v>101.23340341439967</v>
      </c>
      <c r="BB55" s="87">
        <v>101.23340341439967</v>
      </c>
      <c r="BC55" s="87">
        <v>101.23340341439967</v>
      </c>
      <c r="BD55" s="87">
        <v>101.23340341439967</v>
      </c>
      <c r="BE55" s="27">
        <v>5</v>
      </c>
      <c r="BG55" s="87">
        <v>147.9107142857145</v>
      </c>
      <c r="BH55" s="87">
        <v>147.9107142857145</v>
      </c>
      <c r="BI55" s="87">
        <v>147.9107142857145</v>
      </c>
      <c r="BJ55" s="87">
        <v>147.9107142857145</v>
      </c>
      <c r="BK55" s="87">
        <v>147.9107142857145</v>
      </c>
      <c r="BL55" s="87">
        <v>147.9107142857145</v>
      </c>
      <c r="BM55" s="87">
        <v>147.9107142857145</v>
      </c>
      <c r="BN55" s="87">
        <v>147.9107142857145</v>
      </c>
      <c r="BO55" s="87">
        <v>147.9107142857145</v>
      </c>
      <c r="BP55" s="27">
        <v>5</v>
      </c>
      <c r="BR55" s="87">
        <v>147.9107142857145</v>
      </c>
      <c r="BS55" s="87">
        <v>147.9107142857145</v>
      </c>
      <c r="BT55" s="87">
        <v>147.9107142857145</v>
      </c>
      <c r="BU55" s="87">
        <v>147.9107142857145</v>
      </c>
      <c r="BV55" s="87">
        <v>147.9107142857145</v>
      </c>
      <c r="BW55" s="87">
        <v>147.9107142857145</v>
      </c>
      <c r="BX55" s="87">
        <v>147.9107142857145</v>
      </c>
      <c r="BY55" s="87">
        <v>147.9107142857145</v>
      </c>
      <c r="BZ55" s="87">
        <v>147.9107142857145</v>
      </c>
      <c r="CA55" s="27">
        <v>5</v>
      </c>
      <c r="CC55" s="87">
        <v>37.555595994875297</v>
      </c>
      <c r="CD55" s="87">
        <v>37.555595994875297</v>
      </c>
      <c r="CE55" s="87">
        <v>37.555595994875297</v>
      </c>
      <c r="CF55" s="87">
        <v>37.555595994875297</v>
      </c>
      <c r="CG55" s="87">
        <v>37.555595994875297</v>
      </c>
      <c r="CH55" s="87">
        <v>37.555595994875297</v>
      </c>
      <c r="CI55" s="87">
        <v>37.555595994875297</v>
      </c>
      <c r="CJ55" s="87">
        <v>37.555595994875297</v>
      </c>
      <c r="CK55" s="87">
        <v>37.555595994875297</v>
      </c>
      <c r="CL55" s="27">
        <v>5</v>
      </c>
      <c r="CN55" s="87">
        <v>44.975227001828564</v>
      </c>
      <c r="CO55" s="87">
        <v>44.975227001828564</v>
      </c>
      <c r="CP55" s="87">
        <v>44.975227001828564</v>
      </c>
      <c r="CQ55" s="87">
        <v>44.975227001828564</v>
      </c>
      <c r="CR55" s="87">
        <v>44.975227001828564</v>
      </c>
      <c r="CS55" s="87">
        <v>44.975227001828564</v>
      </c>
      <c r="CT55" s="87">
        <v>44.975227001828564</v>
      </c>
      <c r="CU55" s="87">
        <v>44.975227001828564</v>
      </c>
      <c r="CV55" s="87">
        <v>44.975227001828564</v>
      </c>
      <c r="CW55" s="27">
        <v>5</v>
      </c>
      <c r="CY55" s="87">
        <v>62.344279714999104</v>
      </c>
      <c r="CZ55" s="87">
        <v>62.344279714999104</v>
      </c>
      <c r="DA55" s="87">
        <v>62.344279714999104</v>
      </c>
      <c r="DB55" s="87">
        <v>62.344279714999104</v>
      </c>
      <c r="DC55" s="87">
        <v>62.344279714999104</v>
      </c>
      <c r="DD55" s="87">
        <v>62.344279714999104</v>
      </c>
      <c r="DE55" s="87">
        <v>62.344279714999104</v>
      </c>
      <c r="DF55" s="87">
        <v>62.344279714999104</v>
      </c>
      <c r="DG55" s="87">
        <v>62.344279714999104</v>
      </c>
      <c r="DH55" s="27">
        <v>5</v>
      </c>
      <c r="DJ55" s="87">
        <v>62.344279714999104</v>
      </c>
      <c r="DK55" s="87">
        <v>62.344279714999104</v>
      </c>
      <c r="DL55" s="87">
        <v>62.344279714999104</v>
      </c>
      <c r="DM55" s="87">
        <v>62.344279714999104</v>
      </c>
      <c r="DN55" s="87">
        <v>62.344279714999104</v>
      </c>
      <c r="DO55" s="87">
        <v>62.344279714999104</v>
      </c>
      <c r="DP55" s="87">
        <v>62.344279714999104</v>
      </c>
      <c r="DQ55" s="87">
        <v>62.344279714999104</v>
      </c>
      <c r="DR55" s="87">
        <v>62.344279714999104</v>
      </c>
      <c r="DS55" s="27">
        <v>5</v>
      </c>
      <c r="DW55" s="27">
        <v>35</v>
      </c>
      <c r="DX55" s="27">
        <v>35</v>
      </c>
      <c r="DY55" s="27">
        <v>35</v>
      </c>
      <c r="DZ55" s="27">
        <v>35</v>
      </c>
      <c r="EA55" s="27">
        <v>35</v>
      </c>
      <c r="EB55" s="27">
        <v>35</v>
      </c>
      <c r="EC55" s="27">
        <v>35</v>
      </c>
      <c r="ED55" s="27">
        <v>35</v>
      </c>
      <c r="EE55" s="27">
        <v>35</v>
      </c>
      <c r="EF55" s="129">
        <v>7</v>
      </c>
      <c r="EH55" s="27">
        <v>58</v>
      </c>
      <c r="EI55" s="27">
        <v>58</v>
      </c>
      <c r="EJ55" s="27">
        <v>58</v>
      </c>
      <c r="EK55" s="27">
        <v>58</v>
      </c>
      <c r="EL55" s="27">
        <v>58</v>
      </c>
      <c r="EM55" s="27">
        <v>58</v>
      </c>
      <c r="EN55" s="27">
        <v>58</v>
      </c>
      <c r="EO55" s="27">
        <v>58</v>
      </c>
      <c r="EP55" s="27">
        <v>58</v>
      </c>
      <c r="EQ55" s="129">
        <v>7</v>
      </c>
      <c r="ES55" s="27">
        <v>70</v>
      </c>
      <c r="ET55" s="27">
        <v>70</v>
      </c>
      <c r="EU55" s="27">
        <v>70</v>
      </c>
      <c r="EV55" s="27">
        <v>70</v>
      </c>
      <c r="EW55" s="27">
        <v>70</v>
      </c>
      <c r="EX55" s="27">
        <v>70</v>
      </c>
      <c r="EY55" s="27">
        <v>70</v>
      </c>
      <c r="EZ55" s="27">
        <v>70</v>
      </c>
      <c r="FA55" s="27">
        <v>70</v>
      </c>
      <c r="FB55" s="129">
        <v>7</v>
      </c>
      <c r="FD55" s="27">
        <v>72</v>
      </c>
      <c r="FE55" s="27">
        <v>72</v>
      </c>
      <c r="FF55" s="27">
        <v>72</v>
      </c>
      <c r="FG55" s="27">
        <v>72</v>
      </c>
      <c r="FH55" s="27">
        <v>72</v>
      </c>
      <c r="FI55" s="27">
        <v>72</v>
      </c>
      <c r="FJ55" s="27">
        <v>72</v>
      </c>
      <c r="FK55" s="27">
        <v>72</v>
      </c>
      <c r="FL55" s="27">
        <v>72</v>
      </c>
      <c r="FM55" s="129">
        <v>7</v>
      </c>
      <c r="FO55" s="27">
        <v>113</v>
      </c>
      <c r="FP55" s="27">
        <v>113</v>
      </c>
      <c r="FQ55" s="27">
        <v>113</v>
      </c>
      <c r="FR55" s="27">
        <v>113</v>
      </c>
      <c r="FS55" s="27">
        <v>113</v>
      </c>
      <c r="FT55" s="27">
        <v>113</v>
      </c>
      <c r="FU55" s="27">
        <v>113</v>
      </c>
      <c r="FV55" s="27">
        <v>113</v>
      </c>
      <c r="FW55" s="27">
        <v>113</v>
      </c>
      <c r="FX55" s="129">
        <v>7</v>
      </c>
      <c r="FZ55" s="27">
        <v>113</v>
      </c>
      <c r="GA55" s="27">
        <v>113</v>
      </c>
      <c r="GB55" s="27">
        <v>113</v>
      </c>
      <c r="GC55" s="27">
        <v>113</v>
      </c>
      <c r="GD55" s="27">
        <v>113</v>
      </c>
      <c r="GE55" s="27">
        <v>113</v>
      </c>
      <c r="GF55" s="27">
        <v>113</v>
      </c>
      <c r="GG55" s="27">
        <v>113</v>
      </c>
      <c r="GH55" s="27">
        <v>113</v>
      </c>
      <c r="GI55" s="129">
        <v>7</v>
      </c>
      <c r="GJ55" s="27"/>
      <c r="GK55" s="27">
        <v>27</v>
      </c>
      <c r="GL55" s="27">
        <v>27</v>
      </c>
      <c r="GM55" s="27">
        <v>27</v>
      </c>
      <c r="GN55" s="27">
        <v>27</v>
      </c>
      <c r="GO55" s="27">
        <v>27</v>
      </c>
      <c r="GP55" s="27">
        <v>27</v>
      </c>
      <c r="GQ55" s="27">
        <v>27</v>
      </c>
      <c r="GR55" s="27">
        <v>27</v>
      </c>
      <c r="GS55" s="27">
        <v>27</v>
      </c>
      <c r="GT55" s="129">
        <v>7</v>
      </c>
      <c r="GV55" s="27">
        <v>32</v>
      </c>
      <c r="GW55" s="27">
        <v>32</v>
      </c>
      <c r="GX55" s="27">
        <v>32</v>
      </c>
      <c r="GY55" s="27">
        <v>32</v>
      </c>
      <c r="GZ55" s="27">
        <v>32</v>
      </c>
      <c r="HA55" s="27">
        <v>32</v>
      </c>
      <c r="HB55" s="27">
        <v>32</v>
      </c>
      <c r="HC55" s="27">
        <v>32</v>
      </c>
      <c r="HD55" s="27">
        <v>32</v>
      </c>
      <c r="HE55" s="129">
        <v>7</v>
      </c>
      <c r="HG55" s="27">
        <v>44</v>
      </c>
      <c r="HH55" s="27">
        <v>44</v>
      </c>
      <c r="HI55" s="27">
        <v>44</v>
      </c>
      <c r="HJ55" s="27">
        <v>44</v>
      </c>
      <c r="HK55" s="27">
        <v>44</v>
      </c>
      <c r="HL55" s="27">
        <v>44</v>
      </c>
      <c r="HM55" s="27">
        <v>44</v>
      </c>
      <c r="HN55" s="27">
        <v>44</v>
      </c>
      <c r="HO55" s="27">
        <v>44</v>
      </c>
      <c r="HP55" s="129">
        <v>7</v>
      </c>
      <c r="HR55" s="27">
        <v>44</v>
      </c>
      <c r="HS55" s="27">
        <v>44</v>
      </c>
      <c r="HT55" s="27">
        <v>44</v>
      </c>
      <c r="HU55" s="27">
        <v>44</v>
      </c>
      <c r="HV55" s="27">
        <v>44</v>
      </c>
      <c r="HW55" s="27">
        <v>44</v>
      </c>
      <c r="HX55" s="27">
        <v>44</v>
      </c>
      <c r="HY55" s="27">
        <v>44</v>
      </c>
      <c r="HZ55" s="27">
        <v>44</v>
      </c>
      <c r="IA55" s="129">
        <v>7</v>
      </c>
    </row>
    <row r="56" spans="15:235">
      <c r="O56" s="87">
        <v>51.505799804166529</v>
      </c>
      <c r="P56" s="87">
        <v>51.505799804166529</v>
      </c>
      <c r="Q56" s="87">
        <v>51.505799804166529</v>
      </c>
      <c r="R56" s="87">
        <v>51.505799804166529</v>
      </c>
      <c r="S56" s="87">
        <v>51.505799804166529</v>
      </c>
      <c r="T56" s="87">
        <v>51.505799804166529</v>
      </c>
      <c r="U56" s="87">
        <v>51.505799804166529</v>
      </c>
      <c r="V56" s="87">
        <v>51.505799804166529</v>
      </c>
      <c r="W56" s="87">
        <v>51.505799804166529</v>
      </c>
      <c r="X56" s="27">
        <v>5.0999999999999996</v>
      </c>
      <c r="Y56" s="27"/>
      <c r="Z56" s="87">
        <v>85.430474771274362</v>
      </c>
      <c r="AA56" s="87">
        <v>85.430474771274362</v>
      </c>
      <c r="AB56" s="87">
        <v>85.430474771274362</v>
      </c>
      <c r="AC56" s="87">
        <v>85.430474771274362</v>
      </c>
      <c r="AD56" s="87">
        <v>85.430474771274362</v>
      </c>
      <c r="AE56" s="87">
        <v>85.430474771274362</v>
      </c>
      <c r="AF56" s="87">
        <v>85.430474771274362</v>
      </c>
      <c r="AG56" s="87">
        <v>85.430474771274362</v>
      </c>
      <c r="AH56" s="87">
        <v>85.430474771274362</v>
      </c>
      <c r="AI56" s="27">
        <v>5.0999999999999996</v>
      </c>
      <c r="AK56" s="87">
        <v>95.196032256131502</v>
      </c>
      <c r="AL56" s="87">
        <v>95.196032256131502</v>
      </c>
      <c r="AM56" s="87">
        <v>95.196032256131502</v>
      </c>
      <c r="AN56" s="87">
        <v>95.196032256131502</v>
      </c>
      <c r="AO56" s="87">
        <v>95.196032256131502</v>
      </c>
      <c r="AP56" s="87">
        <v>95.196032256131502</v>
      </c>
      <c r="AQ56" s="87">
        <v>95.196032256131502</v>
      </c>
      <c r="AR56" s="87">
        <v>95.196032256131502</v>
      </c>
      <c r="AS56" s="87">
        <v>95.196032256131502</v>
      </c>
      <c r="AT56" s="27">
        <v>5.0999999999999996</v>
      </c>
      <c r="AV56" s="87">
        <v>99.249133309546494</v>
      </c>
      <c r="AW56" s="87">
        <v>99.249133309546494</v>
      </c>
      <c r="AX56" s="87">
        <v>99.249133309546494</v>
      </c>
      <c r="AY56" s="87">
        <v>99.249133309546494</v>
      </c>
      <c r="AZ56" s="87">
        <v>99.249133309546494</v>
      </c>
      <c r="BA56" s="87">
        <v>99.249133309546494</v>
      </c>
      <c r="BB56" s="87">
        <v>99.249133309546494</v>
      </c>
      <c r="BC56" s="87">
        <v>99.249133309546494</v>
      </c>
      <c r="BD56" s="87">
        <v>99.249133309546494</v>
      </c>
      <c r="BE56" s="27">
        <v>5.0999999999999996</v>
      </c>
      <c r="BG56" s="87">
        <v>146.01339285714309</v>
      </c>
      <c r="BH56" s="87">
        <v>146.01339285714309</v>
      </c>
      <c r="BI56" s="87">
        <v>146.01339285714309</v>
      </c>
      <c r="BJ56" s="87">
        <v>146.01339285714309</v>
      </c>
      <c r="BK56" s="87">
        <v>146.01339285714309</v>
      </c>
      <c r="BL56" s="87">
        <v>146.01339285714309</v>
      </c>
      <c r="BM56" s="87">
        <v>146.01339285714309</v>
      </c>
      <c r="BN56" s="87">
        <v>146.01339285714309</v>
      </c>
      <c r="BO56" s="87">
        <v>146.01339285714309</v>
      </c>
      <c r="BP56" s="27">
        <v>5.0999999999999996</v>
      </c>
      <c r="BR56" s="87">
        <v>146.01339285714309</v>
      </c>
      <c r="BS56" s="87">
        <v>146.01339285714309</v>
      </c>
      <c r="BT56" s="87">
        <v>146.01339285714309</v>
      </c>
      <c r="BU56" s="87">
        <v>146.01339285714309</v>
      </c>
      <c r="BV56" s="87">
        <v>146.01339285714309</v>
      </c>
      <c r="BW56" s="87">
        <v>146.01339285714309</v>
      </c>
      <c r="BX56" s="87">
        <v>146.01339285714309</v>
      </c>
      <c r="BY56" s="87">
        <v>146.01339285714309</v>
      </c>
      <c r="BZ56" s="87">
        <v>146.01339285714309</v>
      </c>
      <c r="CA56" s="27">
        <v>5.0999999999999996</v>
      </c>
      <c r="CC56" s="87">
        <v>36.826503652929205</v>
      </c>
      <c r="CD56" s="87">
        <v>36.826503652929205</v>
      </c>
      <c r="CE56" s="87">
        <v>36.826503652929205</v>
      </c>
      <c r="CF56" s="87">
        <v>36.826503652929205</v>
      </c>
      <c r="CG56" s="87">
        <v>36.826503652929205</v>
      </c>
      <c r="CH56" s="87">
        <v>36.826503652929205</v>
      </c>
      <c r="CI56" s="87">
        <v>36.826503652929205</v>
      </c>
      <c r="CJ56" s="87">
        <v>36.826503652929205</v>
      </c>
      <c r="CK56" s="87">
        <v>36.826503652929205</v>
      </c>
      <c r="CL56" s="27">
        <v>5.0999999999999996</v>
      </c>
      <c r="CN56" s="87">
        <v>44.104712403740919</v>
      </c>
      <c r="CO56" s="87">
        <v>44.104712403740919</v>
      </c>
      <c r="CP56" s="87">
        <v>44.104712403740919</v>
      </c>
      <c r="CQ56" s="87">
        <v>44.104712403740919</v>
      </c>
      <c r="CR56" s="87">
        <v>44.104712403740919</v>
      </c>
      <c r="CS56" s="87">
        <v>44.104712403740919</v>
      </c>
      <c r="CT56" s="87">
        <v>44.104712403740919</v>
      </c>
      <c r="CU56" s="87">
        <v>44.104712403740919</v>
      </c>
      <c r="CV56" s="87">
        <v>44.104712403740919</v>
      </c>
      <c r="CW56" s="27">
        <v>5.0999999999999996</v>
      </c>
      <c r="CY56" s="87">
        <v>61.115791292070604</v>
      </c>
      <c r="CZ56" s="87">
        <v>61.115791292070604</v>
      </c>
      <c r="DA56" s="87">
        <v>61.115791292070604</v>
      </c>
      <c r="DB56" s="87">
        <v>61.115791292070604</v>
      </c>
      <c r="DC56" s="87">
        <v>61.115791292070604</v>
      </c>
      <c r="DD56" s="87">
        <v>61.115791292070604</v>
      </c>
      <c r="DE56" s="87">
        <v>61.115791292070604</v>
      </c>
      <c r="DF56" s="87">
        <v>61.115791292070604</v>
      </c>
      <c r="DG56" s="87">
        <v>61.115791292070604</v>
      </c>
      <c r="DH56" s="27">
        <v>5.0999999999999996</v>
      </c>
      <c r="DJ56" s="87">
        <v>61.115791292070604</v>
      </c>
      <c r="DK56" s="87">
        <v>61.115791292070604</v>
      </c>
      <c r="DL56" s="87">
        <v>61.115791292070604</v>
      </c>
      <c r="DM56" s="87">
        <v>61.115791292070604</v>
      </c>
      <c r="DN56" s="87">
        <v>61.115791292070604</v>
      </c>
      <c r="DO56" s="87">
        <v>61.115791292070604</v>
      </c>
      <c r="DP56" s="87">
        <v>61.115791292070604</v>
      </c>
      <c r="DQ56" s="87">
        <v>61.115791292070604</v>
      </c>
      <c r="DR56" s="87">
        <v>61.115791292070604</v>
      </c>
      <c r="DS56" s="27">
        <v>5.0999999999999996</v>
      </c>
      <c r="DW56" s="27">
        <v>34.5</v>
      </c>
      <c r="DX56" s="27">
        <v>34.5</v>
      </c>
      <c r="DY56" s="27">
        <v>34.5</v>
      </c>
      <c r="DZ56" s="27">
        <v>34.5</v>
      </c>
      <c r="EA56" s="27">
        <v>34.5</v>
      </c>
      <c r="EB56" s="27">
        <v>34.5</v>
      </c>
      <c r="EC56" s="27">
        <v>34.5</v>
      </c>
      <c r="ED56" s="27">
        <v>34.5</v>
      </c>
      <c r="EE56" s="27">
        <v>34.5</v>
      </c>
      <c r="EF56" s="129">
        <v>7.1</v>
      </c>
      <c r="EH56" s="27">
        <v>57.3</v>
      </c>
      <c r="EI56" s="27">
        <v>57.3</v>
      </c>
      <c r="EJ56" s="27">
        <v>57.3</v>
      </c>
      <c r="EK56" s="27">
        <v>57.3</v>
      </c>
      <c r="EL56" s="27">
        <v>57.3</v>
      </c>
      <c r="EM56" s="27">
        <v>57.3</v>
      </c>
      <c r="EN56" s="27">
        <v>57.3</v>
      </c>
      <c r="EO56" s="27">
        <v>57.3</v>
      </c>
      <c r="EP56" s="27">
        <v>57.3</v>
      </c>
      <c r="EQ56" s="129">
        <v>7.1</v>
      </c>
      <c r="ES56" s="27">
        <v>69.099999999999994</v>
      </c>
      <c r="ET56" s="27">
        <v>69.099999999999994</v>
      </c>
      <c r="EU56" s="27">
        <v>69.099999999999994</v>
      </c>
      <c r="EV56" s="27">
        <v>69.099999999999994</v>
      </c>
      <c r="EW56" s="27">
        <v>69.099999999999994</v>
      </c>
      <c r="EX56" s="27">
        <v>69.099999999999994</v>
      </c>
      <c r="EY56" s="27">
        <v>69.099999999999994</v>
      </c>
      <c r="EZ56" s="27">
        <v>69.099999999999994</v>
      </c>
      <c r="FA56" s="27">
        <v>69.099999999999994</v>
      </c>
      <c r="FB56" s="129">
        <v>7.1</v>
      </c>
      <c r="FD56" s="27">
        <v>71.099999999999994</v>
      </c>
      <c r="FE56" s="27">
        <v>71.099999999999994</v>
      </c>
      <c r="FF56" s="27">
        <v>71.099999999999994</v>
      </c>
      <c r="FG56" s="27">
        <v>71.099999999999994</v>
      </c>
      <c r="FH56" s="27">
        <v>71.099999999999994</v>
      </c>
      <c r="FI56" s="27">
        <v>71.099999999999994</v>
      </c>
      <c r="FJ56" s="27">
        <v>71.099999999999994</v>
      </c>
      <c r="FK56" s="27">
        <v>71.099999999999994</v>
      </c>
      <c r="FL56" s="27">
        <v>71.099999999999994</v>
      </c>
      <c r="FM56" s="129">
        <v>7.1</v>
      </c>
      <c r="FO56" s="27">
        <v>111.6</v>
      </c>
      <c r="FP56" s="27">
        <v>111.6</v>
      </c>
      <c r="FQ56" s="27">
        <v>111.6</v>
      </c>
      <c r="FR56" s="27">
        <v>111.6</v>
      </c>
      <c r="FS56" s="27">
        <v>111.6</v>
      </c>
      <c r="FT56" s="27">
        <v>111.6</v>
      </c>
      <c r="FU56" s="27">
        <v>111.6</v>
      </c>
      <c r="FV56" s="27">
        <v>111.6</v>
      </c>
      <c r="FW56" s="27">
        <v>111.6</v>
      </c>
      <c r="FX56" s="129">
        <v>7.1</v>
      </c>
      <c r="FZ56" s="27">
        <v>111.6</v>
      </c>
      <c r="GA56" s="27">
        <v>111.6</v>
      </c>
      <c r="GB56" s="27">
        <v>111.6</v>
      </c>
      <c r="GC56" s="27">
        <v>111.6</v>
      </c>
      <c r="GD56" s="27">
        <v>111.6</v>
      </c>
      <c r="GE56" s="27">
        <v>111.6</v>
      </c>
      <c r="GF56" s="27">
        <v>111.6</v>
      </c>
      <c r="GG56" s="27">
        <v>111.6</v>
      </c>
      <c r="GH56" s="27">
        <v>111.6</v>
      </c>
      <c r="GI56" s="129">
        <v>7.1</v>
      </c>
      <c r="GJ56" s="27"/>
      <c r="GK56" s="27">
        <v>26.7</v>
      </c>
      <c r="GL56" s="27">
        <v>26.7</v>
      </c>
      <c r="GM56" s="27">
        <v>26.7</v>
      </c>
      <c r="GN56" s="27">
        <v>26.7</v>
      </c>
      <c r="GO56" s="27">
        <v>26.7</v>
      </c>
      <c r="GP56" s="27">
        <v>26.7</v>
      </c>
      <c r="GQ56" s="27">
        <v>26.7</v>
      </c>
      <c r="GR56" s="27">
        <v>26.7</v>
      </c>
      <c r="GS56" s="27">
        <v>26.7</v>
      </c>
      <c r="GT56" s="129">
        <v>7.1</v>
      </c>
      <c r="GV56" s="27">
        <v>31.6</v>
      </c>
      <c r="GW56" s="27">
        <v>31.6</v>
      </c>
      <c r="GX56" s="27">
        <v>31.6</v>
      </c>
      <c r="GY56" s="27">
        <v>31.6</v>
      </c>
      <c r="GZ56" s="27">
        <v>31.6</v>
      </c>
      <c r="HA56" s="27">
        <v>31.6</v>
      </c>
      <c r="HB56" s="27">
        <v>31.6</v>
      </c>
      <c r="HC56" s="27">
        <v>31.6</v>
      </c>
      <c r="HD56" s="27">
        <v>31.6</v>
      </c>
      <c r="HE56" s="129">
        <v>7.1</v>
      </c>
      <c r="HG56" s="27">
        <v>43.5</v>
      </c>
      <c r="HH56" s="27">
        <v>43.5</v>
      </c>
      <c r="HI56" s="27">
        <v>43.5</v>
      </c>
      <c r="HJ56" s="27">
        <v>43.5</v>
      </c>
      <c r="HK56" s="27">
        <v>43.5</v>
      </c>
      <c r="HL56" s="27">
        <v>43.5</v>
      </c>
      <c r="HM56" s="27">
        <v>43.5</v>
      </c>
      <c r="HN56" s="27">
        <v>43.5</v>
      </c>
      <c r="HO56" s="27">
        <v>43.5</v>
      </c>
      <c r="HP56" s="129">
        <v>7.1</v>
      </c>
      <c r="HR56" s="27">
        <v>43.5</v>
      </c>
      <c r="HS56" s="27">
        <v>43.5</v>
      </c>
      <c r="HT56" s="27">
        <v>43.5</v>
      </c>
      <c r="HU56" s="27">
        <v>43.5</v>
      </c>
      <c r="HV56" s="27">
        <v>43.5</v>
      </c>
      <c r="HW56" s="27">
        <v>43.5</v>
      </c>
      <c r="HX56" s="27">
        <v>43.5</v>
      </c>
      <c r="HY56" s="27">
        <v>43.5</v>
      </c>
      <c r="HZ56" s="27">
        <v>43.5</v>
      </c>
      <c r="IA56" s="129">
        <v>7.1</v>
      </c>
    </row>
    <row r="57" spans="15:235" ht="3" customHeight="1">
      <c r="O57" s="87">
        <v>50.196314735410581</v>
      </c>
      <c r="P57" s="87">
        <v>50.196314735410581</v>
      </c>
      <c r="Q57" s="87">
        <v>50.196314735410581</v>
      </c>
      <c r="R57" s="87">
        <v>50.196314735410581</v>
      </c>
      <c r="S57" s="87">
        <v>50.196314735410581</v>
      </c>
      <c r="T57" s="87">
        <v>50.196314735410581</v>
      </c>
      <c r="U57" s="87">
        <v>50.196314735410581</v>
      </c>
      <c r="V57" s="87">
        <v>50.196314735410581</v>
      </c>
      <c r="W57" s="87">
        <v>50.196314735410581</v>
      </c>
      <c r="X57" s="27">
        <v>5.2</v>
      </c>
      <c r="Y57" s="27"/>
      <c r="Z57" s="87">
        <v>83.418128543082389</v>
      </c>
      <c r="AA57" s="87">
        <v>83.418128543082389</v>
      </c>
      <c r="AB57" s="87">
        <v>83.418128543082389</v>
      </c>
      <c r="AC57" s="87">
        <v>83.418128543082389</v>
      </c>
      <c r="AD57" s="87">
        <v>83.418128543082389</v>
      </c>
      <c r="AE57" s="87">
        <v>83.418128543082389</v>
      </c>
      <c r="AF57" s="87">
        <v>83.418128543082389</v>
      </c>
      <c r="AG57" s="87">
        <v>83.418128543082389</v>
      </c>
      <c r="AH57" s="87">
        <v>83.418128543082389</v>
      </c>
      <c r="AI57" s="27">
        <v>5.2</v>
      </c>
      <c r="AK57" s="87">
        <v>93.387097577153611</v>
      </c>
      <c r="AL57" s="87">
        <v>93.387097577153611</v>
      </c>
      <c r="AM57" s="87">
        <v>93.387097577153611</v>
      </c>
      <c r="AN57" s="87">
        <v>93.387097577153611</v>
      </c>
      <c r="AO57" s="87">
        <v>93.387097577153611</v>
      </c>
      <c r="AP57" s="87">
        <v>93.387097577153611</v>
      </c>
      <c r="AQ57" s="87">
        <v>93.387097577153611</v>
      </c>
      <c r="AR57" s="87">
        <v>93.387097577153611</v>
      </c>
      <c r="AS57" s="87">
        <v>93.387097577153611</v>
      </c>
      <c r="AT57" s="27">
        <v>5.2</v>
      </c>
      <c r="AV57" s="87">
        <v>97.341167985504796</v>
      </c>
      <c r="AW57" s="87">
        <v>97.341167985504796</v>
      </c>
      <c r="AX57" s="87">
        <v>97.341167985504796</v>
      </c>
      <c r="AY57" s="87">
        <v>97.341167985504796</v>
      </c>
      <c r="AZ57" s="87">
        <v>97.341167985504796</v>
      </c>
      <c r="BA57" s="87">
        <v>97.341167985504796</v>
      </c>
      <c r="BB57" s="87">
        <v>97.341167985504796</v>
      </c>
      <c r="BC57" s="87">
        <v>97.341167985504796</v>
      </c>
      <c r="BD57" s="87">
        <v>97.341167985504796</v>
      </c>
      <c r="BE57" s="27">
        <v>5.2</v>
      </c>
      <c r="BG57" s="87">
        <v>144.13690476190499</v>
      </c>
      <c r="BH57" s="87">
        <v>144.13690476190499</v>
      </c>
      <c r="BI57" s="87">
        <v>144.13690476190499</v>
      </c>
      <c r="BJ57" s="87">
        <v>144.13690476190499</v>
      </c>
      <c r="BK57" s="87">
        <v>144.13690476190499</v>
      </c>
      <c r="BL57" s="87">
        <v>144.13690476190499</v>
      </c>
      <c r="BM57" s="87">
        <v>144.13690476190499</v>
      </c>
      <c r="BN57" s="87">
        <v>144.13690476190499</v>
      </c>
      <c r="BO57" s="87">
        <v>144.13690476190499</v>
      </c>
      <c r="BP57" s="27">
        <v>5.2</v>
      </c>
      <c r="BR57" s="87">
        <v>144.13690476190499</v>
      </c>
      <c r="BS57" s="87">
        <v>144.13690476190499</v>
      </c>
      <c r="BT57" s="87">
        <v>144.13690476190499</v>
      </c>
      <c r="BU57" s="87">
        <v>144.13690476190499</v>
      </c>
      <c r="BV57" s="87">
        <v>144.13690476190499</v>
      </c>
      <c r="BW57" s="87">
        <v>144.13690476190499</v>
      </c>
      <c r="BX57" s="87">
        <v>144.13690476190499</v>
      </c>
      <c r="BY57" s="87">
        <v>144.13690476190499</v>
      </c>
      <c r="BZ57" s="87">
        <v>144.13690476190499</v>
      </c>
      <c r="CA57" s="27">
        <v>5.2</v>
      </c>
      <c r="CC57" s="87">
        <v>36.125315823416173</v>
      </c>
      <c r="CD57" s="87">
        <v>36.125315823416173</v>
      </c>
      <c r="CE57" s="87">
        <v>36.125315823416173</v>
      </c>
      <c r="CF57" s="87">
        <v>36.125315823416173</v>
      </c>
      <c r="CG57" s="87">
        <v>36.125315823416173</v>
      </c>
      <c r="CH57" s="87">
        <v>36.125315823416173</v>
      </c>
      <c r="CI57" s="87">
        <v>36.125315823416173</v>
      </c>
      <c r="CJ57" s="87">
        <v>36.125315823416173</v>
      </c>
      <c r="CK57" s="87">
        <v>36.125315823416173</v>
      </c>
      <c r="CL57" s="27">
        <v>5.2</v>
      </c>
      <c r="CN57" s="87">
        <v>43.267465706785082</v>
      </c>
      <c r="CO57" s="87">
        <v>43.267465706785082</v>
      </c>
      <c r="CP57" s="87">
        <v>43.267465706785082</v>
      </c>
      <c r="CQ57" s="87">
        <v>43.267465706785082</v>
      </c>
      <c r="CR57" s="87">
        <v>43.267465706785082</v>
      </c>
      <c r="CS57" s="87">
        <v>43.267465706785082</v>
      </c>
      <c r="CT57" s="87">
        <v>43.267465706785082</v>
      </c>
      <c r="CU57" s="87">
        <v>43.267465706785082</v>
      </c>
      <c r="CV57" s="87">
        <v>43.267465706785082</v>
      </c>
      <c r="CW57" s="27">
        <v>5.2</v>
      </c>
      <c r="CY57" s="87">
        <v>59.93466824820986</v>
      </c>
      <c r="CZ57" s="87">
        <v>59.93466824820986</v>
      </c>
      <c r="DA57" s="87">
        <v>59.93466824820986</v>
      </c>
      <c r="DB57" s="87">
        <v>59.93466824820986</v>
      </c>
      <c r="DC57" s="87">
        <v>59.93466824820986</v>
      </c>
      <c r="DD57" s="87">
        <v>59.93466824820986</v>
      </c>
      <c r="DE57" s="87">
        <v>59.93466824820986</v>
      </c>
      <c r="DF57" s="87">
        <v>59.93466824820986</v>
      </c>
      <c r="DG57" s="87">
        <v>59.93466824820986</v>
      </c>
      <c r="DH57" s="27">
        <v>5.2</v>
      </c>
      <c r="DJ57" s="87">
        <v>59.93466824820986</v>
      </c>
      <c r="DK57" s="87">
        <v>59.93466824820986</v>
      </c>
      <c r="DL57" s="87">
        <v>59.93466824820986</v>
      </c>
      <c r="DM57" s="87">
        <v>59.93466824820986</v>
      </c>
      <c r="DN57" s="87">
        <v>59.93466824820986</v>
      </c>
      <c r="DO57" s="87">
        <v>59.93466824820986</v>
      </c>
      <c r="DP57" s="87">
        <v>59.93466824820986</v>
      </c>
      <c r="DQ57" s="87">
        <v>59.93466824820986</v>
      </c>
      <c r="DR57" s="87">
        <v>59.93466824820986</v>
      </c>
      <c r="DS57" s="27">
        <v>5.2</v>
      </c>
      <c r="DW57" s="27">
        <v>34</v>
      </c>
      <c r="DX57" s="27">
        <v>34</v>
      </c>
      <c r="DY57" s="27">
        <v>34</v>
      </c>
      <c r="DZ57" s="27">
        <v>34</v>
      </c>
      <c r="EA57" s="27">
        <v>34</v>
      </c>
      <c r="EB57" s="27">
        <v>34</v>
      </c>
      <c r="EC57" s="27">
        <v>34</v>
      </c>
      <c r="ED57" s="27">
        <v>34</v>
      </c>
      <c r="EE57" s="27">
        <v>34</v>
      </c>
      <c r="EF57" s="129">
        <v>7.2</v>
      </c>
      <c r="EH57" s="27">
        <v>56.599999999999994</v>
      </c>
      <c r="EI57" s="27">
        <v>56.599999999999994</v>
      </c>
      <c r="EJ57" s="27">
        <v>56.599999999999994</v>
      </c>
      <c r="EK57" s="27">
        <v>56.599999999999994</v>
      </c>
      <c r="EL57" s="27">
        <v>56.599999999999994</v>
      </c>
      <c r="EM57" s="27">
        <v>56.599999999999994</v>
      </c>
      <c r="EN57" s="27">
        <v>56.599999999999994</v>
      </c>
      <c r="EO57" s="27">
        <v>56.599999999999994</v>
      </c>
      <c r="EP57" s="27">
        <v>56.599999999999994</v>
      </c>
      <c r="EQ57" s="129">
        <v>7.2</v>
      </c>
      <c r="ES57" s="27">
        <v>68.199999999999989</v>
      </c>
      <c r="ET57" s="27">
        <v>68.199999999999989</v>
      </c>
      <c r="EU57" s="27">
        <v>68.199999999999989</v>
      </c>
      <c r="EV57" s="27">
        <v>68.199999999999989</v>
      </c>
      <c r="EW57" s="27">
        <v>68.199999999999989</v>
      </c>
      <c r="EX57" s="27">
        <v>68.199999999999989</v>
      </c>
      <c r="EY57" s="27">
        <v>68.199999999999989</v>
      </c>
      <c r="EZ57" s="27">
        <v>68.199999999999989</v>
      </c>
      <c r="FA57" s="27">
        <v>68.199999999999989</v>
      </c>
      <c r="FB57" s="129">
        <v>7.2</v>
      </c>
      <c r="FD57" s="27">
        <v>70.199999999999989</v>
      </c>
      <c r="FE57" s="27">
        <v>70.199999999999989</v>
      </c>
      <c r="FF57" s="27">
        <v>70.199999999999989</v>
      </c>
      <c r="FG57" s="27">
        <v>70.199999999999989</v>
      </c>
      <c r="FH57" s="27">
        <v>70.199999999999989</v>
      </c>
      <c r="FI57" s="27">
        <v>70.199999999999989</v>
      </c>
      <c r="FJ57" s="27">
        <v>70.199999999999989</v>
      </c>
      <c r="FK57" s="27">
        <v>70.199999999999989</v>
      </c>
      <c r="FL57" s="27">
        <v>70.199999999999989</v>
      </c>
      <c r="FM57" s="129">
        <v>7.2</v>
      </c>
      <c r="FO57" s="27">
        <v>110.19999999999999</v>
      </c>
      <c r="FP57" s="27">
        <v>110.19999999999999</v>
      </c>
      <c r="FQ57" s="27">
        <v>110.19999999999999</v>
      </c>
      <c r="FR57" s="27">
        <v>110.19999999999999</v>
      </c>
      <c r="FS57" s="27">
        <v>110.19999999999999</v>
      </c>
      <c r="FT57" s="27">
        <v>110.19999999999999</v>
      </c>
      <c r="FU57" s="27">
        <v>110.19999999999999</v>
      </c>
      <c r="FV57" s="27">
        <v>110.19999999999999</v>
      </c>
      <c r="FW57" s="27">
        <v>110.19999999999999</v>
      </c>
      <c r="FX57" s="129">
        <v>7.2</v>
      </c>
      <c r="FZ57" s="27">
        <v>110.19999999999999</v>
      </c>
      <c r="GA57" s="27">
        <v>110.19999999999999</v>
      </c>
      <c r="GB57" s="27">
        <v>110.19999999999999</v>
      </c>
      <c r="GC57" s="27">
        <v>110.19999999999999</v>
      </c>
      <c r="GD57" s="27">
        <v>110.19999999999999</v>
      </c>
      <c r="GE57" s="27">
        <v>110.19999999999999</v>
      </c>
      <c r="GF57" s="27">
        <v>110.19999999999999</v>
      </c>
      <c r="GG57" s="27">
        <v>110.19999999999999</v>
      </c>
      <c r="GH57" s="27">
        <v>110.19999999999999</v>
      </c>
      <c r="GI57" s="129">
        <v>7.2</v>
      </c>
      <c r="GJ57" s="27"/>
      <c r="GK57" s="27">
        <v>26.4</v>
      </c>
      <c r="GL57" s="27">
        <v>26.4</v>
      </c>
      <c r="GM57" s="27">
        <v>26.4</v>
      </c>
      <c r="GN57" s="27">
        <v>26.4</v>
      </c>
      <c r="GO57" s="27">
        <v>26.4</v>
      </c>
      <c r="GP57" s="27">
        <v>26.4</v>
      </c>
      <c r="GQ57" s="27">
        <v>26.4</v>
      </c>
      <c r="GR57" s="27">
        <v>26.4</v>
      </c>
      <c r="GS57" s="27">
        <v>26.4</v>
      </c>
      <c r="GT57" s="129">
        <v>7.2</v>
      </c>
      <c r="GV57" s="27">
        <v>31.200000000000003</v>
      </c>
      <c r="GW57" s="27">
        <v>31.200000000000003</v>
      </c>
      <c r="GX57" s="27">
        <v>31.200000000000003</v>
      </c>
      <c r="GY57" s="27">
        <v>31.200000000000003</v>
      </c>
      <c r="GZ57" s="27">
        <v>31.200000000000003</v>
      </c>
      <c r="HA57" s="27">
        <v>31.200000000000003</v>
      </c>
      <c r="HB57" s="27">
        <v>31.200000000000003</v>
      </c>
      <c r="HC57" s="27">
        <v>31.200000000000003</v>
      </c>
      <c r="HD57" s="27">
        <v>31.200000000000003</v>
      </c>
      <c r="HE57" s="129">
        <v>7.2</v>
      </c>
      <c r="HG57" s="27">
        <v>43</v>
      </c>
      <c r="HH57" s="27">
        <v>43</v>
      </c>
      <c r="HI57" s="27">
        <v>43</v>
      </c>
      <c r="HJ57" s="27">
        <v>43</v>
      </c>
      <c r="HK57" s="27">
        <v>43</v>
      </c>
      <c r="HL57" s="27">
        <v>43</v>
      </c>
      <c r="HM57" s="27">
        <v>43</v>
      </c>
      <c r="HN57" s="27">
        <v>43</v>
      </c>
      <c r="HO57" s="27">
        <v>43</v>
      </c>
      <c r="HP57" s="129">
        <v>7.2</v>
      </c>
      <c r="HR57" s="27">
        <v>43</v>
      </c>
      <c r="HS57" s="27">
        <v>43</v>
      </c>
      <c r="HT57" s="27">
        <v>43</v>
      </c>
      <c r="HU57" s="27">
        <v>43</v>
      </c>
      <c r="HV57" s="27">
        <v>43</v>
      </c>
      <c r="HW57" s="27">
        <v>43</v>
      </c>
      <c r="HX57" s="27">
        <v>43</v>
      </c>
      <c r="HY57" s="27">
        <v>43</v>
      </c>
      <c r="HZ57" s="27">
        <v>43</v>
      </c>
      <c r="IA57" s="129">
        <v>7.2</v>
      </c>
    </row>
    <row r="58" spans="15:235" ht="3" customHeight="1">
      <c r="O58" s="87">
        <v>48.944126178851555</v>
      </c>
      <c r="P58" s="87">
        <v>48.944126178851555</v>
      </c>
      <c r="Q58" s="87">
        <v>48.944126178851555</v>
      </c>
      <c r="R58" s="87">
        <v>48.944126178851555</v>
      </c>
      <c r="S58" s="87">
        <v>48.944126178851555</v>
      </c>
      <c r="T58" s="87">
        <v>48.944126178851555</v>
      </c>
      <c r="U58" s="87">
        <v>48.944126178851555</v>
      </c>
      <c r="V58" s="87">
        <v>48.944126178851555</v>
      </c>
      <c r="W58" s="87">
        <v>48.944126178851555</v>
      </c>
      <c r="X58" s="27">
        <v>5.3</v>
      </c>
      <c r="Y58" s="27"/>
      <c r="Z58" s="87">
        <v>81.490177731928156</v>
      </c>
      <c r="AA58" s="87">
        <v>81.490177731928156</v>
      </c>
      <c r="AB58" s="87">
        <v>81.490177731928156</v>
      </c>
      <c r="AC58" s="87">
        <v>81.490177731928156</v>
      </c>
      <c r="AD58" s="87">
        <v>81.490177731928156</v>
      </c>
      <c r="AE58" s="87">
        <v>81.490177731928156</v>
      </c>
      <c r="AF58" s="87">
        <v>81.490177731928156</v>
      </c>
      <c r="AG58" s="87">
        <v>81.490177731928156</v>
      </c>
      <c r="AH58" s="87">
        <v>81.490177731928156</v>
      </c>
      <c r="AI58" s="27">
        <v>5.3</v>
      </c>
      <c r="AK58" s="87">
        <v>91.646022769889925</v>
      </c>
      <c r="AL58" s="87">
        <v>91.646022769889925</v>
      </c>
      <c r="AM58" s="87">
        <v>91.646022769889925</v>
      </c>
      <c r="AN58" s="87">
        <v>91.646022769889925</v>
      </c>
      <c r="AO58" s="87">
        <v>91.646022769889925</v>
      </c>
      <c r="AP58" s="87">
        <v>91.646022769889925</v>
      </c>
      <c r="AQ58" s="87">
        <v>91.646022769889925</v>
      </c>
      <c r="AR58" s="87">
        <v>91.646022769889925</v>
      </c>
      <c r="AS58" s="87">
        <v>91.646022769889925</v>
      </c>
      <c r="AT58" s="27">
        <v>5.3</v>
      </c>
      <c r="AV58" s="87">
        <v>95.505188800809705</v>
      </c>
      <c r="AW58" s="87">
        <v>95.505188800809705</v>
      </c>
      <c r="AX58" s="87">
        <v>95.505188800809705</v>
      </c>
      <c r="AY58" s="87">
        <v>95.505188800809705</v>
      </c>
      <c r="AZ58" s="87">
        <v>95.505188800809705</v>
      </c>
      <c r="BA58" s="87">
        <v>95.505188800809705</v>
      </c>
      <c r="BB58" s="87">
        <v>95.505188800809705</v>
      </c>
      <c r="BC58" s="87">
        <v>95.505188800809705</v>
      </c>
      <c r="BD58" s="87">
        <v>95.505188800809705</v>
      </c>
      <c r="BE58" s="27">
        <v>5.3</v>
      </c>
      <c r="BG58" s="87">
        <v>142.28125000000023</v>
      </c>
      <c r="BH58" s="87">
        <v>142.28125000000023</v>
      </c>
      <c r="BI58" s="87">
        <v>142.28125000000023</v>
      </c>
      <c r="BJ58" s="87">
        <v>142.28125000000023</v>
      </c>
      <c r="BK58" s="87">
        <v>142.28125000000023</v>
      </c>
      <c r="BL58" s="87">
        <v>142.28125000000023</v>
      </c>
      <c r="BM58" s="87">
        <v>142.28125000000023</v>
      </c>
      <c r="BN58" s="87">
        <v>142.28125000000023</v>
      </c>
      <c r="BO58" s="87">
        <v>142.28125000000023</v>
      </c>
      <c r="BP58" s="27">
        <v>5.3</v>
      </c>
      <c r="BR58" s="87">
        <v>142.28125000000023</v>
      </c>
      <c r="BS58" s="87">
        <v>142.28125000000023</v>
      </c>
      <c r="BT58" s="87">
        <v>142.28125000000023</v>
      </c>
      <c r="BU58" s="87">
        <v>142.28125000000023</v>
      </c>
      <c r="BV58" s="87">
        <v>142.28125000000023</v>
      </c>
      <c r="BW58" s="87">
        <v>142.28125000000023</v>
      </c>
      <c r="BX58" s="87">
        <v>142.28125000000023</v>
      </c>
      <c r="BY58" s="87">
        <v>142.28125000000023</v>
      </c>
      <c r="BZ58" s="87">
        <v>142.28125000000023</v>
      </c>
      <c r="CA58" s="27">
        <v>5.3</v>
      </c>
      <c r="CC58" s="87">
        <v>35.45045812018936</v>
      </c>
      <c r="CD58" s="87">
        <v>35.45045812018936</v>
      </c>
      <c r="CE58" s="87">
        <v>35.45045812018936</v>
      </c>
      <c r="CF58" s="87">
        <v>35.45045812018936</v>
      </c>
      <c r="CG58" s="87">
        <v>35.45045812018936</v>
      </c>
      <c r="CH58" s="87">
        <v>35.45045812018936</v>
      </c>
      <c r="CI58" s="87">
        <v>35.45045812018936</v>
      </c>
      <c r="CJ58" s="87">
        <v>35.45045812018936</v>
      </c>
      <c r="CK58" s="87">
        <v>35.45045812018936</v>
      </c>
      <c r="CL58" s="27">
        <v>5.3</v>
      </c>
      <c r="CN58" s="87">
        <v>42.461611749328178</v>
      </c>
      <c r="CO58" s="87">
        <v>42.461611749328178</v>
      </c>
      <c r="CP58" s="87">
        <v>42.461611749328178</v>
      </c>
      <c r="CQ58" s="87">
        <v>42.461611749328178</v>
      </c>
      <c r="CR58" s="87">
        <v>42.461611749328178</v>
      </c>
      <c r="CS58" s="87">
        <v>42.461611749328178</v>
      </c>
      <c r="CT58" s="87">
        <v>42.461611749328178</v>
      </c>
      <c r="CU58" s="87">
        <v>42.461611749328178</v>
      </c>
      <c r="CV58" s="87">
        <v>42.461611749328178</v>
      </c>
      <c r="CW58" s="27">
        <v>5.3</v>
      </c>
      <c r="CY58" s="87">
        <v>58.798225184104439</v>
      </c>
      <c r="CZ58" s="87">
        <v>58.798225184104439</v>
      </c>
      <c r="DA58" s="87">
        <v>58.798225184104439</v>
      </c>
      <c r="DB58" s="87">
        <v>58.798225184104439</v>
      </c>
      <c r="DC58" s="87">
        <v>58.798225184104439</v>
      </c>
      <c r="DD58" s="87">
        <v>58.798225184104439</v>
      </c>
      <c r="DE58" s="87">
        <v>58.798225184104439</v>
      </c>
      <c r="DF58" s="87">
        <v>58.798225184104439</v>
      </c>
      <c r="DG58" s="87">
        <v>58.798225184104439</v>
      </c>
      <c r="DH58" s="27">
        <v>5.3</v>
      </c>
      <c r="DJ58" s="87">
        <v>58.798225184104439</v>
      </c>
      <c r="DK58" s="87">
        <v>58.798225184104439</v>
      </c>
      <c r="DL58" s="87">
        <v>58.798225184104439</v>
      </c>
      <c r="DM58" s="87">
        <v>58.798225184104439</v>
      </c>
      <c r="DN58" s="87">
        <v>58.798225184104439</v>
      </c>
      <c r="DO58" s="87">
        <v>58.798225184104439</v>
      </c>
      <c r="DP58" s="87">
        <v>58.798225184104439</v>
      </c>
      <c r="DQ58" s="87">
        <v>58.798225184104439</v>
      </c>
      <c r="DR58" s="87">
        <v>58.798225184104439</v>
      </c>
      <c r="DS58" s="27">
        <v>5.3</v>
      </c>
      <c r="DW58" s="27">
        <v>33.5</v>
      </c>
      <c r="DX58" s="27">
        <v>33.5</v>
      </c>
      <c r="DY58" s="27">
        <v>33.5</v>
      </c>
      <c r="DZ58" s="27">
        <v>33.5</v>
      </c>
      <c r="EA58" s="27">
        <v>33.5</v>
      </c>
      <c r="EB58" s="27">
        <v>33.5</v>
      </c>
      <c r="EC58" s="27">
        <v>33.5</v>
      </c>
      <c r="ED58" s="27">
        <v>33.5</v>
      </c>
      <c r="EE58" s="27">
        <v>33.5</v>
      </c>
      <c r="EF58" s="129">
        <v>7.3</v>
      </c>
      <c r="EH58" s="27">
        <v>55.899999999999991</v>
      </c>
      <c r="EI58" s="27">
        <v>55.899999999999991</v>
      </c>
      <c r="EJ58" s="27">
        <v>55.899999999999991</v>
      </c>
      <c r="EK58" s="27">
        <v>55.899999999999991</v>
      </c>
      <c r="EL58" s="27">
        <v>55.899999999999991</v>
      </c>
      <c r="EM58" s="27">
        <v>55.899999999999991</v>
      </c>
      <c r="EN58" s="27">
        <v>55.899999999999991</v>
      </c>
      <c r="EO58" s="27">
        <v>55.899999999999991</v>
      </c>
      <c r="EP58" s="27">
        <v>55.899999999999991</v>
      </c>
      <c r="EQ58" s="129">
        <v>7.3</v>
      </c>
      <c r="ES58" s="27">
        <v>67.299999999999983</v>
      </c>
      <c r="ET58" s="27">
        <v>67.299999999999983</v>
      </c>
      <c r="EU58" s="27">
        <v>67.299999999999983</v>
      </c>
      <c r="EV58" s="27">
        <v>67.299999999999983</v>
      </c>
      <c r="EW58" s="27">
        <v>67.299999999999983</v>
      </c>
      <c r="EX58" s="27">
        <v>67.299999999999983</v>
      </c>
      <c r="EY58" s="27">
        <v>67.299999999999983</v>
      </c>
      <c r="EZ58" s="27">
        <v>67.299999999999983</v>
      </c>
      <c r="FA58" s="27">
        <v>67.299999999999983</v>
      </c>
      <c r="FB58" s="129">
        <v>7.3</v>
      </c>
      <c r="FD58" s="27">
        <v>69.299999999999983</v>
      </c>
      <c r="FE58" s="27">
        <v>69.299999999999983</v>
      </c>
      <c r="FF58" s="27">
        <v>69.299999999999983</v>
      </c>
      <c r="FG58" s="27">
        <v>69.299999999999983</v>
      </c>
      <c r="FH58" s="27">
        <v>69.299999999999983</v>
      </c>
      <c r="FI58" s="27">
        <v>69.299999999999983</v>
      </c>
      <c r="FJ58" s="27">
        <v>69.299999999999983</v>
      </c>
      <c r="FK58" s="27">
        <v>69.299999999999983</v>
      </c>
      <c r="FL58" s="27">
        <v>69.299999999999983</v>
      </c>
      <c r="FM58" s="129">
        <v>7.3</v>
      </c>
      <c r="FO58" s="27">
        <v>108.79999999999998</v>
      </c>
      <c r="FP58" s="27">
        <v>108.79999999999998</v>
      </c>
      <c r="FQ58" s="27">
        <v>108.79999999999998</v>
      </c>
      <c r="FR58" s="27">
        <v>108.79999999999998</v>
      </c>
      <c r="FS58" s="27">
        <v>108.79999999999998</v>
      </c>
      <c r="FT58" s="27">
        <v>108.79999999999998</v>
      </c>
      <c r="FU58" s="27">
        <v>108.79999999999998</v>
      </c>
      <c r="FV58" s="27">
        <v>108.79999999999998</v>
      </c>
      <c r="FW58" s="27">
        <v>108.79999999999998</v>
      </c>
      <c r="FX58" s="129">
        <v>7.3</v>
      </c>
      <c r="FZ58" s="27">
        <v>108.79999999999998</v>
      </c>
      <c r="GA58" s="27">
        <v>108.79999999999998</v>
      </c>
      <c r="GB58" s="27">
        <v>108.79999999999998</v>
      </c>
      <c r="GC58" s="27">
        <v>108.79999999999998</v>
      </c>
      <c r="GD58" s="27">
        <v>108.79999999999998</v>
      </c>
      <c r="GE58" s="27">
        <v>108.79999999999998</v>
      </c>
      <c r="GF58" s="27">
        <v>108.79999999999998</v>
      </c>
      <c r="GG58" s="27">
        <v>108.79999999999998</v>
      </c>
      <c r="GH58" s="27">
        <v>108.79999999999998</v>
      </c>
      <c r="GI58" s="129">
        <v>7.3</v>
      </c>
      <c r="GJ58" s="27"/>
      <c r="GK58" s="27">
        <v>26.099999999999998</v>
      </c>
      <c r="GL58" s="27">
        <v>26.099999999999998</v>
      </c>
      <c r="GM58" s="27">
        <v>26.099999999999998</v>
      </c>
      <c r="GN58" s="27">
        <v>26.099999999999998</v>
      </c>
      <c r="GO58" s="27">
        <v>26.099999999999998</v>
      </c>
      <c r="GP58" s="27">
        <v>26.099999999999998</v>
      </c>
      <c r="GQ58" s="27">
        <v>26.099999999999998</v>
      </c>
      <c r="GR58" s="27">
        <v>26.099999999999998</v>
      </c>
      <c r="GS58" s="27">
        <v>26.099999999999998</v>
      </c>
      <c r="GT58" s="129">
        <v>7.3</v>
      </c>
      <c r="GV58" s="27">
        <v>30.800000000000004</v>
      </c>
      <c r="GW58" s="27">
        <v>30.800000000000004</v>
      </c>
      <c r="GX58" s="27">
        <v>30.800000000000004</v>
      </c>
      <c r="GY58" s="27">
        <v>30.800000000000004</v>
      </c>
      <c r="GZ58" s="27">
        <v>30.800000000000004</v>
      </c>
      <c r="HA58" s="27">
        <v>30.800000000000004</v>
      </c>
      <c r="HB58" s="27">
        <v>30.800000000000004</v>
      </c>
      <c r="HC58" s="27">
        <v>30.800000000000004</v>
      </c>
      <c r="HD58" s="27">
        <v>30.800000000000004</v>
      </c>
      <c r="HE58" s="129">
        <v>7.3</v>
      </c>
      <c r="HG58" s="27">
        <v>42.5</v>
      </c>
      <c r="HH58" s="27">
        <v>42.5</v>
      </c>
      <c r="HI58" s="27">
        <v>42.5</v>
      </c>
      <c r="HJ58" s="27">
        <v>42.5</v>
      </c>
      <c r="HK58" s="27">
        <v>42.5</v>
      </c>
      <c r="HL58" s="27">
        <v>42.5</v>
      </c>
      <c r="HM58" s="27">
        <v>42.5</v>
      </c>
      <c r="HN58" s="27">
        <v>42.5</v>
      </c>
      <c r="HO58" s="27">
        <v>42.5</v>
      </c>
      <c r="HP58" s="129">
        <v>7.3</v>
      </c>
      <c r="HR58" s="27">
        <v>42.5</v>
      </c>
      <c r="HS58" s="27">
        <v>42.5</v>
      </c>
      <c r="HT58" s="27">
        <v>42.5</v>
      </c>
      <c r="HU58" s="27">
        <v>42.5</v>
      </c>
      <c r="HV58" s="27">
        <v>42.5</v>
      </c>
      <c r="HW58" s="27">
        <v>42.5</v>
      </c>
      <c r="HX58" s="27">
        <v>42.5</v>
      </c>
      <c r="HY58" s="27">
        <v>42.5</v>
      </c>
      <c r="HZ58" s="27">
        <v>42.5</v>
      </c>
      <c r="IA58" s="129">
        <v>7.3</v>
      </c>
    </row>
    <row r="59" spans="15:235" ht="3" customHeight="1">
      <c r="O59" s="87">
        <v>47.745715626096541</v>
      </c>
      <c r="P59" s="87">
        <v>47.745715626096541</v>
      </c>
      <c r="Q59" s="87">
        <v>47.745715626096541</v>
      </c>
      <c r="R59" s="87">
        <v>47.745715626096541</v>
      </c>
      <c r="S59" s="87">
        <v>47.745715626096541</v>
      </c>
      <c r="T59" s="87">
        <v>47.745715626096541</v>
      </c>
      <c r="U59" s="87">
        <v>47.745715626096541</v>
      </c>
      <c r="V59" s="87">
        <v>47.745715626096541</v>
      </c>
      <c r="W59" s="87">
        <v>47.745715626096541</v>
      </c>
      <c r="X59" s="27">
        <v>5.4</v>
      </c>
      <c r="Y59" s="27"/>
      <c r="Z59" s="87">
        <v>79.641588774807659</v>
      </c>
      <c r="AA59" s="87">
        <v>79.641588774807659</v>
      </c>
      <c r="AB59" s="87">
        <v>79.641588774807659</v>
      </c>
      <c r="AC59" s="87">
        <v>79.641588774807659</v>
      </c>
      <c r="AD59" s="87">
        <v>79.641588774807659</v>
      </c>
      <c r="AE59" s="87">
        <v>79.641588774807659</v>
      </c>
      <c r="AF59" s="87">
        <v>79.641588774807659</v>
      </c>
      <c r="AG59" s="87">
        <v>79.641588774807659</v>
      </c>
      <c r="AH59" s="87">
        <v>79.641588774807659</v>
      </c>
      <c r="AI59" s="27">
        <v>5.4</v>
      </c>
      <c r="AK59" s="87">
        <v>89.969052498895294</v>
      </c>
      <c r="AL59" s="87">
        <v>89.969052498895294</v>
      </c>
      <c r="AM59" s="87">
        <v>89.969052498895294</v>
      </c>
      <c r="AN59" s="87">
        <v>89.969052498895294</v>
      </c>
      <c r="AO59" s="87">
        <v>89.969052498895294</v>
      </c>
      <c r="AP59" s="87">
        <v>89.969052498895294</v>
      </c>
      <c r="AQ59" s="87">
        <v>89.969052498895294</v>
      </c>
      <c r="AR59" s="87">
        <v>89.969052498895294</v>
      </c>
      <c r="AS59" s="87">
        <v>89.969052498895294</v>
      </c>
      <c r="AT59" s="27">
        <v>5.4</v>
      </c>
      <c r="AV59" s="87">
        <v>93.73719698600695</v>
      </c>
      <c r="AW59" s="87">
        <v>93.73719698600695</v>
      </c>
      <c r="AX59" s="87">
        <v>93.73719698600695</v>
      </c>
      <c r="AY59" s="87">
        <v>93.73719698600695</v>
      </c>
      <c r="AZ59" s="87">
        <v>93.73719698600695</v>
      </c>
      <c r="BA59" s="87">
        <v>93.73719698600695</v>
      </c>
      <c r="BB59" s="87">
        <v>93.73719698600695</v>
      </c>
      <c r="BC59" s="87">
        <v>93.73719698600695</v>
      </c>
      <c r="BD59" s="87">
        <v>93.73719698600695</v>
      </c>
      <c r="BE59" s="27">
        <v>5.4</v>
      </c>
      <c r="BG59" s="87">
        <v>140.44642857142875</v>
      </c>
      <c r="BH59" s="87">
        <v>140.44642857142875</v>
      </c>
      <c r="BI59" s="87">
        <v>140.44642857142875</v>
      </c>
      <c r="BJ59" s="87">
        <v>140.44642857142875</v>
      </c>
      <c r="BK59" s="87">
        <v>140.44642857142875</v>
      </c>
      <c r="BL59" s="87">
        <v>140.44642857142875</v>
      </c>
      <c r="BM59" s="87">
        <v>140.44642857142875</v>
      </c>
      <c r="BN59" s="87">
        <v>140.44642857142875</v>
      </c>
      <c r="BO59" s="87">
        <v>140.44642857142875</v>
      </c>
      <c r="BP59" s="27">
        <v>5.4</v>
      </c>
      <c r="BR59" s="87">
        <v>140.44642857142875</v>
      </c>
      <c r="BS59" s="87">
        <v>140.44642857142875</v>
      </c>
      <c r="BT59" s="87">
        <v>140.44642857142875</v>
      </c>
      <c r="BU59" s="87">
        <v>140.44642857142875</v>
      </c>
      <c r="BV59" s="87">
        <v>140.44642857142875</v>
      </c>
      <c r="BW59" s="87">
        <v>140.44642857142875</v>
      </c>
      <c r="BX59" s="87">
        <v>140.44642857142875</v>
      </c>
      <c r="BY59" s="87">
        <v>140.44642857142875</v>
      </c>
      <c r="BZ59" s="87">
        <v>140.44642857142875</v>
      </c>
      <c r="CA59" s="27">
        <v>5.4</v>
      </c>
      <c r="CC59" s="87">
        <v>34.800472497689654</v>
      </c>
      <c r="CD59" s="87">
        <v>34.800472497689654</v>
      </c>
      <c r="CE59" s="87">
        <v>34.800472497689654</v>
      </c>
      <c r="CF59" s="87">
        <v>34.800472497689654</v>
      </c>
      <c r="CG59" s="87">
        <v>34.800472497689654</v>
      </c>
      <c r="CH59" s="87">
        <v>34.800472497689654</v>
      </c>
      <c r="CI59" s="87">
        <v>34.800472497689654</v>
      </c>
      <c r="CJ59" s="87">
        <v>34.800472497689654</v>
      </c>
      <c r="CK59" s="87">
        <v>34.800472497689654</v>
      </c>
      <c r="CL59" s="27">
        <v>5.4</v>
      </c>
      <c r="CN59" s="87">
        <v>41.685413836104949</v>
      </c>
      <c r="CO59" s="87">
        <v>41.685413836104949</v>
      </c>
      <c r="CP59" s="87">
        <v>41.685413836104949</v>
      </c>
      <c r="CQ59" s="87">
        <v>41.685413836104949</v>
      </c>
      <c r="CR59" s="87">
        <v>41.685413836104949</v>
      </c>
      <c r="CS59" s="87">
        <v>41.685413836104949</v>
      </c>
      <c r="CT59" s="87">
        <v>41.685413836104949</v>
      </c>
      <c r="CU59" s="87">
        <v>41.685413836104949</v>
      </c>
      <c r="CV59" s="87">
        <v>41.685413836104949</v>
      </c>
      <c r="CW59" s="27">
        <v>5.4</v>
      </c>
      <c r="CY59" s="87">
        <v>57.703975858189246</v>
      </c>
      <c r="CZ59" s="87">
        <v>57.703975858189246</v>
      </c>
      <c r="DA59" s="87">
        <v>57.703975858189246</v>
      </c>
      <c r="DB59" s="87">
        <v>57.703975858189246</v>
      </c>
      <c r="DC59" s="87">
        <v>57.703975858189246</v>
      </c>
      <c r="DD59" s="87">
        <v>57.703975858189246</v>
      </c>
      <c r="DE59" s="87">
        <v>57.703975858189246</v>
      </c>
      <c r="DF59" s="87">
        <v>57.703975858189246</v>
      </c>
      <c r="DG59" s="87">
        <v>57.703975858189246</v>
      </c>
      <c r="DH59" s="27">
        <v>5.4</v>
      </c>
      <c r="DJ59" s="87">
        <v>57.703975858189246</v>
      </c>
      <c r="DK59" s="87">
        <v>57.703975858189246</v>
      </c>
      <c r="DL59" s="87">
        <v>57.703975858189246</v>
      </c>
      <c r="DM59" s="87">
        <v>57.703975858189246</v>
      </c>
      <c r="DN59" s="87">
        <v>57.703975858189246</v>
      </c>
      <c r="DO59" s="87">
        <v>57.703975858189246</v>
      </c>
      <c r="DP59" s="87">
        <v>57.703975858189246</v>
      </c>
      <c r="DQ59" s="87">
        <v>57.703975858189246</v>
      </c>
      <c r="DR59" s="87">
        <v>57.703975858189246</v>
      </c>
      <c r="DS59" s="27">
        <v>5.4</v>
      </c>
      <c r="DW59" s="27">
        <v>33</v>
      </c>
      <c r="DX59" s="27">
        <v>33</v>
      </c>
      <c r="DY59" s="27">
        <v>33</v>
      </c>
      <c r="DZ59" s="27">
        <v>33</v>
      </c>
      <c r="EA59" s="27">
        <v>33</v>
      </c>
      <c r="EB59" s="27">
        <v>33</v>
      </c>
      <c r="EC59" s="27">
        <v>33</v>
      </c>
      <c r="ED59" s="27">
        <v>33</v>
      </c>
      <c r="EE59" s="27">
        <v>33</v>
      </c>
      <c r="EF59" s="129">
        <v>7.4</v>
      </c>
      <c r="EH59" s="27">
        <v>55.199999999999989</v>
      </c>
      <c r="EI59" s="27">
        <v>55.199999999999989</v>
      </c>
      <c r="EJ59" s="27">
        <v>55.199999999999989</v>
      </c>
      <c r="EK59" s="27">
        <v>55.199999999999989</v>
      </c>
      <c r="EL59" s="27">
        <v>55.199999999999989</v>
      </c>
      <c r="EM59" s="27">
        <v>55.199999999999989</v>
      </c>
      <c r="EN59" s="27">
        <v>55.199999999999989</v>
      </c>
      <c r="EO59" s="27">
        <v>55.199999999999989</v>
      </c>
      <c r="EP59" s="27">
        <v>55.199999999999989</v>
      </c>
      <c r="EQ59" s="129">
        <v>7.4</v>
      </c>
      <c r="ES59" s="27">
        <v>66.399999999999977</v>
      </c>
      <c r="ET59" s="27">
        <v>66.399999999999977</v>
      </c>
      <c r="EU59" s="27">
        <v>66.399999999999977</v>
      </c>
      <c r="EV59" s="27">
        <v>66.399999999999977</v>
      </c>
      <c r="EW59" s="27">
        <v>66.399999999999977</v>
      </c>
      <c r="EX59" s="27">
        <v>66.399999999999977</v>
      </c>
      <c r="EY59" s="27">
        <v>66.399999999999977</v>
      </c>
      <c r="EZ59" s="27">
        <v>66.399999999999977</v>
      </c>
      <c r="FA59" s="27">
        <v>66.399999999999977</v>
      </c>
      <c r="FB59" s="129">
        <v>7.4</v>
      </c>
      <c r="FD59" s="27">
        <v>68.399999999999977</v>
      </c>
      <c r="FE59" s="27">
        <v>68.399999999999977</v>
      </c>
      <c r="FF59" s="27">
        <v>68.399999999999977</v>
      </c>
      <c r="FG59" s="27">
        <v>68.399999999999977</v>
      </c>
      <c r="FH59" s="27">
        <v>68.399999999999977</v>
      </c>
      <c r="FI59" s="27">
        <v>68.399999999999977</v>
      </c>
      <c r="FJ59" s="27">
        <v>68.399999999999977</v>
      </c>
      <c r="FK59" s="27">
        <v>68.399999999999977</v>
      </c>
      <c r="FL59" s="27">
        <v>68.399999999999977</v>
      </c>
      <c r="FM59" s="129">
        <v>7.4</v>
      </c>
      <c r="FO59" s="27">
        <v>107.39999999999998</v>
      </c>
      <c r="FP59" s="27">
        <v>107.39999999999998</v>
      </c>
      <c r="FQ59" s="27">
        <v>107.39999999999998</v>
      </c>
      <c r="FR59" s="27">
        <v>107.39999999999998</v>
      </c>
      <c r="FS59" s="27">
        <v>107.39999999999998</v>
      </c>
      <c r="FT59" s="27">
        <v>107.39999999999998</v>
      </c>
      <c r="FU59" s="27">
        <v>107.39999999999998</v>
      </c>
      <c r="FV59" s="27">
        <v>107.39999999999998</v>
      </c>
      <c r="FW59" s="27">
        <v>107.39999999999998</v>
      </c>
      <c r="FX59" s="129">
        <v>7.4</v>
      </c>
      <c r="FZ59" s="27">
        <v>107.39999999999998</v>
      </c>
      <c r="GA59" s="27">
        <v>107.39999999999998</v>
      </c>
      <c r="GB59" s="27">
        <v>107.39999999999998</v>
      </c>
      <c r="GC59" s="27">
        <v>107.39999999999998</v>
      </c>
      <c r="GD59" s="27">
        <v>107.39999999999998</v>
      </c>
      <c r="GE59" s="27">
        <v>107.39999999999998</v>
      </c>
      <c r="GF59" s="27">
        <v>107.39999999999998</v>
      </c>
      <c r="GG59" s="27">
        <v>107.39999999999998</v>
      </c>
      <c r="GH59" s="27">
        <v>107.39999999999998</v>
      </c>
      <c r="GI59" s="129">
        <v>7.4</v>
      </c>
      <c r="GJ59" s="27"/>
      <c r="GK59" s="27">
        <v>25.799999999999997</v>
      </c>
      <c r="GL59" s="27">
        <v>25.799999999999997</v>
      </c>
      <c r="GM59" s="27">
        <v>25.799999999999997</v>
      </c>
      <c r="GN59" s="27">
        <v>25.799999999999997</v>
      </c>
      <c r="GO59" s="27">
        <v>25.799999999999997</v>
      </c>
      <c r="GP59" s="27">
        <v>25.799999999999997</v>
      </c>
      <c r="GQ59" s="27">
        <v>25.799999999999997</v>
      </c>
      <c r="GR59" s="27">
        <v>25.799999999999997</v>
      </c>
      <c r="GS59" s="27">
        <v>25.799999999999997</v>
      </c>
      <c r="GT59" s="129">
        <v>7.4</v>
      </c>
      <c r="GV59" s="27">
        <v>30.400000000000006</v>
      </c>
      <c r="GW59" s="27">
        <v>30.400000000000006</v>
      </c>
      <c r="GX59" s="27">
        <v>30.400000000000006</v>
      </c>
      <c r="GY59" s="27">
        <v>30.400000000000006</v>
      </c>
      <c r="GZ59" s="27">
        <v>30.400000000000006</v>
      </c>
      <c r="HA59" s="27">
        <v>30.400000000000006</v>
      </c>
      <c r="HB59" s="27">
        <v>30.400000000000006</v>
      </c>
      <c r="HC59" s="27">
        <v>30.400000000000006</v>
      </c>
      <c r="HD59" s="27">
        <v>30.400000000000006</v>
      </c>
      <c r="HE59" s="129">
        <v>7.4</v>
      </c>
      <c r="HG59" s="27">
        <v>42</v>
      </c>
      <c r="HH59" s="27">
        <v>42</v>
      </c>
      <c r="HI59" s="27">
        <v>42</v>
      </c>
      <c r="HJ59" s="27">
        <v>42</v>
      </c>
      <c r="HK59" s="27">
        <v>42</v>
      </c>
      <c r="HL59" s="27">
        <v>42</v>
      </c>
      <c r="HM59" s="27">
        <v>42</v>
      </c>
      <c r="HN59" s="27">
        <v>42</v>
      </c>
      <c r="HO59" s="27">
        <v>42</v>
      </c>
      <c r="HP59" s="129">
        <v>7.4</v>
      </c>
      <c r="HR59" s="27">
        <v>42</v>
      </c>
      <c r="HS59" s="27">
        <v>42</v>
      </c>
      <c r="HT59" s="27">
        <v>42</v>
      </c>
      <c r="HU59" s="27">
        <v>42</v>
      </c>
      <c r="HV59" s="27">
        <v>42</v>
      </c>
      <c r="HW59" s="27">
        <v>42</v>
      </c>
      <c r="HX59" s="27">
        <v>42</v>
      </c>
      <c r="HY59" s="27">
        <v>42</v>
      </c>
      <c r="HZ59" s="27">
        <v>42</v>
      </c>
      <c r="IA59" s="129">
        <v>7.4</v>
      </c>
    </row>
    <row r="60" spans="15:235" ht="3" customHeight="1">
      <c r="O60" s="87">
        <v>46.597840497969926</v>
      </c>
      <c r="P60" s="87">
        <v>46.597840497969926</v>
      </c>
      <c r="Q60" s="87">
        <v>46.597840497969926</v>
      </c>
      <c r="R60" s="87">
        <v>46.597840497969926</v>
      </c>
      <c r="S60" s="87">
        <v>46.597840497969926</v>
      </c>
      <c r="T60" s="87">
        <v>46.597840497969926</v>
      </c>
      <c r="U60" s="87">
        <v>46.597840497969926</v>
      </c>
      <c r="V60" s="87">
        <v>46.597840497969926</v>
      </c>
      <c r="W60" s="87">
        <v>46.597840497969926</v>
      </c>
      <c r="X60" s="27">
        <v>5.5</v>
      </c>
      <c r="Y60" s="27"/>
      <c r="Z60" s="87">
        <v>77.867714201958535</v>
      </c>
      <c r="AA60" s="87">
        <v>77.867714201958535</v>
      </c>
      <c r="AB60" s="87">
        <v>77.867714201958535</v>
      </c>
      <c r="AC60" s="87">
        <v>77.867714201958535</v>
      </c>
      <c r="AD60" s="87">
        <v>77.867714201958535</v>
      </c>
      <c r="AE60" s="87">
        <v>77.867714201958535</v>
      </c>
      <c r="AF60" s="87">
        <v>77.867714201958535</v>
      </c>
      <c r="AG60" s="87">
        <v>77.867714201958535</v>
      </c>
      <c r="AH60" s="87">
        <v>77.867714201958535</v>
      </c>
      <c r="AI60" s="27">
        <v>5.5</v>
      </c>
      <c r="AK60" s="87">
        <v>88.35270375485841</v>
      </c>
      <c r="AL60" s="87">
        <v>88.35270375485841</v>
      </c>
      <c r="AM60" s="87">
        <v>88.35270375485841</v>
      </c>
      <c r="AN60" s="87">
        <v>88.35270375485841</v>
      </c>
      <c r="AO60" s="87">
        <v>88.35270375485841</v>
      </c>
      <c r="AP60" s="87">
        <v>88.35270375485841</v>
      </c>
      <c r="AQ60" s="87">
        <v>88.35270375485841</v>
      </c>
      <c r="AR60" s="87">
        <v>88.35270375485841</v>
      </c>
      <c r="AS60" s="87">
        <v>88.35270375485841</v>
      </c>
      <c r="AT60" s="27">
        <v>5.5</v>
      </c>
      <c r="AV60" s="87">
        <v>92.033484566350779</v>
      </c>
      <c r="AW60" s="87">
        <v>92.033484566350779</v>
      </c>
      <c r="AX60" s="87">
        <v>92.033484566350779</v>
      </c>
      <c r="AY60" s="87">
        <v>92.033484566350779</v>
      </c>
      <c r="AZ60" s="87">
        <v>92.033484566350779</v>
      </c>
      <c r="BA60" s="87">
        <v>92.033484566350779</v>
      </c>
      <c r="BB60" s="87">
        <v>92.033484566350779</v>
      </c>
      <c r="BC60" s="87">
        <v>92.033484566350779</v>
      </c>
      <c r="BD60" s="87">
        <v>92.033484566350779</v>
      </c>
      <c r="BE60" s="27">
        <v>5.5</v>
      </c>
      <c r="BG60" s="87">
        <v>138.63244047619068</v>
      </c>
      <c r="BH60" s="87">
        <v>138.63244047619068</v>
      </c>
      <c r="BI60" s="87">
        <v>138.63244047619068</v>
      </c>
      <c r="BJ60" s="87">
        <v>138.63244047619068</v>
      </c>
      <c r="BK60" s="87">
        <v>138.63244047619068</v>
      </c>
      <c r="BL60" s="87">
        <v>138.63244047619068</v>
      </c>
      <c r="BM60" s="87">
        <v>138.63244047619068</v>
      </c>
      <c r="BN60" s="87">
        <v>138.63244047619068</v>
      </c>
      <c r="BO60" s="87">
        <v>138.63244047619068</v>
      </c>
      <c r="BP60" s="27">
        <v>5.5</v>
      </c>
      <c r="BR60" s="87">
        <v>138.63244047619068</v>
      </c>
      <c r="BS60" s="87">
        <v>138.63244047619068</v>
      </c>
      <c r="BT60" s="87">
        <v>138.63244047619068</v>
      </c>
      <c r="BU60" s="87">
        <v>138.63244047619068</v>
      </c>
      <c r="BV60" s="87">
        <v>138.63244047619068</v>
      </c>
      <c r="BW60" s="87">
        <v>138.63244047619068</v>
      </c>
      <c r="BX60" s="87">
        <v>138.63244047619068</v>
      </c>
      <c r="BY60" s="87">
        <v>138.63244047619068</v>
      </c>
      <c r="BZ60" s="87">
        <v>138.63244047619068</v>
      </c>
      <c r="CA60" s="27">
        <v>5.5</v>
      </c>
      <c r="CC60" s="87">
        <v>34.174006694703536</v>
      </c>
      <c r="CD60" s="87">
        <v>34.174006694703536</v>
      </c>
      <c r="CE60" s="87">
        <v>34.174006694703536</v>
      </c>
      <c r="CF60" s="87">
        <v>34.174006694703536</v>
      </c>
      <c r="CG60" s="87">
        <v>34.174006694703536</v>
      </c>
      <c r="CH60" s="87">
        <v>34.174006694703536</v>
      </c>
      <c r="CI60" s="87">
        <v>34.174006694703536</v>
      </c>
      <c r="CJ60" s="87">
        <v>34.174006694703536</v>
      </c>
      <c r="CK60" s="87">
        <v>34.174006694703536</v>
      </c>
      <c r="CL60" s="27">
        <v>5.5</v>
      </c>
      <c r="CN60" s="87">
        <v>40.937261181582535</v>
      </c>
      <c r="CO60" s="87">
        <v>40.937261181582535</v>
      </c>
      <c r="CP60" s="87">
        <v>40.937261181582535</v>
      </c>
      <c r="CQ60" s="87">
        <v>40.937261181582535</v>
      </c>
      <c r="CR60" s="87">
        <v>40.937261181582535</v>
      </c>
      <c r="CS60" s="87">
        <v>40.937261181582535</v>
      </c>
      <c r="CT60" s="87">
        <v>40.937261181582535</v>
      </c>
      <c r="CU60" s="87">
        <v>40.937261181582535</v>
      </c>
      <c r="CV60" s="87">
        <v>40.937261181582535</v>
      </c>
      <c r="CW60" s="27">
        <v>5.5</v>
      </c>
      <c r="CY60" s="87">
        <v>56.649615064131154</v>
      </c>
      <c r="CZ60" s="87">
        <v>56.649615064131154</v>
      </c>
      <c r="DA60" s="87">
        <v>56.649615064131154</v>
      </c>
      <c r="DB60" s="87">
        <v>56.649615064131154</v>
      </c>
      <c r="DC60" s="87">
        <v>56.649615064131154</v>
      </c>
      <c r="DD60" s="87">
        <v>56.649615064131154</v>
      </c>
      <c r="DE60" s="87">
        <v>56.649615064131154</v>
      </c>
      <c r="DF60" s="87">
        <v>56.649615064131154</v>
      </c>
      <c r="DG60" s="87">
        <v>56.649615064131154</v>
      </c>
      <c r="DH60" s="27">
        <v>5.5</v>
      </c>
      <c r="DJ60" s="87">
        <v>56.649615064131154</v>
      </c>
      <c r="DK60" s="87">
        <v>56.649615064131154</v>
      </c>
      <c r="DL60" s="87">
        <v>56.649615064131154</v>
      </c>
      <c r="DM60" s="87">
        <v>56.649615064131154</v>
      </c>
      <c r="DN60" s="87">
        <v>56.649615064131154</v>
      </c>
      <c r="DO60" s="87">
        <v>56.649615064131154</v>
      </c>
      <c r="DP60" s="87">
        <v>56.649615064131154</v>
      </c>
      <c r="DQ60" s="87">
        <v>56.649615064131154</v>
      </c>
      <c r="DR60" s="87">
        <v>56.649615064131154</v>
      </c>
      <c r="DS60" s="27">
        <v>5.5</v>
      </c>
      <c r="DW60" s="27">
        <v>32.5</v>
      </c>
      <c r="DX60" s="27">
        <v>32.5</v>
      </c>
      <c r="DY60" s="27">
        <v>32.5</v>
      </c>
      <c r="DZ60" s="27">
        <v>32.5</v>
      </c>
      <c r="EA60" s="27">
        <v>32.5</v>
      </c>
      <c r="EB60" s="27">
        <v>32.5</v>
      </c>
      <c r="EC60" s="27">
        <v>32.5</v>
      </c>
      <c r="ED60" s="27">
        <v>32.5</v>
      </c>
      <c r="EE60" s="27">
        <v>32.5</v>
      </c>
      <c r="EF60" s="129">
        <v>7.5000000000000098</v>
      </c>
      <c r="EH60" s="27">
        <v>54.499999999999986</v>
      </c>
      <c r="EI60" s="27">
        <v>54.499999999999986</v>
      </c>
      <c r="EJ60" s="27">
        <v>54.499999999999986</v>
      </c>
      <c r="EK60" s="27">
        <v>54.499999999999986</v>
      </c>
      <c r="EL60" s="27">
        <v>54.499999999999986</v>
      </c>
      <c r="EM60" s="27">
        <v>54.499999999999986</v>
      </c>
      <c r="EN60" s="27">
        <v>54.499999999999986</v>
      </c>
      <c r="EO60" s="27">
        <v>54.499999999999986</v>
      </c>
      <c r="EP60" s="27">
        <v>54.499999999999986</v>
      </c>
      <c r="EQ60" s="129">
        <v>7.5000000000000098</v>
      </c>
      <c r="ES60" s="27">
        <v>65.499999999999972</v>
      </c>
      <c r="ET60" s="27">
        <v>65.499999999999972</v>
      </c>
      <c r="EU60" s="27">
        <v>65.499999999999972</v>
      </c>
      <c r="EV60" s="27">
        <v>65.499999999999972</v>
      </c>
      <c r="EW60" s="27">
        <v>65.499999999999972</v>
      </c>
      <c r="EX60" s="27">
        <v>65.499999999999972</v>
      </c>
      <c r="EY60" s="27">
        <v>65.499999999999972</v>
      </c>
      <c r="EZ60" s="27">
        <v>65.499999999999972</v>
      </c>
      <c r="FA60" s="27">
        <v>65.499999999999972</v>
      </c>
      <c r="FB60" s="129">
        <v>7.5000000000000098</v>
      </c>
      <c r="FD60" s="27">
        <v>67.499999999999972</v>
      </c>
      <c r="FE60" s="27">
        <v>67.499999999999972</v>
      </c>
      <c r="FF60" s="27">
        <v>67.499999999999972</v>
      </c>
      <c r="FG60" s="27">
        <v>67.499999999999972</v>
      </c>
      <c r="FH60" s="27">
        <v>67.499999999999972</v>
      </c>
      <c r="FI60" s="27">
        <v>67.499999999999972</v>
      </c>
      <c r="FJ60" s="27">
        <v>67.499999999999972</v>
      </c>
      <c r="FK60" s="27">
        <v>67.499999999999972</v>
      </c>
      <c r="FL60" s="27">
        <v>67.499999999999972</v>
      </c>
      <c r="FM60" s="129">
        <v>7.5000000000000098</v>
      </c>
      <c r="FO60" s="27">
        <v>105.99999999999997</v>
      </c>
      <c r="FP60" s="27">
        <v>105.99999999999997</v>
      </c>
      <c r="FQ60" s="27">
        <v>105.99999999999997</v>
      </c>
      <c r="FR60" s="27">
        <v>105.99999999999997</v>
      </c>
      <c r="FS60" s="27">
        <v>105.99999999999997</v>
      </c>
      <c r="FT60" s="27">
        <v>105.99999999999997</v>
      </c>
      <c r="FU60" s="27">
        <v>105.99999999999997</v>
      </c>
      <c r="FV60" s="27">
        <v>105.99999999999997</v>
      </c>
      <c r="FW60" s="27">
        <v>105.99999999999997</v>
      </c>
      <c r="FX60" s="129">
        <v>7.5000000000000098</v>
      </c>
      <c r="FZ60" s="27">
        <v>105.99999999999997</v>
      </c>
      <c r="GA60" s="27">
        <v>105.99999999999997</v>
      </c>
      <c r="GB60" s="27">
        <v>105.99999999999997</v>
      </c>
      <c r="GC60" s="27">
        <v>105.99999999999997</v>
      </c>
      <c r="GD60" s="27">
        <v>105.99999999999997</v>
      </c>
      <c r="GE60" s="27">
        <v>105.99999999999997</v>
      </c>
      <c r="GF60" s="27">
        <v>105.99999999999997</v>
      </c>
      <c r="GG60" s="27">
        <v>105.99999999999997</v>
      </c>
      <c r="GH60" s="27">
        <v>105.99999999999997</v>
      </c>
      <c r="GI60" s="129">
        <v>7.5000000000000098</v>
      </c>
      <c r="GJ60" s="27"/>
      <c r="GK60" s="27">
        <v>25.499999999999996</v>
      </c>
      <c r="GL60" s="27">
        <v>25.499999999999996</v>
      </c>
      <c r="GM60" s="27">
        <v>25.499999999999996</v>
      </c>
      <c r="GN60" s="27">
        <v>25.499999999999996</v>
      </c>
      <c r="GO60" s="27">
        <v>25.499999999999996</v>
      </c>
      <c r="GP60" s="27">
        <v>25.499999999999996</v>
      </c>
      <c r="GQ60" s="27">
        <v>25.499999999999996</v>
      </c>
      <c r="GR60" s="27">
        <v>25.499999999999996</v>
      </c>
      <c r="GS60" s="27">
        <v>25.499999999999996</v>
      </c>
      <c r="GT60" s="129">
        <v>7.5000000000000098</v>
      </c>
      <c r="GV60" s="27">
        <v>30.000000000000007</v>
      </c>
      <c r="GW60" s="27">
        <v>30.000000000000007</v>
      </c>
      <c r="GX60" s="27">
        <v>30.000000000000007</v>
      </c>
      <c r="GY60" s="27">
        <v>30.000000000000007</v>
      </c>
      <c r="GZ60" s="27">
        <v>30.000000000000007</v>
      </c>
      <c r="HA60" s="27">
        <v>30.000000000000007</v>
      </c>
      <c r="HB60" s="27">
        <v>30.000000000000007</v>
      </c>
      <c r="HC60" s="27">
        <v>30.000000000000007</v>
      </c>
      <c r="HD60" s="27">
        <v>30.000000000000007</v>
      </c>
      <c r="HE60" s="129">
        <v>7.5000000000000098</v>
      </c>
      <c r="HG60" s="27">
        <v>41.5</v>
      </c>
      <c r="HH60" s="27">
        <v>41.5</v>
      </c>
      <c r="HI60" s="27">
        <v>41.5</v>
      </c>
      <c r="HJ60" s="27">
        <v>41.5</v>
      </c>
      <c r="HK60" s="27">
        <v>41.5</v>
      </c>
      <c r="HL60" s="27">
        <v>41.5</v>
      </c>
      <c r="HM60" s="27">
        <v>41.5</v>
      </c>
      <c r="HN60" s="27">
        <v>41.5</v>
      </c>
      <c r="HO60" s="27">
        <v>41.5</v>
      </c>
      <c r="HP60" s="129">
        <v>7.5000000000000098</v>
      </c>
      <c r="HR60" s="27">
        <v>41.5</v>
      </c>
      <c r="HS60" s="27">
        <v>41.5</v>
      </c>
      <c r="HT60" s="27">
        <v>41.5</v>
      </c>
      <c r="HU60" s="27">
        <v>41.5</v>
      </c>
      <c r="HV60" s="27">
        <v>41.5</v>
      </c>
      <c r="HW60" s="27">
        <v>41.5</v>
      </c>
      <c r="HX60" s="27">
        <v>41.5</v>
      </c>
      <c r="HY60" s="27">
        <v>41.5</v>
      </c>
      <c r="HZ60" s="27">
        <v>41.5</v>
      </c>
      <c r="IA60" s="129">
        <v>7.5000000000000098</v>
      </c>
    </row>
    <row r="61" spans="15:235" ht="3" customHeight="1">
      <c r="O61" s="87">
        <v>45.497507978269844</v>
      </c>
      <c r="P61" s="87">
        <v>45.497507978269844</v>
      </c>
      <c r="Q61" s="87">
        <v>45.497507978269844</v>
      </c>
      <c r="R61" s="87">
        <v>45.497507978269844</v>
      </c>
      <c r="S61" s="87">
        <v>45.497507978269844</v>
      </c>
      <c r="T61" s="87">
        <v>45.497507978269844</v>
      </c>
      <c r="U61" s="87">
        <v>45.497507978269844</v>
      </c>
      <c r="V61" s="87">
        <v>45.497507978269844</v>
      </c>
      <c r="W61" s="87">
        <v>45.497507978269844</v>
      </c>
      <c r="X61" s="27">
        <v>5.6</v>
      </c>
      <c r="Y61" s="27"/>
      <c r="Z61" s="87">
        <v>76.164256669704571</v>
      </c>
      <c r="AA61" s="87">
        <v>76.164256669704571</v>
      </c>
      <c r="AB61" s="87">
        <v>76.164256669704571</v>
      </c>
      <c r="AC61" s="87">
        <v>76.164256669704571</v>
      </c>
      <c r="AD61" s="87">
        <v>76.164256669704571</v>
      </c>
      <c r="AE61" s="87">
        <v>76.164256669704571</v>
      </c>
      <c r="AF61" s="87">
        <v>76.164256669704571</v>
      </c>
      <c r="AG61" s="87">
        <v>76.164256669704571</v>
      </c>
      <c r="AH61" s="87">
        <v>76.164256669704571</v>
      </c>
      <c r="AI61" s="27">
        <v>5.6</v>
      </c>
      <c r="AK61" s="87">
        <v>86.793741595476007</v>
      </c>
      <c r="AL61" s="87">
        <v>86.793741595476007</v>
      </c>
      <c r="AM61" s="87">
        <v>86.793741595476007</v>
      </c>
      <c r="AN61" s="87">
        <v>86.793741595476007</v>
      </c>
      <c r="AO61" s="87">
        <v>86.793741595476007</v>
      </c>
      <c r="AP61" s="87">
        <v>86.793741595476007</v>
      </c>
      <c r="AQ61" s="87">
        <v>86.793741595476007</v>
      </c>
      <c r="AR61" s="87">
        <v>86.793741595476007</v>
      </c>
      <c r="AS61" s="87">
        <v>86.793741595476007</v>
      </c>
      <c r="AT61" s="27">
        <v>5.6</v>
      </c>
      <c r="AV61" s="87">
        <v>90.390608399752367</v>
      </c>
      <c r="AW61" s="87">
        <v>90.390608399752367</v>
      </c>
      <c r="AX61" s="87">
        <v>90.390608399752367</v>
      </c>
      <c r="AY61" s="87">
        <v>90.390608399752367</v>
      </c>
      <c r="AZ61" s="87">
        <v>90.390608399752367</v>
      </c>
      <c r="BA61" s="87">
        <v>90.390608399752367</v>
      </c>
      <c r="BB61" s="87">
        <v>90.390608399752367</v>
      </c>
      <c r="BC61" s="87">
        <v>90.390608399752367</v>
      </c>
      <c r="BD61" s="87">
        <v>90.390608399752367</v>
      </c>
      <c r="BE61" s="27">
        <v>5.6</v>
      </c>
      <c r="BG61" s="87">
        <v>136.83928571428592</v>
      </c>
      <c r="BH61" s="87">
        <v>136.83928571428592</v>
      </c>
      <c r="BI61" s="87">
        <v>136.83928571428592</v>
      </c>
      <c r="BJ61" s="87">
        <v>136.83928571428592</v>
      </c>
      <c r="BK61" s="87">
        <v>136.83928571428592</v>
      </c>
      <c r="BL61" s="87">
        <v>136.83928571428592</v>
      </c>
      <c r="BM61" s="87">
        <v>136.83928571428592</v>
      </c>
      <c r="BN61" s="87">
        <v>136.83928571428592</v>
      </c>
      <c r="BO61" s="87">
        <v>136.83928571428592</v>
      </c>
      <c r="BP61" s="27">
        <v>5.6</v>
      </c>
      <c r="BR61" s="87">
        <v>136.83928571428592</v>
      </c>
      <c r="BS61" s="87">
        <v>136.83928571428592</v>
      </c>
      <c r="BT61" s="87">
        <v>136.83928571428592</v>
      </c>
      <c r="BU61" s="87">
        <v>136.83928571428592</v>
      </c>
      <c r="BV61" s="87">
        <v>136.83928571428592</v>
      </c>
      <c r="BW61" s="87">
        <v>136.83928571428592</v>
      </c>
      <c r="BX61" s="87">
        <v>136.83928571428592</v>
      </c>
      <c r="BY61" s="87">
        <v>136.83928571428592</v>
      </c>
      <c r="BZ61" s="87">
        <v>136.83928571428592</v>
      </c>
      <c r="CA61" s="27">
        <v>5.6</v>
      </c>
      <c r="CC61" s="87">
        <v>33.569804807364825</v>
      </c>
      <c r="CD61" s="87">
        <v>33.569804807364825</v>
      </c>
      <c r="CE61" s="87">
        <v>33.569804807364825</v>
      </c>
      <c r="CF61" s="87">
        <v>33.569804807364825</v>
      </c>
      <c r="CG61" s="87">
        <v>33.569804807364825</v>
      </c>
      <c r="CH61" s="87">
        <v>33.569804807364825</v>
      </c>
      <c r="CI61" s="87">
        <v>33.569804807364825</v>
      </c>
      <c r="CJ61" s="87">
        <v>33.569804807364825</v>
      </c>
      <c r="CK61" s="87">
        <v>33.569804807364825</v>
      </c>
      <c r="CL61" s="27">
        <v>5.6</v>
      </c>
      <c r="CN61" s="87">
        <v>40.215657695922999</v>
      </c>
      <c r="CO61" s="87">
        <v>40.215657695922999</v>
      </c>
      <c r="CP61" s="87">
        <v>40.215657695922999</v>
      </c>
      <c r="CQ61" s="87">
        <v>40.215657695922999</v>
      </c>
      <c r="CR61" s="87">
        <v>40.215657695922999</v>
      </c>
      <c r="CS61" s="87">
        <v>40.215657695922999</v>
      </c>
      <c r="CT61" s="87">
        <v>40.215657695922999</v>
      </c>
      <c r="CU61" s="87">
        <v>40.215657695922999</v>
      </c>
      <c r="CV61" s="87">
        <v>40.215657695922999</v>
      </c>
      <c r="CW61" s="27">
        <v>5.6</v>
      </c>
      <c r="CY61" s="87">
        <v>55.633002451540847</v>
      </c>
      <c r="CZ61" s="87">
        <v>55.633002451540847</v>
      </c>
      <c r="DA61" s="87">
        <v>55.633002451540847</v>
      </c>
      <c r="DB61" s="87">
        <v>55.633002451540847</v>
      </c>
      <c r="DC61" s="87">
        <v>55.633002451540847</v>
      </c>
      <c r="DD61" s="87">
        <v>55.633002451540847</v>
      </c>
      <c r="DE61" s="87">
        <v>55.633002451540847</v>
      </c>
      <c r="DF61" s="87">
        <v>55.633002451540847</v>
      </c>
      <c r="DG61" s="87">
        <v>55.633002451540847</v>
      </c>
      <c r="DH61" s="27">
        <v>5.6</v>
      </c>
      <c r="DJ61" s="87">
        <v>55.633002451540847</v>
      </c>
      <c r="DK61" s="87">
        <v>55.633002451540847</v>
      </c>
      <c r="DL61" s="87">
        <v>55.633002451540847</v>
      </c>
      <c r="DM61" s="87">
        <v>55.633002451540847</v>
      </c>
      <c r="DN61" s="87">
        <v>55.633002451540847</v>
      </c>
      <c r="DO61" s="87">
        <v>55.633002451540847</v>
      </c>
      <c r="DP61" s="87">
        <v>55.633002451540847</v>
      </c>
      <c r="DQ61" s="87">
        <v>55.633002451540847</v>
      </c>
      <c r="DR61" s="87">
        <v>55.633002451540847</v>
      </c>
      <c r="DS61" s="27">
        <v>5.6</v>
      </c>
      <c r="DW61" s="27">
        <v>32</v>
      </c>
      <c r="DX61" s="27">
        <v>32</v>
      </c>
      <c r="DY61" s="27">
        <v>32</v>
      </c>
      <c r="DZ61" s="27">
        <v>32</v>
      </c>
      <c r="EA61" s="27">
        <v>32</v>
      </c>
      <c r="EB61" s="27">
        <v>32</v>
      </c>
      <c r="EC61" s="27">
        <v>32</v>
      </c>
      <c r="ED61" s="27">
        <v>32</v>
      </c>
      <c r="EE61" s="27">
        <v>32</v>
      </c>
      <c r="EF61" s="129">
        <v>7.6</v>
      </c>
      <c r="EH61" s="27">
        <v>53.799999999999983</v>
      </c>
      <c r="EI61" s="27">
        <v>53.799999999999983</v>
      </c>
      <c r="EJ61" s="27">
        <v>53.799999999999983</v>
      </c>
      <c r="EK61" s="27">
        <v>53.799999999999983</v>
      </c>
      <c r="EL61" s="27">
        <v>53.799999999999983</v>
      </c>
      <c r="EM61" s="27">
        <v>53.799999999999983</v>
      </c>
      <c r="EN61" s="27">
        <v>53.799999999999983</v>
      </c>
      <c r="EO61" s="27">
        <v>53.799999999999983</v>
      </c>
      <c r="EP61" s="27">
        <v>53.799999999999983</v>
      </c>
      <c r="EQ61" s="129">
        <v>7.6</v>
      </c>
      <c r="ES61" s="27">
        <v>64.599999999999966</v>
      </c>
      <c r="ET61" s="27">
        <v>64.599999999999966</v>
      </c>
      <c r="EU61" s="27">
        <v>64.599999999999966</v>
      </c>
      <c r="EV61" s="27">
        <v>64.599999999999966</v>
      </c>
      <c r="EW61" s="27">
        <v>64.599999999999966</v>
      </c>
      <c r="EX61" s="27">
        <v>64.599999999999966</v>
      </c>
      <c r="EY61" s="27">
        <v>64.599999999999966</v>
      </c>
      <c r="EZ61" s="27">
        <v>64.599999999999966</v>
      </c>
      <c r="FA61" s="27">
        <v>64.599999999999966</v>
      </c>
      <c r="FB61" s="129">
        <v>7.6</v>
      </c>
      <c r="FD61" s="27">
        <v>66.599999999999966</v>
      </c>
      <c r="FE61" s="27">
        <v>66.599999999999966</v>
      </c>
      <c r="FF61" s="27">
        <v>66.599999999999966</v>
      </c>
      <c r="FG61" s="27">
        <v>66.599999999999966</v>
      </c>
      <c r="FH61" s="27">
        <v>66.599999999999966</v>
      </c>
      <c r="FI61" s="27">
        <v>66.599999999999966</v>
      </c>
      <c r="FJ61" s="27">
        <v>66.599999999999966</v>
      </c>
      <c r="FK61" s="27">
        <v>66.599999999999966</v>
      </c>
      <c r="FL61" s="27">
        <v>66.599999999999966</v>
      </c>
      <c r="FM61" s="129">
        <v>7.6</v>
      </c>
      <c r="FO61" s="27">
        <v>104.59999999999997</v>
      </c>
      <c r="FP61" s="27">
        <v>104.59999999999997</v>
      </c>
      <c r="FQ61" s="27">
        <v>104.59999999999997</v>
      </c>
      <c r="FR61" s="27">
        <v>104.59999999999997</v>
      </c>
      <c r="FS61" s="27">
        <v>104.59999999999997</v>
      </c>
      <c r="FT61" s="27">
        <v>104.59999999999997</v>
      </c>
      <c r="FU61" s="27">
        <v>104.59999999999997</v>
      </c>
      <c r="FV61" s="27">
        <v>104.59999999999997</v>
      </c>
      <c r="FW61" s="27">
        <v>104.59999999999997</v>
      </c>
      <c r="FX61" s="129">
        <v>7.6</v>
      </c>
      <c r="FZ61" s="27">
        <v>104.59999999999997</v>
      </c>
      <c r="GA61" s="27">
        <v>104.59999999999997</v>
      </c>
      <c r="GB61" s="27">
        <v>104.59999999999997</v>
      </c>
      <c r="GC61" s="27">
        <v>104.59999999999997</v>
      </c>
      <c r="GD61" s="27">
        <v>104.59999999999997</v>
      </c>
      <c r="GE61" s="27">
        <v>104.59999999999997</v>
      </c>
      <c r="GF61" s="27">
        <v>104.59999999999997</v>
      </c>
      <c r="GG61" s="27">
        <v>104.59999999999997</v>
      </c>
      <c r="GH61" s="27">
        <v>104.59999999999997</v>
      </c>
      <c r="GI61" s="129">
        <v>7.6</v>
      </c>
      <c r="GJ61" s="27"/>
      <c r="GK61" s="27">
        <v>25.199999999999996</v>
      </c>
      <c r="GL61" s="27">
        <v>25.199999999999996</v>
      </c>
      <c r="GM61" s="27">
        <v>25.199999999999996</v>
      </c>
      <c r="GN61" s="27">
        <v>25.199999999999996</v>
      </c>
      <c r="GO61" s="27">
        <v>25.199999999999996</v>
      </c>
      <c r="GP61" s="27">
        <v>25.199999999999996</v>
      </c>
      <c r="GQ61" s="27">
        <v>25.199999999999996</v>
      </c>
      <c r="GR61" s="27">
        <v>25.199999999999996</v>
      </c>
      <c r="GS61" s="27">
        <v>25.199999999999996</v>
      </c>
      <c r="GT61" s="129">
        <v>7.6</v>
      </c>
      <c r="GV61" s="27">
        <v>29.600000000000009</v>
      </c>
      <c r="GW61" s="27">
        <v>29.600000000000009</v>
      </c>
      <c r="GX61" s="27">
        <v>29.600000000000009</v>
      </c>
      <c r="GY61" s="27">
        <v>29.600000000000009</v>
      </c>
      <c r="GZ61" s="27">
        <v>29.600000000000009</v>
      </c>
      <c r="HA61" s="27">
        <v>29.600000000000009</v>
      </c>
      <c r="HB61" s="27">
        <v>29.600000000000009</v>
      </c>
      <c r="HC61" s="27">
        <v>29.600000000000009</v>
      </c>
      <c r="HD61" s="27">
        <v>29.600000000000009</v>
      </c>
      <c r="HE61" s="129">
        <v>7.6</v>
      </c>
      <c r="HG61" s="27">
        <v>41</v>
      </c>
      <c r="HH61" s="27">
        <v>41</v>
      </c>
      <c r="HI61" s="27">
        <v>41</v>
      </c>
      <c r="HJ61" s="27">
        <v>41</v>
      </c>
      <c r="HK61" s="27">
        <v>41</v>
      </c>
      <c r="HL61" s="27">
        <v>41</v>
      </c>
      <c r="HM61" s="27">
        <v>41</v>
      </c>
      <c r="HN61" s="27">
        <v>41</v>
      </c>
      <c r="HO61" s="27">
        <v>41</v>
      </c>
      <c r="HP61" s="129">
        <v>7.6</v>
      </c>
      <c r="HR61" s="27">
        <v>41</v>
      </c>
      <c r="HS61" s="27">
        <v>41</v>
      </c>
      <c r="HT61" s="27">
        <v>41</v>
      </c>
      <c r="HU61" s="27">
        <v>41</v>
      </c>
      <c r="HV61" s="27">
        <v>41</v>
      </c>
      <c r="HW61" s="27">
        <v>41</v>
      </c>
      <c r="HX61" s="27">
        <v>41</v>
      </c>
      <c r="HY61" s="27">
        <v>41</v>
      </c>
      <c r="HZ61" s="27">
        <v>41</v>
      </c>
      <c r="IA61" s="129">
        <v>7.6</v>
      </c>
    </row>
    <row r="62" spans="15:235" ht="3" customHeight="1">
      <c r="O62" s="87">
        <v>44.441951743149509</v>
      </c>
      <c r="P62" s="87">
        <v>44.441951743149509</v>
      </c>
      <c r="Q62" s="87">
        <v>44.441951743149509</v>
      </c>
      <c r="R62" s="87">
        <v>44.441951743149509</v>
      </c>
      <c r="S62" s="87">
        <v>44.441951743149509</v>
      </c>
      <c r="T62" s="87">
        <v>44.441951743149509</v>
      </c>
      <c r="U62" s="87">
        <v>44.441951743149509</v>
      </c>
      <c r="V62" s="87">
        <v>44.441951743149509</v>
      </c>
      <c r="W62" s="87">
        <v>44.441951743149509</v>
      </c>
      <c r="X62" s="27">
        <v>5.7</v>
      </c>
      <c r="Y62" s="27"/>
      <c r="Z62" s="87">
        <v>74.52723691491606</v>
      </c>
      <c r="AA62" s="87">
        <v>74.52723691491606</v>
      </c>
      <c r="AB62" s="87">
        <v>74.52723691491606</v>
      </c>
      <c r="AC62" s="87">
        <v>74.52723691491606</v>
      </c>
      <c r="AD62" s="87">
        <v>74.52723691491606</v>
      </c>
      <c r="AE62" s="87">
        <v>74.52723691491606</v>
      </c>
      <c r="AF62" s="87">
        <v>74.52723691491606</v>
      </c>
      <c r="AG62" s="87">
        <v>74.52723691491606</v>
      </c>
      <c r="AH62" s="87">
        <v>74.52723691491606</v>
      </c>
      <c r="AI62" s="27">
        <v>5.7</v>
      </c>
      <c r="AK62" s="87">
        <v>85.28915743508675</v>
      </c>
      <c r="AL62" s="87">
        <v>85.28915743508675</v>
      </c>
      <c r="AM62" s="87">
        <v>85.28915743508675</v>
      </c>
      <c r="AN62" s="87">
        <v>85.28915743508675</v>
      </c>
      <c r="AO62" s="87">
        <v>85.28915743508675</v>
      </c>
      <c r="AP62" s="87">
        <v>85.28915743508675</v>
      </c>
      <c r="AQ62" s="87">
        <v>85.28915743508675</v>
      </c>
      <c r="AR62" s="87">
        <v>85.28915743508675</v>
      </c>
      <c r="AS62" s="87">
        <v>85.28915743508675</v>
      </c>
      <c r="AT62" s="27">
        <v>5.7</v>
      </c>
      <c r="AV62" s="87">
        <v>88.805366947422641</v>
      </c>
      <c r="AW62" s="87">
        <v>88.805366947422641</v>
      </c>
      <c r="AX62" s="87">
        <v>88.805366947422641</v>
      </c>
      <c r="AY62" s="87">
        <v>88.805366947422641</v>
      </c>
      <c r="AZ62" s="87">
        <v>88.805366947422641</v>
      </c>
      <c r="BA62" s="87">
        <v>88.805366947422641</v>
      </c>
      <c r="BB62" s="87">
        <v>88.805366947422641</v>
      </c>
      <c r="BC62" s="87">
        <v>88.805366947422641</v>
      </c>
      <c r="BD62" s="87">
        <v>88.805366947422641</v>
      </c>
      <c r="BE62" s="27">
        <v>5.7</v>
      </c>
      <c r="BG62" s="87">
        <v>135.06696428571445</v>
      </c>
      <c r="BH62" s="87">
        <v>135.06696428571445</v>
      </c>
      <c r="BI62" s="87">
        <v>135.06696428571445</v>
      </c>
      <c r="BJ62" s="87">
        <v>135.06696428571445</v>
      </c>
      <c r="BK62" s="87">
        <v>135.06696428571445</v>
      </c>
      <c r="BL62" s="87">
        <v>135.06696428571445</v>
      </c>
      <c r="BM62" s="87">
        <v>135.06696428571445</v>
      </c>
      <c r="BN62" s="87">
        <v>135.06696428571445</v>
      </c>
      <c r="BO62" s="87">
        <v>135.06696428571445</v>
      </c>
      <c r="BP62" s="27">
        <v>5.7</v>
      </c>
      <c r="BR62" s="87">
        <v>135.06696428571445</v>
      </c>
      <c r="BS62" s="87">
        <v>135.06696428571445</v>
      </c>
      <c r="BT62" s="87">
        <v>135.06696428571445</v>
      </c>
      <c r="BU62" s="87">
        <v>135.06696428571445</v>
      </c>
      <c r="BV62" s="87">
        <v>135.06696428571445</v>
      </c>
      <c r="BW62" s="87">
        <v>135.06696428571445</v>
      </c>
      <c r="BX62" s="87">
        <v>135.06696428571445</v>
      </c>
      <c r="BY62" s="87">
        <v>135.06696428571445</v>
      </c>
      <c r="BZ62" s="87">
        <v>135.06696428571445</v>
      </c>
      <c r="CA62" s="27">
        <v>5.7</v>
      </c>
      <c r="CC62" s="87">
        <v>32.986698852907011</v>
      </c>
      <c r="CD62" s="87">
        <v>32.986698852907011</v>
      </c>
      <c r="CE62" s="87">
        <v>32.986698852907011</v>
      </c>
      <c r="CF62" s="87">
        <v>32.986698852907011</v>
      </c>
      <c r="CG62" s="87">
        <v>32.986698852907011</v>
      </c>
      <c r="CH62" s="87">
        <v>32.986698852907011</v>
      </c>
      <c r="CI62" s="87">
        <v>32.986698852907011</v>
      </c>
      <c r="CJ62" s="87">
        <v>32.986698852907011</v>
      </c>
      <c r="CK62" s="87">
        <v>32.986698852907011</v>
      </c>
      <c r="CL62" s="27">
        <v>5.7</v>
      </c>
      <c r="CN62" s="87">
        <v>39.519211948950861</v>
      </c>
      <c r="CO62" s="87">
        <v>39.519211948950861</v>
      </c>
      <c r="CP62" s="87">
        <v>39.519211948950861</v>
      </c>
      <c r="CQ62" s="87">
        <v>39.519211948950861</v>
      </c>
      <c r="CR62" s="87">
        <v>39.519211948950861</v>
      </c>
      <c r="CS62" s="87">
        <v>39.519211948950861</v>
      </c>
      <c r="CT62" s="87">
        <v>39.519211948950861</v>
      </c>
      <c r="CU62" s="87">
        <v>39.519211948950861</v>
      </c>
      <c r="CV62" s="87">
        <v>39.519211948950861</v>
      </c>
      <c r="CW62" s="27">
        <v>5.7</v>
      </c>
      <c r="CY62" s="87">
        <v>54.652148051110579</v>
      </c>
      <c r="CZ62" s="87">
        <v>54.652148051110579</v>
      </c>
      <c r="DA62" s="87">
        <v>54.652148051110579</v>
      </c>
      <c r="DB62" s="87">
        <v>54.652148051110579</v>
      </c>
      <c r="DC62" s="87">
        <v>54.652148051110579</v>
      </c>
      <c r="DD62" s="87">
        <v>54.652148051110579</v>
      </c>
      <c r="DE62" s="87">
        <v>54.652148051110579</v>
      </c>
      <c r="DF62" s="87">
        <v>54.652148051110579</v>
      </c>
      <c r="DG62" s="87">
        <v>54.652148051110579</v>
      </c>
      <c r="DH62" s="27">
        <v>5.7</v>
      </c>
      <c r="DJ62" s="87">
        <v>54.652148051110579</v>
      </c>
      <c r="DK62" s="87">
        <v>54.652148051110579</v>
      </c>
      <c r="DL62" s="87">
        <v>54.652148051110579</v>
      </c>
      <c r="DM62" s="87">
        <v>54.652148051110579</v>
      </c>
      <c r="DN62" s="87">
        <v>54.652148051110579</v>
      </c>
      <c r="DO62" s="87">
        <v>54.652148051110579</v>
      </c>
      <c r="DP62" s="87">
        <v>54.652148051110579</v>
      </c>
      <c r="DQ62" s="87">
        <v>54.652148051110579</v>
      </c>
      <c r="DR62" s="87">
        <v>54.652148051110579</v>
      </c>
      <c r="DS62" s="27">
        <v>5.7</v>
      </c>
      <c r="DW62" s="27">
        <v>31.5</v>
      </c>
      <c r="DX62" s="27">
        <v>31.5</v>
      </c>
      <c r="DY62" s="27">
        <v>31.5</v>
      </c>
      <c r="DZ62" s="27">
        <v>31.5</v>
      </c>
      <c r="EA62" s="27">
        <v>31.5</v>
      </c>
      <c r="EB62" s="27">
        <v>31.5</v>
      </c>
      <c r="EC62" s="27">
        <v>31.5</v>
      </c>
      <c r="ED62" s="27">
        <v>31.5</v>
      </c>
      <c r="EE62" s="27">
        <v>31.5</v>
      </c>
      <c r="EF62" s="129">
        <v>7.7</v>
      </c>
      <c r="EH62" s="27">
        <v>53.09999999999998</v>
      </c>
      <c r="EI62" s="27">
        <v>53.09999999999998</v>
      </c>
      <c r="EJ62" s="27">
        <v>53.09999999999998</v>
      </c>
      <c r="EK62" s="27">
        <v>53.09999999999998</v>
      </c>
      <c r="EL62" s="27">
        <v>53.09999999999998</v>
      </c>
      <c r="EM62" s="27">
        <v>53.09999999999998</v>
      </c>
      <c r="EN62" s="27">
        <v>53.09999999999998</v>
      </c>
      <c r="EO62" s="27">
        <v>53.09999999999998</v>
      </c>
      <c r="EP62" s="27">
        <v>53.09999999999998</v>
      </c>
      <c r="EQ62" s="129">
        <v>7.7</v>
      </c>
      <c r="ES62" s="27">
        <v>63.699999999999967</v>
      </c>
      <c r="ET62" s="27">
        <v>63.699999999999967</v>
      </c>
      <c r="EU62" s="27">
        <v>63.699999999999967</v>
      </c>
      <c r="EV62" s="27">
        <v>63.699999999999967</v>
      </c>
      <c r="EW62" s="27">
        <v>63.699999999999967</v>
      </c>
      <c r="EX62" s="27">
        <v>63.699999999999967</v>
      </c>
      <c r="EY62" s="27">
        <v>63.699999999999967</v>
      </c>
      <c r="EZ62" s="27">
        <v>63.699999999999967</v>
      </c>
      <c r="FA62" s="27">
        <v>63.699999999999967</v>
      </c>
      <c r="FB62" s="129">
        <v>7.7</v>
      </c>
      <c r="FD62" s="27">
        <v>65.69999999999996</v>
      </c>
      <c r="FE62" s="27">
        <v>65.69999999999996</v>
      </c>
      <c r="FF62" s="27">
        <v>65.69999999999996</v>
      </c>
      <c r="FG62" s="27">
        <v>65.69999999999996</v>
      </c>
      <c r="FH62" s="27">
        <v>65.69999999999996</v>
      </c>
      <c r="FI62" s="27">
        <v>65.69999999999996</v>
      </c>
      <c r="FJ62" s="27">
        <v>65.69999999999996</v>
      </c>
      <c r="FK62" s="27">
        <v>65.69999999999996</v>
      </c>
      <c r="FL62" s="27">
        <v>65.69999999999996</v>
      </c>
      <c r="FM62" s="129">
        <v>7.7</v>
      </c>
      <c r="FO62" s="27">
        <v>103.19999999999996</v>
      </c>
      <c r="FP62" s="27">
        <v>103.19999999999996</v>
      </c>
      <c r="FQ62" s="27">
        <v>103.19999999999996</v>
      </c>
      <c r="FR62" s="27">
        <v>103.19999999999996</v>
      </c>
      <c r="FS62" s="27">
        <v>103.19999999999996</v>
      </c>
      <c r="FT62" s="27">
        <v>103.19999999999996</v>
      </c>
      <c r="FU62" s="27">
        <v>103.19999999999996</v>
      </c>
      <c r="FV62" s="27">
        <v>103.19999999999996</v>
      </c>
      <c r="FW62" s="27">
        <v>103.19999999999996</v>
      </c>
      <c r="FX62" s="129">
        <v>7.7</v>
      </c>
      <c r="FZ62" s="27">
        <v>103.19999999999996</v>
      </c>
      <c r="GA62" s="27">
        <v>103.19999999999996</v>
      </c>
      <c r="GB62" s="27">
        <v>103.19999999999996</v>
      </c>
      <c r="GC62" s="27">
        <v>103.19999999999996</v>
      </c>
      <c r="GD62" s="27">
        <v>103.19999999999996</v>
      </c>
      <c r="GE62" s="27">
        <v>103.19999999999996</v>
      </c>
      <c r="GF62" s="27">
        <v>103.19999999999996</v>
      </c>
      <c r="GG62" s="27">
        <v>103.19999999999996</v>
      </c>
      <c r="GH62" s="27">
        <v>103.19999999999996</v>
      </c>
      <c r="GI62" s="129">
        <v>7.7</v>
      </c>
      <c r="GJ62" s="27"/>
      <c r="GK62" s="27">
        <v>24.899999999999995</v>
      </c>
      <c r="GL62" s="27">
        <v>24.899999999999995</v>
      </c>
      <c r="GM62" s="27">
        <v>24.899999999999995</v>
      </c>
      <c r="GN62" s="27">
        <v>24.899999999999995</v>
      </c>
      <c r="GO62" s="27">
        <v>24.899999999999995</v>
      </c>
      <c r="GP62" s="27">
        <v>24.899999999999995</v>
      </c>
      <c r="GQ62" s="27">
        <v>24.899999999999995</v>
      </c>
      <c r="GR62" s="27">
        <v>24.899999999999995</v>
      </c>
      <c r="GS62" s="27">
        <v>24.899999999999995</v>
      </c>
      <c r="GT62" s="129">
        <v>7.7</v>
      </c>
      <c r="GV62" s="27">
        <v>29.20000000000001</v>
      </c>
      <c r="GW62" s="27">
        <v>29.20000000000001</v>
      </c>
      <c r="GX62" s="27">
        <v>29.20000000000001</v>
      </c>
      <c r="GY62" s="27">
        <v>29.20000000000001</v>
      </c>
      <c r="GZ62" s="27">
        <v>29.20000000000001</v>
      </c>
      <c r="HA62" s="27">
        <v>29.20000000000001</v>
      </c>
      <c r="HB62" s="27">
        <v>29.20000000000001</v>
      </c>
      <c r="HC62" s="27">
        <v>29.20000000000001</v>
      </c>
      <c r="HD62" s="27">
        <v>29.20000000000001</v>
      </c>
      <c r="HE62" s="129">
        <v>7.7</v>
      </c>
      <c r="HG62" s="27">
        <v>40.5</v>
      </c>
      <c r="HH62" s="27">
        <v>40.5</v>
      </c>
      <c r="HI62" s="27">
        <v>40.5</v>
      </c>
      <c r="HJ62" s="27">
        <v>40.5</v>
      </c>
      <c r="HK62" s="27">
        <v>40.5</v>
      </c>
      <c r="HL62" s="27">
        <v>40.5</v>
      </c>
      <c r="HM62" s="27">
        <v>40.5</v>
      </c>
      <c r="HN62" s="27">
        <v>40.5</v>
      </c>
      <c r="HO62" s="27">
        <v>40.5</v>
      </c>
      <c r="HP62" s="129">
        <v>7.7</v>
      </c>
      <c r="HR62" s="27">
        <v>40.5</v>
      </c>
      <c r="HS62" s="27">
        <v>40.5</v>
      </c>
      <c r="HT62" s="27">
        <v>40.5</v>
      </c>
      <c r="HU62" s="27">
        <v>40.5</v>
      </c>
      <c r="HV62" s="27">
        <v>40.5</v>
      </c>
      <c r="HW62" s="27">
        <v>40.5</v>
      </c>
      <c r="HX62" s="27">
        <v>40.5</v>
      </c>
      <c r="HY62" s="27">
        <v>40.5</v>
      </c>
      <c r="HZ62" s="27">
        <v>40.5</v>
      </c>
      <c r="IA62" s="129">
        <v>7.7</v>
      </c>
    </row>
    <row r="63" spans="15:235" ht="3" customHeight="1">
      <c r="O63" s="87">
        <v>43.42861122141646</v>
      </c>
      <c r="P63" s="87">
        <v>43.42861122141646</v>
      </c>
      <c r="Q63" s="87">
        <v>43.42861122141646</v>
      </c>
      <c r="R63" s="87">
        <v>43.42861122141646</v>
      </c>
      <c r="S63" s="87">
        <v>43.42861122141646</v>
      </c>
      <c r="T63" s="87">
        <v>43.42861122141646</v>
      </c>
      <c r="U63" s="87">
        <v>43.42861122141646</v>
      </c>
      <c r="V63" s="87">
        <v>43.42861122141646</v>
      </c>
      <c r="W63" s="87">
        <v>43.42861122141646</v>
      </c>
      <c r="X63" s="27">
        <v>5.8</v>
      </c>
      <c r="Y63" s="27"/>
      <c r="Z63" s="87">
        <v>72.952965143380695</v>
      </c>
      <c r="AA63" s="87">
        <v>72.952965143380695</v>
      </c>
      <c r="AB63" s="87">
        <v>72.952965143380695</v>
      </c>
      <c r="AC63" s="87">
        <v>72.952965143380695</v>
      </c>
      <c r="AD63" s="87">
        <v>72.952965143380695</v>
      </c>
      <c r="AE63" s="87">
        <v>72.952965143380695</v>
      </c>
      <c r="AF63" s="87">
        <v>72.952965143380695</v>
      </c>
      <c r="AG63" s="87">
        <v>72.952965143380695</v>
      </c>
      <c r="AH63" s="87">
        <v>72.952965143380695</v>
      </c>
      <c r="AI63" s="27">
        <v>5.8</v>
      </c>
      <c r="AK63" s="87">
        <v>83.836149575949634</v>
      </c>
      <c r="AL63" s="87">
        <v>83.836149575949634</v>
      </c>
      <c r="AM63" s="87">
        <v>83.836149575949634</v>
      </c>
      <c r="AN63" s="87">
        <v>83.836149575949634</v>
      </c>
      <c r="AO63" s="87">
        <v>83.836149575949634</v>
      </c>
      <c r="AP63" s="87">
        <v>83.836149575949634</v>
      </c>
      <c r="AQ63" s="87">
        <v>83.836149575949634</v>
      </c>
      <c r="AR63" s="87">
        <v>83.836149575949634</v>
      </c>
      <c r="AS63" s="87">
        <v>83.836149575949634</v>
      </c>
      <c r="AT63" s="27">
        <v>5.8</v>
      </c>
      <c r="AV63" s="87">
        <v>87.274779447417572</v>
      </c>
      <c r="AW63" s="87">
        <v>87.274779447417572</v>
      </c>
      <c r="AX63" s="87">
        <v>87.274779447417572</v>
      </c>
      <c r="AY63" s="87">
        <v>87.274779447417572</v>
      </c>
      <c r="AZ63" s="87">
        <v>87.274779447417572</v>
      </c>
      <c r="BA63" s="87">
        <v>87.274779447417572</v>
      </c>
      <c r="BB63" s="87">
        <v>87.274779447417572</v>
      </c>
      <c r="BC63" s="87">
        <v>87.274779447417572</v>
      </c>
      <c r="BD63" s="87">
        <v>87.274779447417572</v>
      </c>
      <c r="BE63" s="27">
        <v>5.8</v>
      </c>
      <c r="BG63" s="87">
        <v>133.31547619047637</v>
      </c>
      <c r="BH63" s="87">
        <v>133.31547619047637</v>
      </c>
      <c r="BI63" s="87">
        <v>133.31547619047637</v>
      </c>
      <c r="BJ63" s="87">
        <v>133.31547619047637</v>
      </c>
      <c r="BK63" s="87">
        <v>133.31547619047637</v>
      </c>
      <c r="BL63" s="87">
        <v>133.31547619047637</v>
      </c>
      <c r="BM63" s="87">
        <v>133.31547619047637</v>
      </c>
      <c r="BN63" s="87">
        <v>133.31547619047637</v>
      </c>
      <c r="BO63" s="87">
        <v>133.31547619047637</v>
      </c>
      <c r="BP63" s="27">
        <v>5.8</v>
      </c>
      <c r="BR63" s="87">
        <v>133.31547619047637</v>
      </c>
      <c r="BS63" s="87">
        <v>133.31547619047637</v>
      </c>
      <c r="BT63" s="87">
        <v>133.31547619047637</v>
      </c>
      <c r="BU63" s="87">
        <v>133.31547619047637</v>
      </c>
      <c r="BV63" s="87">
        <v>133.31547619047637</v>
      </c>
      <c r="BW63" s="87">
        <v>133.31547619047637</v>
      </c>
      <c r="BX63" s="87">
        <v>133.31547619047637</v>
      </c>
      <c r="BY63" s="87">
        <v>133.31547619047637</v>
      </c>
      <c r="BZ63" s="87">
        <v>133.31547619047637</v>
      </c>
      <c r="CA63" s="27">
        <v>5.8</v>
      </c>
      <c r="CC63" s="87">
        <v>32.423601204753083</v>
      </c>
      <c r="CD63" s="87">
        <v>32.423601204753083</v>
      </c>
      <c r="CE63" s="87">
        <v>32.423601204753083</v>
      </c>
      <c r="CF63" s="87">
        <v>32.423601204753083</v>
      </c>
      <c r="CG63" s="87">
        <v>32.423601204753083</v>
      </c>
      <c r="CH63" s="87">
        <v>32.423601204753083</v>
      </c>
      <c r="CI63" s="87">
        <v>32.423601204753083</v>
      </c>
      <c r="CJ63" s="87">
        <v>32.423601204753083</v>
      </c>
      <c r="CK63" s="87">
        <v>32.423601204753083</v>
      </c>
      <c r="CL63" s="27">
        <v>5.8</v>
      </c>
      <c r="CN63" s="87">
        <v>38.846628170199786</v>
      </c>
      <c r="CO63" s="87">
        <v>38.846628170199786</v>
      </c>
      <c r="CP63" s="87">
        <v>38.846628170199786</v>
      </c>
      <c r="CQ63" s="87">
        <v>38.846628170199786</v>
      </c>
      <c r="CR63" s="87">
        <v>38.846628170199786</v>
      </c>
      <c r="CS63" s="87">
        <v>38.846628170199786</v>
      </c>
      <c r="CT63" s="87">
        <v>38.846628170199786</v>
      </c>
      <c r="CU63" s="87">
        <v>38.846628170199786</v>
      </c>
      <c r="CV63" s="87">
        <v>38.846628170199786</v>
      </c>
      <c r="CW63" s="27">
        <v>5.8</v>
      </c>
      <c r="CY63" s="87">
        <v>53.705199298333483</v>
      </c>
      <c r="CZ63" s="87">
        <v>53.705199298333483</v>
      </c>
      <c r="DA63" s="87">
        <v>53.705199298333483</v>
      </c>
      <c r="DB63" s="87">
        <v>53.705199298333483</v>
      </c>
      <c r="DC63" s="87">
        <v>53.705199298333483</v>
      </c>
      <c r="DD63" s="87">
        <v>53.705199298333483</v>
      </c>
      <c r="DE63" s="87">
        <v>53.705199298333483</v>
      </c>
      <c r="DF63" s="87">
        <v>53.705199298333483</v>
      </c>
      <c r="DG63" s="87">
        <v>53.705199298333483</v>
      </c>
      <c r="DH63" s="27">
        <v>5.8</v>
      </c>
      <c r="DJ63" s="87">
        <v>53.705199298333483</v>
      </c>
      <c r="DK63" s="87">
        <v>53.705199298333483</v>
      </c>
      <c r="DL63" s="87">
        <v>53.705199298333483</v>
      </c>
      <c r="DM63" s="87">
        <v>53.705199298333483</v>
      </c>
      <c r="DN63" s="87">
        <v>53.705199298333483</v>
      </c>
      <c r="DO63" s="87">
        <v>53.705199298333483</v>
      </c>
      <c r="DP63" s="87">
        <v>53.705199298333483</v>
      </c>
      <c r="DQ63" s="87">
        <v>53.705199298333483</v>
      </c>
      <c r="DR63" s="87">
        <v>53.705199298333483</v>
      </c>
      <c r="DS63" s="27">
        <v>5.8</v>
      </c>
      <c r="DW63" s="27">
        <v>31</v>
      </c>
      <c r="DX63" s="27">
        <v>31</v>
      </c>
      <c r="DY63" s="27">
        <v>31</v>
      </c>
      <c r="DZ63" s="27">
        <v>31</v>
      </c>
      <c r="EA63" s="27">
        <v>31</v>
      </c>
      <c r="EB63" s="27">
        <v>31</v>
      </c>
      <c r="EC63" s="27">
        <v>31</v>
      </c>
      <c r="ED63" s="27">
        <v>31</v>
      </c>
      <c r="EE63" s="27">
        <v>31</v>
      </c>
      <c r="EF63" s="129">
        <v>7.8000000000000096</v>
      </c>
      <c r="EH63" s="27">
        <v>52.399999999999977</v>
      </c>
      <c r="EI63" s="27">
        <v>52.399999999999977</v>
      </c>
      <c r="EJ63" s="27">
        <v>52.399999999999977</v>
      </c>
      <c r="EK63" s="27">
        <v>52.399999999999977</v>
      </c>
      <c r="EL63" s="27">
        <v>52.399999999999977</v>
      </c>
      <c r="EM63" s="27">
        <v>52.399999999999977</v>
      </c>
      <c r="EN63" s="27">
        <v>52.399999999999977</v>
      </c>
      <c r="EO63" s="27">
        <v>52.399999999999977</v>
      </c>
      <c r="EP63" s="27">
        <v>52.399999999999977</v>
      </c>
      <c r="EQ63" s="129">
        <v>7.8000000000000096</v>
      </c>
      <c r="ES63" s="27">
        <v>62.799999999999969</v>
      </c>
      <c r="ET63" s="27">
        <v>62.799999999999969</v>
      </c>
      <c r="EU63" s="27">
        <v>62.799999999999969</v>
      </c>
      <c r="EV63" s="27">
        <v>62.799999999999969</v>
      </c>
      <c r="EW63" s="27">
        <v>62.799999999999969</v>
      </c>
      <c r="EX63" s="27">
        <v>62.799999999999969</v>
      </c>
      <c r="EY63" s="27">
        <v>62.799999999999969</v>
      </c>
      <c r="EZ63" s="27">
        <v>62.799999999999969</v>
      </c>
      <c r="FA63" s="27">
        <v>62.799999999999969</v>
      </c>
      <c r="FB63" s="129">
        <v>7.8000000000000096</v>
      </c>
      <c r="FD63" s="27">
        <v>64.799999999999955</v>
      </c>
      <c r="FE63" s="27">
        <v>64.799999999999955</v>
      </c>
      <c r="FF63" s="27">
        <v>64.799999999999955</v>
      </c>
      <c r="FG63" s="27">
        <v>64.799999999999955</v>
      </c>
      <c r="FH63" s="27">
        <v>64.799999999999955</v>
      </c>
      <c r="FI63" s="27">
        <v>64.799999999999955</v>
      </c>
      <c r="FJ63" s="27">
        <v>64.799999999999955</v>
      </c>
      <c r="FK63" s="27">
        <v>64.799999999999955</v>
      </c>
      <c r="FL63" s="27">
        <v>64.799999999999955</v>
      </c>
      <c r="FM63" s="129">
        <v>7.8000000000000096</v>
      </c>
      <c r="FO63" s="27">
        <v>101.79999999999995</v>
      </c>
      <c r="FP63" s="27">
        <v>101.79999999999995</v>
      </c>
      <c r="FQ63" s="27">
        <v>101.79999999999995</v>
      </c>
      <c r="FR63" s="27">
        <v>101.79999999999995</v>
      </c>
      <c r="FS63" s="27">
        <v>101.79999999999995</v>
      </c>
      <c r="FT63" s="27">
        <v>101.79999999999995</v>
      </c>
      <c r="FU63" s="27">
        <v>101.79999999999995</v>
      </c>
      <c r="FV63" s="27">
        <v>101.79999999999995</v>
      </c>
      <c r="FW63" s="27">
        <v>101.79999999999995</v>
      </c>
      <c r="FX63" s="129">
        <v>7.8000000000000096</v>
      </c>
      <c r="FZ63" s="27">
        <v>101.79999999999995</v>
      </c>
      <c r="GA63" s="27">
        <v>101.79999999999995</v>
      </c>
      <c r="GB63" s="27">
        <v>101.79999999999995</v>
      </c>
      <c r="GC63" s="27">
        <v>101.79999999999995</v>
      </c>
      <c r="GD63" s="27">
        <v>101.79999999999995</v>
      </c>
      <c r="GE63" s="27">
        <v>101.79999999999995</v>
      </c>
      <c r="GF63" s="27">
        <v>101.79999999999995</v>
      </c>
      <c r="GG63" s="27">
        <v>101.79999999999995</v>
      </c>
      <c r="GH63" s="27">
        <v>101.79999999999995</v>
      </c>
      <c r="GI63" s="129">
        <v>7.8000000000000096</v>
      </c>
      <c r="GJ63" s="27"/>
      <c r="GK63" s="27">
        <v>24.599999999999994</v>
      </c>
      <c r="GL63" s="27">
        <v>24.599999999999994</v>
      </c>
      <c r="GM63" s="27">
        <v>24.599999999999994</v>
      </c>
      <c r="GN63" s="27">
        <v>24.599999999999994</v>
      </c>
      <c r="GO63" s="27">
        <v>24.599999999999994</v>
      </c>
      <c r="GP63" s="27">
        <v>24.599999999999994</v>
      </c>
      <c r="GQ63" s="27">
        <v>24.599999999999994</v>
      </c>
      <c r="GR63" s="27">
        <v>24.599999999999994</v>
      </c>
      <c r="GS63" s="27">
        <v>24.599999999999994</v>
      </c>
      <c r="GT63" s="129">
        <v>7.8000000000000096</v>
      </c>
      <c r="GV63" s="27">
        <v>28.800000000000011</v>
      </c>
      <c r="GW63" s="27">
        <v>28.800000000000011</v>
      </c>
      <c r="GX63" s="27">
        <v>28.800000000000011</v>
      </c>
      <c r="GY63" s="27">
        <v>28.800000000000011</v>
      </c>
      <c r="GZ63" s="27">
        <v>28.800000000000011</v>
      </c>
      <c r="HA63" s="27">
        <v>28.800000000000011</v>
      </c>
      <c r="HB63" s="27">
        <v>28.800000000000011</v>
      </c>
      <c r="HC63" s="27">
        <v>28.800000000000011</v>
      </c>
      <c r="HD63" s="27">
        <v>28.800000000000011</v>
      </c>
      <c r="HE63" s="129">
        <v>7.8000000000000096</v>
      </c>
      <c r="HG63" s="27">
        <v>40</v>
      </c>
      <c r="HH63" s="27">
        <v>40</v>
      </c>
      <c r="HI63" s="27">
        <v>40</v>
      </c>
      <c r="HJ63" s="27">
        <v>40</v>
      </c>
      <c r="HK63" s="27">
        <v>40</v>
      </c>
      <c r="HL63" s="27">
        <v>40</v>
      </c>
      <c r="HM63" s="27">
        <v>40</v>
      </c>
      <c r="HN63" s="27">
        <v>40</v>
      </c>
      <c r="HO63" s="27">
        <v>40</v>
      </c>
      <c r="HP63" s="129">
        <v>7.8000000000000096</v>
      </c>
      <c r="HR63" s="27">
        <v>40</v>
      </c>
      <c r="HS63" s="27">
        <v>40</v>
      </c>
      <c r="HT63" s="27">
        <v>40</v>
      </c>
      <c r="HU63" s="27">
        <v>40</v>
      </c>
      <c r="HV63" s="27">
        <v>40</v>
      </c>
      <c r="HW63" s="27">
        <v>40</v>
      </c>
      <c r="HX63" s="27">
        <v>40</v>
      </c>
      <c r="HY63" s="27">
        <v>40</v>
      </c>
      <c r="HZ63" s="27">
        <v>40</v>
      </c>
      <c r="IA63" s="129">
        <v>7.8000000000000096</v>
      </c>
    </row>
    <row r="64" spans="15:235" ht="3" customHeight="1">
      <c r="O64" s="87">
        <v>42.455113072365059</v>
      </c>
      <c r="P64" s="87">
        <v>42.455113072365059</v>
      </c>
      <c r="Q64" s="87">
        <v>42.455113072365059</v>
      </c>
      <c r="R64" s="87">
        <v>42.455113072365059</v>
      </c>
      <c r="S64" s="87">
        <v>42.455113072365059</v>
      </c>
      <c r="T64" s="87">
        <v>42.455113072365059</v>
      </c>
      <c r="U64" s="87">
        <v>42.455113072365059</v>
      </c>
      <c r="V64" s="87">
        <v>42.455113072365059</v>
      </c>
      <c r="W64" s="87">
        <v>42.455113072365059</v>
      </c>
      <c r="X64" s="27">
        <v>5.9</v>
      </c>
      <c r="Y64" s="27"/>
      <c r="Z64" s="87">
        <v>71.438015432255938</v>
      </c>
      <c r="AA64" s="87">
        <v>71.438015432255938</v>
      </c>
      <c r="AB64" s="87">
        <v>71.438015432255938</v>
      </c>
      <c r="AC64" s="87">
        <v>71.438015432255938</v>
      </c>
      <c r="AD64" s="87">
        <v>71.438015432255938</v>
      </c>
      <c r="AE64" s="87">
        <v>71.438015432255938</v>
      </c>
      <c r="AF64" s="87">
        <v>71.438015432255938</v>
      </c>
      <c r="AG64" s="87">
        <v>71.438015432255938</v>
      </c>
      <c r="AH64" s="87">
        <v>71.438015432255938</v>
      </c>
      <c r="AI64" s="27">
        <v>5.9</v>
      </c>
      <c r="AK64" s="87">
        <v>82.43210571563786</v>
      </c>
      <c r="AL64" s="87">
        <v>82.43210571563786</v>
      </c>
      <c r="AM64" s="87">
        <v>82.43210571563786</v>
      </c>
      <c r="AN64" s="87">
        <v>82.43210571563786</v>
      </c>
      <c r="AO64" s="87">
        <v>82.43210571563786</v>
      </c>
      <c r="AP64" s="87">
        <v>82.43210571563786</v>
      </c>
      <c r="AQ64" s="87">
        <v>82.43210571563786</v>
      </c>
      <c r="AR64" s="87">
        <v>82.43210571563786</v>
      </c>
      <c r="AS64" s="87">
        <v>82.43210571563786</v>
      </c>
      <c r="AT64" s="27">
        <v>5.9</v>
      </c>
      <c r="AV64" s="87">
        <v>85.796067206008459</v>
      </c>
      <c r="AW64" s="87">
        <v>85.796067206008459</v>
      </c>
      <c r="AX64" s="87">
        <v>85.796067206008459</v>
      </c>
      <c r="AY64" s="87">
        <v>85.796067206008459</v>
      </c>
      <c r="AZ64" s="87">
        <v>85.796067206008459</v>
      </c>
      <c r="BA64" s="87">
        <v>85.796067206008459</v>
      </c>
      <c r="BB64" s="87">
        <v>85.796067206008459</v>
      </c>
      <c r="BC64" s="87">
        <v>85.796067206008459</v>
      </c>
      <c r="BD64" s="87">
        <v>85.796067206008459</v>
      </c>
      <c r="BE64" s="27">
        <v>5.9</v>
      </c>
      <c r="BG64" s="87">
        <v>131.58482142857159</v>
      </c>
      <c r="BH64" s="87">
        <v>131.58482142857159</v>
      </c>
      <c r="BI64" s="87">
        <v>131.58482142857159</v>
      </c>
      <c r="BJ64" s="87">
        <v>131.58482142857159</v>
      </c>
      <c r="BK64" s="87">
        <v>131.58482142857159</v>
      </c>
      <c r="BL64" s="87">
        <v>131.58482142857159</v>
      </c>
      <c r="BM64" s="87">
        <v>131.58482142857159</v>
      </c>
      <c r="BN64" s="87">
        <v>131.58482142857159</v>
      </c>
      <c r="BO64" s="87">
        <v>131.58482142857159</v>
      </c>
      <c r="BP64" s="27">
        <v>5.9</v>
      </c>
      <c r="BR64" s="87">
        <v>131.58482142857159</v>
      </c>
      <c r="BS64" s="87">
        <v>131.58482142857159</v>
      </c>
      <c r="BT64" s="87">
        <v>131.58482142857159</v>
      </c>
      <c r="BU64" s="87">
        <v>131.58482142857159</v>
      </c>
      <c r="BV64" s="87">
        <v>131.58482142857159</v>
      </c>
      <c r="BW64" s="87">
        <v>131.58482142857159</v>
      </c>
      <c r="BX64" s="87">
        <v>131.58482142857159</v>
      </c>
      <c r="BY64" s="87">
        <v>131.58482142857159</v>
      </c>
      <c r="BZ64" s="87">
        <v>131.58482142857159</v>
      </c>
      <c r="CA64" s="27">
        <v>5.9</v>
      </c>
      <c r="CC64" s="87">
        <v>31.879497795702367</v>
      </c>
      <c r="CD64" s="87">
        <v>31.879497795702367</v>
      </c>
      <c r="CE64" s="87">
        <v>31.879497795702367</v>
      </c>
      <c r="CF64" s="87">
        <v>31.879497795702367</v>
      </c>
      <c r="CG64" s="87">
        <v>31.879497795702367</v>
      </c>
      <c r="CH64" s="87">
        <v>31.879497795702367</v>
      </c>
      <c r="CI64" s="87">
        <v>31.879497795702367</v>
      </c>
      <c r="CJ64" s="87">
        <v>31.879497795702367</v>
      </c>
      <c r="CK64" s="87">
        <v>31.879497795702367</v>
      </c>
      <c r="CL64" s="27">
        <v>5.9</v>
      </c>
      <c r="CN64" s="87">
        <v>38.196698162328467</v>
      </c>
      <c r="CO64" s="87">
        <v>38.196698162328467</v>
      </c>
      <c r="CP64" s="87">
        <v>38.196698162328467</v>
      </c>
      <c r="CQ64" s="87">
        <v>38.196698162328467</v>
      </c>
      <c r="CR64" s="87">
        <v>38.196698162328467</v>
      </c>
      <c r="CS64" s="87">
        <v>38.196698162328467</v>
      </c>
      <c r="CT64" s="87">
        <v>38.196698162328467</v>
      </c>
      <c r="CU64" s="87">
        <v>38.196698162328467</v>
      </c>
      <c r="CV64" s="87">
        <v>38.196698162328467</v>
      </c>
      <c r="CW64" s="27">
        <v>5.9</v>
      </c>
      <c r="CY64" s="87">
        <v>52.790429377886937</v>
      </c>
      <c r="CZ64" s="87">
        <v>52.790429377886937</v>
      </c>
      <c r="DA64" s="87">
        <v>52.790429377886937</v>
      </c>
      <c r="DB64" s="87">
        <v>52.790429377886937</v>
      </c>
      <c r="DC64" s="87">
        <v>52.790429377886937</v>
      </c>
      <c r="DD64" s="87">
        <v>52.790429377886937</v>
      </c>
      <c r="DE64" s="87">
        <v>52.790429377886937</v>
      </c>
      <c r="DF64" s="87">
        <v>52.790429377886937</v>
      </c>
      <c r="DG64" s="87">
        <v>52.790429377886937</v>
      </c>
      <c r="DH64" s="27">
        <v>5.9</v>
      </c>
      <c r="DJ64" s="87">
        <v>52.790429377886937</v>
      </c>
      <c r="DK64" s="87">
        <v>52.790429377886937</v>
      </c>
      <c r="DL64" s="87">
        <v>52.790429377886937</v>
      </c>
      <c r="DM64" s="87">
        <v>52.790429377886937</v>
      </c>
      <c r="DN64" s="87">
        <v>52.790429377886937</v>
      </c>
      <c r="DO64" s="87">
        <v>52.790429377886937</v>
      </c>
      <c r="DP64" s="87">
        <v>52.790429377886937</v>
      </c>
      <c r="DQ64" s="87">
        <v>52.790429377886937</v>
      </c>
      <c r="DR64" s="87">
        <v>52.790429377886937</v>
      </c>
      <c r="DS64" s="27">
        <v>5.9</v>
      </c>
      <c r="DW64" s="27">
        <v>30.5</v>
      </c>
      <c r="DX64" s="27">
        <v>30.5</v>
      </c>
      <c r="DY64" s="27">
        <v>30.5</v>
      </c>
      <c r="DZ64" s="27">
        <v>30.5</v>
      </c>
      <c r="EA64" s="27">
        <v>30.5</v>
      </c>
      <c r="EB64" s="27">
        <v>30.5</v>
      </c>
      <c r="EC64" s="27">
        <v>30.5</v>
      </c>
      <c r="ED64" s="27">
        <v>30.5</v>
      </c>
      <c r="EE64" s="27">
        <v>30.5</v>
      </c>
      <c r="EF64" s="129">
        <v>7.9000000000000101</v>
      </c>
      <c r="EH64" s="27">
        <v>51.699999999999974</v>
      </c>
      <c r="EI64" s="27">
        <v>51.699999999999974</v>
      </c>
      <c r="EJ64" s="27">
        <v>51.699999999999974</v>
      </c>
      <c r="EK64" s="27">
        <v>51.699999999999974</v>
      </c>
      <c r="EL64" s="27">
        <v>51.699999999999974</v>
      </c>
      <c r="EM64" s="27">
        <v>51.699999999999974</v>
      </c>
      <c r="EN64" s="27">
        <v>51.699999999999974</v>
      </c>
      <c r="EO64" s="27">
        <v>51.699999999999974</v>
      </c>
      <c r="EP64" s="27">
        <v>51.699999999999974</v>
      </c>
      <c r="EQ64" s="129">
        <v>7.9000000000000101</v>
      </c>
      <c r="ES64" s="27">
        <v>61.89999999999997</v>
      </c>
      <c r="ET64" s="27">
        <v>61.89999999999997</v>
      </c>
      <c r="EU64" s="27">
        <v>61.89999999999997</v>
      </c>
      <c r="EV64" s="27">
        <v>61.89999999999997</v>
      </c>
      <c r="EW64" s="27">
        <v>61.89999999999997</v>
      </c>
      <c r="EX64" s="27">
        <v>61.89999999999997</v>
      </c>
      <c r="EY64" s="27">
        <v>61.89999999999997</v>
      </c>
      <c r="EZ64" s="27">
        <v>61.89999999999997</v>
      </c>
      <c r="FA64" s="27">
        <v>61.89999999999997</v>
      </c>
      <c r="FB64" s="129">
        <v>7.9000000000000101</v>
      </c>
      <c r="FD64" s="27">
        <v>63.899999999999956</v>
      </c>
      <c r="FE64" s="27">
        <v>63.899999999999956</v>
      </c>
      <c r="FF64" s="27">
        <v>63.899999999999956</v>
      </c>
      <c r="FG64" s="27">
        <v>63.899999999999956</v>
      </c>
      <c r="FH64" s="27">
        <v>63.899999999999956</v>
      </c>
      <c r="FI64" s="27">
        <v>63.899999999999956</v>
      </c>
      <c r="FJ64" s="27">
        <v>63.899999999999956</v>
      </c>
      <c r="FK64" s="27">
        <v>63.899999999999956</v>
      </c>
      <c r="FL64" s="27">
        <v>63.899999999999956</v>
      </c>
      <c r="FM64" s="129">
        <v>7.9000000000000101</v>
      </c>
      <c r="FO64" s="27">
        <v>100.39999999999995</v>
      </c>
      <c r="FP64" s="27">
        <v>100.39999999999995</v>
      </c>
      <c r="FQ64" s="27">
        <v>100.39999999999995</v>
      </c>
      <c r="FR64" s="27">
        <v>100.39999999999995</v>
      </c>
      <c r="FS64" s="27">
        <v>100.39999999999995</v>
      </c>
      <c r="FT64" s="27">
        <v>100.39999999999995</v>
      </c>
      <c r="FU64" s="27">
        <v>100.39999999999995</v>
      </c>
      <c r="FV64" s="27">
        <v>100.39999999999995</v>
      </c>
      <c r="FW64" s="27">
        <v>100.39999999999995</v>
      </c>
      <c r="FX64" s="129">
        <v>7.9000000000000101</v>
      </c>
      <c r="FZ64" s="27">
        <v>100.39999999999995</v>
      </c>
      <c r="GA64" s="27">
        <v>100.39999999999995</v>
      </c>
      <c r="GB64" s="27">
        <v>100.39999999999995</v>
      </c>
      <c r="GC64" s="27">
        <v>100.39999999999995</v>
      </c>
      <c r="GD64" s="27">
        <v>100.39999999999995</v>
      </c>
      <c r="GE64" s="27">
        <v>100.39999999999995</v>
      </c>
      <c r="GF64" s="27">
        <v>100.39999999999995</v>
      </c>
      <c r="GG64" s="27">
        <v>100.39999999999995</v>
      </c>
      <c r="GH64" s="27">
        <v>100.39999999999995</v>
      </c>
      <c r="GI64" s="129">
        <v>7.9000000000000101</v>
      </c>
      <c r="GJ64" s="27"/>
      <c r="GK64" s="27">
        <v>24.299999999999994</v>
      </c>
      <c r="GL64" s="27">
        <v>24.299999999999994</v>
      </c>
      <c r="GM64" s="27">
        <v>24.299999999999994</v>
      </c>
      <c r="GN64" s="27">
        <v>24.299999999999994</v>
      </c>
      <c r="GO64" s="27">
        <v>24.299999999999994</v>
      </c>
      <c r="GP64" s="27">
        <v>24.299999999999994</v>
      </c>
      <c r="GQ64" s="27">
        <v>24.299999999999994</v>
      </c>
      <c r="GR64" s="27">
        <v>24.299999999999994</v>
      </c>
      <c r="GS64" s="27">
        <v>24.299999999999994</v>
      </c>
      <c r="GT64" s="129">
        <v>7.9000000000000101</v>
      </c>
      <c r="GV64" s="27">
        <v>28.400000000000013</v>
      </c>
      <c r="GW64" s="27">
        <v>28.400000000000013</v>
      </c>
      <c r="GX64" s="27">
        <v>28.400000000000013</v>
      </c>
      <c r="GY64" s="27">
        <v>28.400000000000013</v>
      </c>
      <c r="GZ64" s="27">
        <v>28.400000000000013</v>
      </c>
      <c r="HA64" s="27">
        <v>28.400000000000013</v>
      </c>
      <c r="HB64" s="27">
        <v>28.400000000000013</v>
      </c>
      <c r="HC64" s="27">
        <v>28.400000000000013</v>
      </c>
      <c r="HD64" s="27">
        <v>28.400000000000013</v>
      </c>
      <c r="HE64" s="129">
        <v>7.9000000000000101</v>
      </c>
      <c r="HG64" s="27">
        <v>39.5</v>
      </c>
      <c r="HH64" s="27">
        <v>39.5</v>
      </c>
      <c r="HI64" s="27">
        <v>39.5</v>
      </c>
      <c r="HJ64" s="27">
        <v>39.5</v>
      </c>
      <c r="HK64" s="27">
        <v>39.5</v>
      </c>
      <c r="HL64" s="27">
        <v>39.5</v>
      </c>
      <c r="HM64" s="27">
        <v>39.5</v>
      </c>
      <c r="HN64" s="27">
        <v>39.5</v>
      </c>
      <c r="HO64" s="27">
        <v>39.5</v>
      </c>
      <c r="HP64" s="129">
        <v>7.9000000000000101</v>
      </c>
      <c r="HR64" s="27">
        <v>39.5</v>
      </c>
      <c r="HS64" s="27">
        <v>39.5</v>
      </c>
      <c r="HT64" s="27">
        <v>39.5</v>
      </c>
      <c r="HU64" s="27">
        <v>39.5</v>
      </c>
      <c r="HV64" s="27">
        <v>39.5</v>
      </c>
      <c r="HW64" s="27">
        <v>39.5</v>
      </c>
      <c r="HX64" s="27">
        <v>39.5</v>
      </c>
      <c r="HY64" s="27">
        <v>39.5</v>
      </c>
      <c r="HZ64" s="27">
        <v>39.5</v>
      </c>
      <c r="IA64" s="129">
        <v>7.9000000000000101</v>
      </c>
    </row>
    <row r="65" spans="15:235" ht="3" customHeight="1">
      <c r="O65" s="129">
        <v>40</v>
      </c>
      <c r="P65" s="129">
        <v>40</v>
      </c>
      <c r="Q65" s="129">
        <v>40</v>
      </c>
      <c r="R65" s="129">
        <v>40</v>
      </c>
      <c r="S65" s="129">
        <v>40</v>
      </c>
      <c r="T65" s="129">
        <v>40</v>
      </c>
      <c r="U65" s="129">
        <v>40</v>
      </c>
      <c r="V65" s="129">
        <v>40</v>
      </c>
      <c r="W65" s="129">
        <v>40</v>
      </c>
      <c r="X65" s="129">
        <v>6</v>
      </c>
      <c r="Y65" s="27"/>
      <c r="Z65" s="129">
        <v>68</v>
      </c>
      <c r="AA65" s="129">
        <v>68</v>
      </c>
      <c r="AB65" s="129">
        <v>68</v>
      </c>
      <c r="AC65" s="129">
        <v>68</v>
      </c>
      <c r="AD65" s="129">
        <v>68</v>
      </c>
      <c r="AE65" s="129">
        <v>68</v>
      </c>
      <c r="AF65" s="129">
        <v>68</v>
      </c>
      <c r="AG65" s="129">
        <v>68</v>
      </c>
      <c r="AH65" s="129">
        <v>68</v>
      </c>
      <c r="AI65" s="129">
        <v>6</v>
      </c>
      <c r="AK65" s="129">
        <v>81</v>
      </c>
      <c r="AL65" s="129">
        <v>81</v>
      </c>
      <c r="AM65" s="129">
        <v>81</v>
      </c>
      <c r="AN65" s="129">
        <v>81</v>
      </c>
      <c r="AO65" s="129">
        <v>81</v>
      </c>
      <c r="AP65" s="129">
        <v>81</v>
      </c>
      <c r="AQ65" s="129">
        <v>81</v>
      </c>
      <c r="AR65" s="129">
        <v>81</v>
      </c>
      <c r="AS65" s="129">
        <v>81</v>
      </c>
      <c r="AT65" s="129">
        <v>6</v>
      </c>
      <c r="AV65" s="129">
        <v>85</v>
      </c>
      <c r="AW65" s="129">
        <v>85</v>
      </c>
      <c r="AX65" s="129">
        <v>85</v>
      </c>
      <c r="AY65" s="129">
        <v>85</v>
      </c>
      <c r="AZ65" s="129">
        <v>85</v>
      </c>
      <c r="BA65" s="129">
        <v>85</v>
      </c>
      <c r="BB65" s="129">
        <v>85</v>
      </c>
      <c r="BC65" s="129">
        <v>85</v>
      </c>
      <c r="BD65" s="129">
        <v>85</v>
      </c>
      <c r="BE65" s="129">
        <v>6</v>
      </c>
      <c r="BG65" s="129">
        <v>131</v>
      </c>
      <c r="BH65" s="129">
        <v>131</v>
      </c>
      <c r="BI65" s="129">
        <v>131</v>
      </c>
      <c r="BJ65" s="129">
        <v>131</v>
      </c>
      <c r="BK65" s="129">
        <v>131</v>
      </c>
      <c r="BL65" s="129">
        <v>131</v>
      </c>
      <c r="BM65" s="129">
        <v>131</v>
      </c>
      <c r="BN65" s="129">
        <v>131</v>
      </c>
      <c r="BO65" s="129">
        <v>131</v>
      </c>
      <c r="BP65" s="129">
        <v>6</v>
      </c>
      <c r="BR65" s="129">
        <v>131</v>
      </c>
      <c r="BS65" s="129">
        <v>131</v>
      </c>
      <c r="BT65" s="129">
        <v>131</v>
      </c>
      <c r="BU65" s="129">
        <v>131</v>
      </c>
      <c r="BV65" s="129">
        <v>131</v>
      </c>
      <c r="BW65" s="129">
        <v>131</v>
      </c>
      <c r="BX65" s="129">
        <v>131</v>
      </c>
      <c r="BY65" s="129">
        <v>131</v>
      </c>
      <c r="BZ65" s="129">
        <v>131</v>
      </c>
      <c r="CA65" s="129">
        <v>6</v>
      </c>
      <c r="CC65" s="129">
        <v>31</v>
      </c>
      <c r="CD65" s="129">
        <v>31</v>
      </c>
      <c r="CE65" s="129">
        <v>31</v>
      </c>
      <c r="CF65" s="129">
        <v>31</v>
      </c>
      <c r="CG65" s="129">
        <v>31</v>
      </c>
      <c r="CH65" s="129">
        <v>31</v>
      </c>
      <c r="CI65" s="129">
        <v>31</v>
      </c>
      <c r="CJ65" s="129">
        <v>31</v>
      </c>
      <c r="CK65" s="129">
        <v>31</v>
      </c>
      <c r="CL65" s="129">
        <v>6</v>
      </c>
      <c r="CN65" s="129">
        <v>38</v>
      </c>
      <c r="CO65" s="129">
        <v>38</v>
      </c>
      <c r="CP65" s="129">
        <v>38</v>
      </c>
      <c r="CQ65" s="129">
        <v>38</v>
      </c>
      <c r="CR65" s="129">
        <v>38</v>
      </c>
      <c r="CS65" s="129">
        <v>38</v>
      </c>
      <c r="CT65" s="129">
        <v>38</v>
      </c>
      <c r="CU65" s="129">
        <v>38</v>
      </c>
      <c r="CV65" s="129">
        <v>38</v>
      </c>
      <c r="CW65" s="129">
        <v>6</v>
      </c>
      <c r="CY65" s="129">
        <v>52</v>
      </c>
      <c r="CZ65" s="129">
        <v>52</v>
      </c>
      <c r="DA65" s="129">
        <v>52</v>
      </c>
      <c r="DB65" s="129">
        <v>52</v>
      </c>
      <c r="DC65" s="129">
        <v>52</v>
      </c>
      <c r="DD65" s="129">
        <v>52</v>
      </c>
      <c r="DE65" s="129">
        <v>52</v>
      </c>
      <c r="DF65" s="129">
        <v>52</v>
      </c>
      <c r="DG65" s="129">
        <v>52</v>
      </c>
      <c r="DH65" s="129">
        <v>6</v>
      </c>
      <c r="DJ65" s="129">
        <v>52</v>
      </c>
      <c r="DK65" s="129">
        <v>52</v>
      </c>
      <c r="DL65" s="129">
        <v>52</v>
      </c>
      <c r="DM65" s="129">
        <v>52</v>
      </c>
      <c r="DN65" s="129">
        <v>52</v>
      </c>
      <c r="DO65" s="129">
        <v>52</v>
      </c>
      <c r="DP65" s="129">
        <v>52</v>
      </c>
      <c r="DQ65" s="129">
        <v>52</v>
      </c>
      <c r="DR65" s="129">
        <v>52</v>
      </c>
      <c r="DS65" s="129">
        <v>6</v>
      </c>
      <c r="DW65" s="27">
        <v>30</v>
      </c>
      <c r="DX65" s="27">
        <v>30</v>
      </c>
      <c r="DY65" s="27">
        <v>30</v>
      </c>
      <c r="DZ65" s="27">
        <v>30</v>
      </c>
      <c r="EA65" s="27">
        <v>30</v>
      </c>
      <c r="EB65" s="27">
        <v>30</v>
      </c>
      <c r="EC65" s="27">
        <v>30</v>
      </c>
      <c r="ED65" s="27">
        <v>30</v>
      </c>
      <c r="EE65" s="27">
        <v>30</v>
      </c>
      <c r="EF65" s="129">
        <v>8.0000000000000107</v>
      </c>
      <c r="EH65" s="27">
        <v>51</v>
      </c>
      <c r="EI65" s="27">
        <v>51</v>
      </c>
      <c r="EJ65" s="27">
        <v>51</v>
      </c>
      <c r="EK65" s="27">
        <v>51</v>
      </c>
      <c r="EL65" s="27">
        <v>51</v>
      </c>
      <c r="EM65" s="27">
        <v>51</v>
      </c>
      <c r="EN65" s="27">
        <v>51</v>
      </c>
      <c r="EO65" s="27">
        <v>51</v>
      </c>
      <c r="EP65" s="27">
        <v>51</v>
      </c>
      <c r="EQ65" s="129">
        <v>8.0000000000000107</v>
      </c>
      <c r="ES65" s="27">
        <v>61</v>
      </c>
      <c r="ET65" s="27">
        <v>61</v>
      </c>
      <c r="EU65" s="27">
        <v>61</v>
      </c>
      <c r="EV65" s="27">
        <v>61</v>
      </c>
      <c r="EW65" s="27">
        <v>61</v>
      </c>
      <c r="EX65" s="27">
        <v>61</v>
      </c>
      <c r="EY65" s="27">
        <v>61</v>
      </c>
      <c r="EZ65" s="27">
        <v>61</v>
      </c>
      <c r="FA65" s="27">
        <v>61</v>
      </c>
      <c r="FB65" s="129">
        <v>8.0000000000000107</v>
      </c>
      <c r="FD65" s="27">
        <v>63</v>
      </c>
      <c r="FE65" s="27">
        <v>63</v>
      </c>
      <c r="FF65" s="27">
        <v>63</v>
      </c>
      <c r="FG65" s="27">
        <v>63</v>
      </c>
      <c r="FH65" s="27">
        <v>63</v>
      </c>
      <c r="FI65" s="27">
        <v>63</v>
      </c>
      <c r="FJ65" s="27">
        <v>63</v>
      </c>
      <c r="FK65" s="27">
        <v>63</v>
      </c>
      <c r="FL65" s="27">
        <v>63</v>
      </c>
      <c r="FM65" s="129">
        <v>8.0000000000000107</v>
      </c>
      <c r="FO65" s="27">
        <v>99</v>
      </c>
      <c r="FP65" s="27">
        <v>99</v>
      </c>
      <c r="FQ65" s="27">
        <v>99</v>
      </c>
      <c r="FR65" s="27">
        <v>99</v>
      </c>
      <c r="FS65" s="27">
        <v>99</v>
      </c>
      <c r="FT65" s="27">
        <v>99</v>
      </c>
      <c r="FU65" s="27">
        <v>99</v>
      </c>
      <c r="FV65" s="27">
        <v>99</v>
      </c>
      <c r="FW65" s="27">
        <v>99</v>
      </c>
      <c r="FX65" s="129">
        <v>8.0000000000000107</v>
      </c>
      <c r="FZ65" s="27">
        <v>99</v>
      </c>
      <c r="GA65" s="27">
        <v>99</v>
      </c>
      <c r="GB65" s="27">
        <v>99</v>
      </c>
      <c r="GC65" s="27">
        <v>99</v>
      </c>
      <c r="GD65" s="27">
        <v>99</v>
      </c>
      <c r="GE65" s="27">
        <v>99</v>
      </c>
      <c r="GF65" s="27">
        <v>99</v>
      </c>
      <c r="GG65" s="27">
        <v>99</v>
      </c>
      <c r="GH65" s="27">
        <v>99</v>
      </c>
      <c r="GI65" s="129">
        <v>8.0000000000000107</v>
      </c>
      <c r="GJ65" s="27"/>
      <c r="GK65" s="27">
        <v>24</v>
      </c>
      <c r="GL65" s="27">
        <v>24</v>
      </c>
      <c r="GM65" s="27">
        <v>24</v>
      </c>
      <c r="GN65" s="27">
        <v>24</v>
      </c>
      <c r="GO65" s="27">
        <v>24</v>
      </c>
      <c r="GP65" s="27">
        <v>24</v>
      </c>
      <c r="GQ65" s="27">
        <v>24</v>
      </c>
      <c r="GR65" s="27">
        <v>24</v>
      </c>
      <c r="GS65" s="27">
        <v>24</v>
      </c>
      <c r="GT65" s="129">
        <v>8.0000000000000107</v>
      </c>
      <c r="GV65" s="27">
        <v>28</v>
      </c>
      <c r="GW65" s="27">
        <v>28</v>
      </c>
      <c r="GX65" s="27">
        <v>28</v>
      </c>
      <c r="GY65" s="27">
        <v>28</v>
      </c>
      <c r="GZ65" s="27">
        <v>28</v>
      </c>
      <c r="HA65" s="27">
        <v>28</v>
      </c>
      <c r="HB65" s="27">
        <v>28</v>
      </c>
      <c r="HC65" s="27">
        <v>28</v>
      </c>
      <c r="HD65" s="27">
        <v>28</v>
      </c>
      <c r="HE65" s="129">
        <v>8.0000000000000107</v>
      </c>
      <c r="HG65" s="27">
        <v>39</v>
      </c>
      <c r="HH65" s="27">
        <v>39</v>
      </c>
      <c r="HI65" s="27">
        <v>39</v>
      </c>
      <c r="HJ65" s="27">
        <v>39</v>
      </c>
      <c r="HK65" s="27">
        <v>39</v>
      </c>
      <c r="HL65" s="27">
        <v>39</v>
      </c>
      <c r="HM65" s="27">
        <v>39</v>
      </c>
      <c r="HN65" s="27">
        <v>39</v>
      </c>
      <c r="HO65" s="27">
        <v>39</v>
      </c>
      <c r="HP65" s="129">
        <v>8.0000000000000107</v>
      </c>
      <c r="HR65" s="27">
        <v>39</v>
      </c>
      <c r="HS65" s="27">
        <v>39</v>
      </c>
      <c r="HT65" s="27">
        <v>39</v>
      </c>
      <c r="HU65" s="27">
        <v>39</v>
      </c>
      <c r="HV65" s="27">
        <v>39</v>
      </c>
      <c r="HW65" s="27">
        <v>39</v>
      </c>
      <c r="HX65" s="27">
        <v>39</v>
      </c>
      <c r="HY65" s="27">
        <v>39</v>
      </c>
      <c r="HZ65" s="27">
        <v>39</v>
      </c>
      <c r="IA65" s="129">
        <v>8.0000000000000107</v>
      </c>
    </row>
    <row r="66" spans="15:235">
      <c r="O66" s="129">
        <v>39.5</v>
      </c>
      <c r="P66" s="129">
        <v>39.5</v>
      </c>
      <c r="Q66" s="129">
        <v>39.5</v>
      </c>
      <c r="R66" s="129">
        <v>39.5</v>
      </c>
      <c r="S66" s="129">
        <v>39.5</v>
      </c>
      <c r="T66" s="129">
        <v>39.5</v>
      </c>
      <c r="U66" s="129">
        <v>39.5</v>
      </c>
      <c r="V66" s="129">
        <v>39.5</v>
      </c>
      <c r="W66" s="129">
        <v>39.5</v>
      </c>
      <c r="X66" s="129">
        <v>6.1</v>
      </c>
      <c r="Y66" s="27"/>
      <c r="Z66" s="129">
        <v>67</v>
      </c>
      <c r="AA66" s="129">
        <v>67</v>
      </c>
      <c r="AB66" s="129">
        <v>67</v>
      </c>
      <c r="AC66" s="129">
        <v>67</v>
      </c>
      <c r="AD66" s="129">
        <v>67</v>
      </c>
      <c r="AE66" s="129">
        <v>67</v>
      </c>
      <c r="AF66" s="129">
        <v>67</v>
      </c>
      <c r="AG66" s="129">
        <v>67</v>
      </c>
      <c r="AH66" s="129">
        <v>67</v>
      </c>
      <c r="AI66" s="129">
        <v>6.1</v>
      </c>
      <c r="AK66" s="129">
        <v>79.900000000000006</v>
      </c>
      <c r="AL66" s="129">
        <v>79.900000000000006</v>
      </c>
      <c r="AM66" s="129">
        <v>79.900000000000006</v>
      </c>
      <c r="AN66" s="129">
        <v>79.900000000000006</v>
      </c>
      <c r="AO66" s="129">
        <v>79.900000000000006</v>
      </c>
      <c r="AP66" s="129">
        <v>79.900000000000006</v>
      </c>
      <c r="AQ66" s="129">
        <v>79.900000000000006</v>
      </c>
      <c r="AR66" s="129">
        <v>79.900000000000006</v>
      </c>
      <c r="AS66" s="129">
        <v>79.900000000000006</v>
      </c>
      <c r="AT66" s="129">
        <v>6.1</v>
      </c>
      <c r="AV66" s="129">
        <v>83.7</v>
      </c>
      <c r="AW66" s="129">
        <v>83.7</v>
      </c>
      <c r="AX66" s="129">
        <v>83.7</v>
      </c>
      <c r="AY66" s="129">
        <v>83.7</v>
      </c>
      <c r="AZ66" s="129">
        <v>83.7</v>
      </c>
      <c r="BA66" s="129">
        <v>83.7</v>
      </c>
      <c r="BB66" s="129">
        <v>83.7</v>
      </c>
      <c r="BC66" s="129">
        <v>83.7</v>
      </c>
      <c r="BD66" s="129">
        <v>83.7</v>
      </c>
      <c r="BE66" s="129">
        <v>6.1</v>
      </c>
      <c r="BG66" s="129">
        <v>129.19999999999999</v>
      </c>
      <c r="BH66" s="129">
        <v>129.19999999999999</v>
      </c>
      <c r="BI66" s="129">
        <v>129.19999999999999</v>
      </c>
      <c r="BJ66" s="129">
        <v>129.19999999999999</v>
      </c>
      <c r="BK66" s="129">
        <v>129.19999999999999</v>
      </c>
      <c r="BL66" s="129">
        <v>129.19999999999999</v>
      </c>
      <c r="BM66" s="129">
        <v>129.19999999999999</v>
      </c>
      <c r="BN66" s="129">
        <v>129.19999999999999</v>
      </c>
      <c r="BO66" s="129">
        <v>129.19999999999999</v>
      </c>
      <c r="BP66" s="129">
        <v>6.1</v>
      </c>
      <c r="BR66" s="129">
        <v>129.19999999999999</v>
      </c>
      <c r="BS66" s="129">
        <v>129.19999999999999</v>
      </c>
      <c r="BT66" s="129">
        <v>129.19999999999999</v>
      </c>
      <c r="BU66" s="129">
        <v>129.19999999999999</v>
      </c>
      <c r="BV66" s="129">
        <v>129.19999999999999</v>
      </c>
      <c r="BW66" s="129">
        <v>129.19999999999999</v>
      </c>
      <c r="BX66" s="129">
        <v>129.19999999999999</v>
      </c>
      <c r="BY66" s="129">
        <v>129.19999999999999</v>
      </c>
      <c r="BZ66" s="129">
        <v>129.19999999999999</v>
      </c>
      <c r="CA66" s="129">
        <v>6.1</v>
      </c>
      <c r="CC66" s="129">
        <v>30.6</v>
      </c>
      <c r="CD66" s="129">
        <v>30.6</v>
      </c>
      <c r="CE66" s="129">
        <v>30.6</v>
      </c>
      <c r="CF66" s="129">
        <v>30.6</v>
      </c>
      <c r="CG66" s="129">
        <v>30.6</v>
      </c>
      <c r="CH66" s="129">
        <v>30.6</v>
      </c>
      <c r="CI66" s="129">
        <v>30.6</v>
      </c>
      <c r="CJ66" s="129">
        <v>30.6</v>
      </c>
      <c r="CK66" s="129">
        <v>30.6</v>
      </c>
      <c r="CL66" s="129">
        <v>6.1</v>
      </c>
      <c r="CN66" s="129">
        <v>37.4</v>
      </c>
      <c r="CO66" s="129">
        <v>37.4</v>
      </c>
      <c r="CP66" s="129">
        <v>37.4</v>
      </c>
      <c r="CQ66" s="129">
        <v>37.4</v>
      </c>
      <c r="CR66" s="129">
        <v>37.4</v>
      </c>
      <c r="CS66" s="129">
        <v>37.4</v>
      </c>
      <c r="CT66" s="129">
        <v>37.4</v>
      </c>
      <c r="CU66" s="129">
        <v>37.4</v>
      </c>
      <c r="CV66" s="129">
        <v>37.4</v>
      </c>
      <c r="CW66" s="129">
        <v>6.1</v>
      </c>
      <c r="CY66" s="129">
        <v>51.2</v>
      </c>
      <c r="CZ66" s="129">
        <v>51.2</v>
      </c>
      <c r="DA66" s="129">
        <v>51.2</v>
      </c>
      <c r="DB66" s="129">
        <v>51.2</v>
      </c>
      <c r="DC66" s="129">
        <v>51.2</v>
      </c>
      <c r="DD66" s="129">
        <v>51.2</v>
      </c>
      <c r="DE66" s="129">
        <v>51.2</v>
      </c>
      <c r="DF66" s="129">
        <v>51.2</v>
      </c>
      <c r="DG66" s="129">
        <v>51.2</v>
      </c>
      <c r="DH66" s="129">
        <v>6.1</v>
      </c>
      <c r="DJ66" s="129">
        <v>51.2</v>
      </c>
      <c r="DK66" s="129">
        <v>51.2</v>
      </c>
      <c r="DL66" s="129">
        <v>51.2</v>
      </c>
      <c r="DM66" s="129">
        <v>51.2</v>
      </c>
      <c r="DN66" s="129">
        <v>51.2</v>
      </c>
      <c r="DO66" s="129">
        <v>51.2</v>
      </c>
      <c r="DP66" s="129">
        <v>51.2</v>
      </c>
      <c r="DQ66" s="129">
        <v>51.2</v>
      </c>
      <c r="DR66" s="129">
        <v>51.2</v>
      </c>
      <c r="DS66" s="129">
        <v>6.1</v>
      </c>
      <c r="DW66" s="27">
        <v>29.7</v>
      </c>
      <c r="DX66" s="27">
        <v>29.7</v>
      </c>
      <c r="DY66" s="27">
        <v>29.7</v>
      </c>
      <c r="DZ66" s="27">
        <v>29.7</v>
      </c>
      <c r="EA66" s="27">
        <v>29.7</v>
      </c>
      <c r="EB66" s="27">
        <v>29.7</v>
      </c>
      <c r="EC66" s="27">
        <v>29.7</v>
      </c>
      <c r="ED66" s="27">
        <v>29.7</v>
      </c>
      <c r="EE66" s="27">
        <v>29.7</v>
      </c>
      <c r="EF66" s="129">
        <v>8.1</v>
      </c>
      <c r="EH66" s="27">
        <v>50.4</v>
      </c>
      <c r="EI66" s="27">
        <v>50.4</v>
      </c>
      <c r="EJ66" s="27">
        <v>50.4</v>
      </c>
      <c r="EK66" s="27">
        <v>50.4</v>
      </c>
      <c r="EL66" s="27">
        <v>50.4</v>
      </c>
      <c r="EM66" s="27">
        <v>50.4</v>
      </c>
      <c r="EN66" s="27">
        <v>50.4</v>
      </c>
      <c r="EO66" s="27">
        <v>50.4</v>
      </c>
      <c r="EP66" s="27">
        <v>50.4</v>
      </c>
      <c r="EQ66" s="129">
        <v>8.1</v>
      </c>
      <c r="ES66" s="27">
        <v>60.3</v>
      </c>
      <c r="ET66" s="27">
        <v>60.3</v>
      </c>
      <c r="EU66" s="27">
        <v>60.3</v>
      </c>
      <c r="EV66" s="27">
        <v>60.3</v>
      </c>
      <c r="EW66" s="27">
        <v>60.3</v>
      </c>
      <c r="EX66" s="27">
        <v>60.3</v>
      </c>
      <c r="EY66" s="27">
        <v>60.3</v>
      </c>
      <c r="EZ66" s="27">
        <v>60.3</v>
      </c>
      <c r="FA66" s="27">
        <v>60.3</v>
      </c>
      <c r="FB66" s="129">
        <v>8.1</v>
      </c>
      <c r="FD66" s="27">
        <v>62.3</v>
      </c>
      <c r="FE66" s="27">
        <v>62.3</v>
      </c>
      <c r="FF66" s="27">
        <v>62.3</v>
      </c>
      <c r="FG66" s="27">
        <v>62.3</v>
      </c>
      <c r="FH66" s="27">
        <v>62.3</v>
      </c>
      <c r="FI66" s="27">
        <v>62.3</v>
      </c>
      <c r="FJ66" s="27">
        <v>62.3</v>
      </c>
      <c r="FK66" s="27">
        <v>62.3</v>
      </c>
      <c r="FL66" s="27">
        <v>62.3</v>
      </c>
      <c r="FM66" s="129">
        <v>8.1</v>
      </c>
      <c r="FO66" s="27">
        <v>97.9</v>
      </c>
      <c r="FP66" s="27">
        <v>97.9</v>
      </c>
      <c r="FQ66" s="27">
        <v>97.9</v>
      </c>
      <c r="FR66" s="27">
        <v>97.9</v>
      </c>
      <c r="FS66" s="27">
        <v>97.9</v>
      </c>
      <c r="FT66" s="27">
        <v>97.9</v>
      </c>
      <c r="FU66" s="27">
        <v>97.9</v>
      </c>
      <c r="FV66" s="27">
        <v>97.9</v>
      </c>
      <c r="FW66" s="27">
        <v>97.9</v>
      </c>
      <c r="FX66" s="129">
        <v>8.1</v>
      </c>
      <c r="FZ66" s="27">
        <v>97.9</v>
      </c>
      <c r="GA66" s="27">
        <v>97.9</v>
      </c>
      <c r="GB66" s="27">
        <v>97.9</v>
      </c>
      <c r="GC66" s="27">
        <v>97.9</v>
      </c>
      <c r="GD66" s="27">
        <v>97.9</v>
      </c>
      <c r="GE66" s="27">
        <v>97.9</v>
      </c>
      <c r="GF66" s="27">
        <v>97.9</v>
      </c>
      <c r="GG66" s="27">
        <v>97.9</v>
      </c>
      <c r="GH66" s="27">
        <v>97.9</v>
      </c>
      <c r="GI66" s="129">
        <v>8.1</v>
      </c>
      <c r="GJ66" s="27"/>
      <c r="GK66" s="27">
        <v>23.7</v>
      </c>
      <c r="GL66" s="27">
        <v>23.7</v>
      </c>
      <c r="GM66" s="27">
        <v>23.7</v>
      </c>
      <c r="GN66" s="27">
        <v>23.7</v>
      </c>
      <c r="GO66" s="27">
        <v>23.7</v>
      </c>
      <c r="GP66" s="27">
        <v>23.7</v>
      </c>
      <c r="GQ66" s="27">
        <v>23.7</v>
      </c>
      <c r="GR66" s="27">
        <v>23.7</v>
      </c>
      <c r="GS66" s="27">
        <v>23.7</v>
      </c>
      <c r="GT66" s="129">
        <v>8.1</v>
      </c>
      <c r="GV66" s="27">
        <v>27.7</v>
      </c>
      <c r="GW66" s="27">
        <v>27.7</v>
      </c>
      <c r="GX66" s="27">
        <v>27.7</v>
      </c>
      <c r="GY66" s="27">
        <v>27.7</v>
      </c>
      <c r="GZ66" s="27">
        <v>27.7</v>
      </c>
      <c r="HA66" s="27">
        <v>27.7</v>
      </c>
      <c r="HB66" s="27">
        <v>27.7</v>
      </c>
      <c r="HC66" s="27">
        <v>27.7</v>
      </c>
      <c r="HD66" s="27">
        <v>27.7</v>
      </c>
      <c r="HE66" s="129">
        <v>8.1</v>
      </c>
      <c r="HG66" s="27">
        <v>38.6</v>
      </c>
      <c r="HH66" s="27">
        <v>38.6</v>
      </c>
      <c r="HI66" s="27">
        <v>38.6</v>
      </c>
      <c r="HJ66" s="27">
        <v>38.6</v>
      </c>
      <c r="HK66" s="27">
        <v>38.6</v>
      </c>
      <c r="HL66" s="27">
        <v>38.6</v>
      </c>
      <c r="HM66" s="27">
        <v>38.6</v>
      </c>
      <c r="HN66" s="27">
        <v>38.6</v>
      </c>
      <c r="HO66" s="27">
        <v>38.6</v>
      </c>
      <c r="HP66" s="129">
        <v>8.1</v>
      </c>
      <c r="HR66" s="27">
        <v>38.6</v>
      </c>
      <c r="HS66" s="27">
        <v>38.6</v>
      </c>
      <c r="HT66" s="27">
        <v>38.6</v>
      </c>
      <c r="HU66" s="27">
        <v>38.6</v>
      </c>
      <c r="HV66" s="27">
        <v>38.6</v>
      </c>
      <c r="HW66" s="27">
        <v>38.6</v>
      </c>
      <c r="HX66" s="27">
        <v>38.6</v>
      </c>
      <c r="HY66" s="27">
        <v>38.6</v>
      </c>
      <c r="HZ66" s="27">
        <v>38.6</v>
      </c>
      <c r="IA66" s="129">
        <v>8.1</v>
      </c>
    </row>
    <row r="67" spans="15:235" ht="3" customHeight="1">
      <c r="O67" s="129">
        <v>39</v>
      </c>
      <c r="P67" s="129">
        <v>39</v>
      </c>
      <c r="Q67" s="129">
        <v>39</v>
      </c>
      <c r="R67" s="129">
        <v>39</v>
      </c>
      <c r="S67" s="129">
        <v>39</v>
      </c>
      <c r="T67" s="129">
        <v>39</v>
      </c>
      <c r="U67" s="129">
        <v>39</v>
      </c>
      <c r="V67" s="129">
        <v>39</v>
      </c>
      <c r="W67" s="129">
        <v>39</v>
      </c>
      <c r="X67" s="129">
        <v>6.2</v>
      </c>
      <c r="Y67" s="27"/>
      <c r="Z67" s="129">
        <v>66</v>
      </c>
      <c r="AA67" s="129">
        <v>66</v>
      </c>
      <c r="AB67" s="129">
        <v>66</v>
      </c>
      <c r="AC67" s="129">
        <v>66</v>
      </c>
      <c r="AD67" s="129">
        <v>66</v>
      </c>
      <c r="AE67" s="129">
        <v>66</v>
      </c>
      <c r="AF67" s="129">
        <v>66</v>
      </c>
      <c r="AG67" s="129">
        <v>66</v>
      </c>
      <c r="AH67" s="129">
        <v>66</v>
      </c>
      <c r="AI67" s="129">
        <v>6.2</v>
      </c>
      <c r="AK67" s="129">
        <v>78.800000000000011</v>
      </c>
      <c r="AL67" s="129">
        <v>78.800000000000011</v>
      </c>
      <c r="AM67" s="129">
        <v>78.800000000000011</v>
      </c>
      <c r="AN67" s="129">
        <v>78.800000000000011</v>
      </c>
      <c r="AO67" s="129">
        <v>78.800000000000011</v>
      </c>
      <c r="AP67" s="129">
        <v>78.800000000000011</v>
      </c>
      <c r="AQ67" s="129">
        <v>78.800000000000011</v>
      </c>
      <c r="AR67" s="129">
        <v>78.800000000000011</v>
      </c>
      <c r="AS67" s="129">
        <v>78.800000000000011</v>
      </c>
      <c r="AT67" s="129">
        <v>6.2</v>
      </c>
      <c r="AV67" s="129">
        <v>82.4</v>
      </c>
      <c r="AW67" s="129">
        <v>82.4</v>
      </c>
      <c r="AX67" s="129">
        <v>82.4</v>
      </c>
      <c r="AY67" s="129">
        <v>82.4</v>
      </c>
      <c r="AZ67" s="129">
        <v>82.4</v>
      </c>
      <c r="BA67" s="129">
        <v>82.4</v>
      </c>
      <c r="BB67" s="129">
        <v>82.4</v>
      </c>
      <c r="BC67" s="129">
        <v>82.4</v>
      </c>
      <c r="BD67" s="129">
        <v>82.4</v>
      </c>
      <c r="BE67" s="129">
        <v>6.2</v>
      </c>
      <c r="BG67" s="129">
        <v>127.39999999999999</v>
      </c>
      <c r="BH67" s="129">
        <v>127.39999999999999</v>
      </c>
      <c r="BI67" s="129">
        <v>127.39999999999999</v>
      </c>
      <c r="BJ67" s="129">
        <v>127.39999999999999</v>
      </c>
      <c r="BK67" s="129">
        <v>127.39999999999999</v>
      </c>
      <c r="BL67" s="129">
        <v>127.39999999999999</v>
      </c>
      <c r="BM67" s="129">
        <v>127.39999999999999</v>
      </c>
      <c r="BN67" s="129">
        <v>127.39999999999999</v>
      </c>
      <c r="BO67" s="129">
        <v>127.39999999999999</v>
      </c>
      <c r="BP67" s="129">
        <v>6.2</v>
      </c>
      <c r="BR67" s="129">
        <v>127.39999999999999</v>
      </c>
      <c r="BS67" s="129">
        <v>127.39999999999999</v>
      </c>
      <c r="BT67" s="129">
        <v>127.39999999999999</v>
      </c>
      <c r="BU67" s="129">
        <v>127.39999999999999</v>
      </c>
      <c r="BV67" s="129">
        <v>127.39999999999999</v>
      </c>
      <c r="BW67" s="129">
        <v>127.39999999999999</v>
      </c>
      <c r="BX67" s="129">
        <v>127.39999999999999</v>
      </c>
      <c r="BY67" s="129">
        <v>127.39999999999999</v>
      </c>
      <c r="BZ67" s="129">
        <v>127.39999999999999</v>
      </c>
      <c r="CA67" s="129">
        <v>6.2</v>
      </c>
      <c r="CC67" s="129">
        <v>30.200000000000003</v>
      </c>
      <c r="CD67" s="129">
        <v>30.200000000000003</v>
      </c>
      <c r="CE67" s="129">
        <v>30.200000000000003</v>
      </c>
      <c r="CF67" s="129">
        <v>30.200000000000003</v>
      </c>
      <c r="CG67" s="129">
        <v>30.200000000000003</v>
      </c>
      <c r="CH67" s="129">
        <v>30.200000000000003</v>
      </c>
      <c r="CI67" s="129">
        <v>30.200000000000003</v>
      </c>
      <c r="CJ67" s="129">
        <v>30.200000000000003</v>
      </c>
      <c r="CK67" s="129">
        <v>30.200000000000003</v>
      </c>
      <c r="CL67" s="129">
        <v>6.2</v>
      </c>
      <c r="CN67" s="129">
        <v>36.799999999999997</v>
      </c>
      <c r="CO67" s="129">
        <v>36.799999999999997</v>
      </c>
      <c r="CP67" s="129">
        <v>36.799999999999997</v>
      </c>
      <c r="CQ67" s="129">
        <v>36.799999999999997</v>
      </c>
      <c r="CR67" s="129">
        <v>36.799999999999997</v>
      </c>
      <c r="CS67" s="129">
        <v>36.799999999999997</v>
      </c>
      <c r="CT67" s="129">
        <v>36.799999999999997</v>
      </c>
      <c r="CU67" s="129">
        <v>36.799999999999997</v>
      </c>
      <c r="CV67" s="129">
        <v>36.799999999999997</v>
      </c>
      <c r="CW67" s="129">
        <v>6.2</v>
      </c>
      <c r="CY67" s="129">
        <v>50.400000000000006</v>
      </c>
      <c r="CZ67" s="129">
        <v>50.400000000000006</v>
      </c>
      <c r="DA67" s="129">
        <v>50.400000000000006</v>
      </c>
      <c r="DB67" s="129">
        <v>50.400000000000006</v>
      </c>
      <c r="DC67" s="129">
        <v>50.400000000000006</v>
      </c>
      <c r="DD67" s="129">
        <v>50.400000000000006</v>
      </c>
      <c r="DE67" s="129">
        <v>50.400000000000006</v>
      </c>
      <c r="DF67" s="129">
        <v>50.400000000000006</v>
      </c>
      <c r="DG67" s="129">
        <v>50.400000000000006</v>
      </c>
      <c r="DH67" s="129">
        <v>6.2</v>
      </c>
      <c r="DJ67" s="129">
        <v>50.400000000000006</v>
      </c>
      <c r="DK67" s="129">
        <v>50.400000000000006</v>
      </c>
      <c r="DL67" s="129">
        <v>50.400000000000006</v>
      </c>
      <c r="DM67" s="129">
        <v>50.400000000000006</v>
      </c>
      <c r="DN67" s="129">
        <v>50.400000000000006</v>
      </c>
      <c r="DO67" s="129">
        <v>50.400000000000006</v>
      </c>
      <c r="DP67" s="129">
        <v>50.400000000000006</v>
      </c>
      <c r="DQ67" s="129">
        <v>50.400000000000006</v>
      </c>
      <c r="DR67" s="129">
        <v>50.400000000000006</v>
      </c>
      <c r="DS67" s="129">
        <v>6.2</v>
      </c>
      <c r="DW67" s="27">
        <v>29.4</v>
      </c>
      <c r="DX67" s="27">
        <v>29.4</v>
      </c>
      <c r="DY67" s="27">
        <v>29.4</v>
      </c>
      <c r="DZ67" s="27">
        <v>29.4</v>
      </c>
      <c r="EA67" s="27">
        <v>29.4</v>
      </c>
      <c r="EB67" s="27">
        <v>29.4</v>
      </c>
      <c r="EC67" s="27">
        <v>29.4</v>
      </c>
      <c r="ED67" s="27">
        <v>29.4</v>
      </c>
      <c r="EE67" s="27">
        <v>29.4</v>
      </c>
      <c r="EF67" s="129">
        <v>8.2000000000000099</v>
      </c>
      <c r="EH67" s="27">
        <v>49.8</v>
      </c>
      <c r="EI67" s="27">
        <v>49.8</v>
      </c>
      <c r="EJ67" s="27">
        <v>49.8</v>
      </c>
      <c r="EK67" s="27">
        <v>49.8</v>
      </c>
      <c r="EL67" s="27">
        <v>49.8</v>
      </c>
      <c r="EM67" s="27">
        <v>49.8</v>
      </c>
      <c r="EN67" s="27">
        <v>49.8</v>
      </c>
      <c r="EO67" s="27">
        <v>49.8</v>
      </c>
      <c r="EP67" s="27">
        <v>49.8</v>
      </c>
      <c r="EQ67" s="129">
        <v>8.2000000000000099</v>
      </c>
      <c r="ES67" s="27">
        <v>59.599999999999994</v>
      </c>
      <c r="ET67" s="27">
        <v>59.599999999999994</v>
      </c>
      <c r="EU67" s="27">
        <v>59.599999999999994</v>
      </c>
      <c r="EV67" s="27">
        <v>59.599999999999994</v>
      </c>
      <c r="EW67" s="27">
        <v>59.599999999999994</v>
      </c>
      <c r="EX67" s="27">
        <v>59.599999999999994</v>
      </c>
      <c r="EY67" s="27">
        <v>59.599999999999994</v>
      </c>
      <c r="EZ67" s="27">
        <v>59.599999999999994</v>
      </c>
      <c r="FA67" s="27">
        <v>59.599999999999994</v>
      </c>
      <c r="FB67" s="129">
        <v>8.2000000000000099</v>
      </c>
      <c r="FD67" s="27">
        <v>61.599999999999994</v>
      </c>
      <c r="FE67" s="27">
        <v>61.599999999999994</v>
      </c>
      <c r="FF67" s="27">
        <v>61.599999999999994</v>
      </c>
      <c r="FG67" s="27">
        <v>61.599999999999994</v>
      </c>
      <c r="FH67" s="27">
        <v>61.599999999999994</v>
      </c>
      <c r="FI67" s="27">
        <v>61.599999999999994</v>
      </c>
      <c r="FJ67" s="27">
        <v>61.599999999999994</v>
      </c>
      <c r="FK67" s="27">
        <v>61.599999999999994</v>
      </c>
      <c r="FL67" s="27">
        <v>61.599999999999994</v>
      </c>
      <c r="FM67" s="129">
        <v>8.2000000000000099</v>
      </c>
      <c r="FO67" s="27">
        <v>96.800000000000011</v>
      </c>
      <c r="FP67" s="27">
        <v>96.800000000000011</v>
      </c>
      <c r="FQ67" s="27">
        <v>96.800000000000011</v>
      </c>
      <c r="FR67" s="27">
        <v>96.800000000000011</v>
      </c>
      <c r="FS67" s="27">
        <v>96.800000000000011</v>
      </c>
      <c r="FT67" s="27">
        <v>96.800000000000011</v>
      </c>
      <c r="FU67" s="27">
        <v>96.800000000000011</v>
      </c>
      <c r="FV67" s="27">
        <v>96.800000000000011</v>
      </c>
      <c r="FW67" s="27">
        <v>96.800000000000011</v>
      </c>
      <c r="FX67" s="129">
        <v>8.2000000000000099</v>
      </c>
      <c r="FZ67" s="27">
        <v>96.800000000000011</v>
      </c>
      <c r="GA67" s="27">
        <v>96.800000000000011</v>
      </c>
      <c r="GB67" s="27">
        <v>96.800000000000011</v>
      </c>
      <c r="GC67" s="27">
        <v>96.800000000000011</v>
      </c>
      <c r="GD67" s="27">
        <v>96.800000000000011</v>
      </c>
      <c r="GE67" s="27">
        <v>96.800000000000011</v>
      </c>
      <c r="GF67" s="27">
        <v>96.800000000000011</v>
      </c>
      <c r="GG67" s="27">
        <v>96.800000000000011</v>
      </c>
      <c r="GH67" s="27">
        <v>96.800000000000011</v>
      </c>
      <c r="GI67" s="129">
        <v>8.2000000000000099</v>
      </c>
      <c r="GJ67" s="27"/>
      <c r="GK67" s="27">
        <v>23.4</v>
      </c>
      <c r="GL67" s="27">
        <v>23.4</v>
      </c>
      <c r="GM67" s="27">
        <v>23.4</v>
      </c>
      <c r="GN67" s="27">
        <v>23.4</v>
      </c>
      <c r="GO67" s="27">
        <v>23.4</v>
      </c>
      <c r="GP67" s="27">
        <v>23.4</v>
      </c>
      <c r="GQ67" s="27">
        <v>23.4</v>
      </c>
      <c r="GR67" s="27">
        <v>23.4</v>
      </c>
      <c r="GS67" s="27">
        <v>23.4</v>
      </c>
      <c r="GT67" s="129">
        <v>8.2000000000000099</v>
      </c>
      <c r="GV67" s="27">
        <v>27.4</v>
      </c>
      <c r="GW67" s="27">
        <v>27.4</v>
      </c>
      <c r="GX67" s="27">
        <v>27.4</v>
      </c>
      <c r="GY67" s="27">
        <v>27.4</v>
      </c>
      <c r="GZ67" s="27">
        <v>27.4</v>
      </c>
      <c r="HA67" s="27">
        <v>27.4</v>
      </c>
      <c r="HB67" s="27">
        <v>27.4</v>
      </c>
      <c r="HC67" s="27">
        <v>27.4</v>
      </c>
      <c r="HD67" s="27">
        <v>27.4</v>
      </c>
      <c r="HE67" s="129">
        <v>8.2000000000000099</v>
      </c>
      <c r="HG67" s="27">
        <v>38.200000000000003</v>
      </c>
      <c r="HH67" s="27">
        <v>38.200000000000003</v>
      </c>
      <c r="HI67" s="27">
        <v>38.200000000000003</v>
      </c>
      <c r="HJ67" s="27">
        <v>38.200000000000003</v>
      </c>
      <c r="HK67" s="27">
        <v>38.200000000000003</v>
      </c>
      <c r="HL67" s="27">
        <v>38.200000000000003</v>
      </c>
      <c r="HM67" s="27">
        <v>38.200000000000003</v>
      </c>
      <c r="HN67" s="27">
        <v>38.200000000000003</v>
      </c>
      <c r="HO67" s="27">
        <v>38.200000000000003</v>
      </c>
      <c r="HP67" s="129">
        <v>8.2000000000000099</v>
      </c>
      <c r="HR67" s="27">
        <v>38.200000000000003</v>
      </c>
      <c r="HS67" s="27">
        <v>38.200000000000003</v>
      </c>
      <c r="HT67" s="27">
        <v>38.200000000000003</v>
      </c>
      <c r="HU67" s="27">
        <v>38.200000000000003</v>
      </c>
      <c r="HV67" s="27">
        <v>38.200000000000003</v>
      </c>
      <c r="HW67" s="27">
        <v>38.200000000000003</v>
      </c>
      <c r="HX67" s="27">
        <v>38.200000000000003</v>
      </c>
      <c r="HY67" s="27">
        <v>38.200000000000003</v>
      </c>
      <c r="HZ67" s="27">
        <v>38.200000000000003</v>
      </c>
      <c r="IA67" s="129">
        <v>8.2000000000000099</v>
      </c>
    </row>
    <row r="68" spans="15:235" ht="3" customHeight="1">
      <c r="O68" s="129">
        <v>38.5</v>
      </c>
      <c r="P68" s="129">
        <v>38.5</v>
      </c>
      <c r="Q68" s="129">
        <v>38.5</v>
      </c>
      <c r="R68" s="129">
        <v>38.5</v>
      </c>
      <c r="S68" s="129">
        <v>38.5</v>
      </c>
      <c r="T68" s="129">
        <v>38.5</v>
      </c>
      <c r="U68" s="129">
        <v>38.5</v>
      </c>
      <c r="V68" s="129">
        <v>38.5</v>
      </c>
      <c r="W68" s="129">
        <v>38.5</v>
      </c>
      <c r="X68" s="129">
        <v>6.3</v>
      </c>
      <c r="Y68" s="27"/>
      <c r="Z68" s="129">
        <v>65</v>
      </c>
      <c r="AA68" s="129">
        <v>65</v>
      </c>
      <c r="AB68" s="129">
        <v>65</v>
      </c>
      <c r="AC68" s="129">
        <v>65</v>
      </c>
      <c r="AD68" s="129">
        <v>65</v>
      </c>
      <c r="AE68" s="129">
        <v>65</v>
      </c>
      <c r="AF68" s="129">
        <v>65</v>
      </c>
      <c r="AG68" s="129">
        <v>65</v>
      </c>
      <c r="AH68" s="129">
        <v>65</v>
      </c>
      <c r="AI68" s="129">
        <v>6.3</v>
      </c>
      <c r="AK68" s="129">
        <v>77.700000000000017</v>
      </c>
      <c r="AL68" s="129">
        <v>77.700000000000017</v>
      </c>
      <c r="AM68" s="129">
        <v>77.700000000000017</v>
      </c>
      <c r="AN68" s="129">
        <v>77.700000000000017</v>
      </c>
      <c r="AO68" s="129">
        <v>77.700000000000017</v>
      </c>
      <c r="AP68" s="129">
        <v>77.700000000000017</v>
      </c>
      <c r="AQ68" s="129">
        <v>77.700000000000017</v>
      </c>
      <c r="AR68" s="129">
        <v>77.700000000000017</v>
      </c>
      <c r="AS68" s="129">
        <v>77.700000000000017</v>
      </c>
      <c r="AT68" s="129">
        <v>6.3</v>
      </c>
      <c r="AV68" s="129">
        <v>81.100000000000009</v>
      </c>
      <c r="AW68" s="129">
        <v>81.100000000000009</v>
      </c>
      <c r="AX68" s="129">
        <v>81.100000000000009</v>
      </c>
      <c r="AY68" s="129">
        <v>81.100000000000009</v>
      </c>
      <c r="AZ68" s="129">
        <v>81.100000000000009</v>
      </c>
      <c r="BA68" s="129">
        <v>81.100000000000009</v>
      </c>
      <c r="BB68" s="129">
        <v>81.100000000000009</v>
      </c>
      <c r="BC68" s="129">
        <v>81.100000000000009</v>
      </c>
      <c r="BD68" s="129">
        <v>81.100000000000009</v>
      </c>
      <c r="BE68" s="129">
        <v>6.3</v>
      </c>
      <c r="BG68" s="129">
        <v>125.6</v>
      </c>
      <c r="BH68" s="129">
        <v>125.6</v>
      </c>
      <c r="BI68" s="129">
        <v>125.6</v>
      </c>
      <c r="BJ68" s="129">
        <v>125.6</v>
      </c>
      <c r="BK68" s="129">
        <v>125.6</v>
      </c>
      <c r="BL68" s="129">
        <v>125.6</v>
      </c>
      <c r="BM68" s="129">
        <v>125.6</v>
      </c>
      <c r="BN68" s="129">
        <v>125.6</v>
      </c>
      <c r="BO68" s="129">
        <v>125.6</v>
      </c>
      <c r="BP68" s="129">
        <v>6.3</v>
      </c>
      <c r="BR68" s="129">
        <v>125.6</v>
      </c>
      <c r="BS68" s="129">
        <v>125.6</v>
      </c>
      <c r="BT68" s="129">
        <v>125.6</v>
      </c>
      <c r="BU68" s="129">
        <v>125.6</v>
      </c>
      <c r="BV68" s="129">
        <v>125.6</v>
      </c>
      <c r="BW68" s="129">
        <v>125.6</v>
      </c>
      <c r="BX68" s="129">
        <v>125.6</v>
      </c>
      <c r="BY68" s="129">
        <v>125.6</v>
      </c>
      <c r="BZ68" s="129">
        <v>125.6</v>
      </c>
      <c r="CA68" s="129">
        <v>6.3</v>
      </c>
      <c r="CC68" s="129">
        <v>29.800000000000004</v>
      </c>
      <c r="CD68" s="129">
        <v>29.800000000000004</v>
      </c>
      <c r="CE68" s="129">
        <v>29.800000000000004</v>
      </c>
      <c r="CF68" s="129">
        <v>29.800000000000004</v>
      </c>
      <c r="CG68" s="129">
        <v>29.800000000000004</v>
      </c>
      <c r="CH68" s="129">
        <v>29.800000000000004</v>
      </c>
      <c r="CI68" s="129">
        <v>29.800000000000004</v>
      </c>
      <c r="CJ68" s="129">
        <v>29.800000000000004</v>
      </c>
      <c r="CK68" s="129">
        <v>29.800000000000004</v>
      </c>
      <c r="CL68" s="129">
        <v>6.3</v>
      </c>
      <c r="CN68" s="129">
        <v>36.199999999999996</v>
      </c>
      <c r="CO68" s="129">
        <v>36.199999999999996</v>
      </c>
      <c r="CP68" s="129">
        <v>36.199999999999996</v>
      </c>
      <c r="CQ68" s="129">
        <v>36.199999999999996</v>
      </c>
      <c r="CR68" s="129">
        <v>36.199999999999996</v>
      </c>
      <c r="CS68" s="129">
        <v>36.199999999999996</v>
      </c>
      <c r="CT68" s="129">
        <v>36.199999999999996</v>
      </c>
      <c r="CU68" s="129">
        <v>36.199999999999996</v>
      </c>
      <c r="CV68" s="129">
        <v>36.199999999999996</v>
      </c>
      <c r="CW68" s="129">
        <v>6.3</v>
      </c>
      <c r="CY68" s="129">
        <v>49.600000000000009</v>
      </c>
      <c r="CZ68" s="129">
        <v>49.600000000000009</v>
      </c>
      <c r="DA68" s="129">
        <v>49.600000000000009</v>
      </c>
      <c r="DB68" s="129">
        <v>49.600000000000009</v>
      </c>
      <c r="DC68" s="129">
        <v>49.600000000000009</v>
      </c>
      <c r="DD68" s="129">
        <v>49.600000000000009</v>
      </c>
      <c r="DE68" s="129">
        <v>49.600000000000009</v>
      </c>
      <c r="DF68" s="129">
        <v>49.600000000000009</v>
      </c>
      <c r="DG68" s="129">
        <v>49.600000000000009</v>
      </c>
      <c r="DH68" s="129">
        <v>6.3</v>
      </c>
      <c r="DJ68" s="129">
        <v>49.600000000000009</v>
      </c>
      <c r="DK68" s="129">
        <v>49.600000000000009</v>
      </c>
      <c r="DL68" s="129">
        <v>49.600000000000009</v>
      </c>
      <c r="DM68" s="129">
        <v>49.600000000000009</v>
      </c>
      <c r="DN68" s="129">
        <v>49.600000000000009</v>
      </c>
      <c r="DO68" s="129">
        <v>49.600000000000009</v>
      </c>
      <c r="DP68" s="129">
        <v>49.600000000000009</v>
      </c>
      <c r="DQ68" s="129">
        <v>49.600000000000009</v>
      </c>
      <c r="DR68" s="129">
        <v>49.600000000000009</v>
      </c>
      <c r="DS68" s="129">
        <v>6.3</v>
      </c>
      <c r="DW68" s="27">
        <v>29.099999999999998</v>
      </c>
      <c r="DX68" s="27">
        <v>29.099999999999998</v>
      </c>
      <c r="DY68" s="27">
        <v>29.099999999999998</v>
      </c>
      <c r="DZ68" s="27">
        <v>29.099999999999998</v>
      </c>
      <c r="EA68" s="27">
        <v>29.099999999999998</v>
      </c>
      <c r="EB68" s="27">
        <v>29.099999999999998</v>
      </c>
      <c r="EC68" s="27">
        <v>29.099999999999998</v>
      </c>
      <c r="ED68" s="27">
        <v>29.099999999999998</v>
      </c>
      <c r="EE68" s="27">
        <v>29.099999999999998</v>
      </c>
      <c r="EF68" s="129">
        <v>8.3000000000000096</v>
      </c>
      <c r="EH68" s="27">
        <v>49.199999999999996</v>
      </c>
      <c r="EI68" s="27">
        <v>49.199999999999996</v>
      </c>
      <c r="EJ68" s="27">
        <v>49.199999999999996</v>
      </c>
      <c r="EK68" s="27">
        <v>49.199999999999996</v>
      </c>
      <c r="EL68" s="27">
        <v>49.199999999999996</v>
      </c>
      <c r="EM68" s="27">
        <v>49.199999999999996</v>
      </c>
      <c r="EN68" s="27">
        <v>49.199999999999996</v>
      </c>
      <c r="EO68" s="27">
        <v>49.199999999999996</v>
      </c>
      <c r="EP68" s="27">
        <v>49.199999999999996</v>
      </c>
      <c r="EQ68" s="129">
        <v>8.3000000000000096</v>
      </c>
      <c r="ES68" s="27">
        <v>58.899999999999991</v>
      </c>
      <c r="ET68" s="27">
        <v>58.899999999999991</v>
      </c>
      <c r="EU68" s="27">
        <v>58.899999999999991</v>
      </c>
      <c r="EV68" s="27">
        <v>58.899999999999991</v>
      </c>
      <c r="EW68" s="27">
        <v>58.899999999999991</v>
      </c>
      <c r="EX68" s="27">
        <v>58.899999999999991</v>
      </c>
      <c r="EY68" s="27">
        <v>58.899999999999991</v>
      </c>
      <c r="EZ68" s="27">
        <v>58.899999999999991</v>
      </c>
      <c r="FA68" s="27">
        <v>58.899999999999991</v>
      </c>
      <c r="FB68" s="129">
        <v>8.3000000000000096</v>
      </c>
      <c r="FD68" s="27">
        <v>60.899999999999991</v>
      </c>
      <c r="FE68" s="27">
        <v>60.899999999999991</v>
      </c>
      <c r="FF68" s="27">
        <v>60.899999999999991</v>
      </c>
      <c r="FG68" s="27">
        <v>60.899999999999991</v>
      </c>
      <c r="FH68" s="27">
        <v>60.899999999999991</v>
      </c>
      <c r="FI68" s="27">
        <v>60.899999999999991</v>
      </c>
      <c r="FJ68" s="27">
        <v>60.899999999999991</v>
      </c>
      <c r="FK68" s="27">
        <v>60.899999999999991</v>
      </c>
      <c r="FL68" s="27">
        <v>60.899999999999991</v>
      </c>
      <c r="FM68" s="129">
        <v>8.3000000000000096</v>
      </c>
      <c r="FO68" s="27">
        <v>95.700000000000017</v>
      </c>
      <c r="FP68" s="27">
        <v>95.700000000000017</v>
      </c>
      <c r="FQ68" s="27">
        <v>95.700000000000017</v>
      </c>
      <c r="FR68" s="27">
        <v>95.700000000000017</v>
      </c>
      <c r="FS68" s="27">
        <v>95.700000000000017</v>
      </c>
      <c r="FT68" s="27">
        <v>95.700000000000017</v>
      </c>
      <c r="FU68" s="27">
        <v>95.700000000000017</v>
      </c>
      <c r="FV68" s="27">
        <v>95.700000000000017</v>
      </c>
      <c r="FW68" s="27">
        <v>95.700000000000017</v>
      </c>
      <c r="FX68" s="129">
        <v>8.3000000000000096</v>
      </c>
      <c r="FZ68" s="27">
        <v>95.700000000000017</v>
      </c>
      <c r="GA68" s="27">
        <v>95.700000000000017</v>
      </c>
      <c r="GB68" s="27">
        <v>95.700000000000017</v>
      </c>
      <c r="GC68" s="27">
        <v>95.700000000000017</v>
      </c>
      <c r="GD68" s="27">
        <v>95.700000000000017</v>
      </c>
      <c r="GE68" s="27">
        <v>95.700000000000017</v>
      </c>
      <c r="GF68" s="27">
        <v>95.700000000000017</v>
      </c>
      <c r="GG68" s="27">
        <v>95.700000000000017</v>
      </c>
      <c r="GH68" s="27">
        <v>95.700000000000017</v>
      </c>
      <c r="GI68" s="129">
        <v>8.3000000000000096</v>
      </c>
      <c r="GJ68" s="27"/>
      <c r="GK68" s="27">
        <v>23.099999999999998</v>
      </c>
      <c r="GL68" s="27">
        <v>23.099999999999998</v>
      </c>
      <c r="GM68" s="27">
        <v>23.099999999999998</v>
      </c>
      <c r="GN68" s="27">
        <v>23.099999999999998</v>
      </c>
      <c r="GO68" s="27">
        <v>23.099999999999998</v>
      </c>
      <c r="GP68" s="27">
        <v>23.099999999999998</v>
      </c>
      <c r="GQ68" s="27">
        <v>23.099999999999998</v>
      </c>
      <c r="GR68" s="27">
        <v>23.099999999999998</v>
      </c>
      <c r="GS68" s="27">
        <v>23.099999999999998</v>
      </c>
      <c r="GT68" s="129">
        <v>8.3000000000000096</v>
      </c>
      <c r="GV68" s="27">
        <v>27.099999999999998</v>
      </c>
      <c r="GW68" s="27">
        <v>27.099999999999998</v>
      </c>
      <c r="GX68" s="27">
        <v>27.099999999999998</v>
      </c>
      <c r="GY68" s="27">
        <v>27.099999999999998</v>
      </c>
      <c r="GZ68" s="27">
        <v>27.099999999999998</v>
      </c>
      <c r="HA68" s="27">
        <v>27.099999999999998</v>
      </c>
      <c r="HB68" s="27">
        <v>27.099999999999998</v>
      </c>
      <c r="HC68" s="27">
        <v>27.099999999999998</v>
      </c>
      <c r="HD68" s="27">
        <v>27.099999999999998</v>
      </c>
      <c r="HE68" s="129">
        <v>8.3000000000000096</v>
      </c>
      <c r="HG68" s="27">
        <v>37.800000000000004</v>
      </c>
      <c r="HH68" s="27">
        <v>37.800000000000004</v>
      </c>
      <c r="HI68" s="27">
        <v>37.800000000000004</v>
      </c>
      <c r="HJ68" s="27">
        <v>37.800000000000004</v>
      </c>
      <c r="HK68" s="27">
        <v>37.800000000000004</v>
      </c>
      <c r="HL68" s="27">
        <v>37.800000000000004</v>
      </c>
      <c r="HM68" s="27">
        <v>37.800000000000004</v>
      </c>
      <c r="HN68" s="27">
        <v>37.800000000000004</v>
      </c>
      <c r="HO68" s="27">
        <v>37.800000000000004</v>
      </c>
      <c r="HP68" s="129">
        <v>8.3000000000000096</v>
      </c>
      <c r="HR68" s="27">
        <v>37.800000000000004</v>
      </c>
      <c r="HS68" s="27">
        <v>37.800000000000004</v>
      </c>
      <c r="HT68" s="27">
        <v>37.800000000000004</v>
      </c>
      <c r="HU68" s="27">
        <v>37.800000000000004</v>
      </c>
      <c r="HV68" s="27">
        <v>37.800000000000004</v>
      </c>
      <c r="HW68" s="27">
        <v>37.800000000000004</v>
      </c>
      <c r="HX68" s="27">
        <v>37.800000000000004</v>
      </c>
      <c r="HY68" s="27">
        <v>37.800000000000004</v>
      </c>
      <c r="HZ68" s="27">
        <v>37.800000000000004</v>
      </c>
      <c r="IA68" s="129">
        <v>8.3000000000000096</v>
      </c>
    </row>
    <row r="69" spans="15:235" ht="3" customHeight="1">
      <c r="O69" s="129">
        <v>38</v>
      </c>
      <c r="P69" s="129">
        <v>38</v>
      </c>
      <c r="Q69" s="129">
        <v>38</v>
      </c>
      <c r="R69" s="129">
        <v>38</v>
      </c>
      <c r="S69" s="129">
        <v>38</v>
      </c>
      <c r="T69" s="129">
        <v>38</v>
      </c>
      <c r="U69" s="129">
        <v>38</v>
      </c>
      <c r="V69" s="129">
        <v>38</v>
      </c>
      <c r="W69" s="129">
        <v>38</v>
      </c>
      <c r="X69" s="129">
        <v>6.4</v>
      </c>
      <c r="Y69" s="27"/>
      <c r="Z69" s="129">
        <v>64</v>
      </c>
      <c r="AA69" s="129">
        <v>64</v>
      </c>
      <c r="AB69" s="129">
        <v>64</v>
      </c>
      <c r="AC69" s="129">
        <v>64</v>
      </c>
      <c r="AD69" s="129">
        <v>64</v>
      </c>
      <c r="AE69" s="129">
        <v>64</v>
      </c>
      <c r="AF69" s="129">
        <v>64</v>
      </c>
      <c r="AG69" s="129">
        <v>64</v>
      </c>
      <c r="AH69" s="129">
        <v>64</v>
      </c>
      <c r="AI69" s="129">
        <v>6.4</v>
      </c>
      <c r="AK69" s="129">
        <v>76.600000000000023</v>
      </c>
      <c r="AL69" s="129">
        <v>76.600000000000023</v>
      </c>
      <c r="AM69" s="129">
        <v>76.600000000000023</v>
      </c>
      <c r="AN69" s="129">
        <v>76.600000000000023</v>
      </c>
      <c r="AO69" s="129">
        <v>76.600000000000023</v>
      </c>
      <c r="AP69" s="129">
        <v>76.600000000000023</v>
      </c>
      <c r="AQ69" s="129">
        <v>76.600000000000023</v>
      </c>
      <c r="AR69" s="129">
        <v>76.600000000000023</v>
      </c>
      <c r="AS69" s="129">
        <v>76.600000000000023</v>
      </c>
      <c r="AT69" s="129">
        <v>6.4</v>
      </c>
      <c r="AV69" s="129">
        <v>79.800000000000011</v>
      </c>
      <c r="AW69" s="129">
        <v>79.800000000000011</v>
      </c>
      <c r="AX69" s="129">
        <v>79.800000000000011</v>
      </c>
      <c r="AY69" s="129">
        <v>79.800000000000011</v>
      </c>
      <c r="AZ69" s="129">
        <v>79.800000000000011</v>
      </c>
      <c r="BA69" s="129">
        <v>79.800000000000011</v>
      </c>
      <c r="BB69" s="129">
        <v>79.800000000000011</v>
      </c>
      <c r="BC69" s="129">
        <v>79.800000000000011</v>
      </c>
      <c r="BD69" s="129">
        <v>79.800000000000011</v>
      </c>
      <c r="BE69" s="129">
        <v>6.4</v>
      </c>
      <c r="BG69" s="129">
        <v>123.8</v>
      </c>
      <c r="BH69" s="129">
        <v>123.8</v>
      </c>
      <c r="BI69" s="129">
        <v>123.8</v>
      </c>
      <c r="BJ69" s="129">
        <v>123.8</v>
      </c>
      <c r="BK69" s="129">
        <v>123.8</v>
      </c>
      <c r="BL69" s="129">
        <v>123.8</v>
      </c>
      <c r="BM69" s="129">
        <v>123.8</v>
      </c>
      <c r="BN69" s="129">
        <v>123.8</v>
      </c>
      <c r="BO69" s="129">
        <v>123.8</v>
      </c>
      <c r="BP69" s="129">
        <v>6.4</v>
      </c>
      <c r="BR69" s="129">
        <v>123.8</v>
      </c>
      <c r="BS69" s="129">
        <v>123.8</v>
      </c>
      <c r="BT69" s="129">
        <v>123.8</v>
      </c>
      <c r="BU69" s="129">
        <v>123.8</v>
      </c>
      <c r="BV69" s="129">
        <v>123.8</v>
      </c>
      <c r="BW69" s="129">
        <v>123.8</v>
      </c>
      <c r="BX69" s="129">
        <v>123.8</v>
      </c>
      <c r="BY69" s="129">
        <v>123.8</v>
      </c>
      <c r="BZ69" s="129">
        <v>123.8</v>
      </c>
      <c r="CA69" s="129">
        <v>6.4</v>
      </c>
      <c r="CC69" s="129">
        <v>29.400000000000006</v>
      </c>
      <c r="CD69" s="129">
        <v>29.400000000000006</v>
      </c>
      <c r="CE69" s="129">
        <v>29.400000000000006</v>
      </c>
      <c r="CF69" s="129">
        <v>29.400000000000006</v>
      </c>
      <c r="CG69" s="129">
        <v>29.400000000000006</v>
      </c>
      <c r="CH69" s="129">
        <v>29.400000000000006</v>
      </c>
      <c r="CI69" s="129">
        <v>29.400000000000006</v>
      </c>
      <c r="CJ69" s="129">
        <v>29.400000000000006</v>
      </c>
      <c r="CK69" s="129">
        <v>29.400000000000006</v>
      </c>
      <c r="CL69" s="129">
        <v>6.4</v>
      </c>
      <c r="CN69" s="129">
        <v>35.599999999999994</v>
      </c>
      <c r="CO69" s="129">
        <v>35.599999999999994</v>
      </c>
      <c r="CP69" s="129">
        <v>35.599999999999994</v>
      </c>
      <c r="CQ69" s="129">
        <v>35.599999999999994</v>
      </c>
      <c r="CR69" s="129">
        <v>35.599999999999994</v>
      </c>
      <c r="CS69" s="129">
        <v>35.599999999999994</v>
      </c>
      <c r="CT69" s="129">
        <v>35.599999999999994</v>
      </c>
      <c r="CU69" s="129">
        <v>35.599999999999994</v>
      </c>
      <c r="CV69" s="129">
        <v>35.599999999999994</v>
      </c>
      <c r="CW69" s="129">
        <v>6.4</v>
      </c>
      <c r="CY69" s="129">
        <v>48.800000000000011</v>
      </c>
      <c r="CZ69" s="129">
        <v>48.800000000000011</v>
      </c>
      <c r="DA69" s="129">
        <v>48.800000000000011</v>
      </c>
      <c r="DB69" s="129">
        <v>48.800000000000011</v>
      </c>
      <c r="DC69" s="129">
        <v>48.800000000000011</v>
      </c>
      <c r="DD69" s="129">
        <v>48.800000000000011</v>
      </c>
      <c r="DE69" s="129">
        <v>48.800000000000011</v>
      </c>
      <c r="DF69" s="129">
        <v>48.800000000000011</v>
      </c>
      <c r="DG69" s="129">
        <v>48.800000000000011</v>
      </c>
      <c r="DH69" s="129">
        <v>6.4</v>
      </c>
      <c r="DJ69" s="129">
        <v>48.800000000000011</v>
      </c>
      <c r="DK69" s="129">
        <v>48.800000000000011</v>
      </c>
      <c r="DL69" s="129">
        <v>48.800000000000011</v>
      </c>
      <c r="DM69" s="129">
        <v>48.800000000000011</v>
      </c>
      <c r="DN69" s="129">
        <v>48.800000000000011</v>
      </c>
      <c r="DO69" s="129">
        <v>48.800000000000011</v>
      </c>
      <c r="DP69" s="129">
        <v>48.800000000000011</v>
      </c>
      <c r="DQ69" s="129">
        <v>48.800000000000011</v>
      </c>
      <c r="DR69" s="129">
        <v>48.800000000000011</v>
      </c>
      <c r="DS69" s="129">
        <v>6.4</v>
      </c>
      <c r="DW69" s="27">
        <v>28.799999999999997</v>
      </c>
      <c r="DX69" s="27">
        <v>28.799999999999997</v>
      </c>
      <c r="DY69" s="27">
        <v>28.799999999999997</v>
      </c>
      <c r="DZ69" s="27">
        <v>28.799999999999997</v>
      </c>
      <c r="EA69" s="27">
        <v>28.799999999999997</v>
      </c>
      <c r="EB69" s="27">
        <v>28.799999999999997</v>
      </c>
      <c r="EC69" s="27">
        <v>28.799999999999997</v>
      </c>
      <c r="ED69" s="27">
        <v>28.799999999999997</v>
      </c>
      <c r="EE69" s="27">
        <v>28.799999999999997</v>
      </c>
      <c r="EF69" s="129">
        <v>8.4000000000000092</v>
      </c>
      <c r="EH69" s="27">
        <v>48.599999999999994</v>
      </c>
      <c r="EI69" s="27">
        <v>48.599999999999994</v>
      </c>
      <c r="EJ69" s="27">
        <v>48.599999999999994</v>
      </c>
      <c r="EK69" s="27">
        <v>48.599999999999994</v>
      </c>
      <c r="EL69" s="27">
        <v>48.599999999999994</v>
      </c>
      <c r="EM69" s="27">
        <v>48.599999999999994</v>
      </c>
      <c r="EN69" s="27">
        <v>48.599999999999994</v>
      </c>
      <c r="EO69" s="27">
        <v>48.599999999999994</v>
      </c>
      <c r="EP69" s="27">
        <v>48.599999999999994</v>
      </c>
      <c r="EQ69" s="129">
        <v>8.4000000000000092</v>
      </c>
      <c r="ES69" s="27">
        <v>58.199999999999989</v>
      </c>
      <c r="ET69" s="27">
        <v>58.199999999999989</v>
      </c>
      <c r="EU69" s="27">
        <v>58.199999999999989</v>
      </c>
      <c r="EV69" s="27">
        <v>58.199999999999989</v>
      </c>
      <c r="EW69" s="27">
        <v>58.199999999999989</v>
      </c>
      <c r="EX69" s="27">
        <v>58.199999999999989</v>
      </c>
      <c r="EY69" s="27">
        <v>58.199999999999989</v>
      </c>
      <c r="EZ69" s="27">
        <v>58.199999999999989</v>
      </c>
      <c r="FA69" s="27">
        <v>58.199999999999989</v>
      </c>
      <c r="FB69" s="129">
        <v>8.4000000000000092</v>
      </c>
      <c r="FD69" s="27">
        <v>60.199999999999989</v>
      </c>
      <c r="FE69" s="27">
        <v>60.199999999999989</v>
      </c>
      <c r="FF69" s="27">
        <v>60.199999999999989</v>
      </c>
      <c r="FG69" s="27">
        <v>60.199999999999989</v>
      </c>
      <c r="FH69" s="27">
        <v>60.199999999999989</v>
      </c>
      <c r="FI69" s="27">
        <v>60.199999999999989</v>
      </c>
      <c r="FJ69" s="27">
        <v>60.199999999999989</v>
      </c>
      <c r="FK69" s="27">
        <v>60.199999999999989</v>
      </c>
      <c r="FL69" s="27">
        <v>60.199999999999989</v>
      </c>
      <c r="FM69" s="129">
        <v>8.4000000000000092</v>
      </c>
      <c r="FO69" s="27">
        <v>94.600000000000023</v>
      </c>
      <c r="FP69" s="27">
        <v>94.600000000000023</v>
      </c>
      <c r="FQ69" s="27">
        <v>94.600000000000023</v>
      </c>
      <c r="FR69" s="27">
        <v>94.600000000000023</v>
      </c>
      <c r="FS69" s="27">
        <v>94.600000000000023</v>
      </c>
      <c r="FT69" s="27">
        <v>94.600000000000023</v>
      </c>
      <c r="FU69" s="27">
        <v>94.600000000000023</v>
      </c>
      <c r="FV69" s="27">
        <v>94.600000000000023</v>
      </c>
      <c r="FW69" s="27">
        <v>94.600000000000023</v>
      </c>
      <c r="FX69" s="129">
        <v>8.4000000000000092</v>
      </c>
      <c r="FZ69" s="27">
        <v>94.600000000000023</v>
      </c>
      <c r="GA69" s="27">
        <v>94.600000000000023</v>
      </c>
      <c r="GB69" s="27">
        <v>94.600000000000023</v>
      </c>
      <c r="GC69" s="27">
        <v>94.600000000000023</v>
      </c>
      <c r="GD69" s="27">
        <v>94.600000000000023</v>
      </c>
      <c r="GE69" s="27">
        <v>94.600000000000023</v>
      </c>
      <c r="GF69" s="27">
        <v>94.600000000000023</v>
      </c>
      <c r="GG69" s="27">
        <v>94.600000000000023</v>
      </c>
      <c r="GH69" s="27">
        <v>94.600000000000023</v>
      </c>
      <c r="GI69" s="129">
        <v>8.4000000000000092</v>
      </c>
      <c r="GJ69" s="27"/>
      <c r="GK69" s="27">
        <v>22.799999999999997</v>
      </c>
      <c r="GL69" s="27">
        <v>22.799999999999997</v>
      </c>
      <c r="GM69" s="27">
        <v>22.799999999999997</v>
      </c>
      <c r="GN69" s="27">
        <v>22.799999999999997</v>
      </c>
      <c r="GO69" s="27">
        <v>22.799999999999997</v>
      </c>
      <c r="GP69" s="27">
        <v>22.799999999999997</v>
      </c>
      <c r="GQ69" s="27">
        <v>22.799999999999997</v>
      </c>
      <c r="GR69" s="27">
        <v>22.799999999999997</v>
      </c>
      <c r="GS69" s="27">
        <v>22.799999999999997</v>
      </c>
      <c r="GT69" s="129">
        <v>8.4000000000000092</v>
      </c>
      <c r="GV69" s="27">
        <v>26.799999999999997</v>
      </c>
      <c r="GW69" s="27">
        <v>26.799999999999997</v>
      </c>
      <c r="GX69" s="27">
        <v>26.799999999999997</v>
      </c>
      <c r="GY69" s="27">
        <v>26.799999999999997</v>
      </c>
      <c r="GZ69" s="27">
        <v>26.799999999999997</v>
      </c>
      <c r="HA69" s="27">
        <v>26.799999999999997</v>
      </c>
      <c r="HB69" s="27">
        <v>26.799999999999997</v>
      </c>
      <c r="HC69" s="27">
        <v>26.799999999999997</v>
      </c>
      <c r="HD69" s="27">
        <v>26.799999999999997</v>
      </c>
      <c r="HE69" s="129">
        <v>8.4000000000000092</v>
      </c>
      <c r="HG69" s="27">
        <v>37.400000000000006</v>
      </c>
      <c r="HH69" s="27">
        <v>37.400000000000006</v>
      </c>
      <c r="HI69" s="27">
        <v>37.400000000000006</v>
      </c>
      <c r="HJ69" s="27">
        <v>37.400000000000006</v>
      </c>
      <c r="HK69" s="27">
        <v>37.400000000000006</v>
      </c>
      <c r="HL69" s="27">
        <v>37.400000000000006</v>
      </c>
      <c r="HM69" s="27">
        <v>37.400000000000006</v>
      </c>
      <c r="HN69" s="27">
        <v>37.400000000000006</v>
      </c>
      <c r="HO69" s="27">
        <v>37.400000000000006</v>
      </c>
      <c r="HP69" s="129">
        <v>8.4000000000000092</v>
      </c>
      <c r="HR69" s="27">
        <v>37.400000000000006</v>
      </c>
      <c r="HS69" s="27">
        <v>37.400000000000006</v>
      </c>
      <c r="HT69" s="27">
        <v>37.400000000000006</v>
      </c>
      <c r="HU69" s="27">
        <v>37.400000000000006</v>
      </c>
      <c r="HV69" s="27">
        <v>37.400000000000006</v>
      </c>
      <c r="HW69" s="27">
        <v>37.400000000000006</v>
      </c>
      <c r="HX69" s="27">
        <v>37.400000000000006</v>
      </c>
      <c r="HY69" s="27">
        <v>37.400000000000006</v>
      </c>
      <c r="HZ69" s="27">
        <v>37.400000000000006</v>
      </c>
      <c r="IA69" s="129">
        <v>8.4000000000000092</v>
      </c>
    </row>
    <row r="70" spans="15:235" ht="3" customHeight="1">
      <c r="O70" s="129">
        <v>37.5</v>
      </c>
      <c r="P70" s="129">
        <v>37.5</v>
      </c>
      <c r="Q70" s="129">
        <v>37.5</v>
      </c>
      <c r="R70" s="129">
        <v>37.5</v>
      </c>
      <c r="S70" s="129">
        <v>37.5</v>
      </c>
      <c r="T70" s="129">
        <v>37.5</v>
      </c>
      <c r="U70" s="129">
        <v>37.5</v>
      </c>
      <c r="V70" s="129">
        <v>37.5</v>
      </c>
      <c r="W70" s="129">
        <v>37.5</v>
      </c>
      <c r="X70" s="129">
        <v>6.5</v>
      </c>
      <c r="Y70" s="27"/>
      <c r="Z70" s="129">
        <v>63</v>
      </c>
      <c r="AA70" s="129">
        <v>63</v>
      </c>
      <c r="AB70" s="129">
        <v>63</v>
      </c>
      <c r="AC70" s="129">
        <v>63</v>
      </c>
      <c r="AD70" s="129">
        <v>63</v>
      </c>
      <c r="AE70" s="129">
        <v>63</v>
      </c>
      <c r="AF70" s="129">
        <v>63</v>
      </c>
      <c r="AG70" s="129">
        <v>63</v>
      </c>
      <c r="AH70" s="129">
        <v>63</v>
      </c>
      <c r="AI70" s="129">
        <v>6.5</v>
      </c>
      <c r="AK70" s="129">
        <v>75.500000000000028</v>
      </c>
      <c r="AL70" s="129">
        <v>75.500000000000028</v>
      </c>
      <c r="AM70" s="129">
        <v>75.500000000000028</v>
      </c>
      <c r="AN70" s="129">
        <v>75.500000000000028</v>
      </c>
      <c r="AO70" s="129">
        <v>75.500000000000028</v>
      </c>
      <c r="AP70" s="129">
        <v>75.500000000000028</v>
      </c>
      <c r="AQ70" s="129">
        <v>75.500000000000028</v>
      </c>
      <c r="AR70" s="129">
        <v>75.500000000000028</v>
      </c>
      <c r="AS70" s="129">
        <v>75.500000000000028</v>
      </c>
      <c r="AT70" s="129">
        <v>6.5</v>
      </c>
      <c r="AV70" s="129">
        <v>78.500000000000014</v>
      </c>
      <c r="AW70" s="129">
        <v>78.500000000000014</v>
      </c>
      <c r="AX70" s="129">
        <v>78.500000000000014</v>
      </c>
      <c r="AY70" s="129">
        <v>78.500000000000014</v>
      </c>
      <c r="AZ70" s="129">
        <v>78.500000000000014</v>
      </c>
      <c r="BA70" s="129">
        <v>78.500000000000014</v>
      </c>
      <c r="BB70" s="129">
        <v>78.500000000000014</v>
      </c>
      <c r="BC70" s="129">
        <v>78.500000000000014</v>
      </c>
      <c r="BD70" s="129">
        <v>78.500000000000014</v>
      </c>
      <c r="BE70" s="129">
        <v>6.5</v>
      </c>
      <c r="BG70" s="129">
        <v>122</v>
      </c>
      <c r="BH70" s="129">
        <v>122</v>
      </c>
      <c r="BI70" s="129">
        <v>122</v>
      </c>
      <c r="BJ70" s="129">
        <v>122</v>
      </c>
      <c r="BK70" s="129">
        <v>122</v>
      </c>
      <c r="BL70" s="129">
        <v>122</v>
      </c>
      <c r="BM70" s="129">
        <v>122</v>
      </c>
      <c r="BN70" s="129">
        <v>122</v>
      </c>
      <c r="BO70" s="129">
        <v>122</v>
      </c>
      <c r="BP70" s="129">
        <v>6.5</v>
      </c>
      <c r="BR70" s="129">
        <v>122</v>
      </c>
      <c r="BS70" s="129">
        <v>122</v>
      </c>
      <c r="BT70" s="129">
        <v>122</v>
      </c>
      <c r="BU70" s="129">
        <v>122</v>
      </c>
      <c r="BV70" s="129">
        <v>122</v>
      </c>
      <c r="BW70" s="129">
        <v>122</v>
      </c>
      <c r="BX70" s="129">
        <v>122</v>
      </c>
      <c r="BY70" s="129">
        <v>122</v>
      </c>
      <c r="BZ70" s="129">
        <v>122</v>
      </c>
      <c r="CA70" s="129">
        <v>6.5</v>
      </c>
      <c r="CC70" s="129">
        <v>29.000000000000007</v>
      </c>
      <c r="CD70" s="129">
        <v>29.000000000000007</v>
      </c>
      <c r="CE70" s="129">
        <v>29.000000000000007</v>
      </c>
      <c r="CF70" s="129">
        <v>29.000000000000007</v>
      </c>
      <c r="CG70" s="129">
        <v>29.000000000000007</v>
      </c>
      <c r="CH70" s="129">
        <v>29.000000000000007</v>
      </c>
      <c r="CI70" s="129">
        <v>29.000000000000007</v>
      </c>
      <c r="CJ70" s="129">
        <v>29.000000000000007</v>
      </c>
      <c r="CK70" s="129">
        <v>29.000000000000007</v>
      </c>
      <c r="CL70" s="129">
        <v>6.5</v>
      </c>
      <c r="CN70" s="129">
        <v>34.999999999999993</v>
      </c>
      <c r="CO70" s="129">
        <v>34.999999999999993</v>
      </c>
      <c r="CP70" s="129">
        <v>34.999999999999993</v>
      </c>
      <c r="CQ70" s="129">
        <v>34.999999999999993</v>
      </c>
      <c r="CR70" s="129">
        <v>34.999999999999993</v>
      </c>
      <c r="CS70" s="129">
        <v>34.999999999999993</v>
      </c>
      <c r="CT70" s="129">
        <v>34.999999999999993</v>
      </c>
      <c r="CU70" s="129">
        <v>34.999999999999993</v>
      </c>
      <c r="CV70" s="129">
        <v>34.999999999999993</v>
      </c>
      <c r="CW70" s="129">
        <v>6.5</v>
      </c>
      <c r="CY70" s="129">
        <v>48.000000000000014</v>
      </c>
      <c r="CZ70" s="129">
        <v>48.000000000000014</v>
      </c>
      <c r="DA70" s="129">
        <v>48.000000000000014</v>
      </c>
      <c r="DB70" s="129">
        <v>48.000000000000014</v>
      </c>
      <c r="DC70" s="129">
        <v>48.000000000000014</v>
      </c>
      <c r="DD70" s="129">
        <v>48.000000000000014</v>
      </c>
      <c r="DE70" s="129">
        <v>48.000000000000014</v>
      </c>
      <c r="DF70" s="129">
        <v>48.000000000000014</v>
      </c>
      <c r="DG70" s="129">
        <v>48.000000000000014</v>
      </c>
      <c r="DH70" s="129">
        <v>6.5</v>
      </c>
      <c r="DJ70" s="129">
        <v>48.000000000000014</v>
      </c>
      <c r="DK70" s="129">
        <v>48.000000000000014</v>
      </c>
      <c r="DL70" s="129">
        <v>48.000000000000014</v>
      </c>
      <c r="DM70" s="129">
        <v>48.000000000000014</v>
      </c>
      <c r="DN70" s="129">
        <v>48.000000000000014</v>
      </c>
      <c r="DO70" s="129">
        <v>48.000000000000014</v>
      </c>
      <c r="DP70" s="129">
        <v>48.000000000000014</v>
      </c>
      <c r="DQ70" s="129">
        <v>48.000000000000014</v>
      </c>
      <c r="DR70" s="129">
        <v>48.000000000000014</v>
      </c>
      <c r="DS70" s="129">
        <v>6.5</v>
      </c>
      <c r="DW70" s="27">
        <v>28.499999999999996</v>
      </c>
      <c r="DX70" s="27">
        <v>28.499999999999996</v>
      </c>
      <c r="DY70" s="27">
        <v>28.499999999999996</v>
      </c>
      <c r="DZ70" s="27">
        <v>28.499999999999996</v>
      </c>
      <c r="EA70" s="27">
        <v>28.499999999999996</v>
      </c>
      <c r="EB70" s="27">
        <v>28.499999999999996</v>
      </c>
      <c r="EC70" s="27">
        <v>28.499999999999996</v>
      </c>
      <c r="ED70" s="27">
        <v>28.499999999999996</v>
      </c>
      <c r="EE70" s="27">
        <v>28.499999999999996</v>
      </c>
      <c r="EF70" s="129">
        <v>8.5000000000000107</v>
      </c>
      <c r="EH70" s="27">
        <v>47.999999999999993</v>
      </c>
      <c r="EI70" s="27">
        <v>47.999999999999993</v>
      </c>
      <c r="EJ70" s="27">
        <v>47.999999999999993</v>
      </c>
      <c r="EK70" s="27">
        <v>47.999999999999993</v>
      </c>
      <c r="EL70" s="27">
        <v>47.999999999999993</v>
      </c>
      <c r="EM70" s="27">
        <v>47.999999999999993</v>
      </c>
      <c r="EN70" s="27">
        <v>47.999999999999993</v>
      </c>
      <c r="EO70" s="27">
        <v>47.999999999999993</v>
      </c>
      <c r="EP70" s="27">
        <v>47.999999999999993</v>
      </c>
      <c r="EQ70" s="129">
        <v>8.5000000000000107</v>
      </c>
      <c r="ES70" s="27">
        <v>57.499999999999986</v>
      </c>
      <c r="ET70" s="27">
        <v>57.499999999999986</v>
      </c>
      <c r="EU70" s="27">
        <v>57.499999999999986</v>
      </c>
      <c r="EV70" s="27">
        <v>57.499999999999986</v>
      </c>
      <c r="EW70" s="27">
        <v>57.499999999999986</v>
      </c>
      <c r="EX70" s="27">
        <v>57.499999999999986</v>
      </c>
      <c r="EY70" s="27">
        <v>57.499999999999986</v>
      </c>
      <c r="EZ70" s="27">
        <v>57.499999999999986</v>
      </c>
      <c r="FA70" s="27">
        <v>57.499999999999986</v>
      </c>
      <c r="FB70" s="129">
        <v>8.5000000000000107</v>
      </c>
      <c r="FD70" s="27">
        <v>59.499999999999986</v>
      </c>
      <c r="FE70" s="27">
        <v>59.499999999999986</v>
      </c>
      <c r="FF70" s="27">
        <v>59.499999999999986</v>
      </c>
      <c r="FG70" s="27">
        <v>59.499999999999986</v>
      </c>
      <c r="FH70" s="27">
        <v>59.499999999999986</v>
      </c>
      <c r="FI70" s="27">
        <v>59.499999999999986</v>
      </c>
      <c r="FJ70" s="27">
        <v>59.499999999999986</v>
      </c>
      <c r="FK70" s="27">
        <v>59.499999999999986</v>
      </c>
      <c r="FL70" s="27">
        <v>59.499999999999986</v>
      </c>
      <c r="FM70" s="129">
        <v>8.5000000000000107</v>
      </c>
      <c r="FO70" s="27">
        <v>93.500000000000028</v>
      </c>
      <c r="FP70" s="27">
        <v>93.500000000000028</v>
      </c>
      <c r="FQ70" s="27">
        <v>93.500000000000028</v>
      </c>
      <c r="FR70" s="27">
        <v>93.500000000000028</v>
      </c>
      <c r="FS70" s="27">
        <v>93.500000000000028</v>
      </c>
      <c r="FT70" s="27">
        <v>93.500000000000028</v>
      </c>
      <c r="FU70" s="27">
        <v>93.500000000000028</v>
      </c>
      <c r="FV70" s="27">
        <v>93.500000000000028</v>
      </c>
      <c r="FW70" s="27">
        <v>93.500000000000028</v>
      </c>
      <c r="FX70" s="129">
        <v>8.5000000000000107</v>
      </c>
      <c r="FZ70" s="27">
        <v>93.500000000000028</v>
      </c>
      <c r="GA70" s="27">
        <v>93.500000000000028</v>
      </c>
      <c r="GB70" s="27">
        <v>93.500000000000028</v>
      </c>
      <c r="GC70" s="27">
        <v>93.500000000000028</v>
      </c>
      <c r="GD70" s="27">
        <v>93.500000000000028</v>
      </c>
      <c r="GE70" s="27">
        <v>93.500000000000028</v>
      </c>
      <c r="GF70" s="27">
        <v>93.500000000000028</v>
      </c>
      <c r="GG70" s="27">
        <v>93.500000000000028</v>
      </c>
      <c r="GH70" s="27">
        <v>93.500000000000028</v>
      </c>
      <c r="GI70" s="129">
        <v>8.5000000000000107</v>
      </c>
      <c r="GJ70" s="27"/>
      <c r="GK70" s="27">
        <v>22.499999999999996</v>
      </c>
      <c r="GL70" s="27">
        <v>22.499999999999996</v>
      </c>
      <c r="GM70" s="27">
        <v>22.499999999999996</v>
      </c>
      <c r="GN70" s="27">
        <v>22.499999999999996</v>
      </c>
      <c r="GO70" s="27">
        <v>22.499999999999996</v>
      </c>
      <c r="GP70" s="27">
        <v>22.499999999999996</v>
      </c>
      <c r="GQ70" s="27">
        <v>22.499999999999996</v>
      </c>
      <c r="GR70" s="27">
        <v>22.499999999999996</v>
      </c>
      <c r="GS70" s="27">
        <v>22.499999999999996</v>
      </c>
      <c r="GT70" s="129">
        <v>8.5000000000000107</v>
      </c>
      <c r="GV70" s="27">
        <v>26.499999999999996</v>
      </c>
      <c r="GW70" s="27">
        <v>26.499999999999996</v>
      </c>
      <c r="GX70" s="27">
        <v>26.499999999999996</v>
      </c>
      <c r="GY70" s="27">
        <v>26.499999999999996</v>
      </c>
      <c r="GZ70" s="27">
        <v>26.499999999999996</v>
      </c>
      <c r="HA70" s="27">
        <v>26.499999999999996</v>
      </c>
      <c r="HB70" s="27">
        <v>26.499999999999996</v>
      </c>
      <c r="HC70" s="27">
        <v>26.499999999999996</v>
      </c>
      <c r="HD70" s="27">
        <v>26.499999999999996</v>
      </c>
      <c r="HE70" s="129">
        <v>8.5000000000000107</v>
      </c>
      <c r="HG70" s="27">
        <v>37.000000000000007</v>
      </c>
      <c r="HH70" s="27">
        <v>37.000000000000007</v>
      </c>
      <c r="HI70" s="27">
        <v>37.000000000000007</v>
      </c>
      <c r="HJ70" s="27">
        <v>37.000000000000007</v>
      </c>
      <c r="HK70" s="27">
        <v>37.000000000000007</v>
      </c>
      <c r="HL70" s="27">
        <v>37.000000000000007</v>
      </c>
      <c r="HM70" s="27">
        <v>37.000000000000007</v>
      </c>
      <c r="HN70" s="27">
        <v>37.000000000000007</v>
      </c>
      <c r="HO70" s="27">
        <v>37.000000000000007</v>
      </c>
      <c r="HP70" s="129">
        <v>8.5000000000000107</v>
      </c>
      <c r="HR70" s="27">
        <v>37.000000000000007</v>
      </c>
      <c r="HS70" s="27">
        <v>37.000000000000007</v>
      </c>
      <c r="HT70" s="27">
        <v>37.000000000000007</v>
      </c>
      <c r="HU70" s="27">
        <v>37.000000000000007</v>
      </c>
      <c r="HV70" s="27">
        <v>37.000000000000007</v>
      </c>
      <c r="HW70" s="27">
        <v>37.000000000000007</v>
      </c>
      <c r="HX70" s="27">
        <v>37.000000000000007</v>
      </c>
      <c r="HY70" s="27">
        <v>37.000000000000007</v>
      </c>
      <c r="HZ70" s="27">
        <v>37.000000000000007</v>
      </c>
      <c r="IA70" s="129">
        <v>8.5000000000000107</v>
      </c>
    </row>
    <row r="71" spans="15:235" ht="3" customHeight="1">
      <c r="O71" s="129">
        <v>37</v>
      </c>
      <c r="P71" s="129">
        <v>37</v>
      </c>
      <c r="Q71" s="129">
        <v>37</v>
      </c>
      <c r="R71" s="129">
        <v>37</v>
      </c>
      <c r="S71" s="129">
        <v>37</v>
      </c>
      <c r="T71" s="129">
        <v>37</v>
      </c>
      <c r="U71" s="129">
        <v>37</v>
      </c>
      <c r="V71" s="129">
        <v>37</v>
      </c>
      <c r="W71" s="129">
        <v>37</v>
      </c>
      <c r="X71" s="129">
        <v>6.6</v>
      </c>
      <c r="Y71" s="27"/>
      <c r="Z71" s="129">
        <v>62</v>
      </c>
      <c r="AA71" s="129">
        <v>62</v>
      </c>
      <c r="AB71" s="129">
        <v>62</v>
      </c>
      <c r="AC71" s="129">
        <v>62</v>
      </c>
      <c r="AD71" s="129">
        <v>62</v>
      </c>
      <c r="AE71" s="129">
        <v>62</v>
      </c>
      <c r="AF71" s="129">
        <v>62</v>
      </c>
      <c r="AG71" s="129">
        <v>62</v>
      </c>
      <c r="AH71" s="129">
        <v>62</v>
      </c>
      <c r="AI71" s="129">
        <v>6.6</v>
      </c>
      <c r="AK71" s="129">
        <v>74.400000000000034</v>
      </c>
      <c r="AL71" s="129">
        <v>74.400000000000034</v>
      </c>
      <c r="AM71" s="129">
        <v>74.400000000000034</v>
      </c>
      <c r="AN71" s="129">
        <v>74.400000000000034</v>
      </c>
      <c r="AO71" s="129">
        <v>74.400000000000034</v>
      </c>
      <c r="AP71" s="129">
        <v>74.400000000000034</v>
      </c>
      <c r="AQ71" s="129">
        <v>74.400000000000034</v>
      </c>
      <c r="AR71" s="129">
        <v>74.400000000000034</v>
      </c>
      <c r="AS71" s="129">
        <v>74.400000000000034</v>
      </c>
      <c r="AT71" s="129">
        <v>6.6</v>
      </c>
      <c r="AV71" s="129">
        <v>77.200000000000017</v>
      </c>
      <c r="AW71" s="129">
        <v>77.200000000000017</v>
      </c>
      <c r="AX71" s="129">
        <v>77.200000000000017</v>
      </c>
      <c r="AY71" s="129">
        <v>77.200000000000017</v>
      </c>
      <c r="AZ71" s="129">
        <v>77.200000000000017</v>
      </c>
      <c r="BA71" s="129">
        <v>77.200000000000017</v>
      </c>
      <c r="BB71" s="129">
        <v>77.200000000000017</v>
      </c>
      <c r="BC71" s="129">
        <v>77.200000000000017</v>
      </c>
      <c r="BD71" s="129">
        <v>77.200000000000017</v>
      </c>
      <c r="BE71" s="129">
        <v>6.6</v>
      </c>
      <c r="BG71" s="129">
        <v>120.2</v>
      </c>
      <c r="BH71" s="129">
        <v>120.2</v>
      </c>
      <c r="BI71" s="129">
        <v>120.2</v>
      </c>
      <c r="BJ71" s="129">
        <v>120.2</v>
      </c>
      <c r="BK71" s="129">
        <v>120.2</v>
      </c>
      <c r="BL71" s="129">
        <v>120.2</v>
      </c>
      <c r="BM71" s="129">
        <v>120.2</v>
      </c>
      <c r="BN71" s="129">
        <v>120.2</v>
      </c>
      <c r="BO71" s="129">
        <v>120.2</v>
      </c>
      <c r="BP71" s="129">
        <v>6.6</v>
      </c>
      <c r="BR71" s="129">
        <v>120.2</v>
      </c>
      <c r="BS71" s="129">
        <v>120.2</v>
      </c>
      <c r="BT71" s="129">
        <v>120.2</v>
      </c>
      <c r="BU71" s="129">
        <v>120.2</v>
      </c>
      <c r="BV71" s="129">
        <v>120.2</v>
      </c>
      <c r="BW71" s="129">
        <v>120.2</v>
      </c>
      <c r="BX71" s="129">
        <v>120.2</v>
      </c>
      <c r="BY71" s="129">
        <v>120.2</v>
      </c>
      <c r="BZ71" s="129">
        <v>120.2</v>
      </c>
      <c r="CA71" s="129">
        <v>6.6</v>
      </c>
      <c r="CC71" s="129">
        <v>28.600000000000009</v>
      </c>
      <c r="CD71" s="129">
        <v>28.600000000000009</v>
      </c>
      <c r="CE71" s="129">
        <v>28.600000000000009</v>
      </c>
      <c r="CF71" s="129">
        <v>28.600000000000009</v>
      </c>
      <c r="CG71" s="129">
        <v>28.600000000000009</v>
      </c>
      <c r="CH71" s="129">
        <v>28.600000000000009</v>
      </c>
      <c r="CI71" s="129">
        <v>28.600000000000009</v>
      </c>
      <c r="CJ71" s="129">
        <v>28.600000000000009</v>
      </c>
      <c r="CK71" s="129">
        <v>28.600000000000009</v>
      </c>
      <c r="CL71" s="129">
        <v>6.6</v>
      </c>
      <c r="CN71" s="129">
        <v>34.399999999999991</v>
      </c>
      <c r="CO71" s="129">
        <v>34.399999999999991</v>
      </c>
      <c r="CP71" s="129">
        <v>34.399999999999991</v>
      </c>
      <c r="CQ71" s="129">
        <v>34.399999999999991</v>
      </c>
      <c r="CR71" s="129">
        <v>34.399999999999991</v>
      </c>
      <c r="CS71" s="129">
        <v>34.399999999999991</v>
      </c>
      <c r="CT71" s="129">
        <v>34.399999999999991</v>
      </c>
      <c r="CU71" s="129">
        <v>34.399999999999991</v>
      </c>
      <c r="CV71" s="129">
        <v>34.399999999999991</v>
      </c>
      <c r="CW71" s="129">
        <v>6.6</v>
      </c>
      <c r="CY71" s="129">
        <v>47.200000000000017</v>
      </c>
      <c r="CZ71" s="129">
        <v>47.200000000000017</v>
      </c>
      <c r="DA71" s="129">
        <v>47.200000000000017</v>
      </c>
      <c r="DB71" s="129">
        <v>47.200000000000017</v>
      </c>
      <c r="DC71" s="129">
        <v>47.200000000000017</v>
      </c>
      <c r="DD71" s="129">
        <v>47.200000000000017</v>
      </c>
      <c r="DE71" s="129">
        <v>47.200000000000017</v>
      </c>
      <c r="DF71" s="129">
        <v>47.200000000000017</v>
      </c>
      <c r="DG71" s="129">
        <v>47.200000000000017</v>
      </c>
      <c r="DH71" s="129">
        <v>6.6</v>
      </c>
      <c r="DJ71" s="129">
        <v>47.200000000000017</v>
      </c>
      <c r="DK71" s="129">
        <v>47.200000000000017</v>
      </c>
      <c r="DL71" s="129">
        <v>47.200000000000017</v>
      </c>
      <c r="DM71" s="129">
        <v>47.200000000000017</v>
      </c>
      <c r="DN71" s="129">
        <v>47.200000000000017</v>
      </c>
      <c r="DO71" s="129">
        <v>47.200000000000017</v>
      </c>
      <c r="DP71" s="129">
        <v>47.200000000000017</v>
      </c>
      <c r="DQ71" s="129">
        <v>47.200000000000017</v>
      </c>
      <c r="DR71" s="129">
        <v>47.200000000000017</v>
      </c>
      <c r="DS71" s="129">
        <v>6.6</v>
      </c>
      <c r="DW71" s="27">
        <v>28.199999999999996</v>
      </c>
      <c r="DX71" s="27">
        <v>28.199999999999996</v>
      </c>
      <c r="DY71" s="27">
        <v>28.199999999999996</v>
      </c>
      <c r="DZ71" s="27">
        <v>28.199999999999996</v>
      </c>
      <c r="EA71" s="27">
        <v>28.199999999999996</v>
      </c>
      <c r="EB71" s="27">
        <v>28.199999999999996</v>
      </c>
      <c r="EC71" s="27">
        <v>28.199999999999996</v>
      </c>
      <c r="ED71" s="27">
        <v>28.199999999999996</v>
      </c>
      <c r="EE71" s="27">
        <v>28.199999999999996</v>
      </c>
      <c r="EF71" s="129">
        <v>8.6000000000000103</v>
      </c>
      <c r="EH71" s="27">
        <v>47.399999999999991</v>
      </c>
      <c r="EI71" s="27">
        <v>47.399999999999991</v>
      </c>
      <c r="EJ71" s="27">
        <v>47.399999999999991</v>
      </c>
      <c r="EK71" s="27">
        <v>47.399999999999991</v>
      </c>
      <c r="EL71" s="27">
        <v>47.399999999999991</v>
      </c>
      <c r="EM71" s="27">
        <v>47.399999999999991</v>
      </c>
      <c r="EN71" s="27">
        <v>47.399999999999991</v>
      </c>
      <c r="EO71" s="27">
        <v>47.399999999999991</v>
      </c>
      <c r="EP71" s="27">
        <v>47.399999999999991</v>
      </c>
      <c r="EQ71" s="129">
        <v>8.6000000000000103</v>
      </c>
      <c r="ES71" s="27">
        <v>56.799999999999983</v>
      </c>
      <c r="ET71" s="27">
        <v>56.799999999999983</v>
      </c>
      <c r="EU71" s="27">
        <v>56.799999999999983</v>
      </c>
      <c r="EV71" s="27">
        <v>56.799999999999983</v>
      </c>
      <c r="EW71" s="27">
        <v>56.799999999999983</v>
      </c>
      <c r="EX71" s="27">
        <v>56.799999999999983</v>
      </c>
      <c r="EY71" s="27">
        <v>56.799999999999983</v>
      </c>
      <c r="EZ71" s="27">
        <v>56.799999999999983</v>
      </c>
      <c r="FA71" s="27">
        <v>56.799999999999983</v>
      </c>
      <c r="FB71" s="129">
        <v>8.6000000000000103</v>
      </c>
      <c r="FD71" s="27">
        <v>58.799999999999983</v>
      </c>
      <c r="FE71" s="27">
        <v>58.799999999999983</v>
      </c>
      <c r="FF71" s="27">
        <v>58.799999999999983</v>
      </c>
      <c r="FG71" s="27">
        <v>58.799999999999983</v>
      </c>
      <c r="FH71" s="27">
        <v>58.799999999999983</v>
      </c>
      <c r="FI71" s="27">
        <v>58.799999999999983</v>
      </c>
      <c r="FJ71" s="27">
        <v>58.799999999999983</v>
      </c>
      <c r="FK71" s="27">
        <v>58.799999999999983</v>
      </c>
      <c r="FL71" s="27">
        <v>58.799999999999983</v>
      </c>
      <c r="FM71" s="129">
        <v>8.6000000000000103</v>
      </c>
      <c r="FO71" s="27">
        <v>92.400000000000034</v>
      </c>
      <c r="FP71" s="27">
        <v>92.400000000000034</v>
      </c>
      <c r="FQ71" s="27">
        <v>92.400000000000034</v>
      </c>
      <c r="FR71" s="27">
        <v>92.400000000000034</v>
      </c>
      <c r="FS71" s="27">
        <v>92.400000000000034</v>
      </c>
      <c r="FT71" s="27">
        <v>92.400000000000034</v>
      </c>
      <c r="FU71" s="27">
        <v>92.400000000000034</v>
      </c>
      <c r="FV71" s="27">
        <v>92.400000000000034</v>
      </c>
      <c r="FW71" s="27">
        <v>92.400000000000034</v>
      </c>
      <c r="FX71" s="129">
        <v>8.6000000000000103</v>
      </c>
      <c r="FZ71" s="27">
        <v>92.400000000000034</v>
      </c>
      <c r="GA71" s="27">
        <v>92.400000000000034</v>
      </c>
      <c r="GB71" s="27">
        <v>92.400000000000034</v>
      </c>
      <c r="GC71" s="27">
        <v>92.400000000000034</v>
      </c>
      <c r="GD71" s="27">
        <v>92.400000000000034</v>
      </c>
      <c r="GE71" s="27">
        <v>92.400000000000034</v>
      </c>
      <c r="GF71" s="27">
        <v>92.400000000000034</v>
      </c>
      <c r="GG71" s="27">
        <v>92.400000000000034</v>
      </c>
      <c r="GH71" s="27">
        <v>92.400000000000034</v>
      </c>
      <c r="GI71" s="129">
        <v>8.6000000000000103</v>
      </c>
      <c r="GJ71" s="27"/>
      <c r="GK71" s="27">
        <v>22.199999999999996</v>
      </c>
      <c r="GL71" s="27">
        <v>22.199999999999996</v>
      </c>
      <c r="GM71" s="27">
        <v>22.199999999999996</v>
      </c>
      <c r="GN71" s="27">
        <v>22.199999999999996</v>
      </c>
      <c r="GO71" s="27">
        <v>22.199999999999996</v>
      </c>
      <c r="GP71" s="27">
        <v>22.199999999999996</v>
      </c>
      <c r="GQ71" s="27">
        <v>22.199999999999996</v>
      </c>
      <c r="GR71" s="27">
        <v>22.199999999999996</v>
      </c>
      <c r="GS71" s="27">
        <v>22.199999999999996</v>
      </c>
      <c r="GT71" s="129">
        <v>8.6000000000000103</v>
      </c>
      <c r="GV71" s="27">
        <v>26.199999999999996</v>
      </c>
      <c r="GW71" s="27">
        <v>26.199999999999996</v>
      </c>
      <c r="GX71" s="27">
        <v>26.199999999999996</v>
      </c>
      <c r="GY71" s="27">
        <v>26.199999999999996</v>
      </c>
      <c r="GZ71" s="27">
        <v>26.199999999999996</v>
      </c>
      <c r="HA71" s="27">
        <v>26.199999999999996</v>
      </c>
      <c r="HB71" s="27">
        <v>26.199999999999996</v>
      </c>
      <c r="HC71" s="27">
        <v>26.199999999999996</v>
      </c>
      <c r="HD71" s="27">
        <v>26.199999999999996</v>
      </c>
      <c r="HE71" s="129">
        <v>8.6000000000000103</v>
      </c>
      <c r="HG71" s="27">
        <v>36.600000000000009</v>
      </c>
      <c r="HH71" s="27">
        <v>36.600000000000009</v>
      </c>
      <c r="HI71" s="27">
        <v>36.600000000000009</v>
      </c>
      <c r="HJ71" s="27">
        <v>36.600000000000009</v>
      </c>
      <c r="HK71" s="27">
        <v>36.600000000000009</v>
      </c>
      <c r="HL71" s="27">
        <v>36.600000000000009</v>
      </c>
      <c r="HM71" s="27">
        <v>36.600000000000009</v>
      </c>
      <c r="HN71" s="27">
        <v>36.600000000000009</v>
      </c>
      <c r="HO71" s="27">
        <v>36.600000000000009</v>
      </c>
      <c r="HP71" s="129">
        <v>8.6000000000000103</v>
      </c>
      <c r="HR71" s="27">
        <v>36.600000000000009</v>
      </c>
      <c r="HS71" s="27">
        <v>36.600000000000009</v>
      </c>
      <c r="HT71" s="27">
        <v>36.600000000000009</v>
      </c>
      <c r="HU71" s="27">
        <v>36.600000000000009</v>
      </c>
      <c r="HV71" s="27">
        <v>36.600000000000009</v>
      </c>
      <c r="HW71" s="27">
        <v>36.600000000000009</v>
      </c>
      <c r="HX71" s="27">
        <v>36.600000000000009</v>
      </c>
      <c r="HY71" s="27">
        <v>36.600000000000009</v>
      </c>
      <c r="HZ71" s="27">
        <v>36.600000000000009</v>
      </c>
      <c r="IA71" s="129">
        <v>8.6000000000000103</v>
      </c>
    </row>
    <row r="72" spans="15:235" ht="3" customHeight="1">
      <c r="O72" s="129">
        <v>36.5</v>
      </c>
      <c r="P72" s="129">
        <v>36.5</v>
      </c>
      <c r="Q72" s="129">
        <v>36.5</v>
      </c>
      <c r="R72" s="129">
        <v>36.5</v>
      </c>
      <c r="S72" s="129">
        <v>36.5</v>
      </c>
      <c r="T72" s="129">
        <v>36.5</v>
      </c>
      <c r="U72" s="129">
        <v>36.5</v>
      </c>
      <c r="V72" s="129">
        <v>36.5</v>
      </c>
      <c r="W72" s="129">
        <v>36.5</v>
      </c>
      <c r="X72" s="129">
        <v>6.7</v>
      </c>
      <c r="Y72" s="27"/>
      <c r="Z72" s="129">
        <v>61</v>
      </c>
      <c r="AA72" s="129">
        <v>61</v>
      </c>
      <c r="AB72" s="129">
        <v>61</v>
      </c>
      <c r="AC72" s="129">
        <v>61</v>
      </c>
      <c r="AD72" s="129">
        <v>61</v>
      </c>
      <c r="AE72" s="129">
        <v>61</v>
      </c>
      <c r="AF72" s="129">
        <v>61</v>
      </c>
      <c r="AG72" s="129">
        <v>61</v>
      </c>
      <c r="AH72" s="129">
        <v>61</v>
      </c>
      <c r="AI72" s="129">
        <v>6.7</v>
      </c>
      <c r="AK72" s="129">
        <v>73.30000000000004</v>
      </c>
      <c r="AL72" s="129">
        <v>73.30000000000004</v>
      </c>
      <c r="AM72" s="129">
        <v>73.30000000000004</v>
      </c>
      <c r="AN72" s="129">
        <v>73.30000000000004</v>
      </c>
      <c r="AO72" s="129">
        <v>73.30000000000004</v>
      </c>
      <c r="AP72" s="129">
        <v>73.30000000000004</v>
      </c>
      <c r="AQ72" s="129">
        <v>73.30000000000004</v>
      </c>
      <c r="AR72" s="129">
        <v>73.30000000000004</v>
      </c>
      <c r="AS72" s="129">
        <v>73.30000000000004</v>
      </c>
      <c r="AT72" s="129">
        <v>6.7</v>
      </c>
      <c r="AV72" s="129">
        <v>75.90000000000002</v>
      </c>
      <c r="AW72" s="129">
        <v>75.90000000000002</v>
      </c>
      <c r="AX72" s="129">
        <v>75.90000000000002</v>
      </c>
      <c r="AY72" s="129">
        <v>75.90000000000002</v>
      </c>
      <c r="AZ72" s="129">
        <v>75.90000000000002</v>
      </c>
      <c r="BA72" s="129">
        <v>75.90000000000002</v>
      </c>
      <c r="BB72" s="129">
        <v>75.90000000000002</v>
      </c>
      <c r="BC72" s="129">
        <v>75.90000000000002</v>
      </c>
      <c r="BD72" s="129">
        <v>75.90000000000002</v>
      </c>
      <c r="BE72" s="129">
        <v>6.7</v>
      </c>
      <c r="BG72" s="129">
        <v>118.4</v>
      </c>
      <c r="BH72" s="129">
        <v>118.4</v>
      </c>
      <c r="BI72" s="129">
        <v>118.4</v>
      </c>
      <c r="BJ72" s="129">
        <v>118.4</v>
      </c>
      <c r="BK72" s="129">
        <v>118.4</v>
      </c>
      <c r="BL72" s="129">
        <v>118.4</v>
      </c>
      <c r="BM72" s="129">
        <v>118.4</v>
      </c>
      <c r="BN72" s="129">
        <v>118.4</v>
      </c>
      <c r="BO72" s="129">
        <v>118.4</v>
      </c>
      <c r="BP72" s="129">
        <v>6.7</v>
      </c>
      <c r="BR72" s="129">
        <v>118.4</v>
      </c>
      <c r="BS72" s="129">
        <v>118.4</v>
      </c>
      <c r="BT72" s="129">
        <v>118.4</v>
      </c>
      <c r="BU72" s="129">
        <v>118.4</v>
      </c>
      <c r="BV72" s="129">
        <v>118.4</v>
      </c>
      <c r="BW72" s="129">
        <v>118.4</v>
      </c>
      <c r="BX72" s="129">
        <v>118.4</v>
      </c>
      <c r="BY72" s="129">
        <v>118.4</v>
      </c>
      <c r="BZ72" s="129">
        <v>118.4</v>
      </c>
      <c r="CA72" s="129">
        <v>6.7</v>
      </c>
      <c r="CC72" s="129">
        <v>28.20000000000001</v>
      </c>
      <c r="CD72" s="129">
        <v>28.20000000000001</v>
      </c>
      <c r="CE72" s="129">
        <v>28.20000000000001</v>
      </c>
      <c r="CF72" s="129">
        <v>28.20000000000001</v>
      </c>
      <c r="CG72" s="129">
        <v>28.20000000000001</v>
      </c>
      <c r="CH72" s="129">
        <v>28.20000000000001</v>
      </c>
      <c r="CI72" s="129">
        <v>28.20000000000001</v>
      </c>
      <c r="CJ72" s="129">
        <v>28.20000000000001</v>
      </c>
      <c r="CK72" s="129">
        <v>28.20000000000001</v>
      </c>
      <c r="CL72" s="129">
        <v>6.7</v>
      </c>
      <c r="CN72" s="129">
        <v>33.79999999999999</v>
      </c>
      <c r="CO72" s="129">
        <v>33.79999999999999</v>
      </c>
      <c r="CP72" s="129">
        <v>33.79999999999999</v>
      </c>
      <c r="CQ72" s="129">
        <v>33.79999999999999</v>
      </c>
      <c r="CR72" s="129">
        <v>33.79999999999999</v>
      </c>
      <c r="CS72" s="129">
        <v>33.79999999999999</v>
      </c>
      <c r="CT72" s="129">
        <v>33.79999999999999</v>
      </c>
      <c r="CU72" s="129">
        <v>33.79999999999999</v>
      </c>
      <c r="CV72" s="129">
        <v>33.79999999999999</v>
      </c>
      <c r="CW72" s="129">
        <v>6.7</v>
      </c>
      <c r="CY72" s="129">
        <v>46.40000000000002</v>
      </c>
      <c r="CZ72" s="129">
        <v>46.40000000000002</v>
      </c>
      <c r="DA72" s="129">
        <v>46.40000000000002</v>
      </c>
      <c r="DB72" s="129">
        <v>46.40000000000002</v>
      </c>
      <c r="DC72" s="129">
        <v>46.40000000000002</v>
      </c>
      <c r="DD72" s="129">
        <v>46.40000000000002</v>
      </c>
      <c r="DE72" s="129">
        <v>46.40000000000002</v>
      </c>
      <c r="DF72" s="129">
        <v>46.40000000000002</v>
      </c>
      <c r="DG72" s="129">
        <v>46.40000000000002</v>
      </c>
      <c r="DH72" s="129">
        <v>6.7</v>
      </c>
      <c r="DJ72" s="129">
        <v>46.40000000000002</v>
      </c>
      <c r="DK72" s="129">
        <v>46.40000000000002</v>
      </c>
      <c r="DL72" s="129">
        <v>46.40000000000002</v>
      </c>
      <c r="DM72" s="129">
        <v>46.40000000000002</v>
      </c>
      <c r="DN72" s="129">
        <v>46.40000000000002</v>
      </c>
      <c r="DO72" s="129">
        <v>46.40000000000002</v>
      </c>
      <c r="DP72" s="129">
        <v>46.40000000000002</v>
      </c>
      <c r="DQ72" s="129">
        <v>46.40000000000002</v>
      </c>
      <c r="DR72" s="129">
        <v>46.40000000000002</v>
      </c>
      <c r="DS72" s="129">
        <v>6.7</v>
      </c>
      <c r="DW72" s="27">
        <v>27.899999999999995</v>
      </c>
      <c r="DX72" s="27">
        <v>27.899999999999995</v>
      </c>
      <c r="DY72" s="27">
        <v>27.899999999999995</v>
      </c>
      <c r="DZ72" s="27">
        <v>27.899999999999995</v>
      </c>
      <c r="EA72" s="27">
        <v>27.899999999999995</v>
      </c>
      <c r="EB72" s="27">
        <v>27.899999999999995</v>
      </c>
      <c r="EC72" s="27">
        <v>27.899999999999995</v>
      </c>
      <c r="ED72" s="27">
        <v>27.899999999999995</v>
      </c>
      <c r="EE72" s="27">
        <v>27.899999999999995</v>
      </c>
      <c r="EF72" s="129">
        <v>8.7000000000000099</v>
      </c>
      <c r="EH72" s="27">
        <v>46.79999999999999</v>
      </c>
      <c r="EI72" s="27">
        <v>46.79999999999999</v>
      </c>
      <c r="EJ72" s="27">
        <v>46.79999999999999</v>
      </c>
      <c r="EK72" s="27">
        <v>46.79999999999999</v>
      </c>
      <c r="EL72" s="27">
        <v>46.79999999999999</v>
      </c>
      <c r="EM72" s="27">
        <v>46.79999999999999</v>
      </c>
      <c r="EN72" s="27">
        <v>46.79999999999999</v>
      </c>
      <c r="EO72" s="27">
        <v>46.79999999999999</v>
      </c>
      <c r="EP72" s="27">
        <v>46.79999999999999</v>
      </c>
      <c r="EQ72" s="129">
        <v>8.7000000000000099</v>
      </c>
      <c r="ES72" s="27">
        <v>56.09999999999998</v>
      </c>
      <c r="ET72" s="27">
        <v>56.09999999999998</v>
      </c>
      <c r="EU72" s="27">
        <v>56.09999999999998</v>
      </c>
      <c r="EV72" s="27">
        <v>56.09999999999998</v>
      </c>
      <c r="EW72" s="27">
        <v>56.09999999999998</v>
      </c>
      <c r="EX72" s="27">
        <v>56.09999999999998</v>
      </c>
      <c r="EY72" s="27">
        <v>56.09999999999998</v>
      </c>
      <c r="EZ72" s="27">
        <v>56.09999999999998</v>
      </c>
      <c r="FA72" s="27">
        <v>56.09999999999998</v>
      </c>
      <c r="FB72" s="129">
        <v>8.7000000000000099</v>
      </c>
      <c r="FD72" s="27">
        <v>58.09999999999998</v>
      </c>
      <c r="FE72" s="27">
        <v>58.09999999999998</v>
      </c>
      <c r="FF72" s="27">
        <v>58.09999999999998</v>
      </c>
      <c r="FG72" s="27">
        <v>58.09999999999998</v>
      </c>
      <c r="FH72" s="27">
        <v>58.09999999999998</v>
      </c>
      <c r="FI72" s="27">
        <v>58.09999999999998</v>
      </c>
      <c r="FJ72" s="27">
        <v>58.09999999999998</v>
      </c>
      <c r="FK72" s="27">
        <v>58.09999999999998</v>
      </c>
      <c r="FL72" s="27">
        <v>58.09999999999998</v>
      </c>
      <c r="FM72" s="129">
        <v>8.7000000000000099</v>
      </c>
      <c r="FO72" s="27">
        <v>91.30000000000004</v>
      </c>
      <c r="FP72" s="27">
        <v>91.30000000000004</v>
      </c>
      <c r="FQ72" s="27">
        <v>91.30000000000004</v>
      </c>
      <c r="FR72" s="27">
        <v>91.30000000000004</v>
      </c>
      <c r="FS72" s="27">
        <v>91.30000000000004</v>
      </c>
      <c r="FT72" s="27">
        <v>91.30000000000004</v>
      </c>
      <c r="FU72" s="27">
        <v>91.30000000000004</v>
      </c>
      <c r="FV72" s="27">
        <v>91.30000000000004</v>
      </c>
      <c r="FW72" s="27">
        <v>91.30000000000004</v>
      </c>
      <c r="FX72" s="129">
        <v>8.7000000000000099</v>
      </c>
      <c r="FZ72" s="27">
        <v>91.30000000000004</v>
      </c>
      <c r="GA72" s="27">
        <v>91.30000000000004</v>
      </c>
      <c r="GB72" s="27">
        <v>91.30000000000004</v>
      </c>
      <c r="GC72" s="27">
        <v>91.30000000000004</v>
      </c>
      <c r="GD72" s="27">
        <v>91.30000000000004</v>
      </c>
      <c r="GE72" s="27">
        <v>91.30000000000004</v>
      </c>
      <c r="GF72" s="27">
        <v>91.30000000000004</v>
      </c>
      <c r="GG72" s="27">
        <v>91.30000000000004</v>
      </c>
      <c r="GH72" s="27">
        <v>91.30000000000004</v>
      </c>
      <c r="GI72" s="129">
        <v>8.7000000000000099</v>
      </c>
      <c r="GJ72" s="27"/>
      <c r="GK72" s="27">
        <v>21.899999999999995</v>
      </c>
      <c r="GL72" s="27">
        <v>21.899999999999995</v>
      </c>
      <c r="GM72" s="27">
        <v>21.899999999999995</v>
      </c>
      <c r="GN72" s="27">
        <v>21.899999999999995</v>
      </c>
      <c r="GO72" s="27">
        <v>21.899999999999995</v>
      </c>
      <c r="GP72" s="27">
        <v>21.899999999999995</v>
      </c>
      <c r="GQ72" s="27">
        <v>21.899999999999995</v>
      </c>
      <c r="GR72" s="27">
        <v>21.899999999999995</v>
      </c>
      <c r="GS72" s="27">
        <v>21.899999999999995</v>
      </c>
      <c r="GT72" s="129">
        <v>8.7000000000000099</v>
      </c>
      <c r="GV72" s="27">
        <v>25.899999999999995</v>
      </c>
      <c r="GW72" s="27">
        <v>25.899999999999995</v>
      </c>
      <c r="GX72" s="27">
        <v>25.899999999999995</v>
      </c>
      <c r="GY72" s="27">
        <v>25.899999999999995</v>
      </c>
      <c r="GZ72" s="27">
        <v>25.899999999999995</v>
      </c>
      <c r="HA72" s="27">
        <v>25.899999999999995</v>
      </c>
      <c r="HB72" s="27">
        <v>25.899999999999995</v>
      </c>
      <c r="HC72" s="27">
        <v>25.899999999999995</v>
      </c>
      <c r="HD72" s="27">
        <v>25.899999999999995</v>
      </c>
      <c r="HE72" s="129">
        <v>8.7000000000000099</v>
      </c>
      <c r="HG72" s="27">
        <v>36.20000000000001</v>
      </c>
      <c r="HH72" s="27">
        <v>36.20000000000001</v>
      </c>
      <c r="HI72" s="27">
        <v>36.20000000000001</v>
      </c>
      <c r="HJ72" s="27">
        <v>36.20000000000001</v>
      </c>
      <c r="HK72" s="27">
        <v>36.20000000000001</v>
      </c>
      <c r="HL72" s="27">
        <v>36.20000000000001</v>
      </c>
      <c r="HM72" s="27">
        <v>36.20000000000001</v>
      </c>
      <c r="HN72" s="27">
        <v>36.20000000000001</v>
      </c>
      <c r="HO72" s="27">
        <v>36.20000000000001</v>
      </c>
      <c r="HP72" s="129">
        <v>8.7000000000000099</v>
      </c>
      <c r="HR72" s="27">
        <v>36.20000000000001</v>
      </c>
      <c r="HS72" s="27">
        <v>36.20000000000001</v>
      </c>
      <c r="HT72" s="27">
        <v>36.20000000000001</v>
      </c>
      <c r="HU72" s="27">
        <v>36.20000000000001</v>
      </c>
      <c r="HV72" s="27">
        <v>36.20000000000001</v>
      </c>
      <c r="HW72" s="27">
        <v>36.20000000000001</v>
      </c>
      <c r="HX72" s="27">
        <v>36.20000000000001</v>
      </c>
      <c r="HY72" s="27">
        <v>36.20000000000001</v>
      </c>
      <c r="HZ72" s="27">
        <v>36.20000000000001</v>
      </c>
      <c r="IA72" s="129">
        <v>8.7000000000000099</v>
      </c>
    </row>
    <row r="73" spans="15:235" ht="3" customHeight="1">
      <c r="O73" s="129">
        <v>36</v>
      </c>
      <c r="P73" s="129">
        <v>36</v>
      </c>
      <c r="Q73" s="129">
        <v>36</v>
      </c>
      <c r="R73" s="129">
        <v>36</v>
      </c>
      <c r="S73" s="129">
        <v>36</v>
      </c>
      <c r="T73" s="129">
        <v>36</v>
      </c>
      <c r="U73" s="129">
        <v>36</v>
      </c>
      <c r="V73" s="129">
        <v>36</v>
      </c>
      <c r="W73" s="129">
        <v>36</v>
      </c>
      <c r="X73" s="129">
        <v>6.8</v>
      </c>
      <c r="Y73" s="27"/>
      <c r="Z73" s="129">
        <v>60</v>
      </c>
      <c r="AA73" s="129">
        <v>60</v>
      </c>
      <c r="AB73" s="129">
        <v>60</v>
      </c>
      <c r="AC73" s="129">
        <v>60</v>
      </c>
      <c r="AD73" s="129">
        <v>60</v>
      </c>
      <c r="AE73" s="129">
        <v>60</v>
      </c>
      <c r="AF73" s="129">
        <v>60</v>
      </c>
      <c r="AG73" s="129">
        <v>60</v>
      </c>
      <c r="AH73" s="129">
        <v>60</v>
      </c>
      <c r="AI73" s="129">
        <v>6.8</v>
      </c>
      <c r="AK73" s="129">
        <v>72.200000000000045</v>
      </c>
      <c r="AL73" s="129">
        <v>72.200000000000045</v>
      </c>
      <c r="AM73" s="129">
        <v>72.200000000000045</v>
      </c>
      <c r="AN73" s="129">
        <v>72.200000000000045</v>
      </c>
      <c r="AO73" s="129">
        <v>72.200000000000045</v>
      </c>
      <c r="AP73" s="129">
        <v>72.200000000000045</v>
      </c>
      <c r="AQ73" s="129">
        <v>72.200000000000045</v>
      </c>
      <c r="AR73" s="129">
        <v>72.200000000000045</v>
      </c>
      <c r="AS73" s="129">
        <v>72.200000000000045</v>
      </c>
      <c r="AT73" s="129">
        <v>6.8</v>
      </c>
      <c r="AV73" s="129">
        <v>74.600000000000023</v>
      </c>
      <c r="AW73" s="129">
        <v>74.600000000000023</v>
      </c>
      <c r="AX73" s="129">
        <v>74.600000000000023</v>
      </c>
      <c r="AY73" s="129">
        <v>74.600000000000023</v>
      </c>
      <c r="AZ73" s="129">
        <v>74.600000000000023</v>
      </c>
      <c r="BA73" s="129">
        <v>74.600000000000023</v>
      </c>
      <c r="BB73" s="129">
        <v>74.600000000000023</v>
      </c>
      <c r="BC73" s="129">
        <v>74.600000000000023</v>
      </c>
      <c r="BD73" s="129">
        <v>74.600000000000023</v>
      </c>
      <c r="BE73" s="129">
        <v>6.8</v>
      </c>
      <c r="BG73" s="129">
        <v>116.60000000000001</v>
      </c>
      <c r="BH73" s="129">
        <v>116.60000000000001</v>
      </c>
      <c r="BI73" s="129">
        <v>116.60000000000001</v>
      </c>
      <c r="BJ73" s="129">
        <v>116.60000000000001</v>
      </c>
      <c r="BK73" s="129">
        <v>116.60000000000001</v>
      </c>
      <c r="BL73" s="129">
        <v>116.60000000000001</v>
      </c>
      <c r="BM73" s="129">
        <v>116.60000000000001</v>
      </c>
      <c r="BN73" s="129">
        <v>116.60000000000001</v>
      </c>
      <c r="BO73" s="129">
        <v>116.60000000000001</v>
      </c>
      <c r="BP73" s="129">
        <v>6.8</v>
      </c>
      <c r="BR73" s="129">
        <v>116.60000000000001</v>
      </c>
      <c r="BS73" s="129">
        <v>116.60000000000001</v>
      </c>
      <c r="BT73" s="129">
        <v>116.60000000000001</v>
      </c>
      <c r="BU73" s="129">
        <v>116.60000000000001</v>
      </c>
      <c r="BV73" s="129">
        <v>116.60000000000001</v>
      </c>
      <c r="BW73" s="129">
        <v>116.60000000000001</v>
      </c>
      <c r="BX73" s="129">
        <v>116.60000000000001</v>
      </c>
      <c r="BY73" s="129">
        <v>116.60000000000001</v>
      </c>
      <c r="BZ73" s="129">
        <v>116.60000000000001</v>
      </c>
      <c r="CA73" s="129">
        <v>6.8</v>
      </c>
      <c r="CC73" s="129">
        <v>27.800000000000011</v>
      </c>
      <c r="CD73" s="129">
        <v>27.800000000000011</v>
      </c>
      <c r="CE73" s="129">
        <v>27.800000000000011</v>
      </c>
      <c r="CF73" s="129">
        <v>27.800000000000011</v>
      </c>
      <c r="CG73" s="129">
        <v>27.800000000000011</v>
      </c>
      <c r="CH73" s="129">
        <v>27.800000000000011</v>
      </c>
      <c r="CI73" s="129">
        <v>27.800000000000011</v>
      </c>
      <c r="CJ73" s="129">
        <v>27.800000000000011</v>
      </c>
      <c r="CK73" s="129">
        <v>27.800000000000011</v>
      </c>
      <c r="CL73" s="129">
        <v>6.8</v>
      </c>
      <c r="CN73" s="129">
        <v>33.199999999999989</v>
      </c>
      <c r="CO73" s="129">
        <v>33.199999999999989</v>
      </c>
      <c r="CP73" s="129">
        <v>33.199999999999989</v>
      </c>
      <c r="CQ73" s="129">
        <v>33.199999999999989</v>
      </c>
      <c r="CR73" s="129">
        <v>33.199999999999989</v>
      </c>
      <c r="CS73" s="129">
        <v>33.199999999999989</v>
      </c>
      <c r="CT73" s="129">
        <v>33.199999999999989</v>
      </c>
      <c r="CU73" s="129">
        <v>33.199999999999989</v>
      </c>
      <c r="CV73" s="129">
        <v>33.199999999999989</v>
      </c>
      <c r="CW73" s="129">
        <v>6.8</v>
      </c>
      <c r="CY73" s="129">
        <v>45.600000000000023</v>
      </c>
      <c r="CZ73" s="129">
        <v>45.600000000000023</v>
      </c>
      <c r="DA73" s="129">
        <v>45.600000000000023</v>
      </c>
      <c r="DB73" s="129">
        <v>45.600000000000023</v>
      </c>
      <c r="DC73" s="129">
        <v>45.600000000000023</v>
      </c>
      <c r="DD73" s="129">
        <v>45.600000000000023</v>
      </c>
      <c r="DE73" s="129">
        <v>45.600000000000023</v>
      </c>
      <c r="DF73" s="129">
        <v>45.600000000000023</v>
      </c>
      <c r="DG73" s="129">
        <v>45.600000000000023</v>
      </c>
      <c r="DH73" s="129">
        <v>6.8</v>
      </c>
      <c r="DJ73" s="129">
        <v>45.600000000000023</v>
      </c>
      <c r="DK73" s="129">
        <v>45.600000000000023</v>
      </c>
      <c r="DL73" s="129">
        <v>45.600000000000023</v>
      </c>
      <c r="DM73" s="129">
        <v>45.600000000000023</v>
      </c>
      <c r="DN73" s="129">
        <v>45.600000000000023</v>
      </c>
      <c r="DO73" s="129">
        <v>45.600000000000023</v>
      </c>
      <c r="DP73" s="129">
        <v>45.600000000000023</v>
      </c>
      <c r="DQ73" s="129">
        <v>45.600000000000023</v>
      </c>
      <c r="DR73" s="129">
        <v>45.600000000000023</v>
      </c>
      <c r="DS73" s="129">
        <v>6.8</v>
      </c>
      <c r="DW73" s="27">
        <v>27.599999999999994</v>
      </c>
      <c r="DX73" s="27">
        <v>27.599999999999994</v>
      </c>
      <c r="DY73" s="27">
        <v>27.599999999999994</v>
      </c>
      <c r="DZ73" s="27">
        <v>27.599999999999994</v>
      </c>
      <c r="EA73" s="27">
        <v>27.599999999999994</v>
      </c>
      <c r="EB73" s="27">
        <v>27.599999999999994</v>
      </c>
      <c r="EC73" s="27">
        <v>27.599999999999994</v>
      </c>
      <c r="ED73" s="27">
        <v>27.599999999999994</v>
      </c>
      <c r="EE73" s="27">
        <v>27.599999999999994</v>
      </c>
      <c r="EF73" s="129">
        <v>8.8000000000000096</v>
      </c>
      <c r="EH73" s="27">
        <v>46.199999999999989</v>
      </c>
      <c r="EI73" s="27">
        <v>46.199999999999989</v>
      </c>
      <c r="EJ73" s="27">
        <v>46.199999999999989</v>
      </c>
      <c r="EK73" s="27">
        <v>46.199999999999989</v>
      </c>
      <c r="EL73" s="27">
        <v>46.199999999999989</v>
      </c>
      <c r="EM73" s="27">
        <v>46.199999999999989</v>
      </c>
      <c r="EN73" s="27">
        <v>46.199999999999989</v>
      </c>
      <c r="EO73" s="27">
        <v>46.199999999999989</v>
      </c>
      <c r="EP73" s="27">
        <v>46.199999999999989</v>
      </c>
      <c r="EQ73" s="129">
        <v>8.8000000000000096</v>
      </c>
      <c r="ES73" s="27">
        <v>55.399999999999977</v>
      </c>
      <c r="ET73" s="27">
        <v>55.399999999999977</v>
      </c>
      <c r="EU73" s="27">
        <v>55.399999999999977</v>
      </c>
      <c r="EV73" s="27">
        <v>55.399999999999977</v>
      </c>
      <c r="EW73" s="27">
        <v>55.399999999999977</v>
      </c>
      <c r="EX73" s="27">
        <v>55.399999999999977</v>
      </c>
      <c r="EY73" s="27">
        <v>55.399999999999977</v>
      </c>
      <c r="EZ73" s="27">
        <v>55.399999999999977</v>
      </c>
      <c r="FA73" s="27">
        <v>55.399999999999977</v>
      </c>
      <c r="FB73" s="129">
        <v>8.8000000000000096</v>
      </c>
      <c r="FD73" s="27">
        <v>57.399999999999977</v>
      </c>
      <c r="FE73" s="27">
        <v>57.399999999999977</v>
      </c>
      <c r="FF73" s="27">
        <v>57.399999999999977</v>
      </c>
      <c r="FG73" s="27">
        <v>57.399999999999977</v>
      </c>
      <c r="FH73" s="27">
        <v>57.399999999999977</v>
      </c>
      <c r="FI73" s="27">
        <v>57.399999999999977</v>
      </c>
      <c r="FJ73" s="27">
        <v>57.399999999999977</v>
      </c>
      <c r="FK73" s="27">
        <v>57.399999999999977</v>
      </c>
      <c r="FL73" s="27">
        <v>57.399999999999977</v>
      </c>
      <c r="FM73" s="129">
        <v>8.8000000000000096</v>
      </c>
      <c r="FO73" s="27">
        <v>90.200000000000045</v>
      </c>
      <c r="FP73" s="27">
        <v>90.200000000000045</v>
      </c>
      <c r="FQ73" s="27">
        <v>90.200000000000045</v>
      </c>
      <c r="FR73" s="27">
        <v>90.200000000000045</v>
      </c>
      <c r="FS73" s="27">
        <v>90.200000000000045</v>
      </c>
      <c r="FT73" s="27">
        <v>90.200000000000045</v>
      </c>
      <c r="FU73" s="27">
        <v>90.200000000000045</v>
      </c>
      <c r="FV73" s="27">
        <v>90.200000000000045</v>
      </c>
      <c r="FW73" s="27">
        <v>90.200000000000045</v>
      </c>
      <c r="FX73" s="129">
        <v>8.8000000000000096</v>
      </c>
      <c r="FZ73" s="27">
        <v>90.200000000000045</v>
      </c>
      <c r="GA73" s="27">
        <v>90.200000000000045</v>
      </c>
      <c r="GB73" s="27">
        <v>90.200000000000045</v>
      </c>
      <c r="GC73" s="27">
        <v>90.200000000000045</v>
      </c>
      <c r="GD73" s="27">
        <v>90.200000000000045</v>
      </c>
      <c r="GE73" s="27">
        <v>90.200000000000045</v>
      </c>
      <c r="GF73" s="27">
        <v>90.200000000000045</v>
      </c>
      <c r="GG73" s="27">
        <v>90.200000000000045</v>
      </c>
      <c r="GH73" s="27">
        <v>90.200000000000045</v>
      </c>
      <c r="GI73" s="129">
        <v>8.8000000000000096</v>
      </c>
      <c r="GJ73" s="27"/>
      <c r="GK73" s="27">
        <v>21.599999999999994</v>
      </c>
      <c r="GL73" s="27">
        <v>21.599999999999994</v>
      </c>
      <c r="GM73" s="27">
        <v>21.599999999999994</v>
      </c>
      <c r="GN73" s="27">
        <v>21.599999999999994</v>
      </c>
      <c r="GO73" s="27">
        <v>21.599999999999994</v>
      </c>
      <c r="GP73" s="27">
        <v>21.599999999999994</v>
      </c>
      <c r="GQ73" s="27">
        <v>21.599999999999994</v>
      </c>
      <c r="GR73" s="27">
        <v>21.599999999999994</v>
      </c>
      <c r="GS73" s="27">
        <v>21.599999999999994</v>
      </c>
      <c r="GT73" s="129">
        <v>8.8000000000000096</v>
      </c>
      <c r="GV73" s="27">
        <v>25.599999999999994</v>
      </c>
      <c r="GW73" s="27">
        <v>25.599999999999994</v>
      </c>
      <c r="GX73" s="27">
        <v>25.599999999999994</v>
      </c>
      <c r="GY73" s="27">
        <v>25.599999999999994</v>
      </c>
      <c r="GZ73" s="27">
        <v>25.599999999999994</v>
      </c>
      <c r="HA73" s="27">
        <v>25.599999999999994</v>
      </c>
      <c r="HB73" s="27">
        <v>25.599999999999994</v>
      </c>
      <c r="HC73" s="27">
        <v>25.599999999999994</v>
      </c>
      <c r="HD73" s="27">
        <v>25.599999999999994</v>
      </c>
      <c r="HE73" s="129">
        <v>8.8000000000000096</v>
      </c>
      <c r="HG73" s="27">
        <v>35.800000000000011</v>
      </c>
      <c r="HH73" s="27">
        <v>35.800000000000011</v>
      </c>
      <c r="HI73" s="27">
        <v>35.800000000000011</v>
      </c>
      <c r="HJ73" s="27">
        <v>35.800000000000011</v>
      </c>
      <c r="HK73" s="27">
        <v>35.800000000000011</v>
      </c>
      <c r="HL73" s="27">
        <v>35.800000000000011</v>
      </c>
      <c r="HM73" s="27">
        <v>35.800000000000011</v>
      </c>
      <c r="HN73" s="27">
        <v>35.800000000000011</v>
      </c>
      <c r="HO73" s="27">
        <v>35.800000000000011</v>
      </c>
      <c r="HP73" s="129">
        <v>8.8000000000000096</v>
      </c>
      <c r="HR73" s="27">
        <v>35.800000000000011</v>
      </c>
      <c r="HS73" s="27">
        <v>35.800000000000011</v>
      </c>
      <c r="HT73" s="27">
        <v>35.800000000000011</v>
      </c>
      <c r="HU73" s="27">
        <v>35.800000000000011</v>
      </c>
      <c r="HV73" s="27">
        <v>35.800000000000011</v>
      </c>
      <c r="HW73" s="27">
        <v>35.800000000000011</v>
      </c>
      <c r="HX73" s="27">
        <v>35.800000000000011</v>
      </c>
      <c r="HY73" s="27">
        <v>35.800000000000011</v>
      </c>
      <c r="HZ73" s="27">
        <v>35.800000000000011</v>
      </c>
      <c r="IA73" s="129">
        <v>8.8000000000000096</v>
      </c>
    </row>
    <row r="74" spans="15:235" ht="3" customHeight="1">
      <c r="O74" s="129">
        <v>35.5</v>
      </c>
      <c r="P74" s="129">
        <v>35.5</v>
      </c>
      <c r="Q74" s="129">
        <v>35.5</v>
      </c>
      <c r="R74" s="129">
        <v>35.5</v>
      </c>
      <c r="S74" s="129">
        <v>35.5</v>
      </c>
      <c r="T74" s="129">
        <v>35.5</v>
      </c>
      <c r="U74" s="129">
        <v>35.5</v>
      </c>
      <c r="V74" s="129">
        <v>35.5</v>
      </c>
      <c r="W74" s="129">
        <v>35.5</v>
      </c>
      <c r="X74" s="129">
        <v>6.9</v>
      </c>
      <c r="Y74" s="27"/>
      <c r="Z74" s="129">
        <v>59</v>
      </c>
      <c r="AA74" s="129">
        <v>59</v>
      </c>
      <c r="AB74" s="129">
        <v>59</v>
      </c>
      <c r="AC74" s="129">
        <v>59</v>
      </c>
      <c r="AD74" s="129">
        <v>59</v>
      </c>
      <c r="AE74" s="129">
        <v>59</v>
      </c>
      <c r="AF74" s="129">
        <v>59</v>
      </c>
      <c r="AG74" s="129">
        <v>59</v>
      </c>
      <c r="AH74" s="129">
        <v>59</v>
      </c>
      <c r="AI74" s="129">
        <v>6.9</v>
      </c>
      <c r="AK74" s="129">
        <v>71.100000000000051</v>
      </c>
      <c r="AL74" s="129">
        <v>71.100000000000051</v>
      </c>
      <c r="AM74" s="129">
        <v>71.100000000000051</v>
      </c>
      <c r="AN74" s="129">
        <v>71.100000000000051</v>
      </c>
      <c r="AO74" s="129">
        <v>71.100000000000051</v>
      </c>
      <c r="AP74" s="129">
        <v>71.100000000000051</v>
      </c>
      <c r="AQ74" s="129">
        <v>71.100000000000051</v>
      </c>
      <c r="AR74" s="129">
        <v>71.100000000000051</v>
      </c>
      <c r="AS74" s="129">
        <v>71.100000000000051</v>
      </c>
      <c r="AT74" s="129">
        <v>6.9</v>
      </c>
      <c r="AV74" s="129">
        <v>73.300000000000026</v>
      </c>
      <c r="AW74" s="129">
        <v>73.300000000000026</v>
      </c>
      <c r="AX74" s="129">
        <v>73.300000000000026</v>
      </c>
      <c r="AY74" s="129">
        <v>73.300000000000026</v>
      </c>
      <c r="AZ74" s="129">
        <v>73.300000000000026</v>
      </c>
      <c r="BA74" s="129">
        <v>73.300000000000026</v>
      </c>
      <c r="BB74" s="129">
        <v>73.300000000000026</v>
      </c>
      <c r="BC74" s="129">
        <v>73.300000000000026</v>
      </c>
      <c r="BD74" s="129">
        <v>73.300000000000026</v>
      </c>
      <c r="BE74" s="129">
        <v>6.9</v>
      </c>
      <c r="BG74" s="129">
        <v>114.80000000000001</v>
      </c>
      <c r="BH74" s="129">
        <v>114.80000000000001</v>
      </c>
      <c r="BI74" s="129">
        <v>114.80000000000001</v>
      </c>
      <c r="BJ74" s="129">
        <v>114.80000000000001</v>
      </c>
      <c r="BK74" s="129">
        <v>114.80000000000001</v>
      </c>
      <c r="BL74" s="129">
        <v>114.80000000000001</v>
      </c>
      <c r="BM74" s="129">
        <v>114.80000000000001</v>
      </c>
      <c r="BN74" s="129">
        <v>114.80000000000001</v>
      </c>
      <c r="BO74" s="129">
        <v>114.80000000000001</v>
      </c>
      <c r="BP74" s="129">
        <v>6.9</v>
      </c>
      <c r="BR74" s="129">
        <v>114.80000000000001</v>
      </c>
      <c r="BS74" s="129">
        <v>114.80000000000001</v>
      </c>
      <c r="BT74" s="129">
        <v>114.80000000000001</v>
      </c>
      <c r="BU74" s="129">
        <v>114.80000000000001</v>
      </c>
      <c r="BV74" s="129">
        <v>114.80000000000001</v>
      </c>
      <c r="BW74" s="129">
        <v>114.80000000000001</v>
      </c>
      <c r="BX74" s="129">
        <v>114.80000000000001</v>
      </c>
      <c r="BY74" s="129">
        <v>114.80000000000001</v>
      </c>
      <c r="BZ74" s="129">
        <v>114.80000000000001</v>
      </c>
      <c r="CA74" s="129">
        <v>6.9</v>
      </c>
      <c r="CC74" s="129">
        <v>27.400000000000013</v>
      </c>
      <c r="CD74" s="129">
        <v>27.400000000000013</v>
      </c>
      <c r="CE74" s="129">
        <v>27.400000000000013</v>
      </c>
      <c r="CF74" s="129">
        <v>27.400000000000013</v>
      </c>
      <c r="CG74" s="129">
        <v>27.400000000000013</v>
      </c>
      <c r="CH74" s="129">
        <v>27.400000000000013</v>
      </c>
      <c r="CI74" s="129">
        <v>27.400000000000013</v>
      </c>
      <c r="CJ74" s="129">
        <v>27.400000000000013</v>
      </c>
      <c r="CK74" s="129">
        <v>27.400000000000013</v>
      </c>
      <c r="CL74" s="129">
        <v>6.9</v>
      </c>
      <c r="CN74" s="129">
        <v>32.599999999999987</v>
      </c>
      <c r="CO74" s="129">
        <v>32.599999999999987</v>
      </c>
      <c r="CP74" s="129">
        <v>32.599999999999987</v>
      </c>
      <c r="CQ74" s="129">
        <v>32.599999999999987</v>
      </c>
      <c r="CR74" s="129">
        <v>32.599999999999987</v>
      </c>
      <c r="CS74" s="129">
        <v>32.599999999999987</v>
      </c>
      <c r="CT74" s="129">
        <v>32.599999999999987</v>
      </c>
      <c r="CU74" s="129">
        <v>32.599999999999987</v>
      </c>
      <c r="CV74" s="129">
        <v>32.599999999999987</v>
      </c>
      <c r="CW74" s="129">
        <v>6.9</v>
      </c>
      <c r="CY74" s="129">
        <v>44.800000000000026</v>
      </c>
      <c r="CZ74" s="129">
        <v>44.800000000000026</v>
      </c>
      <c r="DA74" s="129">
        <v>44.800000000000026</v>
      </c>
      <c r="DB74" s="129">
        <v>44.800000000000026</v>
      </c>
      <c r="DC74" s="129">
        <v>44.800000000000026</v>
      </c>
      <c r="DD74" s="129">
        <v>44.800000000000026</v>
      </c>
      <c r="DE74" s="129">
        <v>44.800000000000026</v>
      </c>
      <c r="DF74" s="129">
        <v>44.800000000000026</v>
      </c>
      <c r="DG74" s="129">
        <v>44.800000000000026</v>
      </c>
      <c r="DH74" s="129">
        <v>6.9</v>
      </c>
      <c r="DJ74" s="129">
        <v>44.800000000000026</v>
      </c>
      <c r="DK74" s="129">
        <v>44.800000000000026</v>
      </c>
      <c r="DL74" s="129">
        <v>44.800000000000026</v>
      </c>
      <c r="DM74" s="129">
        <v>44.800000000000026</v>
      </c>
      <c r="DN74" s="129">
        <v>44.800000000000026</v>
      </c>
      <c r="DO74" s="129">
        <v>44.800000000000026</v>
      </c>
      <c r="DP74" s="129">
        <v>44.800000000000026</v>
      </c>
      <c r="DQ74" s="129">
        <v>44.800000000000026</v>
      </c>
      <c r="DR74" s="129">
        <v>44.800000000000026</v>
      </c>
      <c r="DS74" s="129">
        <v>6.9</v>
      </c>
      <c r="DW74" s="27">
        <v>27.299999999999994</v>
      </c>
      <c r="DX74" s="27">
        <v>27.299999999999994</v>
      </c>
      <c r="DY74" s="27">
        <v>27.299999999999994</v>
      </c>
      <c r="DZ74" s="27">
        <v>27.299999999999994</v>
      </c>
      <c r="EA74" s="27">
        <v>27.299999999999994</v>
      </c>
      <c r="EB74" s="27">
        <v>27.299999999999994</v>
      </c>
      <c r="EC74" s="27">
        <v>27.299999999999994</v>
      </c>
      <c r="ED74" s="27">
        <v>27.299999999999994</v>
      </c>
      <c r="EE74" s="27">
        <v>27.299999999999994</v>
      </c>
      <c r="EF74" s="129">
        <v>8.9000000000000092</v>
      </c>
      <c r="EH74" s="27">
        <v>45.599999999999987</v>
      </c>
      <c r="EI74" s="27">
        <v>45.599999999999987</v>
      </c>
      <c r="EJ74" s="27">
        <v>45.599999999999987</v>
      </c>
      <c r="EK74" s="27">
        <v>45.599999999999987</v>
      </c>
      <c r="EL74" s="27">
        <v>45.599999999999987</v>
      </c>
      <c r="EM74" s="27">
        <v>45.599999999999987</v>
      </c>
      <c r="EN74" s="27">
        <v>45.599999999999987</v>
      </c>
      <c r="EO74" s="27">
        <v>45.599999999999987</v>
      </c>
      <c r="EP74" s="27">
        <v>45.599999999999987</v>
      </c>
      <c r="EQ74" s="129">
        <v>8.9000000000000092</v>
      </c>
      <c r="ES74" s="27">
        <v>54.699999999999974</v>
      </c>
      <c r="ET74" s="27">
        <v>54.699999999999974</v>
      </c>
      <c r="EU74" s="27">
        <v>54.699999999999974</v>
      </c>
      <c r="EV74" s="27">
        <v>54.699999999999974</v>
      </c>
      <c r="EW74" s="27">
        <v>54.699999999999974</v>
      </c>
      <c r="EX74" s="27">
        <v>54.699999999999974</v>
      </c>
      <c r="EY74" s="27">
        <v>54.699999999999974</v>
      </c>
      <c r="EZ74" s="27">
        <v>54.699999999999974</v>
      </c>
      <c r="FA74" s="27">
        <v>54.699999999999974</v>
      </c>
      <c r="FB74" s="129">
        <v>8.9000000000000092</v>
      </c>
      <c r="FD74" s="27">
        <v>56.699999999999974</v>
      </c>
      <c r="FE74" s="27">
        <v>56.699999999999974</v>
      </c>
      <c r="FF74" s="27">
        <v>56.699999999999974</v>
      </c>
      <c r="FG74" s="27">
        <v>56.699999999999974</v>
      </c>
      <c r="FH74" s="27">
        <v>56.699999999999974</v>
      </c>
      <c r="FI74" s="27">
        <v>56.699999999999974</v>
      </c>
      <c r="FJ74" s="27">
        <v>56.699999999999974</v>
      </c>
      <c r="FK74" s="27">
        <v>56.699999999999974</v>
      </c>
      <c r="FL74" s="27">
        <v>56.699999999999974</v>
      </c>
      <c r="FM74" s="129">
        <v>8.9000000000000092</v>
      </c>
      <c r="FO74" s="27">
        <v>89.100000000000051</v>
      </c>
      <c r="FP74" s="27">
        <v>89.100000000000051</v>
      </c>
      <c r="FQ74" s="27">
        <v>89.100000000000051</v>
      </c>
      <c r="FR74" s="27">
        <v>89.100000000000051</v>
      </c>
      <c r="FS74" s="27">
        <v>89.100000000000051</v>
      </c>
      <c r="FT74" s="27">
        <v>89.100000000000051</v>
      </c>
      <c r="FU74" s="27">
        <v>89.100000000000051</v>
      </c>
      <c r="FV74" s="27">
        <v>89.100000000000051</v>
      </c>
      <c r="FW74" s="27">
        <v>89.100000000000051</v>
      </c>
      <c r="FX74" s="129">
        <v>8.9000000000000092</v>
      </c>
      <c r="FZ74" s="27">
        <v>89.100000000000051</v>
      </c>
      <c r="GA74" s="27">
        <v>89.100000000000051</v>
      </c>
      <c r="GB74" s="27">
        <v>89.100000000000051</v>
      </c>
      <c r="GC74" s="27">
        <v>89.100000000000051</v>
      </c>
      <c r="GD74" s="27">
        <v>89.100000000000051</v>
      </c>
      <c r="GE74" s="27">
        <v>89.100000000000051</v>
      </c>
      <c r="GF74" s="27">
        <v>89.100000000000051</v>
      </c>
      <c r="GG74" s="27">
        <v>89.100000000000051</v>
      </c>
      <c r="GH74" s="27">
        <v>89.100000000000051</v>
      </c>
      <c r="GI74" s="129">
        <v>8.9000000000000092</v>
      </c>
      <c r="GJ74" s="27"/>
      <c r="GK74" s="27">
        <v>21.299999999999994</v>
      </c>
      <c r="GL74" s="27">
        <v>21.299999999999994</v>
      </c>
      <c r="GM74" s="27">
        <v>21.299999999999994</v>
      </c>
      <c r="GN74" s="27">
        <v>21.299999999999994</v>
      </c>
      <c r="GO74" s="27">
        <v>21.299999999999994</v>
      </c>
      <c r="GP74" s="27">
        <v>21.299999999999994</v>
      </c>
      <c r="GQ74" s="27">
        <v>21.299999999999994</v>
      </c>
      <c r="GR74" s="27">
        <v>21.299999999999994</v>
      </c>
      <c r="GS74" s="27">
        <v>21.299999999999994</v>
      </c>
      <c r="GT74" s="129">
        <v>8.9000000000000092</v>
      </c>
      <c r="GV74" s="27">
        <v>25.299999999999994</v>
      </c>
      <c r="GW74" s="27">
        <v>25.299999999999994</v>
      </c>
      <c r="GX74" s="27">
        <v>25.299999999999994</v>
      </c>
      <c r="GY74" s="27">
        <v>25.299999999999994</v>
      </c>
      <c r="GZ74" s="27">
        <v>25.299999999999994</v>
      </c>
      <c r="HA74" s="27">
        <v>25.299999999999994</v>
      </c>
      <c r="HB74" s="27">
        <v>25.299999999999994</v>
      </c>
      <c r="HC74" s="27">
        <v>25.299999999999994</v>
      </c>
      <c r="HD74" s="27">
        <v>25.299999999999994</v>
      </c>
      <c r="HE74" s="129">
        <v>8.9000000000000092</v>
      </c>
      <c r="HG74" s="27">
        <v>35.400000000000013</v>
      </c>
      <c r="HH74" s="27">
        <v>35.400000000000013</v>
      </c>
      <c r="HI74" s="27">
        <v>35.400000000000013</v>
      </c>
      <c r="HJ74" s="27">
        <v>35.400000000000013</v>
      </c>
      <c r="HK74" s="27">
        <v>35.400000000000013</v>
      </c>
      <c r="HL74" s="27">
        <v>35.400000000000013</v>
      </c>
      <c r="HM74" s="27">
        <v>35.400000000000013</v>
      </c>
      <c r="HN74" s="27">
        <v>35.400000000000013</v>
      </c>
      <c r="HO74" s="27">
        <v>35.400000000000013</v>
      </c>
      <c r="HP74" s="129">
        <v>8.9000000000000092</v>
      </c>
      <c r="HR74" s="27">
        <v>35.400000000000013</v>
      </c>
      <c r="HS74" s="27">
        <v>35.400000000000013</v>
      </c>
      <c r="HT74" s="27">
        <v>35.400000000000013</v>
      </c>
      <c r="HU74" s="27">
        <v>35.400000000000013</v>
      </c>
      <c r="HV74" s="27">
        <v>35.400000000000013</v>
      </c>
      <c r="HW74" s="27">
        <v>35.400000000000013</v>
      </c>
      <c r="HX74" s="27">
        <v>35.400000000000013</v>
      </c>
      <c r="HY74" s="27">
        <v>35.400000000000013</v>
      </c>
      <c r="HZ74" s="27">
        <v>35.400000000000013</v>
      </c>
      <c r="IA74" s="129">
        <v>8.9000000000000092</v>
      </c>
    </row>
    <row r="75" spans="15:235" ht="3" customHeight="1">
      <c r="O75" s="129">
        <v>35</v>
      </c>
      <c r="P75" s="129">
        <v>35</v>
      </c>
      <c r="Q75" s="129">
        <v>35</v>
      </c>
      <c r="R75" s="129">
        <v>35</v>
      </c>
      <c r="S75" s="129">
        <v>35</v>
      </c>
      <c r="T75" s="129">
        <v>35</v>
      </c>
      <c r="U75" s="129">
        <v>35</v>
      </c>
      <c r="V75" s="129">
        <v>35</v>
      </c>
      <c r="W75" s="129">
        <v>35</v>
      </c>
      <c r="X75" s="129">
        <v>7</v>
      </c>
      <c r="Y75" s="27"/>
      <c r="Z75" s="129">
        <v>58</v>
      </c>
      <c r="AA75" s="129">
        <v>58</v>
      </c>
      <c r="AB75" s="129">
        <v>58</v>
      </c>
      <c r="AC75" s="129">
        <v>58</v>
      </c>
      <c r="AD75" s="129">
        <v>58</v>
      </c>
      <c r="AE75" s="129">
        <v>58</v>
      </c>
      <c r="AF75" s="129">
        <v>58</v>
      </c>
      <c r="AG75" s="129">
        <v>58</v>
      </c>
      <c r="AH75" s="129">
        <v>58</v>
      </c>
      <c r="AI75" s="129">
        <v>7</v>
      </c>
      <c r="AK75" s="129">
        <v>70</v>
      </c>
      <c r="AL75" s="129">
        <v>70</v>
      </c>
      <c r="AM75" s="129">
        <v>70</v>
      </c>
      <c r="AN75" s="129">
        <v>70</v>
      </c>
      <c r="AO75" s="129">
        <v>70</v>
      </c>
      <c r="AP75" s="129">
        <v>70</v>
      </c>
      <c r="AQ75" s="129">
        <v>70</v>
      </c>
      <c r="AR75" s="129">
        <v>70</v>
      </c>
      <c r="AS75" s="129">
        <v>70</v>
      </c>
      <c r="AT75" s="129">
        <v>7</v>
      </c>
      <c r="AV75" s="129">
        <v>72</v>
      </c>
      <c r="AW75" s="129">
        <v>72</v>
      </c>
      <c r="AX75" s="129">
        <v>72</v>
      </c>
      <c r="AY75" s="129">
        <v>72</v>
      </c>
      <c r="AZ75" s="129">
        <v>72</v>
      </c>
      <c r="BA75" s="129">
        <v>72</v>
      </c>
      <c r="BB75" s="129">
        <v>72</v>
      </c>
      <c r="BC75" s="129">
        <v>72</v>
      </c>
      <c r="BD75" s="129">
        <v>72</v>
      </c>
      <c r="BE75" s="129">
        <v>7</v>
      </c>
      <c r="BG75" s="129">
        <v>113</v>
      </c>
      <c r="BH75" s="129">
        <v>113</v>
      </c>
      <c r="BI75" s="129">
        <v>113</v>
      </c>
      <c r="BJ75" s="129">
        <v>113</v>
      </c>
      <c r="BK75" s="129">
        <v>113</v>
      </c>
      <c r="BL75" s="129">
        <v>113</v>
      </c>
      <c r="BM75" s="129">
        <v>113</v>
      </c>
      <c r="BN75" s="129">
        <v>113</v>
      </c>
      <c r="BO75" s="129">
        <v>113</v>
      </c>
      <c r="BP75" s="129">
        <v>7</v>
      </c>
      <c r="BR75" s="129">
        <v>113</v>
      </c>
      <c r="BS75" s="129">
        <v>113</v>
      </c>
      <c r="BT75" s="129">
        <v>113</v>
      </c>
      <c r="BU75" s="129">
        <v>113</v>
      </c>
      <c r="BV75" s="129">
        <v>113</v>
      </c>
      <c r="BW75" s="129">
        <v>113</v>
      </c>
      <c r="BX75" s="129">
        <v>113</v>
      </c>
      <c r="BY75" s="129">
        <v>113</v>
      </c>
      <c r="BZ75" s="129">
        <v>113</v>
      </c>
      <c r="CA75" s="129">
        <v>7</v>
      </c>
      <c r="CC75" s="129">
        <v>27</v>
      </c>
      <c r="CD75" s="129">
        <v>27</v>
      </c>
      <c r="CE75" s="129">
        <v>27</v>
      </c>
      <c r="CF75" s="129">
        <v>27</v>
      </c>
      <c r="CG75" s="129">
        <v>27</v>
      </c>
      <c r="CH75" s="129">
        <v>27</v>
      </c>
      <c r="CI75" s="129">
        <v>27</v>
      </c>
      <c r="CJ75" s="129">
        <v>27</v>
      </c>
      <c r="CK75" s="129">
        <v>27</v>
      </c>
      <c r="CL75" s="129">
        <v>7</v>
      </c>
      <c r="CN75" s="129">
        <v>32</v>
      </c>
      <c r="CO75" s="129">
        <v>32</v>
      </c>
      <c r="CP75" s="129">
        <v>32</v>
      </c>
      <c r="CQ75" s="129">
        <v>32</v>
      </c>
      <c r="CR75" s="129">
        <v>32</v>
      </c>
      <c r="CS75" s="129">
        <v>32</v>
      </c>
      <c r="CT75" s="129">
        <v>32</v>
      </c>
      <c r="CU75" s="129">
        <v>32</v>
      </c>
      <c r="CV75" s="129">
        <v>32</v>
      </c>
      <c r="CW75" s="129">
        <v>7</v>
      </c>
      <c r="CY75" s="129">
        <v>44</v>
      </c>
      <c r="CZ75" s="129">
        <v>44</v>
      </c>
      <c r="DA75" s="129">
        <v>44</v>
      </c>
      <c r="DB75" s="129">
        <v>44</v>
      </c>
      <c r="DC75" s="129">
        <v>44</v>
      </c>
      <c r="DD75" s="129">
        <v>44</v>
      </c>
      <c r="DE75" s="129">
        <v>44</v>
      </c>
      <c r="DF75" s="129">
        <v>44</v>
      </c>
      <c r="DG75" s="129">
        <v>44</v>
      </c>
      <c r="DH75" s="129">
        <v>7</v>
      </c>
      <c r="DJ75" s="129">
        <v>44</v>
      </c>
      <c r="DK75" s="129">
        <v>44</v>
      </c>
      <c r="DL75" s="129">
        <v>44</v>
      </c>
      <c r="DM75" s="129">
        <v>44</v>
      </c>
      <c r="DN75" s="129">
        <v>44</v>
      </c>
      <c r="DO75" s="129">
        <v>44</v>
      </c>
      <c r="DP75" s="129">
        <v>44</v>
      </c>
      <c r="DQ75" s="129">
        <v>44</v>
      </c>
      <c r="DR75" s="129">
        <v>44</v>
      </c>
      <c r="DS75" s="129">
        <v>7</v>
      </c>
      <c r="DW75" s="27">
        <v>27</v>
      </c>
      <c r="DX75" s="27">
        <v>27</v>
      </c>
      <c r="DY75" s="27">
        <v>27</v>
      </c>
      <c r="DZ75" s="27">
        <v>27</v>
      </c>
      <c r="EA75" s="27">
        <v>27</v>
      </c>
      <c r="EB75" s="27">
        <v>27</v>
      </c>
      <c r="EC75" s="27">
        <v>27</v>
      </c>
      <c r="ED75" s="27">
        <v>27</v>
      </c>
      <c r="EE75" s="27">
        <v>27</v>
      </c>
      <c r="EF75" s="129">
        <v>9.0000000000000107</v>
      </c>
      <c r="EH75" s="27">
        <v>45</v>
      </c>
      <c r="EI75" s="27">
        <v>45</v>
      </c>
      <c r="EJ75" s="27">
        <v>45</v>
      </c>
      <c r="EK75" s="27">
        <v>45</v>
      </c>
      <c r="EL75" s="27">
        <v>45</v>
      </c>
      <c r="EM75" s="27">
        <v>45</v>
      </c>
      <c r="EN75" s="27">
        <v>45</v>
      </c>
      <c r="EO75" s="27">
        <v>45</v>
      </c>
      <c r="EP75" s="27">
        <v>45</v>
      </c>
      <c r="EQ75" s="129">
        <v>9.0000000000000107</v>
      </c>
      <c r="ES75" s="27">
        <v>54</v>
      </c>
      <c r="ET75" s="27">
        <v>54</v>
      </c>
      <c r="EU75" s="27">
        <v>54</v>
      </c>
      <c r="EV75" s="27">
        <v>54</v>
      </c>
      <c r="EW75" s="27">
        <v>54</v>
      </c>
      <c r="EX75" s="27">
        <v>54</v>
      </c>
      <c r="EY75" s="27">
        <v>54</v>
      </c>
      <c r="EZ75" s="27">
        <v>54</v>
      </c>
      <c r="FA75" s="27">
        <v>54</v>
      </c>
      <c r="FB75" s="129">
        <v>9.0000000000000107</v>
      </c>
      <c r="FD75" s="27">
        <v>56</v>
      </c>
      <c r="FE75" s="27">
        <v>56</v>
      </c>
      <c r="FF75" s="27">
        <v>56</v>
      </c>
      <c r="FG75" s="27">
        <v>56</v>
      </c>
      <c r="FH75" s="27">
        <v>56</v>
      </c>
      <c r="FI75" s="27">
        <v>56</v>
      </c>
      <c r="FJ75" s="27">
        <v>56</v>
      </c>
      <c r="FK75" s="27">
        <v>56</v>
      </c>
      <c r="FL75" s="27">
        <v>56</v>
      </c>
      <c r="FM75" s="129">
        <v>9.0000000000000107</v>
      </c>
      <c r="FO75" s="27">
        <v>88</v>
      </c>
      <c r="FP75" s="27">
        <v>88</v>
      </c>
      <c r="FQ75" s="27">
        <v>88</v>
      </c>
      <c r="FR75" s="27">
        <v>88</v>
      </c>
      <c r="FS75" s="27">
        <v>88</v>
      </c>
      <c r="FT75" s="27">
        <v>88</v>
      </c>
      <c r="FU75" s="27">
        <v>88</v>
      </c>
      <c r="FV75" s="27">
        <v>88</v>
      </c>
      <c r="FW75" s="27">
        <v>88</v>
      </c>
      <c r="FX75" s="129">
        <v>9.0000000000000107</v>
      </c>
      <c r="FZ75" s="27">
        <v>88</v>
      </c>
      <c r="GA75" s="27">
        <v>88</v>
      </c>
      <c r="GB75" s="27">
        <v>88</v>
      </c>
      <c r="GC75" s="27">
        <v>88</v>
      </c>
      <c r="GD75" s="27">
        <v>88</v>
      </c>
      <c r="GE75" s="27">
        <v>88</v>
      </c>
      <c r="GF75" s="27">
        <v>88</v>
      </c>
      <c r="GG75" s="27">
        <v>88</v>
      </c>
      <c r="GH75" s="27">
        <v>88</v>
      </c>
      <c r="GI75" s="129">
        <v>9.0000000000000107</v>
      </c>
      <c r="GJ75" s="27"/>
      <c r="GK75" s="27">
        <v>21</v>
      </c>
      <c r="GL75" s="27">
        <v>21</v>
      </c>
      <c r="GM75" s="27">
        <v>21</v>
      </c>
      <c r="GN75" s="27">
        <v>21</v>
      </c>
      <c r="GO75" s="27">
        <v>21</v>
      </c>
      <c r="GP75" s="27">
        <v>21</v>
      </c>
      <c r="GQ75" s="27">
        <v>21</v>
      </c>
      <c r="GR75" s="27">
        <v>21</v>
      </c>
      <c r="GS75" s="27">
        <v>21</v>
      </c>
      <c r="GT75" s="129">
        <v>9.0000000000000107</v>
      </c>
      <c r="GV75" s="27">
        <v>25</v>
      </c>
      <c r="GW75" s="27">
        <v>25</v>
      </c>
      <c r="GX75" s="27">
        <v>25</v>
      </c>
      <c r="GY75" s="27">
        <v>25</v>
      </c>
      <c r="GZ75" s="27">
        <v>25</v>
      </c>
      <c r="HA75" s="27">
        <v>25</v>
      </c>
      <c r="HB75" s="27">
        <v>25</v>
      </c>
      <c r="HC75" s="27">
        <v>25</v>
      </c>
      <c r="HD75" s="27">
        <v>25</v>
      </c>
      <c r="HE75" s="129">
        <v>9.0000000000000107</v>
      </c>
      <c r="HG75" s="27">
        <v>35</v>
      </c>
      <c r="HH75" s="27">
        <v>35</v>
      </c>
      <c r="HI75" s="27">
        <v>35</v>
      </c>
      <c r="HJ75" s="27">
        <v>35</v>
      </c>
      <c r="HK75" s="27">
        <v>35</v>
      </c>
      <c r="HL75" s="27">
        <v>35</v>
      </c>
      <c r="HM75" s="27">
        <v>35</v>
      </c>
      <c r="HN75" s="27">
        <v>35</v>
      </c>
      <c r="HO75" s="27">
        <v>35</v>
      </c>
      <c r="HP75" s="129">
        <v>9.0000000000000107</v>
      </c>
      <c r="HR75" s="27">
        <v>35</v>
      </c>
      <c r="HS75" s="27">
        <v>35</v>
      </c>
      <c r="HT75" s="27">
        <v>35</v>
      </c>
      <c r="HU75" s="27">
        <v>35</v>
      </c>
      <c r="HV75" s="27">
        <v>35</v>
      </c>
      <c r="HW75" s="27">
        <v>35</v>
      </c>
      <c r="HX75" s="27">
        <v>35</v>
      </c>
      <c r="HY75" s="27">
        <v>35</v>
      </c>
      <c r="HZ75" s="27">
        <v>35</v>
      </c>
      <c r="IA75" s="129">
        <v>9.0000000000000107</v>
      </c>
    </row>
    <row r="76" spans="15:235">
      <c r="O76" s="129">
        <v>34.5</v>
      </c>
      <c r="P76" s="129">
        <v>34.5</v>
      </c>
      <c r="Q76" s="129">
        <v>34.5</v>
      </c>
      <c r="R76" s="129">
        <v>34.5</v>
      </c>
      <c r="S76" s="129">
        <v>34.5</v>
      </c>
      <c r="T76" s="129">
        <v>34.5</v>
      </c>
      <c r="U76" s="129">
        <v>34.5</v>
      </c>
      <c r="V76" s="129">
        <v>34.5</v>
      </c>
      <c r="W76" s="129">
        <v>34.5</v>
      </c>
      <c r="X76" s="129">
        <v>7.1</v>
      </c>
      <c r="Y76" s="27"/>
      <c r="Z76" s="129">
        <v>57.3</v>
      </c>
      <c r="AA76" s="129">
        <v>57.3</v>
      </c>
      <c r="AB76" s="129">
        <v>57.3</v>
      </c>
      <c r="AC76" s="129">
        <v>57.3</v>
      </c>
      <c r="AD76" s="129">
        <v>57.3</v>
      </c>
      <c r="AE76" s="129">
        <v>57.3</v>
      </c>
      <c r="AF76" s="129">
        <v>57.3</v>
      </c>
      <c r="AG76" s="129">
        <v>57.3</v>
      </c>
      <c r="AH76" s="129">
        <v>57.3</v>
      </c>
      <c r="AI76" s="129">
        <v>7.1</v>
      </c>
      <c r="AK76" s="129">
        <v>69.099999999999994</v>
      </c>
      <c r="AL76" s="129">
        <v>69.099999999999994</v>
      </c>
      <c r="AM76" s="129">
        <v>69.099999999999994</v>
      </c>
      <c r="AN76" s="129">
        <v>69.099999999999994</v>
      </c>
      <c r="AO76" s="129">
        <v>69.099999999999994</v>
      </c>
      <c r="AP76" s="129">
        <v>69.099999999999994</v>
      </c>
      <c r="AQ76" s="129">
        <v>69.099999999999994</v>
      </c>
      <c r="AR76" s="129">
        <v>69.099999999999994</v>
      </c>
      <c r="AS76" s="129">
        <v>69.099999999999994</v>
      </c>
      <c r="AT76" s="129">
        <v>7.1</v>
      </c>
      <c r="AV76" s="129">
        <v>71.099999999999994</v>
      </c>
      <c r="AW76" s="129">
        <v>71.099999999999994</v>
      </c>
      <c r="AX76" s="129">
        <v>71.099999999999994</v>
      </c>
      <c r="AY76" s="129">
        <v>71.099999999999994</v>
      </c>
      <c r="AZ76" s="129">
        <v>71.099999999999994</v>
      </c>
      <c r="BA76" s="129">
        <v>71.099999999999994</v>
      </c>
      <c r="BB76" s="129">
        <v>71.099999999999994</v>
      </c>
      <c r="BC76" s="129">
        <v>71.099999999999994</v>
      </c>
      <c r="BD76" s="129">
        <v>71.099999999999994</v>
      </c>
      <c r="BE76" s="129">
        <v>7.1</v>
      </c>
      <c r="BG76" s="129">
        <v>111.6</v>
      </c>
      <c r="BH76" s="129">
        <v>111.6</v>
      </c>
      <c r="BI76" s="129">
        <v>111.6</v>
      </c>
      <c r="BJ76" s="129">
        <v>111.6</v>
      </c>
      <c r="BK76" s="129">
        <v>111.6</v>
      </c>
      <c r="BL76" s="129">
        <v>111.6</v>
      </c>
      <c r="BM76" s="129">
        <v>111.6</v>
      </c>
      <c r="BN76" s="129">
        <v>111.6</v>
      </c>
      <c r="BO76" s="129">
        <v>111.6</v>
      </c>
      <c r="BP76" s="129">
        <v>7.1</v>
      </c>
      <c r="BR76" s="129">
        <v>111.6</v>
      </c>
      <c r="BS76" s="129">
        <v>111.6</v>
      </c>
      <c r="BT76" s="129">
        <v>111.6</v>
      </c>
      <c r="BU76" s="129">
        <v>111.6</v>
      </c>
      <c r="BV76" s="129">
        <v>111.6</v>
      </c>
      <c r="BW76" s="129">
        <v>111.6</v>
      </c>
      <c r="BX76" s="129">
        <v>111.6</v>
      </c>
      <c r="BY76" s="129">
        <v>111.6</v>
      </c>
      <c r="BZ76" s="129">
        <v>111.6</v>
      </c>
      <c r="CA76" s="129">
        <v>7.1</v>
      </c>
      <c r="CC76" s="129">
        <v>26.7</v>
      </c>
      <c r="CD76" s="129">
        <v>26.7</v>
      </c>
      <c r="CE76" s="129">
        <v>26.7</v>
      </c>
      <c r="CF76" s="129">
        <v>26.7</v>
      </c>
      <c r="CG76" s="129">
        <v>26.7</v>
      </c>
      <c r="CH76" s="129">
        <v>26.7</v>
      </c>
      <c r="CI76" s="129">
        <v>26.7</v>
      </c>
      <c r="CJ76" s="129">
        <v>26.7</v>
      </c>
      <c r="CK76" s="129">
        <v>26.7</v>
      </c>
      <c r="CL76" s="129">
        <v>7.1</v>
      </c>
      <c r="CN76" s="129">
        <v>31.6</v>
      </c>
      <c r="CO76" s="129">
        <v>31.6</v>
      </c>
      <c r="CP76" s="129">
        <v>31.6</v>
      </c>
      <c r="CQ76" s="129">
        <v>31.6</v>
      </c>
      <c r="CR76" s="129">
        <v>31.6</v>
      </c>
      <c r="CS76" s="129">
        <v>31.6</v>
      </c>
      <c r="CT76" s="129">
        <v>31.6</v>
      </c>
      <c r="CU76" s="129">
        <v>31.6</v>
      </c>
      <c r="CV76" s="129">
        <v>31.6</v>
      </c>
      <c r="CW76" s="129">
        <v>7.1</v>
      </c>
      <c r="CY76" s="129">
        <v>43.5</v>
      </c>
      <c r="CZ76" s="129">
        <v>43.5</v>
      </c>
      <c r="DA76" s="129">
        <v>43.5</v>
      </c>
      <c r="DB76" s="129">
        <v>43.5</v>
      </c>
      <c r="DC76" s="129">
        <v>43.5</v>
      </c>
      <c r="DD76" s="129">
        <v>43.5</v>
      </c>
      <c r="DE76" s="129">
        <v>43.5</v>
      </c>
      <c r="DF76" s="129">
        <v>43.5</v>
      </c>
      <c r="DG76" s="129">
        <v>43.5</v>
      </c>
      <c r="DH76" s="129">
        <v>7.1</v>
      </c>
      <c r="DJ76" s="129">
        <v>43.5</v>
      </c>
      <c r="DK76" s="129">
        <v>43.5</v>
      </c>
      <c r="DL76" s="129">
        <v>43.5</v>
      </c>
      <c r="DM76" s="129">
        <v>43.5</v>
      </c>
      <c r="DN76" s="129">
        <v>43.5</v>
      </c>
      <c r="DO76" s="129">
        <v>43.5</v>
      </c>
      <c r="DP76" s="129">
        <v>43.5</v>
      </c>
      <c r="DQ76" s="129">
        <v>43.5</v>
      </c>
      <c r="DR76" s="129">
        <v>43.5</v>
      </c>
      <c r="DS76" s="129">
        <v>7.1</v>
      </c>
      <c r="DW76" s="27">
        <v>26.7</v>
      </c>
      <c r="DX76" s="27">
        <v>26.7</v>
      </c>
      <c r="DY76" s="27">
        <v>26.7</v>
      </c>
      <c r="DZ76" s="27">
        <v>26.7</v>
      </c>
      <c r="EA76" s="27">
        <v>26.7</v>
      </c>
      <c r="EB76" s="27">
        <v>26.7</v>
      </c>
      <c r="EC76" s="27">
        <v>26.7</v>
      </c>
      <c r="ED76" s="27">
        <v>26.7</v>
      </c>
      <c r="EE76" s="27">
        <v>26.7</v>
      </c>
      <c r="EF76" s="129">
        <v>9.1000000000000103</v>
      </c>
      <c r="EH76" s="27">
        <v>44.6</v>
      </c>
      <c r="EI76" s="27">
        <v>44.6</v>
      </c>
      <c r="EJ76" s="27">
        <v>44.6</v>
      </c>
      <c r="EK76" s="27">
        <v>44.6</v>
      </c>
      <c r="EL76" s="27">
        <v>44.6</v>
      </c>
      <c r="EM76" s="27">
        <v>44.6</v>
      </c>
      <c r="EN76" s="27">
        <v>44.6</v>
      </c>
      <c r="EO76" s="27">
        <v>44.6</v>
      </c>
      <c r="EP76" s="27">
        <v>44.6</v>
      </c>
      <c r="EQ76" s="129">
        <v>9.1000000000000103</v>
      </c>
      <c r="ES76" s="27">
        <v>53.5</v>
      </c>
      <c r="ET76" s="27">
        <v>53.5</v>
      </c>
      <c r="EU76" s="27">
        <v>53.5</v>
      </c>
      <c r="EV76" s="27">
        <v>53.5</v>
      </c>
      <c r="EW76" s="27">
        <v>53.5</v>
      </c>
      <c r="EX76" s="27">
        <v>53.5</v>
      </c>
      <c r="EY76" s="27">
        <v>53.5</v>
      </c>
      <c r="EZ76" s="27">
        <v>53.5</v>
      </c>
      <c r="FA76" s="27">
        <v>53.5</v>
      </c>
      <c r="FB76" s="129">
        <v>9.1000000000000103</v>
      </c>
      <c r="FD76" s="27">
        <v>55.5</v>
      </c>
      <c r="FE76" s="27">
        <v>55.5</v>
      </c>
      <c r="FF76" s="27">
        <v>55.5</v>
      </c>
      <c r="FG76" s="27">
        <v>55.5</v>
      </c>
      <c r="FH76" s="27">
        <v>55.5</v>
      </c>
      <c r="FI76" s="27">
        <v>55.5</v>
      </c>
      <c r="FJ76" s="27">
        <v>55.5</v>
      </c>
      <c r="FK76" s="27">
        <v>55.5</v>
      </c>
      <c r="FL76" s="27">
        <v>55.5</v>
      </c>
      <c r="FM76" s="129">
        <v>9.1000000000000103</v>
      </c>
      <c r="FO76" s="27">
        <v>87.1</v>
      </c>
      <c r="FP76" s="27">
        <v>87.1</v>
      </c>
      <c r="FQ76" s="27">
        <v>87.1</v>
      </c>
      <c r="FR76" s="27">
        <v>87.1</v>
      </c>
      <c r="FS76" s="27">
        <v>87.1</v>
      </c>
      <c r="FT76" s="27">
        <v>87.1</v>
      </c>
      <c r="FU76" s="27">
        <v>87.1</v>
      </c>
      <c r="FV76" s="27">
        <v>87.1</v>
      </c>
      <c r="FW76" s="27">
        <v>87.1</v>
      </c>
      <c r="FX76" s="129">
        <v>9.1000000000000103</v>
      </c>
      <c r="FZ76" s="27">
        <v>87.1</v>
      </c>
      <c r="GA76" s="27">
        <v>87.1</v>
      </c>
      <c r="GB76" s="27">
        <v>87.1</v>
      </c>
      <c r="GC76" s="27">
        <v>87.1</v>
      </c>
      <c r="GD76" s="27">
        <v>87.1</v>
      </c>
      <c r="GE76" s="27">
        <v>87.1</v>
      </c>
      <c r="GF76" s="27">
        <v>87.1</v>
      </c>
      <c r="GG76" s="27">
        <v>87.1</v>
      </c>
      <c r="GH76" s="27">
        <v>87.1</v>
      </c>
      <c r="GI76" s="129">
        <v>9.1000000000000103</v>
      </c>
      <c r="GJ76" s="27"/>
      <c r="GK76" s="27">
        <v>20.8</v>
      </c>
      <c r="GL76" s="27">
        <v>20.8</v>
      </c>
      <c r="GM76" s="27">
        <v>20.8</v>
      </c>
      <c r="GN76" s="27">
        <v>20.8</v>
      </c>
      <c r="GO76" s="27">
        <v>20.8</v>
      </c>
      <c r="GP76" s="27">
        <v>20.8</v>
      </c>
      <c r="GQ76" s="27">
        <v>20.8</v>
      </c>
      <c r="GR76" s="27">
        <v>20.8</v>
      </c>
      <c r="GS76" s="27">
        <v>20.8</v>
      </c>
      <c r="GT76" s="129">
        <v>9.1000000000000103</v>
      </c>
      <c r="GV76" s="27">
        <v>24.8</v>
      </c>
      <c r="GW76" s="27">
        <v>24.8</v>
      </c>
      <c r="GX76" s="27">
        <v>24.8</v>
      </c>
      <c r="GY76" s="27">
        <v>24.8</v>
      </c>
      <c r="GZ76" s="27">
        <v>24.8</v>
      </c>
      <c r="HA76" s="27">
        <v>24.8</v>
      </c>
      <c r="HB76" s="27">
        <v>24.8</v>
      </c>
      <c r="HC76" s="27">
        <v>24.8</v>
      </c>
      <c r="HD76" s="27">
        <v>24.8</v>
      </c>
      <c r="HE76" s="129">
        <v>9.1000000000000103</v>
      </c>
      <c r="HG76" s="27">
        <v>34.6</v>
      </c>
      <c r="HH76" s="27">
        <v>34.6</v>
      </c>
      <c r="HI76" s="27">
        <v>34.6</v>
      </c>
      <c r="HJ76" s="27">
        <v>34.6</v>
      </c>
      <c r="HK76" s="27">
        <v>34.6</v>
      </c>
      <c r="HL76" s="27">
        <v>34.6</v>
      </c>
      <c r="HM76" s="27">
        <v>34.6</v>
      </c>
      <c r="HN76" s="27">
        <v>34.6</v>
      </c>
      <c r="HO76" s="27">
        <v>34.6</v>
      </c>
      <c r="HP76" s="129">
        <v>9.1000000000000103</v>
      </c>
      <c r="HR76" s="27">
        <v>34.6</v>
      </c>
      <c r="HS76" s="27">
        <v>34.6</v>
      </c>
      <c r="HT76" s="27">
        <v>34.6</v>
      </c>
      <c r="HU76" s="27">
        <v>34.6</v>
      </c>
      <c r="HV76" s="27">
        <v>34.6</v>
      </c>
      <c r="HW76" s="27">
        <v>34.6</v>
      </c>
      <c r="HX76" s="27">
        <v>34.6</v>
      </c>
      <c r="HY76" s="27">
        <v>34.6</v>
      </c>
      <c r="HZ76" s="27">
        <v>34.6</v>
      </c>
      <c r="IA76" s="129">
        <v>9.1000000000000103</v>
      </c>
    </row>
    <row r="77" spans="15:235" ht="12" customHeight="1">
      <c r="O77" s="129">
        <v>34</v>
      </c>
      <c r="P77" s="129">
        <v>34</v>
      </c>
      <c r="Q77" s="129">
        <v>34</v>
      </c>
      <c r="R77" s="129">
        <v>34</v>
      </c>
      <c r="S77" s="129">
        <v>34</v>
      </c>
      <c r="T77" s="129">
        <v>34</v>
      </c>
      <c r="U77" s="129">
        <v>34</v>
      </c>
      <c r="V77" s="129">
        <v>34</v>
      </c>
      <c r="W77" s="129">
        <v>34</v>
      </c>
      <c r="X77" s="129">
        <v>7.2</v>
      </c>
      <c r="Y77" s="27"/>
      <c r="Z77" s="129">
        <v>56.599999999999994</v>
      </c>
      <c r="AA77" s="129">
        <v>56.599999999999994</v>
      </c>
      <c r="AB77" s="129">
        <v>56.599999999999994</v>
      </c>
      <c r="AC77" s="129">
        <v>56.599999999999994</v>
      </c>
      <c r="AD77" s="129">
        <v>56.599999999999994</v>
      </c>
      <c r="AE77" s="129">
        <v>56.599999999999994</v>
      </c>
      <c r="AF77" s="129">
        <v>56.599999999999994</v>
      </c>
      <c r="AG77" s="129">
        <v>56.599999999999994</v>
      </c>
      <c r="AH77" s="129">
        <v>56.599999999999994</v>
      </c>
      <c r="AI77" s="129">
        <v>7.2</v>
      </c>
      <c r="AK77" s="129">
        <v>68.199999999999989</v>
      </c>
      <c r="AL77" s="129">
        <v>68.199999999999989</v>
      </c>
      <c r="AM77" s="129">
        <v>68.199999999999989</v>
      </c>
      <c r="AN77" s="129">
        <v>68.199999999999989</v>
      </c>
      <c r="AO77" s="129">
        <v>68.199999999999989</v>
      </c>
      <c r="AP77" s="129">
        <v>68.199999999999989</v>
      </c>
      <c r="AQ77" s="129">
        <v>68.199999999999989</v>
      </c>
      <c r="AR77" s="129">
        <v>68.199999999999989</v>
      </c>
      <c r="AS77" s="129">
        <v>68.199999999999989</v>
      </c>
      <c r="AT77" s="129">
        <v>7.2</v>
      </c>
      <c r="AV77" s="129">
        <v>70.199999999999989</v>
      </c>
      <c r="AW77" s="129">
        <v>70.199999999999989</v>
      </c>
      <c r="AX77" s="129">
        <v>70.199999999999989</v>
      </c>
      <c r="AY77" s="129">
        <v>70.199999999999989</v>
      </c>
      <c r="AZ77" s="129">
        <v>70.199999999999989</v>
      </c>
      <c r="BA77" s="129">
        <v>70.199999999999989</v>
      </c>
      <c r="BB77" s="129">
        <v>70.199999999999989</v>
      </c>
      <c r="BC77" s="129">
        <v>70.199999999999989</v>
      </c>
      <c r="BD77" s="129">
        <v>70.199999999999989</v>
      </c>
      <c r="BE77" s="129">
        <v>7.2</v>
      </c>
      <c r="BG77" s="129">
        <v>110.19999999999999</v>
      </c>
      <c r="BH77" s="129">
        <v>110.19999999999999</v>
      </c>
      <c r="BI77" s="129">
        <v>110.19999999999999</v>
      </c>
      <c r="BJ77" s="129">
        <v>110.19999999999999</v>
      </c>
      <c r="BK77" s="129">
        <v>110.19999999999999</v>
      </c>
      <c r="BL77" s="129">
        <v>110.19999999999999</v>
      </c>
      <c r="BM77" s="129">
        <v>110.19999999999999</v>
      </c>
      <c r="BN77" s="129">
        <v>110.19999999999999</v>
      </c>
      <c r="BO77" s="129">
        <v>110.19999999999999</v>
      </c>
      <c r="BP77" s="129">
        <v>7.2</v>
      </c>
      <c r="BR77" s="129">
        <v>110.19999999999999</v>
      </c>
      <c r="BS77" s="129">
        <v>110.19999999999999</v>
      </c>
      <c r="BT77" s="129">
        <v>110.19999999999999</v>
      </c>
      <c r="BU77" s="129">
        <v>110.19999999999999</v>
      </c>
      <c r="BV77" s="129">
        <v>110.19999999999999</v>
      </c>
      <c r="BW77" s="129">
        <v>110.19999999999999</v>
      </c>
      <c r="BX77" s="129">
        <v>110.19999999999999</v>
      </c>
      <c r="BY77" s="129">
        <v>110.19999999999999</v>
      </c>
      <c r="BZ77" s="129">
        <v>110.19999999999999</v>
      </c>
      <c r="CA77" s="129">
        <v>7.2</v>
      </c>
      <c r="CC77" s="129">
        <v>26.4</v>
      </c>
      <c r="CD77" s="129">
        <v>26.4</v>
      </c>
      <c r="CE77" s="129">
        <v>26.4</v>
      </c>
      <c r="CF77" s="129">
        <v>26.4</v>
      </c>
      <c r="CG77" s="129">
        <v>26.4</v>
      </c>
      <c r="CH77" s="129">
        <v>26.4</v>
      </c>
      <c r="CI77" s="129">
        <v>26.4</v>
      </c>
      <c r="CJ77" s="129">
        <v>26.4</v>
      </c>
      <c r="CK77" s="129">
        <v>26.4</v>
      </c>
      <c r="CL77" s="129">
        <v>7.2</v>
      </c>
      <c r="CN77" s="129">
        <v>31.200000000000003</v>
      </c>
      <c r="CO77" s="129">
        <v>31.200000000000003</v>
      </c>
      <c r="CP77" s="129">
        <v>31.200000000000003</v>
      </c>
      <c r="CQ77" s="129">
        <v>31.200000000000003</v>
      </c>
      <c r="CR77" s="129">
        <v>31.200000000000003</v>
      </c>
      <c r="CS77" s="129">
        <v>31.200000000000003</v>
      </c>
      <c r="CT77" s="129">
        <v>31.200000000000003</v>
      </c>
      <c r="CU77" s="129">
        <v>31.200000000000003</v>
      </c>
      <c r="CV77" s="129">
        <v>31.200000000000003</v>
      </c>
      <c r="CW77" s="129">
        <v>7.2</v>
      </c>
      <c r="CY77" s="129">
        <v>43</v>
      </c>
      <c r="CZ77" s="129">
        <v>43</v>
      </c>
      <c r="DA77" s="129">
        <v>43</v>
      </c>
      <c r="DB77" s="129">
        <v>43</v>
      </c>
      <c r="DC77" s="129">
        <v>43</v>
      </c>
      <c r="DD77" s="129">
        <v>43</v>
      </c>
      <c r="DE77" s="129">
        <v>43</v>
      </c>
      <c r="DF77" s="129">
        <v>43</v>
      </c>
      <c r="DG77" s="129">
        <v>43</v>
      </c>
      <c r="DH77" s="129">
        <v>7.2</v>
      </c>
      <c r="DJ77" s="129">
        <v>43</v>
      </c>
      <c r="DK77" s="129">
        <v>43</v>
      </c>
      <c r="DL77" s="129">
        <v>43</v>
      </c>
      <c r="DM77" s="129">
        <v>43</v>
      </c>
      <c r="DN77" s="129">
        <v>43</v>
      </c>
      <c r="DO77" s="129">
        <v>43</v>
      </c>
      <c r="DP77" s="129">
        <v>43</v>
      </c>
      <c r="DQ77" s="129">
        <v>43</v>
      </c>
      <c r="DR77" s="129">
        <v>43</v>
      </c>
      <c r="DS77" s="129">
        <v>7.2</v>
      </c>
      <c r="DW77" s="27">
        <v>26.4</v>
      </c>
      <c r="DX77" s="27">
        <v>26.4</v>
      </c>
      <c r="DY77" s="27">
        <v>26.4</v>
      </c>
      <c r="DZ77" s="27">
        <v>26.4</v>
      </c>
      <c r="EA77" s="27">
        <v>26.4</v>
      </c>
      <c r="EB77" s="27">
        <v>26.4</v>
      </c>
      <c r="EC77" s="27">
        <v>26.4</v>
      </c>
      <c r="ED77" s="27">
        <v>26.4</v>
      </c>
      <c r="EE77" s="27">
        <v>26.4</v>
      </c>
      <c r="EF77" s="129">
        <v>9.2000000000000099</v>
      </c>
      <c r="EH77" s="27">
        <v>44.2</v>
      </c>
      <c r="EI77" s="27">
        <v>44.2</v>
      </c>
      <c r="EJ77" s="27">
        <v>44.2</v>
      </c>
      <c r="EK77" s="27">
        <v>44.2</v>
      </c>
      <c r="EL77" s="27">
        <v>44.2</v>
      </c>
      <c r="EM77" s="27">
        <v>44.2</v>
      </c>
      <c r="EN77" s="27">
        <v>44.2</v>
      </c>
      <c r="EO77" s="27">
        <v>44.2</v>
      </c>
      <c r="EP77" s="27">
        <v>44.2</v>
      </c>
      <c r="EQ77" s="129">
        <v>9.2000000000000099</v>
      </c>
      <c r="ES77" s="27">
        <v>53</v>
      </c>
      <c r="ET77" s="27">
        <v>53</v>
      </c>
      <c r="EU77" s="27">
        <v>53</v>
      </c>
      <c r="EV77" s="27">
        <v>53</v>
      </c>
      <c r="EW77" s="27">
        <v>53</v>
      </c>
      <c r="EX77" s="27">
        <v>53</v>
      </c>
      <c r="EY77" s="27">
        <v>53</v>
      </c>
      <c r="EZ77" s="27">
        <v>53</v>
      </c>
      <c r="FA77" s="27">
        <v>53</v>
      </c>
      <c r="FB77" s="129">
        <v>9.2000000000000099</v>
      </c>
      <c r="FD77" s="27">
        <v>55</v>
      </c>
      <c r="FE77" s="27">
        <v>55</v>
      </c>
      <c r="FF77" s="27">
        <v>55</v>
      </c>
      <c r="FG77" s="27">
        <v>55</v>
      </c>
      <c r="FH77" s="27">
        <v>55</v>
      </c>
      <c r="FI77" s="27">
        <v>55</v>
      </c>
      <c r="FJ77" s="27">
        <v>55</v>
      </c>
      <c r="FK77" s="27">
        <v>55</v>
      </c>
      <c r="FL77" s="27">
        <v>55</v>
      </c>
      <c r="FM77" s="129">
        <v>9.2000000000000099</v>
      </c>
      <c r="FO77" s="27">
        <v>86.199999999999989</v>
      </c>
      <c r="FP77" s="27">
        <v>86.199999999999989</v>
      </c>
      <c r="FQ77" s="27">
        <v>86.199999999999989</v>
      </c>
      <c r="FR77" s="27">
        <v>86.199999999999989</v>
      </c>
      <c r="FS77" s="27">
        <v>86.199999999999989</v>
      </c>
      <c r="FT77" s="27">
        <v>86.199999999999989</v>
      </c>
      <c r="FU77" s="27">
        <v>86.199999999999989</v>
      </c>
      <c r="FV77" s="27">
        <v>86.199999999999989</v>
      </c>
      <c r="FW77" s="27">
        <v>86.199999999999989</v>
      </c>
      <c r="FX77" s="129">
        <v>9.2000000000000099</v>
      </c>
      <c r="FZ77" s="27">
        <v>86.199999999999989</v>
      </c>
      <c r="GA77" s="27">
        <v>86.199999999999989</v>
      </c>
      <c r="GB77" s="27">
        <v>86.199999999999989</v>
      </c>
      <c r="GC77" s="27">
        <v>86.199999999999989</v>
      </c>
      <c r="GD77" s="27">
        <v>86.199999999999989</v>
      </c>
      <c r="GE77" s="27">
        <v>86.199999999999989</v>
      </c>
      <c r="GF77" s="27">
        <v>86.199999999999989</v>
      </c>
      <c r="GG77" s="27">
        <v>86.199999999999989</v>
      </c>
      <c r="GH77" s="27">
        <v>86.199999999999989</v>
      </c>
      <c r="GI77" s="129">
        <v>9.2000000000000099</v>
      </c>
      <c r="GJ77" s="27"/>
      <c r="GK77" s="27">
        <v>20.6</v>
      </c>
      <c r="GL77" s="27">
        <v>20.6</v>
      </c>
      <c r="GM77" s="27">
        <v>20.6</v>
      </c>
      <c r="GN77" s="27">
        <v>20.6</v>
      </c>
      <c r="GO77" s="27">
        <v>20.6</v>
      </c>
      <c r="GP77" s="27">
        <v>20.6</v>
      </c>
      <c r="GQ77" s="27">
        <v>20.6</v>
      </c>
      <c r="GR77" s="27">
        <v>20.6</v>
      </c>
      <c r="GS77" s="27">
        <v>20.6</v>
      </c>
      <c r="GT77" s="129">
        <v>9.2000000000000099</v>
      </c>
      <c r="GV77" s="27">
        <v>24.6</v>
      </c>
      <c r="GW77" s="27">
        <v>24.6</v>
      </c>
      <c r="GX77" s="27">
        <v>24.6</v>
      </c>
      <c r="GY77" s="27">
        <v>24.6</v>
      </c>
      <c r="GZ77" s="27">
        <v>24.6</v>
      </c>
      <c r="HA77" s="27">
        <v>24.6</v>
      </c>
      <c r="HB77" s="27">
        <v>24.6</v>
      </c>
      <c r="HC77" s="27">
        <v>24.6</v>
      </c>
      <c r="HD77" s="27">
        <v>24.6</v>
      </c>
      <c r="HE77" s="129">
        <v>9.2000000000000099</v>
      </c>
      <c r="HG77" s="27">
        <v>34.200000000000003</v>
      </c>
      <c r="HH77" s="27">
        <v>34.200000000000003</v>
      </c>
      <c r="HI77" s="27">
        <v>34.200000000000003</v>
      </c>
      <c r="HJ77" s="27">
        <v>34.200000000000003</v>
      </c>
      <c r="HK77" s="27">
        <v>34.200000000000003</v>
      </c>
      <c r="HL77" s="27">
        <v>34.200000000000003</v>
      </c>
      <c r="HM77" s="27">
        <v>34.200000000000003</v>
      </c>
      <c r="HN77" s="27">
        <v>34.200000000000003</v>
      </c>
      <c r="HO77" s="27">
        <v>34.200000000000003</v>
      </c>
      <c r="HP77" s="129">
        <v>9.2000000000000099</v>
      </c>
      <c r="HR77" s="27">
        <v>34.200000000000003</v>
      </c>
      <c r="HS77" s="27">
        <v>34.200000000000003</v>
      </c>
      <c r="HT77" s="27">
        <v>34.200000000000003</v>
      </c>
      <c r="HU77" s="27">
        <v>34.200000000000003</v>
      </c>
      <c r="HV77" s="27">
        <v>34.200000000000003</v>
      </c>
      <c r="HW77" s="27">
        <v>34.200000000000003</v>
      </c>
      <c r="HX77" s="27">
        <v>34.200000000000003</v>
      </c>
      <c r="HY77" s="27">
        <v>34.200000000000003</v>
      </c>
      <c r="HZ77" s="27">
        <v>34.200000000000003</v>
      </c>
      <c r="IA77" s="129">
        <v>9.2000000000000099</v>
      </c>
    </row>
    <row r="78" spans="15:235" ht="12" customHeight="1">
      <c r="O78" s="129">
        <v>33.5</v>
      </c>
      <c r="P78" s="129">
        <v>33.5</v>
      </c>
      <c r="Q78" s="129">
        <v>33.5</v>
      </c>
      <c r="R78" s="129">
        <v>33.5</v>
      </c>
      <c r="S78" s="129">
        <v>33.5</v>
      </c>
      <c r="T78" s="129">
        <v>33.5</v>
      </c>
      <c r="U78" s="129">
        <v>33.5</v>
      </c>
      <c r="V78" s="129">
        <v>33.5</v>
      </c>
      <c r="W78" s="129">
        <v>33.5</v>
      </c>
      <c r="X78" s="129">
        <v>7.3</v>
      </c>
      <c r="Y78" s="27"/>
      <c r="Z78" s="129">
        <v>55.899999999999991</v>
      </c>
      <c r="AA78" s="129">
        <v>55.899999999999991</v>
      </c>
      <c r="AB78" s="129">
        <v>55.899999999999991</v>
      </c>
      <c r="AC78" s="129">
        <v>55.899999999999991</v>
      </c>
      <c r="AD78" s="129">
        <v>55.899999999999991</v>
      </c>
      <c r="AE78" s="129">
        <v>55.899999999999991</v>
      </c>
      <c r="AF78" s="129">
        <v>55.899999999999991</v>
      </c>
      <c r="AG78" s="129">
        <v>55.899999999999991</v>
      </c>
      <c r="AH78" s="129">
        <v>55.899999999999991</v>
      </c>
      <c r="AI78" s="129">
        <v>7.3</v>
      </c>
      <c r="AK78" s="129">
        <v>67.299999999999983</v>
      </c>
      <c r="AL78" s="129">
        <v>67.299999999999983</v>
      </c>
      <c r="AM78" s="129">
        <v>67.299999999999983</v>
      </c>
      <c r="AN78" s="129">
        <v>67.299999999999983</v>
      </c>
      <c r="AO78" s="129">
        <v>67.299999999999983</v>
      </c>
      <c r="AP78" s="129">
        <v>67.299999999999983</v>
      </c>
      <c r="AQ78" s="129">
        <v>67.299999999999983</v>
      </c>
      <c r="AR78" s="129">
        <v>67.299999999999983</v>
      </c>
      <c r="AS78" s="129">
        <v>67.299999999999983</v>
      </c>
      <c r="AT78" s="129">
        <v>7.3</v>
      </c>
      <c r="AV78" s="129">
        <v>69.299999999999983</v>
      </c>
      <c r="AW78" s="129">
        <v>69.299999999999983</v>
      </c>
      <c r="AX78" s="129">
        <v>69.299999999999983</v>
      </c>
      <c r="AY78" s="129">
        <v>69.299999999999983</v>
      </c>
      <c r="AZ78" s="129">
        <v>69.299999999999983</v>
      </c>
      <c r="BA78" s="129">
        <v>69.299999999999983</v>
      </c>
      <c r="BB78" s="129">
        <v>69.299999999999983</v>
      </c>
      <c r="BC78" s="129">
        <v>69.299999999999983</v>
      </c>
      <c r="BD78" s="129">
        <v>69.299999999999983</v>
      </c>
      <c r="BE78" s="129">
        <v>7.3</v>
      </c>
      <c r="BG78" s="129">
        <v>108.79999999999998</v>
      </c>
      <c r="BH78" s="129">
        <v>108.79999999999998</v>
      </c>
      <c r="BI78" s="129">
        <v>108.79999999999998</v>
      </c>
      <c r="BJ78" s="129">
        <v>108.79999999999998</v>
      </c>
      <c r="BK78" s="129">
        <v>108.79999999999998</v>
      </c>
      <c r="BL78" s="129">
        <v>108.79999999999998</v>
      </c>
      <c r="BM78" s="129">
        <v>108.79999999999998</v>
      </c>
      <c r="BN78" s="129">
        <v>108.79999999999998</v>
      </c>
      <c r="BO78" s="129">
        <v>108.79999999999998</v>
      </c>
      <c r="BP78" s="129">
        <v>7.3</v>
      </c>
      <c r="BR78" s="129">
        <v>108.79999999999998</v>
      </c>
      <c r="BS78" s="129">
        <v>108.79999999999998</v>
      </c>
      <c r="BT78" s="129">
        <v>108.79999999999998</v>
      </c>
      <c r="BU78" s="129">
        <v>108.79999999999998</v>
      </c>
      <c r="BV78" s="129">
        <v>108.79999999999998</v>
      </c>
      <c r="BW78" s="129">
        <v>108.79999999999998</v>
      </c>
      <c r="BX78" s="129">
        <v>108.79999999999998</v>
      </c>
      <c r="BY78" s="129">
        <v>108.79999999999998</v>
      </c>
      <c r="BZ78" s="129">
        <v>108.79999999999998</v>
      </c>
      <c r="CA78" s="129">
        <v>7.3</v>
      </c>
      <c r="CC78" s="129">
        <v>26.099999999999998</v>
      </c>
      <c r="CD78" s="129">
        <v>26.099999999999998</v>
      </c>
      <c r="CE78" s="129">
        <v>26.099999999999998</v>
      </c>
      <c r="CF78" s="129">
        <v>26.099999999999998</v>
      </c>
      <c r="CG78" s="129">
        <v>26.099999999999998</v>
      </c>
      <c r="CH78" s="129">
        <v>26.099999999999998</v>
      </c>
      <c r="CI78" s="129">
        <v>26.099999999999998</v>
      </c>
      <c r="CJ78" s="129">
        <v>26.099999999999998</v>
      </c>
      <c r="CK78" s="129">
        <v>26.099999999999998</v>
      </c>
      <c r="CL78" s="129">
        <v>7.3</v>
      </c>
      <c r="CN78" s="129">
        <v>30.800000000000004</v>
      </c>
      <c r="CO78" s="129">
        <v>30.800000000000004</v>
      </c>
      <c r="CP78" s="129">
        <v>30.800000000000004</v>
      </c>
      <c r="CQ78" s="129">
        <v>30.800000000000004</v>
      </c>
      <c r="CR78" s="129">
        <v>30.800000000000004</v>
      </c>
      <c r="CS78" s="129">
        <v>30.800000000000004</v>
      </c>
      <c r="CT78" s="129">
        <v>30.800000000000004</v>
      </c>
      <c r="CU78" s="129">
        <v>30.800000000000004</v>
      </c>
      <c r="CV78" s="129">
        <v>30.800000000000004</v>
      </c>
      <c r="CW78" s="129">
        <v>7.3</v>
      </c>
      <c r="CY78" s="129">
        <v>42.5</v>
      </c>
      <c r="CZ78" s="129">
        <v>42.5</v>
      </c>
      <c r="DA78" s="129">
        <v>42.5</v>
      </c>
      <c r="DB78" s="129">
        <v>42.5</v>
      </c>
      <c r="DC78" s="129">
        <v>42.5</v>
      </c>
      <c r="DD78" s="129">
        <v>42.5</v>
      </c>
      <c r="DE78" s="129">
        <v>42.5</v>
      </c>
      <c r="DF78" s="129">
        <v>42.5</v>
      </c>
      <c r="DG78" s="129">
        <v>42.5</v>
      </c>
      <c r="DH78" s="129">
        <v>7.3</v>
      </c>
      <c r="DJ78" s="129">
        <v>42.5</v>
      </c>
      <c r="DK78" s="129">
        <v>42.5</v>
      </c>
      <c r="DL78" s="129">
        <v>42.5</v>
      </c>
      <c r="DM78" s="129">
        <v>42.5</v>
      </c>
      <c r="DN78" s="129">
        <v>42.5</v>
      </c>
      <c r="DO78" s="129">
        <v>42.5</v>
      </c>
      <c r="DP78" s="129">
        <v>42.5</v>
      </c>
      <c r="DQ78" s="129">
        <v>42.5</v>
      </c>
      <c r="DR78" s="129">
        <v>42.5</v>
      </c>
      <c r="DS78" s="129">
        <v>7.3</v>
      </c>
      <c r="DW78" s="27">
        <v>26.099999999999998</v>
      </c>
      <c r="DX78" s="27">
        <v>26.099999999999998</v>
      </c>
      <c r="DY78" s="27">
        <v>26.099999999999998</v>
      </c>
      <c r="DZ78" s="27">
        <v>26.099999999999998</v>
      </c>
      <c r="EA78" s="27">
        <v>26.099999999999998</v>
      </c>
      <c r="EB78" s="27">
        <v>26.099999999999998</v>
      </c>
      <c r="EC78" s="27">
        <v>26.099999999999998</v>
      </c>
      <c r="ED78" s="27">
        <v>26.099999999999998</v>
      </c>
      <c r="EE78" s="27">
        <v>26.099999999999998</v>
      </c>
      <c r="EF78" s="129">
        <v>9.3000000000000096</v>
      </c>
      <c r="EH78" s="27">
        <v>43.800000000000004</v>
      </c>
      <c r="EI78" s="27">
        <v>43.800000000000004</v>
      </c>
      <c r="EJ78" s="27">
        <v>43.800000000000004</v>
      </c>
      <c r="EK78" s="27">
        <v>43.800000000000004</v>
      </c>
      <c r="EL78" s="27">
        <v>43.800000000000004</v>
      </c>
      <c r="EM78" s="27">
        <v>43.800000000000004</v>
      </c>
      <c r="EN78" s="27">
        <v>43.800000000000004</v>
      </c>
      <c r="EO78" s="27">
        <v>43.800000000000004</v>
      </c>
      <c r="EP78" s="27">
        <v>43.800000000000004</v>
      </c>
      <c r="EQ78" s="129">
        <v>9.3000000000000096</v>
      </c>
      <c r="ES78" s="27">
        <v>52.5</v>
      </c>
      <c r="ET78" s="27">
        <v>52.5</v>
      </c>
      <c r="EU78" s="27">
        <v>52.5</v>
      </c>
      <c r="EV78" s="27">
        <v>52.5</v>
      </c>
      <c r="EW78" s="27">
        <v>52.5</v>
      </c>
      <c r="EX78" s="27">
        <v>52.5</v>
      </c>
      <c r="EY78" s="27">
        <v>52.5</v>
      </c>
      <c r="EZ78" s="27">
        <v>52.5</v>
      </c>
      <c r="FA78" s="27">
        <v>52.5</v>
      </c>
      <c r="FB78" s="129">
        <v>9.3000000000000096</v>
      </c>
      <c r="FD78" s="27">
        <v>54.5</v>
      </c>
      <c r="FE78" s="27">
        <v>54.5</v>
      </c>
      <c r="FF78" s="27">
        <v>54.5</v>
      </c>
      <c r="FG78" s="27">
        <v>54.5</v>
      </c>
      <c r="FH78" s="27">
        <v>54.5</v>
      </c>
      <c r="FI78" s="27">
        <v>54.5</v>
      </c>
      <c r="FJ78" s="27">
        <v>54.5</v>
      </c>
      <c r="FK78" s="27">
        <v>54.5</v>
      </c>
      <c r="FL78" s="27">
        <v>54.5</v>
      </c>
      <c r="FM78" s="129">
        <v>9.3000000000000096</v>
      </c>
      <c r="FO78" s="27">
        <v>85.299999999999983</v>
      </c>
      <c r="FP78" s="27">
        <v>85.299999999999983</v>
      </c>
      <c r="FQ78" s="27">
        <v>85.299999999999983</v>
      </c>
      <c r="FR78" s="27">
        <v>85.299999999999983</v>
      </c>
      <c r="FS78" s="27">
        <v>85.299999999999983</v>
      </c>
      <c r="FT78" s="27">
        <v>85.299999999999983</v>
      </c>
      <c r="FU78" s="27">
        <v>85.299999999999983</v>
      </c>
      <c r="FV78" s="27">
        <v>85.299999999999983</v>
      </c>
      <c r="FW78" s="27">
        <v>85.299999999999983</v>
      </c>
      <c r="FX78" s="129">
        <v>9.3000000000000096</v>
      </c>
      <c r="FZ78" s="27">
        <v>85.299999999999983</v>
      </c>
      <c r="GA78" s="27">
        <v>85.299999999999983</v>
      </c>
      <c r="GB78" s="27">
        <v>85.299999999999983</v>
      </c>
      <c r="GC78" s="27">
        <v>85.299999999999983</v>
      </c>
      <c r="GD78" s="27">
        <v>85.299999999999983</v>
      </c>
      <c r="GE78" s="27">
        <v>85.299999999999983</v>
      </c>
      <c r="GF78" s="27">
        <v>85.299999999999983</v>
      </c>
      <c r="GG78" s="27">
        <v>85.299999999999983</v>
      </c>
      <c r="GH78" s="27">
        <v>85.299999999999983</v>
      </c>
      <c r="GI78" s="129">
        <v>9.3000000000000096</v>
      </c>
      <c r="GJ78" s="27"/>
      <c r="GK78" s="27">
        <v>20.400000000000002</v>
      </c>
      <c r="GL78" s="27">
        <v>20.400000000000002</v>
      </c>
      <c r="GM78" s="27">
        <v>20.400000000000002</v>
      </c>
      <c r="GN78" s="27">
        <v>20.400000000000002</v>
      </c>
      <c r="GO78" s="27">
        <v>20.400000000000002</v>
      </c>
      <c r="GP78" s="27">
        <v>20.400000000000002</v>
      </c>
      <c r="GQ78" s="27">
        <v>20.400000000000002</v>
      </c>
      <c r="GR78" s="27">
        <v>20.400000000000002</v>
      </c>
      <c r="GS78" s="27">
        <v>20.400000000000002</v>
      </c>
      <c r="GT78" s="129">
        <v>9.3000000000000096</v>
      </c>
      <c r="GV78" s="27">
        <v>24.400000000000002</v>
      </c>
      <c r="GW78" s="27">
        <v>24.400000000000002</v>
      </c>
      <c r="GX78" s="27">
        <v>24.400000000000002</v>
      </c>
      <c r="GY78" s="27">
        <v>24.400000000000002</v>
      </c>
      <c r="GZ78" s="27">
        <v>24.400000000000002</v>
      </c>
      <c r="HA78" s="27">
        <v>24.400000000000002</v>
      </c>
      <c r="HB78" s="27">
        <v>24.400000000000002</v>
      </c>
      <c r="HC78" s="27">
        <v>24.400000000000002</v>
      </c>
      <c r="HD78" s="27">
        <v>24.400000000000002</v>
      </c>
      <c r="HE78" s="129">
        <v>9.3000000000000096</v>
      </c>
      <c r="HG78" s="27">
        <v>33.800000000000004</v>
      </c>
      <c r="HH78" s="27">
        <v>33.800000000000004</v>
      </c>
      <c r="HI78" s="27">
        <v>33.800000000000004</v>
      </c>
      <c r="HJ78" s="27">
        <v>33.800000000000004</v>
      </c>
      <c r="HK78" s="27">
        <v>33.800000000000004</v>
      </c>
      <c r="HL78" s="27">
        <v>33.800000000000004</v>
      </c>
      <c r="HM78" s="27">
        <v>33.800000000000004</v>
      </c>
      <c r="HN78" s="27">
        <v>33.800000000000004</v>
      </c>
      <c r="HO78" s="27">
        <v>33.800000000000004</v>
      </c>
      <c r="HP78" s="129">
        <v>9.3000000000000096</v>
      </c>
      <c r="HR78" s="27">
        <v>33.800000000000004</v>
      </c>
      <c r="HS78" s="27">
        <v>33.800000000000004</v>
      </c>
      <c r="HT78" s="27">
        <v>33.800000000000004</v>
      </c>
      <c r="HU78" s="27">
        <v>33.800000000000004</v>
      </c>
      <c r="HV78" s="27">
        <v>33.800000000000004</v>
      </c>
      <c r="HW78" s="27">
        <v>33.800000000000004</v>
      </c>
      <c r="HX78" s="27">
        <v>33.800000000000004</v>
      </c>
      <c r="HY78" s="27">
        <v>33.800000000000004</v>
      </c>
      <c r="HZ78" s="27">
        <v>33.800000000000004</v>
      </c>
      <c r="IA78" s="129">
        <v>9.3000000000000096</v>
      </c>
    </row>
    <row r="79" spans="15:235" ht="12" customHeight="1">
      <c r="O79" s="129">
        <v>33</v>
      </c>
      <c r="P79" s="129">
        <v>33</v>
      </c>
      <c r="Q79" s="129">
        <v>33</v>
      </c>
      <c r="R79" s="129">
        <v>33</v>
      </c>
      <c r="S79" s="129">
        <v>33</v>
      </c>
      <c r="T79" s="129">
        <v>33</v>
      </c>
      <c r="U79" s="129">
        <v>33</v>
      </c>
      <c r="V79" s="129">
        <v>33</v>
      </c>
      <c r="W79" s="129">
        <v>33</v>
      </c>
      <c r="X79" s="129">
        <v>7.4</v>
      </c>
      <c r="Y79" s="27"/>
      <c r="Z79" s="129">
        <v>55.199999999999989</v>
      </c>
      <c r="AA79" s="129">
        <v>55.199999999999989</v>
      </c>
      <c r="AB79" s="129">
        <v>55.199999999999989</v>
      </c>
      <c r="AC79" s="129">
        <v>55.199999999999989</v>
      </c>
      <c r="AD79" s="129">
        <v>55.199999999999989</v>
      </c>
      <c r="AE79" s="129">
        <v>55.199999999999989</v>
      </c>
      <c r="AF79" s="129">
        <v>55.199999999999989</v>
      </c>
      <c r="AG79" s="129">
        <v>55.199999999999989</v>
      </c>
      <c r="AH79" s="129">
        <v>55.199999999999989</v>
      </c>
      <c r="AI79" s="129">
        <v>7.4</v>
      </c>
      <c r="AK79" s="129">
        <v>66.399999999999977</v>
      </c>
      <c r="AL79" s="129">
        <v>66.399999999999977</v>
      </c>
      <c r="AM79" s="129">
        <v>66.399999999999977</v>
      </c>
      <c r="AN79" s="129">
        <v>66.399999999999977</v>
      </c>
      <c r="AO79" s="129">
        <v>66.399999999999977</v>
      </c>
      <c r="AP79" s="129">
        <v>66.399999999999977</v>
      </c>
      <c r="AQ79" s="129">
        <v>66.399999999999977</v>
      </c>
      <c r="AR79" s="129">
        <v>66.399999999999977</v>
      </c>
      <c r="AS79" s="129">
        <v>66.399999999999977</v>
      </c>
      <c r="AT79" s="129">
        <v>7.4</v>
      </c>
      <c r="AV79" s="129">
        <v>68.399999999999977</v>
      </c>
      <c r="AW79" s="129">
        <v>68.399999999999977</v>
      </c>
      <c r="AX79" s="129">
        <v>68.399999999999977</v>
      </c>
      <c r="AY79" s="129">
        <v>68.399999999999977</v>
      </c>
      <c r="AZ79" s="129">
        <v>68.399999999999977</v>
      </c>
      <c r="BA79" s="129">
        <v>68.399999999999977</v>
      </c>
      <c r="BB79" s="129">
        <v>68.399999999999977</v>
      </c>
      <c r="BC79" s="129">
        <v>68.399999999999977</v>
      </c>
      <c r="BD79" s="129">
        <v>68.399999999999977</v>
      </c>
      <c r="BE79" s="129">
        <v>7.4</v>
      </c>
      <c r="BG79" s="129">
        <v>107.39999999999998</v>
      </c>
      <c r="BH79" s="129">
        <v>107.39999999999998</v>
      </c>
      <c r="BI79" s="129">
        <v>107.39999999999998</v>
      </c>
      <c r="BJ79" s="129">
        <v>107.39999999999998</v>
      </c>
      <c r="BK79" s="129">
        <v>107.39999999999998</v>
      </c>
      <c r="BL79" s="129">
        <v>107.39999999999998</v>
      </c>
      <c r="BM79" s="129">
        <v>107.39999999999998</v>
      </c>
      <c r="BN79" s="129">
        <v>107.39999999999998</v>
      </c>
      <c r="BO79" s="129">
        <v>107.39999999999998</v>
      </c>
      <c r="BP79" s="129">
        <v>7.4</v>
      </c>
      <c r="BR79" s="129">
        <v>107.39999999999998</v>
      </c>
      <c r="BS79" s="129">
        <v>107.39999999999998</v>
      </c>
      <c r="BT79" s="129">
        <v>107.39999999999998</v>
      </c>
      <c r="BU79" s="129">
        <v>107.39999999999998</v>
      </c>
      <c r="BV79" s="129">
        <v>107.39999999999998</v>
      </c>
      <c r="BW79" s="129">
        <v>107.39999999999998</v>
      </c>
      <c r="BX79" s="129">
        <v>107.39999999999998</v>
      </c>
      <c r="BY79" s="129">
        <v>107.39999999999998</v>
      </c>
      <c r="BZ79" s="129">
        <v>107.39999999999998</v>
      </c>
      <c r="CA79" s="129">
        <v>7.4</v>
      </c>
      <c r="CC79" s="129">
        <v>25.799999999999997</v>
      </c>
      <c r="CD79" s="129">
        <v>25.799999999999997</v>
      </c>
      <c r="CE79" s="129">
        <v>25.799999999999997</v>
      </c>
      <c r="CF79" s="129">
        <v>25.799999999999997</v>
      </c>
      <c r="CG79" s="129">
        <v>25.799999999999997</v>
      </c>
      <c r="CH79" s="129">
        <v>25.799999999999997</v>
      </c>
      <c r="CI79" s="129">
        <v>25.799999999999997</v>
      </c>
      <c r="CJ79" s="129">
        <v>25.799999999999997</v>
      </c>
      <c r="CK79" s="129">
        <v>25.799999999999997</v>
      </c>
      <c r="CL79" s="129">
        <v>7.4</v>
      </c>
      <c r="CN79" s="129">
        <v>30.400000000000006</v>
      </c>
      <c r="CO79" s="129">
        <v>30.400000000000006</v>
      </c>
      <c r="CP79" s="129">
        <v>30.400000000000006</v>
      </c>
      <c r="CQ79" s="129">
        <v>30.400000000000006</v>
      </c>
      <c r="CR79" s="129">
        <v>30.400000000000006</v>
      </c>
      <c r="CS79" s="129">
        <v>30.400000000000006</v>
      </c>
      <c r="CT79" s="129">
        <v>30.400000000000006</v>
      </c>
      <c r="CU79" s="129">
        <v>30.400000000000006</v>
      </c>
      <c r="CV79" s="129">
        <v>30.400000000000006</v>
      </c>
      <c r="CW79" s="129">
        <v>7.4</v>
      </c>
      <c r="CY79" s="129">
        <v>42</v>
      </c>
      <c r="CZ79" s="129">
        <v>42</v>
      </c>
      <c r="DA79" s="129">
        <v>42</v>
      </c>
      <c r="DB79" s="129">
        <v>42</v>
      </c>
      <c r="DC79" s="129">
        <v>42</v>
      </c>
      <c r="DD79" s="129">
        <v>42</v>
      </c>
      <c r="DE79" s="129">
        <v>42</v>
      </c>
      <c r="DF79" s="129">
        <v>42</v>
      </c>
      <c r="DG79" s="129">
        <v>42</v>
      </c>
      <c r="DH79" s="129">
        <v>7.4</v>
      </c>
      <c r="DJ79" s="129">
        <v>42</v>
      </c>
      <c r="DK79" s="129">
        <v>42</v>
      </c>
      <c r="DL79" s="129">
        <v>42</v>
      </c>
      <c r="DM79" s="129">
        <v>42</v>
      </c>
      <c r="DN79" s="129">
        <v>42</v>
      </c>
      <c r="DO79" s="129">
        <v>42</v>
      </c>
      <c r="DP79" s="129">
        <v>42</v>
      </c>
      <c r="DQ79" s="129">
        <v>42</v>
      </c>
      <c r="DR79" s="129">
        <v>42</v>
      </c>
      <c r="DS79" s="129">
        <v>7.4</v>
      </c>
      <c r="DW79" s="27">
        <v>25.799999999999997</v>
      </c>
      <c r="DX79" s="27">
        <v>25.799999999999997</v>
      </c>
      <c r="DY79" s="27">
        <v>25.799999999999997</v>
      </c>
      <c r="DZ79" s="27">
        <v>25.799999999999997</v>
      </c>
      <c r="EA79" s="27">
        <v>25.799999999999997</v>
      </c>
      <c r="EB79" s="27">
        <v>25.799999999999997</v>
      </c>
      <c r="EC79" s="27">
        <v>25.799999999999997</v>
      </c>
      <c r="ED79" s="27">
        <v>25.799999999999997</v>
      </c>
      <c r="EE79" s="27">
        <v>25.799999999999997</v>
      </c>
      <c r="EF79" s="129">
        <v>9.4000000000000092</v>
      </c>
      <c r="EH79" s="27">
        <v>43.400000000000006</v>
      </c>
      <c r="EI79" s="27">
        <v>43.400000000000006</v>
      </c>
      <c r="EJ79" s="27">
        <v>43.400000000000006</v>
      </c>
      <c r="EK79" s="27">
        <v>43.400000000000006</v>
      </c>
      <c r="EL79" s="27">
        <v>43.400000000000006</v>
      </c>
      <c r="EM79" s="27">
        <v>43.400000000000006</v>
      </c>
      <c r="EN79" s="27">
        <v>43.400000000000006</v>
      </c>
      <c r="EO79" s="27">
        <v>43.400000000000006</v>
      </c>
      <c r="EP79" s="27">
        <v>43.400000000000006</v>
      </c>
      <c r="EQ79" s="129">
        <v>9.4000000000000092</v>
      </c>
      <c r="ES79" s="27">
        <v>52</v>
      </c>
      <c r="ET79" s="27">
        <v>52</v>
      </c>
      <c r="EU79" s="27">
        <v>52</v>
      </c>
      <c r="EV79" s="27">
        <v>52</v>
      </c>
      <c r="EW79" s="27">
        <v>52</v>
      </c>
      <c r="EX79" s="27">
        <v>52</v>
      </c>
      <c r="EY79" s="27">
        <v>52</v>
      </c>
      <c r="EZ79" s="27">
        <v>52</v>
      </c>
      <c r="FA79" s="27">
        <v>52</v>
      </c>
      <c r="FB79" s="129">
        <v>9.4000000000000092</v>
      </c>
      <c r="FD79" s="27">
        <v>54</v>
      </c>
      <c r="FE79" s="27">
        <v>54</v>
      </c>
      <c r="FF79" s="27">
        <v>54</v>
      </c>
      <c r="FG79" s="27">
        <v>54</v>
      </c>
      <c r="FH79" s="27">
        <v>54</v>
      </c>
      <c r="FI79" s="27">
        <v>54</v>
      </c>
      <c r="FJ79" s="27">
        <v>54</v>
      </c>
      <c r="FK79" s="27">
        <v>54</v>
      </c>
      <c r="FL79" s="27">
        <v>54</v>
      </c>
      <c r="FM79" s="129">
        <v>9.4000000000000092</v>
      </c>
      <c r="FO79" s="27">
        <v>84.399999999999977</v>
      </c>
      <c r="FP79" s="27">
        <v>84.399999999999977</v>
      </c>
      <c r="FQ79" s="27">
        <v>84.399999999999977</v>
      </c>
      <c r="FR79" s="27">
        <v>84.399999999999977</v>
      </c>
      <c r="FS79" s="27">
        <v>84.399999999999977</v>
      </c>
      <c r="FT79" s="27">
        <v>84.399999999999977</v>
      </c>
      <c r="FU79" s="27">
        <v>84.399999999999977</v>
      </c>
      <c r="FV79" s="27">
        <v>84.399999999999977</v>
      </c>
      <c r="FW79" s="27">
        <v>84.399999999999977</v>
      </c>
      <c r="FX79" s="129">
        <v>9.4000000000000092</v>
      </c>
      <c r="FZ79" s="27">
        <v>84.399999999999977</v>
      </c>
      <c r="GA79" s="27">
        <v>84.399999999999977</v>
      </c>
      <c r="GB79" s="27">
        <v>84.399999999999977</v>
      </c>
      <c r="GC79" s="27">
        <v>84.399999999999977</v>
      </c>
      <c r="GD79" s="27">
        <v>84.399999999999977</v>
      </c>
      <c r="GE79" s="27">
        <v>84.399999999999977</v>
      </c>
      <c r="GF79" s="27">
        <v>84.399999999999977</v>
      </c>
      <c r="GG79" s="27">
        <v>84.399999999999977</v>
      </c>
      <c r="GH79" s="27">
        <v>84.399999999999977</v>
      </c>
      <c r="GI79" s="129">
        <v>9.4000000000000092</v>
      </c>
      <c r="GJ79" s="27"/>
      <c r="GK79" s="27">
        <v>20.200000000000003</v>
      </c>
      <c r="GL79" s="27">
        <v>20.200000000000003</v>
      </c>
      <c r="GM79" s="27">
        <v>20.200000000000003</v>
      </c>
      <c r="GN79" s="27">
        <v>20.200000000000003</v>
      </c>
      <c r="GO79" s="27">
        <v>20.200000000000003</v>
      </c>
      <c r="GP79" s="27">
        <v>20.200000000000003</v>
      </c>
      <c r="GQ79" s="27">
        <v>20.200000000000003</v>
      </c>
      <c r="GR79" s="27">
        <v>20.200000000000003</v>
      </c>
      <c r="GS79" s="27">
        <v>20.200000000000003</v>
      </c>
      <c r="GT79" s="129">
        <v>9.4000000000000092</v>
      </c>
      <c r="GV79" s="27">
        <v>24.200000000000003</v>
      </c>
      <c r="GW79" s="27">
        <v>24.200000000000003</v>
      </c>
      <c r="GX79" s="27">
        <v>24.200000000000003</v>
      </c>
      <c r="GY79" s="27">
        <v>24.200000000000003</v>
      </c>
      <c r="GZ79" s="27">
        <v>24.200000000000003</v>
      </c>
      <c r="HA79" s="27">
        <v>24.200000000000003</v>
      </c>
      <c r="HB79" s="27">
        <v>24.200000000000003</v>
      </c>
      <c r="HC79" s="27">
        <v>24.200000000000003</v>
      </c>
      <c r="HD79" s="27">
        <v>24.200000000000003</v>
      </c>
      <c r="HE79" s="129">
        <v>9.4000000000000092</v>
      </c>
      <c r="HG79" s="27">
        <v>33.400000000000006</v>
      </c>
      <c r="HH79" s="27">
        <v>33.400000000000006</v>
      </c>
      <c r="HI79" s="27">
        <v>33.400000000000006</v>
      </c>
      <c r="HJ79" s="27">
        <v>33.400000000000006</v>
      </c>
      <c r="HK79" s="27">
        <v>33.400000000000006</v>
      </c>
      <c r="HL79" s="27">
        <v>33.400000000000006</v>
      </c>
      <c r="HM79" s="27">
        <v>33.400000000000006</v>
      </c>
      <c r="HN79" s="27">
        <v>33.400000000000006</v>
      </c>
      <c r="HO79" s="27">
        <v>33.400000000000006</v>
      </c>
      <c r="HP79" s="129">
        <v>9.4000000000000092</v>
      </c>
      <c r="HR79" s="27">
        <v>33.400000000000006</v>
      </c>
      <c r="HS79" s="27">
        <v>33.400000000000006</v>
      </c>
      <c r="HT79" s="27">
        <v>33.400000000000006</v>
      </c>
      <c r="HU79" s="27">
        <v>33.400000000000006</v>
      </c>
      <c r="HV79" s="27">
        <v>33.400000000000006</v>
      </c>
      <c r="HW79" s="27">
        <v>33.400000000000006</v>
      </c>
      <c r="HX79" s="27">
        <v>33.400000000000006</v>
      </c>
      <c r="HY79" s="27">
        <v>33.400000000000006</v>
      </c>
      <c r="HZ79" s="27">
        <v>33.400000000000006</v>
      </c>
      <c r="IA79" s="129">
        <v>9.4000000000000092</v>
      </c>
    </row>
    <row r="80" spans="15:235" ht="12" customHeight="1">
      <c r="O80" s="129">
        <v>32.5</v>
      </c>
      <c r="P80" s="129">
        <v>32.5</v>
      </c>
      <c r="Q80" s="129">
        <v>32.5</v>
      </c>
      <c r="R80" s="129">
        <v>32.5</v>
      </c>
      <c r="S80" s="129">
        <v>32.5</v>
      </c>
      <c r="T80" s="129">
        <v>32.5</v>
      </c>
      <c r="U80" s="129">
        <v>32.5</v>
      </c>
      <c r="V80" s="129">
        <v>32.5</v>
      </c>
      <c r="W80" s="129">
        <v>32.5</v>
      </c>
      <c r="X80" s="129">
        <v>7.5000000000000098</v>
      </c>
      <c r="Y80" s="27"/>
      <c r="Z80" s="129">
        <v>54.499999999999986</v>
      </c>
      <c r="AA80" s="129">
        <v>54.499999999999986</v>
      </c>
      <c r="AB80" s="129">
        <v>54.499999999999986</v>
      </c>
      <c r="AC80" s="129">
        <v>54.499999999999986</v>
      </c>
      <c r="AD80" s="129">
        <v>54.499999999999986</v>
      </c>
      <c r="AE80" s="129">
        <v>54.499999999999986</v>
      </c>
      <c r="AF80" s="129">
        <v>54.499999999999986</v>
      </c>
      <c r="AG80" s="129">
        <v>54.499999999999986</v>
      </c>
      <c r="AH80" s="129">
        <v>54.499999999999986</v>
      </c>
      <c r="AI80" s="129">
        <v>7.5000000000000098</v>
      </c>
      <c r="AK80" s="129">
        <v>65.499999999999972</v>
      </c>
      <c r="AL80" s="129">
        <v>65.499999999999972</v>
      </c>
      <c r="AM80" s="129">
        <v>65.499999999999972</v>
      </c>
      <c r="AN80" s="129">
        <v>65.499999999999972</v>
      </c>
      <c r="AO80" s="129">
        <v>65.499999999999972</v>
      </c>
      <c r="AP80" s="129">
        <v>65.499999999999972</v>
      </c>
      <c r="AQ80" s="129">
        <v>65.499999999999972</v>
      </c>
      <c r="AR80" s="129">
        <v>65.499999999999972</v>
      </c>
      <c r="AS80" s="129">
        <v>65.499999999999972</v>
      </c>
      <c r="AT80" s="129">
        <v>7.5000000000000098</v>
      </c>
      <c r="AV80" s="129">
        <v>67.499999999999972</v>
      </c>
      <c r="AW80" s="129">
        <v>67.499999999999972</v>
      </c>
      <c r="AX80" s="129">
        <v>67.499999999999972</v>
      </c>
      <c r="AY80" s="129">
        <v>67.499999999999972</v>
      </c>
      <c r="AZ80" s="129">
        <v>67.499999999999972</v>
      </c>
      <c r="BA80" s="129">
        <v>67.499999999999972</v>
      </c>
      <c r="BB80" s="129">
        <v>67.499999999999972</v>
      </c>
      <c r="BC80" s="129">
        <v>67.499999999999972</v>
      </c>
      <c r="BD80" s="129">
        <v>67.499999999999972</v>
      </c>
      <c r="BE80" s="129">
        <v>7.5000000000000098</v>
      </c>
      <c r="BG80" s="129">
        <v>105.99999999999997</v>
      </c>
      <c r="BH80" s="129">
        <v>105.99999999999997</v>
      </c>
      <c r="BI80" s="129">
        <v>105.99999999999997</v>
      </c>
      <c r="BJ80" s="129">
        <v>105.99999999999997</v>
      </c>
      <c r="BK80" s="129">
        <v>105.99999999999997</v>
      </c>
      <c r="BL80" s="129">
        <v>105.99999999999997</v>
      </c>
      <c r="BM80" s="129">
        <v>105.99999999999997</v>
      </c>
      <c r="BN80" s="129">
        <v>105.99999999999997</v>
      </c>
      <c r="BO80" s="129">
        <v>105.99999999999997</v>
      </c>
      <c r="BP80" s="129">
        <v>7.5000000000000098</v>
      </c>
      <c r="BR80" s="129">
        <v>105.99999999999997</v>
      </c>
      <c r="BS80" s="129">
        <v>105.99999999999997</v>
      </c>
      <c r="BT80" s="129">
        <v>105.99999999999997</v>
      </c>
      <c r="BU80" s="129">
        <v>105.99999999999997</v>
      </c>
      <c r="BV80" s="129">
        <v>105.99999999999997</v>
      </c>
      <c r="BW80" s="129">
        <v>105.99999999999997</v>
      </c>
      <c r="BX80" s="129">
        <v>105.99999999999997</v>
      </c>
      <c r="BY80" s="129">
        <v>105.99999999999997</v>
      </c>
      <c r="BZ80" s="129">
        <v>105.99999999999997</v>
      </c>
      <c r="CA80" s="129">
        <v>7.5000000000000098</v>
      </c>
      <c r="CC80" s="129">
        <v>25.499999999999996</v>
      </c>
      <c r="CD80" s="129">
        <v>25.499999999999996</v>
      </c>
      <c r="CE80" s="129">
        <v>25.499999999999996</v>
      </c>
      <c r="CF80" s="129">
        <v>25.499999999999996</v>
      </c>
      <c r="CG80" s="129">
        <v>25.499999999999996</v>
      </c>
      <c r="CH80" s="129">
        <v>25.499999999999996</v>
      </c>
      <c r="CI80" s="129">
        <v>25.499999999999996</v>
      </c>
      <c r="CJ80" s="129">
        <v>25.499999999999996</v>
      </c>
      <c r="CK80" s="129">
        <v>25.499999999999996</v>
      </c>
      <c r="CL80" s="129">
        <v>7.5000000000000098</v>
      </c>
      <c r="CN80" s="129">
        <v>30.000000000000007</v>
      </c>
      <c r="CO80" s="129">
        <v>30.000000000000007</v>
      </c>
      <c r="CP80" s="129">
        <v>30.000000000000007</v>
      </c>
      <c r="CQ80" s="129">
        <v>30.000000000000007</v>
      </c>
      <c r="CR80" s="129">
        <v>30.000000000000007</v>
      </c>
      <c r="CS80" s="129">
        <v>30.000000000000007</v>
      </c>
      <c r="CT80" s="129">
        <v>30.000000000000007</v>
      </c>
      <c r="CU80" s="129">
        <v>30.000000000000007</v>
      </c>
      <c r="CV80" s="129">
        <v>30.000000000000007</v>
      </c>
      <c r="CW80" s="129">
        <v>7.5000000000000098</v>
      </c>
      <c r="CY80" s="129">
        <v>41.5</v>
      </c>
      <c r="CZ80" s="129">
        <v>41.5</v>
      </c>
      <c r="DA80" s="129">
        <v>41.5</v>
      </c>
      <c r="DB80" s="129">
        <v>41.5</v>
      </c>
      <c r="DC80" s="129">
        <v>41.5</v>
      </c>
      <c r="DD80" s="129">
        <v>41.5</v>
      </c>
      <c r="DE80" s="129">
        <v>41.5</v>
      </c>
      <c r="DF80" s="129">
        <v>41.5</v>
      </c>
      <c r="DG80" s="129">
        <v>41.5</v>
      </c>
      <c r="DH80" s="129">
        <v>7.5000000000000098</v>
      </c>
      <c r="DJ80" s="129">
        <v>41.5</v>
      </c>
      <c r="DK80" s="129">
        <v>41.5</v>
      </c>
      <c r="DL80" s="129">
        <v>41.5</v>
      </c>
      <c r="DM80" s="129">
        <v>41.5</v>
      </c>
      <c r="DN80" s="129">
        <v>41.5</v>
      </c>
      <c r="DO80" s="129">
        <v>41.5</v>
      </c>
      <c r="DP80" s="129">
        <v>41.5</v>
      </c>
      <c r="DQ80" s="129">
        <v>41.5</v>
      </c>
      <c r="DR80" s="129">
        <v>41.5</v>
      </c>
      <c r="DS80" s="129">
        <v>7.5000000000000098</v>
      </c>
      <c r="DW80" s="27">
        <v>25.499999999999996</v>
      </c>
      <c r="DX80" s="27">
        <v>25.499999999999996</v>
      </c>
      <c r="DY80" s="27">
        <v>25.499999999999996</v>
      </c>
      <c r="DZ80" s="27">
        <v>25.499999999999996</v>
      </c>
      <c r="EA80" s="27">
        <v>25.499999999999996</v>
      </c>
      <c r="EB80" s="27">
        <v>25.499999999999996</v>
      </c>
      <c r="EC80" s="27">
        <v>25.499999999999996</v>
      </c>
      <c r="ED80" s="27">
        <v>25.499999999999996</v>
      </c>
      <c r="EE80" s="27">
        <v>25.499999999999996</v>
      </c>
      <c r="EF80" s="129">
        <v>9.5000000000000107</v>
      </c>
      <c r="EH80" s="27">
        <v>43.000000000000007</v>
      </c>
      <c r="EI80" s="27">
        <v>43.000000000000007</v>
      </c>
      <c r="EJ80" s="27">
        <v>43.000000000000007</v>
      </c>
      <c r="EK80" s="27">
        <v>43.000000000000007</v>
      </c>
      <c r="EL80" s="27">
        <v>43.000000000000007</v>
      </c>
      <c r="EM80" s="27">
        <v>43.000000000000007</v>
      </c>
      <c r="EN80" s="27">
        <v>43.000000000000007</v>
      </c>
      <c r="EO80" s="27">
        <v>43.000000000000007</v>
      </c>
      <c r="EP80" s="27">
        <v>43.000000000000007</v>
      </c>
      <c r="EQ80" s="129">
        <v>9.5000000000000107</v>
      </c>
      <c r="ES80" s="27">
        <v>51.5</v>
      </c>
      <c r="ET80" s="27">
        <v>51.5</v>
      </c>
      <c r="EU80" s="27">
        <v>51.5</v>
      </c>
      <c r="EV80" s="27">
        <v>51.5</v>
      </c>
      <c r="EW80" s="27">
        <v>51.5</v>
      </c>
      <c r="EX80" s="27">
        <v>51.5</v>
      </c>
      <c r="EY80" s="27">
        <v>51.5</v>
      </c>
      <c r="EZ80" s="27">
        <v>51.5</v>
      </c>
      <c r="FA80" s="27">
        <v>51.5</v>
      </c>
      <c r="FB80" s="129">
        <v>9.5000000000000107</v>
      </c>
      <c r="FD80" s="27">
        <v>53.5</v>
      </c>
      <c r="FE80" s="27">
        <v>53.5</v>
      </c>
      <c r="FF80" s="27">
        <v>53.5</v>
      </c>
      <c r="FG80" s="27">
        <v>53.5</v>
      </c>
      <c r="FH80" s="27">
        <v>53.5</v>
      </c>
      <c r="FI80" s="27">
        <v>53.5</v>
      </c>
      <c r="FJ80" s="27">
        <v>53.5</v>
      </c>
      <c r="FK80" s="27">
        <v>53.5</v>
      </c>
      <c r="FL80" s="27">
        <v>53.5</v>
      </c>
      <c r="FM80" s="129">
        <v>9.5000000000000107</v>
      </c>
      <c r="FO80" s="27">
        <v>83.499999999999972</v>
      </c>
      <c r="FP80" s="27">
        <v>83.499999999999972</v>
      </c>
      <c r="FQ80" s="27">
        <v>83.499999999999972</v>
      </c>
      <c r="FR80" s="27">
        <v>83.499999999999972</v>
      </c>
      <c r="FS80" s="27">
        <v>83.499999999999972</v>
      </c>
      <c r="FT80" s="27">
        <v>83.499999999999972</v>
      </c>
      <c r="FU80" s="27">
        <v>83.499999999999972</v>
      </c>
      <c r="FV80" s="27">
        <v>83.499999999999972</v>
      </c>
      <c r="FW80" s="27">
        <v>83.499999999999972</v>
      </c>
      <c r="FX80" s="129">
        <v>9.5000000000000107</v>
      </c>
      <c r="FZ80" s="27">
        <v>83.499999999999972</v>
      </c>
      <c r="GA80" s="27">
        <v>83.499999999999972</v>
      </c>
      <c r="GB80" s="27">
        <v>83.499999999999972</v>
      </c>
      <c r="GC80" s="27">
        <v>83.499999999999972</v>
      </c>
      <c r="GD80" s="27">
        <v>83.499999999999972</v>
      </c>
      <c r="GE80" s="27">
        <v>83.499999999999972</v>
      </c>
      <c r="GF80" s="27">
        <v>83.499999999999972</v>
      </c>
      <c r="GG80" s="27">
        <v>83.499999999999972</v>
      </c>
      <c r="GH80" s="27">
        <v>83.499999999999972</v>
      </c>
      <c r="GI80" s="129">
        <v>9.5000000000000107</v>
      </c>
      <c r="GJ80" s="27"/>
      <c r="GK80" s="27">
        <v>20.000000000000004</v>
      </c>
      <c r="GL80" s="27">
        <v>20.000000000000004</v>
      </c>
      <c r="GM80" s="27">
        <v>20.000000000000004</v>
      </c>
      <c r="GN80" s="27">
        <v>20.000000000000004</v>
      </c>
      <c r="GO80" s="27">
        <v>20.000000000000004</v>
      </c>
      <c r="GP80" s="27">
        <v>20.000000000000004</v>
      </c>
      <c r="GQ80" s="27">
        <v>20.000000000000004</v>
      </c>
      <c r="GR80" s="27">
        <v>20.000000000000004</v>
      </c>
      <c r="GS80" s="27">
        <v>20.000000000000004</v>
      </c>
      <c r="GT80" s="129">
        <v>9.5000000000000107</v>
      </c>
      <c r="GV80" s="27">
        <v>24.000000000000004</v>
      </c>
      <c r="GW80" s="27">
        <v>24.000000000000004</v>
      </c>
      <c r="GX80" s="27">
        <v>24.000000000000004</v>
      </c>
      <c r="GY80" s="27">
        <v>24.000000000000004</v>
      </c>
      <c r="GZ80" s="27">
        <v>24.000000000000004</v>
      </c>
      <c r="HA80" s="27">
        <v>24.000000000000004</v>
      </c>
      <c r="HB80" s="27">
        <v>24.000000000000004</v>
      </c>
      <c r="HC80" s="27">
        <v>24.000000000000004</v>
      </c>
      <c r="HD80" s="27">
        <v>24.000000000000004</v>
      </c>
      <c r="HE80" s="129">
        <v>9.5000000000000107</v>
      </c>
      <c r="HG80" s="27">
        <v>33.000000000000007</v>
      </c>
      <c r="HH80" s="27">
        <v>33.000000000000007</v>
      </c>
      <c r="HI80" s="27">
        <v>33.000000000000007</v>
      </c>
      <c r="HJ80" s="27">
        <v>33.000000000000007</v>
      </c>
      <c r="HK80" s="27">
        <v>33.000000000000007</v>
      </c>
      <c r="HL80" s="27">
        <v>33.000000000000007</v>
      </c>
      <c r="HM80" s="27">
        <v>33.000000000000007</v>
      </c>
      <c r="HN80" s="27">
        <v>33.000000000000007</v>
      </c>
      <c r="HO80" s="27">
        <v>33.000000000000007</v>
      </c>
      <c r="HP80" s="129">
        <v>9.5000000000000107</v>
      </c>
      <c r="HR80" s="27">
        <v>33.000000000000007</v>
      </c>
      <c r="HS80" s="27">
        <v>33.000000000000007</v>
      </c>
      <c r="HT80" s="27">
        <v>33.000000000000007</v>
      </c>
      <c r="HU80" s="27">
        <v>33.000000000000007</v>
      </c>
      <c r="HV80" s="27">
        <v>33.000000000000007</v>
      </c>
      <c r="HW80" s="27">
        <v>33.000000000000007</v>
      </c>
      <c r="HX80" s="27">
        <v>33.000000000000007</v>
      </c>
      <c r="HY80" s="27">
        <v>33.000000000000007</v>
      </c>
      <c r="HZ80" s="27">
        <v>33.000000000000007</v>
      </c>
      <c r="IA80" s="129">
        <v>9.5000000000000107</v>
      </c>
    </row>
    <row r="81" spans="15:235" ht="12" customHeight="1">
      <c r="O81" s="129">
        <v>32</v>
      </c>
      <c r="P81" s="129">
        <v>32</v>
      </c>
      <c r="Q81" s="129">
        <v>32</v>
      </c>
      <c r="R81" s="129">
        <v>32</v>
      </c>
      <c r="S81" s="129">
        <v>32</v>
      </c>
      <c r="T81" s="129">
        <v>32</v>
      </c>
      <c r="U81" s="129">
        <v>32</v>
      </c>
      <c r="V81" s="129">
        <v>32</v>
      </c>
      <c r="W81" s="129">
        <v>32</v>
      </c>
      <c r="X81" s="129">
        <v>7.6</v>
      </c>
      <c r="Y81" s="27"/>
      <c r="Z81" s="129">
        <v>53.799999999999983</v>
      </c>
      <c r="AA81" s="129">
        <v>53.799999999999983</v>
      </c>
      <c r="AB81" s="129">
        <v>53.799999999999983</v>
      </c>
      <c r="AC81" s="129">
        <v>53.799999999999983</v>
      </c>
      <c r="AD81" s="129">
        <v>53.799999999999983</v>
      </c>
      <c r="AE81" s="129">
        <v>53.799999999999983</v>
      </c>
      <c r="AF81" s="129">
        <v>53.799999999999983</v>
      </c>
      <c r="AG81" s="129">
        <v>53.799999999999983</v>
      </c>
      <c r="AH81" s="129">
        <v>53.799999999999983</v>
      </c>
      <c r="AI81" s="129">
        <v>7.6</v>
      </c>
      <c r="AK81" s="129">
        <v>64.599999999999966</v>
      </c>
      <c r="AL81" s="129">
        <v>64.599999999999966</v>
      </c>
      <c r="AM81" s="129">
        <v>64.599999999999966</v>
      </c>
      <c r="AN81" s="129">
        <v>64.599999999999966</v>
      </c>
      <c r="AO81" s="129">
        <v>64.599999999999966</v>
      </c>
      <c r="AP81" s="129">
        <v>64.599999999999966</v>
      </c>
      <c r="AQ81" s="129">
        <v>64.599999999999966</v>
      </c>
      <c r="AR81" s="129">
        <v>64.599999999999966</v>
      </c>
      <c r="AS81" s="129">
        <v>64.599999999999966</v>
      </c>
      <c r="AT81" s="129">
        <v>7.6</v>
      </c>
      <c r="AV81" s="129">
        <v>66.599999999999966</v>
      </c>
      <c r="AW81" s="129">
        <v>66.599999999999966</v>
      </c>
      <c r="AX81" s="129">
        <v>66.599999999999966</v>
      </c>
      <c r="AY81" s="129">
        <v>66.599999999999966</v>
      </c>
      <c r="AZ81" s="129">
        <v>66.599999999999966</v>
      </c>
      <c r="BA81" s="129">
        <v>66.599999999999966</v>
      </c>
      <c r="BB81" s="129">
        <v>66.599999999999966</v>
      </c>
      <c r="BC81" s="129">
        <v>66.599999999999966</v>
      </c>
      <c r="BD81" s="129">
        <v>66.599999999999966</v>
      </c>
      <c r="BE81" s="129">
        <v>7.6</v>
      </c>
      <c r="BG81" s="129">
        <v>104.59999999999997</v>
      </c>
      <c r="BH81" s="129">
        <v>104.59999999999997</v>
      </c>
      <c r="BI81" s="129">
        <v>104.59999999999997</v>
      </c>
      <c r="BJ81" s="129">
        <v>104.59999999999997</v>
      </c>
      <c r="BK81" s="129">
        <v>104.59999999999997</v>
      </c>
      <c r="BL81" s="129">
        <v>104.59999999999997</v>
      </c>
      <c r="BM81" s="129">
        <v>104.59999999999997</v>
      </c>
      <c r="BN81" s="129">
        <v>104.59999999999997</v>
      </c>
      <c r="BO81" s="129">
        <v>104.59999999999997</v>
      </c>
      <c r="BP81" s="129">
        <v>7.6</v>
      </c>
      <c r="BR81" s="129">
        <v>104.59999999999997</v>
      </c>
      <c r="BS81" s="129">
        <v>104.59999999999997</v>
      </c>
      <c r="BT81" s="129">
        <v>104.59999999999997</v>
      </c>
      <c r="BU81" s="129">
        <v>104.59999999999997</v>
      </c>
      <c r="BV81" s="129">
        <v>104.59999999999997</v>
      </c>
      <c r="BW81" s="129">
        <v>104.59999999999997</v>
      </c>
      <c r="BX81" s="129">
        <v>104.59999999999997</v>
      </c>
      <c r="BY81" s="129">
        <v>104.59999999999997</v>
      </c>
      <c r="BZ81" s="129">
        <v>104.59999999999997</v>
      </c>
      <c r="CA81" s="129">
        <v>7.6</v>
      </c>
      <c r="CC81" s="129">
        <v>25.199999999999996</v>
      </c>
      <c r="CD81" s="129">
        <v>25.199999999999996</v>
      </c>
      <c r="CE81" s="129">
        <v>25.199999999999996</v>
      </c>
      <c r="CF81" s="129">
        <v>25.199999999999996</v>
      </c>
      <c r="CG81" s="129">
        <v>25.199999999999996</v>
      </c>
      <c r="CH81" s="129">
        <v>25.199999999999996</v>
      </c>
      <c r="CI81" s="129">
        <v>25.199999999999996</v>
      </c>
      <c r="CJ81" s="129">
        <v>25.199999999999996</v>
      </c>
      <c r="CK81" s="129">
        <v>25.199999999999996</v>
      </c>
      <c r="CL81" s="129">
        <v>7.6</v>
      </c>
      <c r="CN81" s="129">
        <v>29.600000000000009</v>
      </c>
      <c r="CO81" s="129">
        <v>29.600000000000009</v>
      </c>
      <c r="CP81" s="129">
        <v>29.600000000000009</v>
      </c>
      <c r="CQ81" s="129">
        <v>29.600000000000009</v>
      </c>
      <c r="CR81" s="129">
        <v>29.600000000000009</v>
      </c>
      <c r="CS81" s="129">
        <v>29.600000000000009</v>
      </c>
      <c r="CT81" s="129">
        <v>29.600000000000009</v>
      </c>
      <c r="CU81" s="129">
        <v>29.600000000000009</v>
      </c>
      <c r="CV81" s="129">
        <v>29.600000000000009</v>
      </c>
      <c r="CW81" s="129">
        <v>7.6</v>
      </c>
      <c r="CY81" s="129">
        <v>41</v>
      </c>
      <c r="CZ81" s="129">
        <v>41</v>
      </c>
      <c r="DA81" s="129">
        <v>41</v>
      </c>
      <c r="DB81" s="129">
        <v>41</v>
      </c>
      <c r="DC81" s="129">
        <v>41</v>
      </c>
      <c r="DD81" s="129">
        <v>41</v>
      </c>
      <c r="DE81" s="129">
        <v>41</v>
      </c>
      <c r="DF81" s="129">
        <v>41</v>
      </c>
      <c r="DG81" s="129">
        <v>41</v>
      </c>
      <c r="DH81" s="129">
        <v>7.6</v>
      </c>
      <c r="DJ81" s="129">
        <v>41</v>
      </c>
      <c r="DK81" s="129">
        <v>41</v>
      </c>
      <c r="DL81" s="129">
        <v>41</v>
      </c>
      <c r="DM81" s="129">
        <v>41</v>
      </c>
      <c r="DN81" s="129">
        <v>41</v>
      </c>
      <c r="DO81" s="129">
        <v>41</v>
      </c>
      <c r="DP81" s="129">
        <v>41</v>
      </c>
      <c r="DQ81" s="129">
        <v>41</v>
      </c>
      <c r="DR81" s="129">
        <v>41</v>
      </c>
      <c r="DS81" s="129">
        <v>7.6</v>
      </c>
      <c r="DW81" s="27">
        <v>25.199999999999996</v>
      </c>
      <c r="DX81" s="27">
        <v>25.199999999999996</v>
      </c>
      <c r="DY81" s="27">
        <v>25.199999999999996</v>
      </c>
      <c r="DZ81" s="27">
        <v>25.199999999999996</v>
      </c>
      <c r="EA81" s="27">
        <v>25.199999999999996</v>
      </c>
      <c r="EB81" s="27">
        <v>25.199999999999996</v>
      </c>
      <c r="EC81" s="27">
        <v>25.199999999999996</v>
      </c>
      <c r="ED81" s="27">
        <v>25.199999999999996</v>
      </c>
      <c r="EE81" s="27">
        <v>25.199999999999996</v>
      </c>
      <c r="EF81" s="129">
        <v>9.6000000000000103</v>
      </c>
      <c r="EH81" s="27">
        <v>42.600000000000009</v>
      </c>
      <c r="EI81" s="27">
        <v>42.600000000000009</v>
      </c>
      <c r="EJ81" s="27">
        <v>42.600000000000009</v>
      </c>
      <c r="EK81" s="27">
        <v>42.600000000000009</v>
      </c>
      <c r="EL81" s="27">
        <v>42.600000000000009</v>
      </c>
      <c r="EM81" s="27">
        <v>42.600000000000009</v>
      </c>
      <c r="EN81" s="27">
        <v>42.600000000000009</v>
      </c>
      <c r="EO81" s="27">
        <v>42.600000000000009</v>
      </c>
      <c r="EP81" s="27">
        <v>42.600000000000009</v>
      </c>
      <c r="EQ81" s="129">
        <v>9.6000000000000103</v>
      </c>
      <c r="ES81" s="27">
        <v>51</v>
      </c>
      <c r="ET81" s="27">
        <v>51</v>
      </c>
      <c r="EU81" s="27">
        <v>51</v>
      </c>
      <c r="EV81" s="27">
        <v>51</v>
      </c>
      <c r="EW81" s="27">
        <v>51</v>
      </c>
      <c r="EX81" s="27">
        <v>51</v>
      </c>
      <c r="EY81" s="27">
        <v>51</v>
      </c>
      <c r="EZ81" s="27">
        <v>51</v>
      </c>
      <c r="FA81" s="27">
        <v>51</v>
      </c>
      <c r="FB81" s="129">
        <v>9.6000000000000103</v>
      </c>
      <c r="FD81" s="27">
        <v>53</v>
      </c>
      <c r="FE81" s="27">
        <v>53</v>
      </c>
      <c r="FF81" s="27">
        <v>53</v>
      </c>
      <c r="FG81" s="27">
        <v>53</v>
      </c>
      <c r="FH81" s="27">
        <v>53</v>
      </c>
      <c r="FI81" s="27">
        <v>53</v>
      </c>
      <c r="FJ81" s="27">
        <v>53</v>
      </c>
      <c r="FK81" s="27">
        <v>53</v>
      </c>
      <c r="FL81" s="27">
        <v>53</v>
      </c>
      <c r="FM81" s="129">
        <v>9.6000000000000103</v>
      </c>
      <c r="FO81" s="27">
        <v>82.599999999999966</v>
      </c>
      <c r="FP81" s="27">
        <v>82.599999999999966</v>
      </c>
      <c r="FQ81" s="27">
        <v>82.599999999999966</v>
      </c>
      <c r="FR81" s="27">
        <v>82.599999999999966</v>
      </c>
      <c r="FS81" s="27">
        <v>82.599999999999966</v>
      </c>
      <c r="FT81" s="27">
        <v>82.599999999999966</v>
      </c>
      <c r="FU81" s="27">
        <v>82.599999999999966</v>
      </c>
      <c r="FV81" s="27">
        <v>82.599999999999966</v>
      </c>
      <c r="FW81" s="27">
        <v>82.599999999999966</v>
      </c>
      <c r="FX81" s="129">
        <v>9.6000000000000103</v>
      </c>
      <c r="FZ81" s="27">
        <v>82.599999999999966</v>
      </c>
      <c r="GA81" s="27">
        <v>82.599999999999966</v>
      </c>
      <c r="GB81" s="27">
        <v>82.599999999999966</v>
      </c>
      <c r="GC81" s="27">
        <v>82.599999999999966</v>
      </c>
      <c r="GD81" s="27">
        <v>82.599999999999966</v>
      </c>
      <c r="GE81" s="27">
        <v>82.599999999999966</v>
      </c>
      <c r="GF81" s="27">
        <v>82.599999999999966</v>
      </c>
      <c r="GG81" s="27">
        <v>82.599999999999966</v>
      </c>
      <c r="GH81" s="27">
        <v>82.599999999999966</v>
      </c>
      <c r="GI81" s="129">
        <v>9.6000000000000103</v>
      </c>
      <c r="GJ81" s="27"/>
      <c r="GK81" s="27">
        <v>19.800000000000004</v>
      </c>
      <c r="GL81" s="27">
        <v>19.800000000000004</v>
      </c>
      <c r="GM81" s="27">
        <v>19.800000000000004</v>
      </c>
      <c r="GN81" s="27">
        <v>19.800000000000004</v>
      </c>
      <c r="GO81" s="27">
        <v>19.800000000000004</v>
      </c>
      <c r="GP81" s="27">
        <v>19.800000000000004</v>
      </c>
      <c r="GQ81" s="27">
        <v>19.800000000000004</v>
      </c>
      <c r="GR81" s="27">
        <v>19.800000000000004</v>
      </c>
      <c r="GS81" s="27">
        <v>19.800000000000004</v>
      </c>
      <c r="GT81" s="129">
        <v>9.6000000000000103</v>
      </c>
      <c r="GV81" s="27">
        <v>23.800000000000004</v>
      </c>
      <c r="GW81" s="27">
        <v>23.800000000000004</v>
      </c>
      <c r="GX81" s="27">
        <v>23.800000000000004</v>
      </c>
      <c r="GY81" s="27">
        <v>23.800000000000004</v>
      </c>
      <c r="GZ81" s="27">
        <v>23.800000000000004</v>
      </c>
      <c r="HA81" s="27">
        <v>23.800000000000004</v>
      </c>
      <c r="HB81" s="27">
        <v>23.800000000000004</v>
      </c>
      <c r="HC81" s="27">
        <v>23.800000000000004</v>
      </c>
      <c r="HD81" s="27">
        <v>23.800000000000004</v>
      </c>
      <c r="HE81" s="129">
        <v>9.6000000000000103</v>
      </c>
      <c r="HG81" s="27">
        <v>32.600000000000009</v>
      </c>
      <c r="HH81" s="27">
        <v>32.600000000000009</v>
      </c>
      <c r="HI81" s="27">
        <v>32.600000000000009</v>
      </c>
      <c r="HJ81" s="27">
        <v>32.600000000000009</v>
      </c>
      <c r="HK81" s="27">
        <v>32.600000000000009</v>
      </c>
      <c r="HL81" s="27">
        <v>32.600000000000009</v>
      </c>
      <c r="HM81" s="27">
        <v>32.600000000000009</v>
      </c>
      <c r="HN81" s="27">
        <v>32.600000000000009</v>
      </c>
      <c r="HO81" s="27">
        <v>32.600000000000009</v>
      </c>
      <c r="HP81" s="129">
        <v>9.6000000000000103</v>
      </c>
      <c r="HR81" s="27">
        <v>32.600000000000009</v>
      </c>
      <c r="HS81" s="27">
        <v>32.600000000000009</v>
      </c>
      <c r="HT81" s="27">
        <v>32.600000000000009</v>
      </c>
      <c r="HU81" s="27">
        <v>32.600000000000009</v>
      </c>
      <c r="HV81" s="27">
        <v>32.600000000000009</v>
      </c>
      <c r="HW81" s="27">
        <v>32.600000000000009</v>
      </c>
      <c r="HX81" s="27">
        <v>32.600000000000009</v>
      </c>
      <c r="HY81" s="27">
        <v>32.600000000000009</v>
      </c>
      <c r="HZ81" s="27">
        <v>32.600000000000009</v>
      </c>
      <c r="IA81" s="129">
        <v>9.6000000000000103</v>
      </c>
    </row>
    <row r="82" spans="15:235" ht="12" customHeight="1">
      <c r="O82" s="129">
        <v>31.5</v>
      </c>
      <c r="P82" s="129">
        <v>31.5</v>
      </c>
      <c r="Q82" s="129">
        <v>31.5</v>
      </c>
      <c r="R82" s="129">
        <v>31.5</v>
      </c>
      <c r="S82" s="129">
        <v>31.5</v>
      </c>
      <c r="T82" s="129">
        <v>31.5</v>
      </c>
      <c r="U82" s="129">
        <v>31.5</v>
      </c>
      <c r="V82" s="129">
        <v>31.5</v>
      </c>
      <c r="W82" s="129">
        <v>31.5</v>
      </c>
      <c r="X82" s="129">
        <v>7.7</v>
      </c>
      <c r="Y82" s="27"/>
      <c r="Z82" s="129">
        <v>53.09999999999998</v>
      </c>
      <c r="AA82" s="129">
        <v>53.09999999999998</v>
      </c>
      <c r="AB82" s="129">
        <v>53.09999999999998</v>
      </c>
      <c r="AC82" s="129">
        <v>53.09999999999998</v>
      </c>
      <c r="AD82" s="129">
        <v>53.09999999999998</v>
      </c>
      <c r="AE82" s="129">
        <v>53.09999999999998</v>
      </c>
      <c r="AF82" s="129">
        <v>53.09999999999998</v>
      </c>
      <c r="AG82" s="129">
        <v>53.09999999999998</v>
      </c>
      <c r="AH82" s="129">
        <v>53.09999999999998</v>
      </c>
      <c r="AI82" s="129">
        <v>7.7</v>
      </c>
      <c r="AK82" s="129">
        <v>63.699999999999967</v>
      </c>
      <c r="AL82" s="129">
        <v>63.699999999999967</v>
      </c>
      <c r="AM82" s="129">
        <v>63.699999999999967</v>
      </c>
      <c r="AN82" s="129">
        <v>63.699999999999967</v>
      </c>
      <c r="AO82" s="129">
        <v>63.699999999999967</v>
      </c>
      <c r="AP82" s="129">
        <v>63.699999999999967</v>
      </c>
      <c r="AQ82" s="129">
        <v>63.699999999999967</v>
      </c>
      <c r="AR82" s="129">
        <v>63.699999999999967</v>
      </c>
      <c r="AS82" s="129">
        <v>63.699999999999967</v>
      </c>
      <c r="AT82" s="129">
        <v>7.7</v>
      </c>
      <c r="AV82" s="129">
        <v>65.69999999999996</v>
      </c>
      <c r="AW82" s="129">
        <v>65.69999999999996</v>
      </c>
      <c r="AX82" s="129">
        <v>65.69999999999996</v>
      </c>
      <c r="AY82" s="129">
        <v>65.69999999999996</v>
      </c>
      <c r="AZ82" s="129">
        <v>65.69999999999996</v>
      </c>
      <c r="BA82" s="129">
        <v>65.69999999999996</v>
      </c>
      <c r="BB82" s="129">
        <v>65.69999999999996</v>
      </c>
      <c r="BC82" s="129">
        <v>65.69999999999996</v>
      </c>
      <c r="BD82" s="129">
        <v>65.69999999999996</v>
      </c>
      <c r="BE82" s="129">
        <v>7.7</v>
      </c>
      <c r="BG82" s="129">
        <v>103.19999999999996</v>
      </c>
      <c r="BH82" s="129">
        <v>103.19999999999996</v>
      </c>
      <c r="BI82" s="129">
        <v>103.19999999999996</v>
      </c>
      <c r="BJ82" s="129">
        <v>103.19999999999996</v>
      </c>
      <c r="BK82" s="129">
        <v>103.19999999999996</v>
      </c>
      <c r="BL82" s="129">
        <v>103.19999999999996</v>
      </c>
      <c r="BM82" s="129">
        <v>103.19999999999996</v>
      </c>
      <c r="BN82" s="129">
        <v>103.19999999999996</v>
      </c>
      <c r="BO82" s="129">
        <v>103.19999999999996</v>
      </c>
      <c r="BP82" s="129">
        <v>7.7</v>
      </c>
      <c r="BR82" s="129">
        <v>103.19999999999996</v>
      </c>
      <c r="BS82" s="129">
        <v>103.19999999999996</v>
      </c>
      <c r="BT82" s="129">
        <v>103.19999999999996</v>
      </c>
      <c r="BU82" s="129">
        <v>103.19999999999996</v>
      </c>
      <c r="BV82" s="129">
        <v>103.19999999999996</v>
      </c>
      <c r="BW82" s="129">
        <v>103.19999999999996</v>
      </c>
      <c r="BX82" s="129">
        <v>103.19999999999996</v>
      </c>
      <c r="BY82" s="129">
        <v>103.19999999999996</v>
      </c>
      <c r="BZ82" s="129">
        <v>103.19999999999996</v>
      </c>
      <c r="CA82" s="129">
        <v>7.7</v>
      </c>
      <c r="CC82" s="129">
        <v>24.899999999999995</v>
      </c>
      <c r="CD82" s="129">
        <v>24.899999999999995</v>
      </c>
      <c r="CE82" s="129">
        <v>24.899999999999995</v>
      </c>
      <c r="CF82" s="129">
        <v>24.899999999999995</v>
      </c>
      <c r="CG82" s="129">
        <v>24.899999999999995</v>
      </c>
      <c r="CH82" s="129">
        <v>24.899999999999995</v>
      </c>
      <c r="CI82" s="129">
        <v>24.899999999999995</v>
      </c>
      <c r="CJ82" s="129">
        <v>24.899999999999995</v>
      </c>
      <c r="CK82" s="129">
        <v>24.899999999999995</v>
      </c>
      <c r="CL82" s="129">
        <v>7.7</v>
      </c>
      <c r="CN82" s="129">
        <v>29.20000000000001</v>
      </c>
      <c r="CO82" s="129">
        <v>29.20000000000001</v>
      </c>
      <c r="CP82" s="129">
        <v>29.20000000000001</v>
      </c>
      <c r="CQ82" s="129">
        <v>29.20000000000001</v>
      </c>
      <c r="CR82" s="129">
        <v>29.20000000000001</v>
      </c>
      <c r="CS82" s="129">
        <v>29.20000000000001</v>
      </c>
      <c r="CT82" s="129">
        <v>29.20000000000001</v>
      </c>
      <c r="CU82" s="129">
        <v>29.20000000000001</v>
      </c>
      <c r="CV82" s="129">
        <v>29.20000000000001</v>
      </c>
      <c r="CW82" s="129">
        <v>7.7</v>
      </c>
      <c r="CY82" s="129">
        <v>40.5</v>
      </c>
      <c r="CZ82" s="129">
        <v>40.5</v>
      </c>
      <c r="DA82" s="129">
        <v>40.5</v>
      </c>
      <c r="DB82" s="129">
        <v>40.5</v>
      </c>
      <c r="DC82" s="129">
        <v>40.5</v>
      </c>
      <c r="DD82" s="129">
        <v>40.5</v>
      </c>
      <c r="DE82" s="129">
        <v>40.5</v>
      </c>
      <c r="DF82" s="129">
        <v>40.5</v>
      </c>
      <c r="DG82" s="129">
        <v>40.5</v>
      </c>
      <c r="DH82" s="129">
        <v>7.7</v>
      </c>
      <c r="DJ82" s="129">
        <v>40.5</v>
      </c>
      <c r="DK82" s="129">
        <v>40.5</v>
      </c>
      <c r="DL82" s="129">
        <v>40.5</v>
      </c>
      <c r="DM82" s="129">
        <v>40.5</v>
      </c>
      <c r="DN82" s="129">
        <v>40.5</v>
      </c>
      <c r="DO82" s="129">
        <v>40.5</v>
      </c>
      <c r="DP82" s="129">
        <v>40.5</v>
      </c>
      <c r="DQ82" s="129">
        <v>40.5</v>
      </c>
      <c r="DR82" s="129">
        <v>40.5</v>
      </c>
      <c r="DS82" s="129">
        <v>7.7</v>
      </c>
      <c r="DW82" s="27">
        <v>24.899999999999995</v>
      </c>
      <c r="DX82" s="27">
        <v>24.899999999999995</v>
      </c>
      <c r="DY82" s="27">
        <v>24.899999999999995</v>
      </c>
      <c r="DZ82" s="27">
        <v>24.899999999999995</v>
      </c>
      <c r="EA82" s="27">
        <v>24.899999999999995</v>
      </c>
      <c r="EB82" s="27">
        <v>24.899999999999995</v>
      </c>
      <c r="EC82" s="27">
        <v>24.899999999999995</v>
      </c>
      <c r="ED82" s="27">
        <v>24.899999999999995</v>
      </c>
      <c r="EE82" s="27">
        <v>24.899999999999995</v>
      </c>
      <c r="EF82" s="129">
        <v>9.7000000000000099</v>
      </c>
      <c r="EH82" s="27">
        <v>42.20000000000001</v>
      </c>
      <c r="EI82" s="27">
        <v>42.20000000000001</v>
      </c>
      <c r="EJ82" s="27">
        <v>42.20000000000001</v>
      </c>
      <c r="EK82" s="27">
        <v>42.20000000000001</v>
      </c>
      <c r="EL82" s="27">
        <v>42.20000000000001</v>
      </c>
      <c r="EM82" s="27">
        <v>42.20000000000001</v>
      </c>
      <c r="EN82" s="27">
        <v>42.20000000000001</v>
      </c>
      <c r="EO82" s="27">
        <v>42.20000000000001</v>
      </c>
      <c r="EP82" s="27">
        <v>42.20000000000001</v>
      </c>
      <c r="EQ82" s="129">
        <v>9.7000000000000099</v>
      </c>
      <c r="ES82" s="27">
        <v>50.5</v>
      </c>
      <c r="ET82" s="27">
        <v>50.5</v>
      </c>
      <c r="EU82" s="27">
        <v>50.5</v>
      </c>
      <c r="EV82" s="27">
        <v>50.5</v>
      </c>
      <c r="EW82" s="27">
        <v>50.5</v>
      </c>
      <c r="EX82" s="27">
        <v>50.5</v>
      </c>
      <c r="EY82" s="27">
        <v>50.5</v>
      </c>
      <c r="EZ82" s="27">
        <v>50.5</v>
      </c>
      <c r="FA82" s="27">
        <v>50.5</v>
      </c>
      <c r="FB82" s="129">
        <v>9.7000000000000099</v>
      </c>
      <c r="FD82" s="27">
        <v>52.5</v>
      </c>
      <c r="FE82" s="27">
        <v>52.5</v>
      </c>
      <c r="FF82" s="27">
        <v>52.5</v>
      </c>
      <c r="FG82" s="27">
        <v>52.5</v>
      </c>
      <c r="FH82" s="27">
        <v>52.5</v>
      </c>
      <c r="FI82" s="27">
        <v>52.5</v>
      </c>
      <c r="FJ82" s="27">
        <v>52.5</v>
      </c>
      <c r="FK82" s="27">
        <v>52.5</v>
      </c>
      <c r="FL82" s="27">
        <v>52.5</v>
      </c>
      <c r="FM82" s="129">
        <v>9.7000000000000099</v>
      </c>
      <c r="FO82" s="27">
        <v>81.69999999999996</v>
      </c>
      <c r="FP82" s="27">
        <v>81.69999999999996</v>
      </c>
      <c r="FQ82" s="27">
        <v>81.69999999999996</v>
      </c>
      <c r="FR82" s="27">
        <v>81.69999999999996</v>
      </c>
      <c r="FS82" s="27">
        <v>81.69999999999996</v>
      </c>
      <c r="FT82" s="27">
        <v>81.69999999999996</v>
      </c>
      <c r="FU82" s="27">
        <v>81.69999999999996</v>
      </c>
      <c r="FV82" s="27">
        <v>81.69999999999996</v>
      </c>
      <c r="FW82" s="27">
        <v>81.69999999999996</v>
      </c>
      <c r="FX82" s="129">
        <v>9.7000000000000099</v>
      </c>
      <c r="FZ82" s="27">
        <v>81.69999999999996</v>
      </c>
      <c r="GA82" s="27">
        <v>81.69999999999996</v>
      </c>
      <c r="GB82" s="27">
        <v>81.69999999999996</v>
      </c>
      <c r="GC82" s="27">
        <v>81.69999999999996</v>
      </c>
      <c r="GD82" s="27">
        <v>81.69999999999996</v>
      </c>
      <c r="GE82" s="27">
        <v>81.69999999999996</v>
      </c>
      <c r="GF82" s="27">
        <v>81.69999999999996</v>
      </c>
      <c r="GG82" s="27">
        <v>81.69999999999996</v>
      </c>
      <c r="GH82" s="27">
        <v>81.69999999999996</v>
      </c>
      <c r="GI82" s="129">
        <v>9.7000000000000099</v>
      </c>
      <c r="GJ82" s="27"/>
      <c r="GK82" s="27">
        <v>19.600000000000005</v>
      </c>
      <c r="GL82" s="27">
        <v>19.600000000000005</v>
      </c>
      <c r="GM82" s="27">
        <v>19.600000000000005</v>
      </c>
      <c r="GN82" s="27">
        <v>19.600000000000005</v>
      </c>
      <c r="GO82" s="27">
        <v>19.600000000000005</v>
      </c>
      <c r="GP82" s="27">
        <v>19.600000000000005</v>
      </c>
      <c r="GQ82" s="27">
        <v>19.600000000000005</v>
      </c>
      <c r="GR82" s="27">
        <v>19.600000000000005</v>
      </c>
      <c r="GS82" s="27">
        <v>19.600000000000005</v>
      </c>
      <c r="GT82" s="129">
        <v>9.7000000000000099</v>
      </c>
      <c r="GV82" s="27">
        <v>23.600000000000005</v>
      </c>
      <c r="GW82" s="27">
        <v>23.600000000000005</v>
      </c>
      <c r="GX82" s="27">
        <v>23.600000000000005</v>
      </c>
      <c r="GY82" s="27">
        <v>23.600000000000005</v>
      </c>
      <c r="GZ82" s="27">
        <v>23.600000000000005</v>
      </c>
      <c r="HA82" s="27">
        <v>23.600000000000005</v>
      </c>
      <c r="HB82" s="27">
        <v>23.600000000000005</v>
      </c>
      <c r="HC82" s="27">
        <v>23.600000000000005</v>
      </c>
      <c r="HD82" s="27">
        <v>23.600000000000005</v>
      </c>
      <c r="HE82" s="129">
        <v>9.7000000000000099</v>
      </c>
      <c r="HG82" s="27">
        <v>32.20000000000001</v>
      </c>
      <c r="HH82" s="27">
        <v>32.20000000000001</v>
      </c>
      <c r="HI82" s="27">
        <v>32.20000000000001</v>
      </c>
      <c r="HJ82" s="27">
        <v>32.20000000000001</v>
      </c>
      <c r="HK82" s="27">
        <v>32.20000000000001</v>
      </c>
      <c r="HL82" s="27">
        <v>32.20000000000001</v>
      </c>
      <c r="HM82" s="27">
        <v>32.20000000000001</v>
      </c>
      <c r="HN82" s="27">
        <v>32.20000000000001</v>
      </c>
      <c r="HO82" s="27">
        <v>32.20000000000001</v>
      </c>
      <c r="HP82" s="129">
        <v>9.7000000000000099</v>
      </c>
      <c r="HR82" s="27">
        <v>32.20000000000001</v>
      </c>
      <c r="HS82" s="27">
        <v>32.20000000000001</v>
      </c>
      <c r="HT82" s="27">
        <v>32.20000000000001</v>
      </c>
      <c r="HU82" s="27">
        <v>32.20000000000001</v>
      </c>
      <c r="HV82" s="27">
        <v>32.20000000000001</v>
      </c>
      <c r="HW82" s="27">
        <v>32.20000000000001</v>
      </c>
      <c r="HX82" s="27">
        <v>32.20000000000001</v>
      </c>
      <c r="HY82" s="27">
        <v>32.20000000000001</v>
      </c>
      <c r="HZ82" s="27">
        <v>32.20000000000001</v>
      </c>
      <c r="IA82" s="129">
        <v>9.7000000000000099</v>
      </c>
    </row>
    <row r="83" spans="15:235" ht="12" customHeight="1">
      <c r="O83" s="129">
        <v>31</v>
      </c>
      <c r="P83" s="129">
        <v>31</v>
      </c>
      <c r="Q83" s="129">
        <v>31</v>
      </c>
      <c r="R83" s="129">
        <v>31</v>
      </c>
      <c r="S83" s="129">
        <v>31</v>
      </c>
      <c r="T83" s="129">
        <v>31</v>
      </c>
      <c r="U83" s="129">
        <v>31</v>
      </c>
      <c r="V83" s="129">
        <v>31</v>
      </c>
      <c r="W83" s="129">
        <v>31</v>
      </c>
      <c r="X83" s="129">
        <v>7.8000000000000096</v>
      </c>
      <c r="Y83" s="27"/>
      <c r="Z83" s="129">
        <v>52.399999999999977</v>
      </c>
      <c r="AA83" s="129">
        <v>52.399999999999977</v>
      </c>
      <c r="AB83" s="129">
        <v>52.399999999999977</v>
      </c>
      <c r="AC83" s="129">
        <v>52.399999999999977</v>
      </c>
      <c r="AD83" s="129">
        <v>52.399999999999977</v>
      </c>
      <c r="AE83" s="129">
        <v>52.399999999999977</v>
      </c>
      <c r="AF83" s="129">
        <v>52.399999999999977</v>
      </c>
      <c r="AG83" s="129">
        <v>52.399999999999977</v>
      </c>
      <c r="AH83" s="129">
        <v>52.399999999999977</v>
      </c>
      <c r="AI83" s="129">
        <v>7.8000000000000096</v>
      </c>
      <c r="AK83" s="129">
        <v>62.799999999999969</v>
      </c>
      <c r="AL83" s="129">
        <v>62.799999999999969</v>
      </c>
      <c r="AM83" s="129">
        <v>62.799999999999969</v>
      </c>
      <c r="AN83" s="129">
        <v>62.799999999999969</v>
      </c>
      <c r="AO83" s="129">
        <v>62.799999999999969</v>
      </c>
      <c r="AP83" s="129">
        <v>62.799999999999969</v>
      </c>
      <c r="AQ83" s="129">
        <v>62.799999999999969</v>
      </c>
      <c r="AR83" s="129">
        <v>62.799999999999969</v>
      </c>
      <c r="AS83" s="129">
        <v>62.799999999999969</v>
      </c>
      <c r="AT83" s="129">
        <v>7.8000000000000096</v>
      </c>
      <c r="AV83" s="129">
        <v>64.799999999999955</v>
      </c>
      <c r="AW83" s="129">
        <v>64.799999999999955</v>
      </c>
      <c r="AX83" s="129">
        <v>64.799999999999955</v>
      </c>
      <c r="AY83" s="129">
        <v>64.799999999999955</v>
      </c>
      <c r="AZ83" s="129">
        <v>64.799999999999955</v>
      </c>
      <c r="BA83" s="129">
        <v>64.799999999999955</v>
      </c>
      <c r="BB83" s="129">
        <v>64.799999999999955</v>
      </c>
      <c r="BC83" s="129">
        <v>64.799999999999955</v>
      </c>
      <c r="BD83" s="129">
        <v>64.799999999999955</v>
      </c>
      <c r="BE83" s="129">
        <v>7.8000000000000096</v>
      </c>
      <c r="BG83" s="129">
        <v>101.79999999999995</v>
      </c>
      <c r="BH83" s="129">
        <v>101.79999999999995</v>
      </c>
      <c r="BI83" s="129">
        <v>101.79999999999995</v>
      </c>
      <c r="BJ83" s="129">
        <v>101.79999999999995</v>
      </c>
      <c r="BK83" s="129">
        <v>101.79999999999995</v>
      </c>
      <c r="BL83" s="129">
        <v>101.79999999999995</v>
      </c>
      <c r="BM83" s="129">
        <v>101.79999999999995</v>
      </c>
      <c r="BN83" s="129">
        <v>101.79999999999995</v>
      </c>
      <c r="BO83" s="129">
        <v>101.79999999999995</v>
      </c>
      <c r="BP83" s="129">
        <v>7.8000000000000096</v>
      </c>
      <c r="BR83" s="129">
        <v>101.79999999999995</v>
      </c>
      <c r="BS83" s="129">
        <v>101.79999999999995</v>
      </c>
      <c r="BT83" s="129">
        <v>101.79999999999995</v>
      </c>
      <c r="BU83" s="129">
        <v>101.79999999999995</v>
      </c>
      <c r="BV83" s="129">
        <v>101.79999999999995</v>
      </c>
      <c r="BW83" s="129">
        <v>101.79999999999995</v>
      </c>
      <c r="BX83" s="129">
        <v>101.79999999999995</v>
      </c>
      <c r="BY83" s="129">
        <v>101.79999999999995</v>
      </c>
      <c r="BZ83" s="129">
        <v>101.79999999999995</v>
      </c>
      <c r="CA83" s="129">
        <v>7.8000000000000096</v>
      </c>
      <c r="CC83" s="129">
        <v>24.599999999999994</v>
      </c>
      <c r="CD83" s="129">
        <v>24.599999999999994</v>
      </c>
      <c r="CE83" s="129">
        <v>24.599999999999994</v>
      </c>
      <c r="CF83" s="129">
        <v>24.599999999999994</v>
      </c>
      <c r="CG83" s="129">
        <v>24.599999999999994</v>
      </c>
      <c r="CH83" s="129">
        <v>24.599999999999994</v>
      </c>
      <c r="CI83" s="129">
        <v>24.599999999999994</v>
      </c>
      <c r="CJ83" s="129">
        <v>24.599999999999994</v>
      </c>
      <c r="CK83" s="129">
        <v>24.599999999999994</v>
      </c>
      <c r="CL83" s="129">
        <v>7.8000000000000096</v>
      </c>
      <c r="CN83" s="129">
        <v>28.800000000000011</v>
      </c>
      <c r="CO83" s="129">
        <v>28.800000000000011</v>
      </c>
      <c r="CP83" s="129">
        <v>28.800000000000011</v>
      </c>
      <c r="CQ83" s="129">
        <v>28.800000000000011</v>
      </c>
      <c r="CR83" s="129">
        <v>28.800000000000011</v>
      </c>
      <c r="CS83" s="129">
        <v>28.800000000000011</v>
      </c>
      <c r="CT83" s="129">
        <v>28.800000000000011</v>
      </c>
      <c r="CU83" s="129">
        <v>28.800000000000011</v>
      </c>
      <c r="CV83" s="129">
        <v>28.800000000000011</v>
      </c>
      <c r="CW83" s="129">
        <v>7.8000000000000096</v>
      </c>
      <c r="CY83" s="129">
        <v>40</v>
      </c>
      <c r="CZ83" s="129">
        <v>40</v>
      </c>
      <c r="DA83" s="129">
        <v>40</v>
      </c>
      <c r="DB83" s="129">
        <v>40</v>
      </c>
      <c r="DC83" s="129">
        <v>40</v>
      </c>
      <c r="DD83" s="129">
        <v>40</v>
      </c>
      <c r="DE83" s="129">
        <v>40</v>
      </c>
      <c r="DF83" s="129">
        <v>40</v>
      </c>
      <c r="DG83" s="129">
        <v>40</v>
      </c>
      <c r="DH83" s="129">
        <v>7.8000000000000096</v>
      </c>
      <c r="DJ83" s="129">
        <v>40</v>
      </c>
      <c r="DK83" s="129">
        <v>40</v>
      </c>
      <c r="DL83" s="129">
        <v>40</v>
      </c>
      <c r="DM83" s="129">
        <v>40</v>
      </c>
      <c r="DN83" s="129">
        <v>40</v>
      </c>
      <c r="DO83" s="129">
        <v>40</v>
      </c>
      <c r="DP83" s="129">
        <v>40</v>
      </c>
      <c r="DQ83" s="129">
        <v>40</v>
      </c>
      <c r="DR83" s="129">
        <v>40</v>
      </c>
      <c r="DS83" s="129">
        <v>7.8000000000000096</v>
      </c>
      <c r="DW83" s="27">
        <v>24.599999999999994</v>
      </c>
      <c r="DX83" s="27">
        <v>24.599999999999994</v>
      </c>
      <c r="DY83" s="27">
        <v>24.599999999999994</v>
      </c>
      <c r="DZ83" s="27">
        <v>24.599999999999994</v>
      </c>
      <c r="EA83" s="27">
        <v>24.599999999999994</v>
      </c>
      <c r="EB83" s="27">
        <v>24.599999999999994</v>
      </c>
      <c r="EC83" s="27">
        <v>24.599999999999994</v>
      </c>
      <c r="ED83" s="27">
        <v>24.599999999999994</v>
      </c>
      <c r="EE83" s="27">
        <v>24.599999999999994</v>
      </c>
      <c r="EF83" s="129">
        <v>9.8000000000000096</v>
      </c>
      <c r="EH83" s="27">
        <v>41.800000000000011</v>
      </c>
      <c r="EI83" s="27">
        <v>41.800000000000011</v>
      </c>
      <c r="EJ83" s="27">
        <v>41.800000000000011</v>
      </c>
      <c r="EK83" s="27">
        <v>41.800000000000011</v>
      </c>
      <c r="EL83" s="27">
        <v>41.800000000000011</v>
      </c>
      <c r="EM83" s="27">
        <v>41.800000000000011</v>
      </c>
      <c r="EN83" s="27">
        <v>41.800000000000011</v>
      </c>
      <c r="EO83" s="27">
        <v>41.800000000000011</v>
      </c>
      <c r="EP83" s="27">
        <v>41.800000000000011</v>
      </c>
      <c r="EQ83" s="129">
        <v>9.8000000000000096</v>
      </c>
      <c r="ES83" s="27">
        <v>50</v>
      </c>
      <c r="ET83" s="27">
        <v>50</v>
      </c>
      <c r="EU83" s="27">
        <v>50</v>
      </c>
      <c r="EV83" s="27">
        <v>50</v>
      </c>
      <c r="EW83" s="27">
        <v>50</v>
      </c>
      <c r="EX83" s="27">
        <v>50</v>
      </c>
      <c r="EY83" s="27">
        <v>50</v>
      </c>
      <c r="EZ83" s="27">
        <v>50</v>
      </c>
      <c r="FA83" s="27">
        <v>50</v>
      </c>
      <c r="FB83" s="129">
        <v>9.8000000000000096</v>
      </c>
      <c r="FD83" s="27">
        <v>52</v>
      </c>
      <c r="FE83" s="27">
        <v>52</v>
      </c>
      <c r="FF83" s="27">
        <v>52</v>
      </c>
      <c r="FG83" s="27">
        <v>52</v>
      </c>
      <c r="FH83" s="27">
        <v>52</v>
      </c>
      <c r="FI83" s="27">
        <v>52</v>
      </c>
      <c r="FJ83" s="27">
        <v>52</v>
      </c>
      <c r="FK83" s="27">
        <v>52</v>
      </c>
      <c r="FL83" s="27">
        <v>52</v>
      </c>
      <c r="FM83" s="129">
        <v>9.8000000000000096</v>
      </c>
      <c r="FO83" s="27">
        <v>80.799999999999955</v>
      </c>
      <c r="FP83" s="27">
        <v>80.799999999999955</v>
      </c>
      <c r="FQ83" s="27">
        <v>80.799999999999955</v>
      </c>
      <c r="FR83" s="27">
        <v>80.799999999999955</v>
      </c>
      <c r="FS83" s="27">
        <v>80.799999999999955</v>
      </c>
      <c r="FT83" s="27">
        <v>80.799999999999955</v>
      </c>
      <c r="FU83" s="27">
        <v>80.799999999999955</v>
      </c>
      <c r="FV83" s="27">
        <v>80.799999999999955</v>
      </c>
      <c r="FW83" s="27">
        <v>80.799999999999955</v>
      </c>
      <c r="FX83" s="129">
        <v>9.8000000000000096</v>
      </c>
      <c r="FZ83" s="27">
        <v>80.799999999999955</v>
      </c>
      <c r="GA83" s="27">
        <v>80.799999999999955</v>
      </c>
      <c r="GB83" s="27">
        <v>80.799999999999955</v>
      </c>
      <c r="GC83" s="27">
        <v>80.799999999999955</v>
      </c>
      <c r="GD83" s="27">
        <v>80.799999999999955</v>
      </c>
      <c r="GE83" s="27">
        <v>80.799999999999955</v>
      </c>
      <c r="GF83" s="27">
        <v>80.799999999999955</v>
      </c>
      <c r="GG83" s="27">
        <v>80.799999999999955</v>
      </c>
      <c r="GH83" s="27">
        <v>80.799999999999955</v>
      </c>
      <c r="GI83" s="129">
        <v>9.8000000000000096</v>
      </c>
      <c r="GJ83" s="27"/>
      <c r="GK83" s="27">
        <v>19.400000000000006</v>
      </c>
      <c r="GL83" s="27">
        <v>19.400000000000006</v>
      </c>
      <c r="GM83" s="27">
        <v>19.400000000000006</v>
      </c>
      <c r="GN83" s="27">
        <v>19.400000000000006</v>
      </c>
      <c r="GO83" s="27">
        <v>19.400000000000006</v>
      </c>
      <c r="GP83" s="27">
        <v>19.400000000000006</v>
      </c>
      <c r="GQ83" s="27">
        <v>19.400000000000006</v>
      </c>
      <c r="GR83" s="27">
        <v>19.400000000000006</v>
      </c>
      <c r="GS83" s="27">
        <v>19.400000000000006</v>
      </c>
      <c r="GT83" s="129">
        <v>9.8000000000000096</v>
      </c>
      <c r="GV83" s="27">
        <v>23.400000000000006</v>
      </c>
      <c r="GW83" s="27">
        <v>23.400000000000006</v>
      </c>
      <c r="GX83" s="27">
        <v>23.400000000000006</v>
      </c>
      <c r="GY83" s="27">
        <v>23.400000000000006</v>
      </c>
      <c r="GZ83" s="27">
        <v>23.400000000000006</v>
      </c>
      <c r="HA83" s="27">
        <v>23.400000000000006</v>
      </c>
      <c r="HB83" s="27">
        <v>23.400000000000006</v>
      </c>
      <c r="HC83" s="27">
        <v>23.400000000000006</v>
      </c>
      <c r="HD83" s="27">
        <v>23.400000000000006</v>
      </c>
      <c r="HE83" s="129">
        <v>9.8000000000000096</v>
      </c>
      <c r="HG83" s="27">
        <v>31.800000000000011</v>
      </c>
      <c r="HH83" s="27">
        <v>31.800000000000011</v>
      </c>
      <c r="HI83" s="27">
        <v>31.800000000000011</v>
      </c>
      <c r="HJ83" s="27">
        <v>31.800000000000011</v>
      </c>
      <c r="HK83" s="27">
        <v>31.800000000000011</v>
      </c>
      <c r="HL83" s="27">
        <v>31.800000000000011</v>
      </c>
      <c r="HM83" s="27">
        <v>31.800000000000011</v>
      </c>
      <c r="HN83" s="27">
        <v>31.800000000000011</v>
      </c>
      <c r="HO83" s="27">
        <v>31.800000000000011</v>
      </c>
      <c r="HP83" s="129">
        <v>9.8000000000000096</v>
      </c>
      <c r="HR83" s="27">
        <v>31.800000000000011</v>
      </c>
      <c r="HS83" s="27">
        <v>31.800000000000011</v>
      </c>
      <c r="HT83" s="27">
        <v>31.800000000000011</v>
      </c>
      <c r="HU83" s="27">
        <v>31.800000000000011</v>
      </c>
      <c r="HV83" s="27">
        <v>31.800000000000011</v>
      </c>
      <c r="HW83" s="27">
        <v>31.800000000000011</v>
      </c>
      <c r="HX83" s="27">
        <v>31.800000000000011</v>
      </c>
      <c r="HY83" s="27">
        <v>31.800000000000011</v>
      </c>
      <c r="HZ83" s="27">
        <v>31.800000000000011</v>
      </c>
      <c r="IA83" s="129">
        <v>9.8000000000000096</v>
      </c>
    </row>
    <row r="84" spans="15:235" ht="12" customHeight="1">
      <c r="O84" s="129">
        <v>30.5</v>
      </c>
      <c r="P84" s="129">
        <v>30.5</v>
      </c>
      <c r="Q84" s="129">
        <v>30.5</v>
      </c>
      <c r="R84" s="129">
        <v>30.5</v>
      </c>
      <c r="S84" s="129">
        <v>30.5</v>
      </c>
      <c r="T84" s="129">
        <v>30.5</v>
      </c>
      <c r="U84" s="129">
        <v>30.5</v>
      </c>
      <c r="V84" s="129">
        <v>30.5</v>
      </c>
      <c r="W84" s="129">
        <v>30.5</v>
      </c>
      <c r="X84" s="129">
        <v>7.9000000000000101</v>
      </c>
      <c r="Y84" s="27"/>
      <c r="Z84" s="129">
        <v>51.699999999999974</v>
      </c>
      <c r="AA84" s="129">
        <v>51.699999999999974</v>
      </c>
      <c r="AB84" s="129">
        <v>51.699999999999974</v>
      </c>
      <c r="AC84" s="129">
        <v>51.699999999999974</v>
      </c>
      <c r="AD84" s="129">
        <v>51.699999999999974</v>
      </c>
      <c r="AE84" s="129">
        <v>51.699999999999974</v>
      </c>
      <c r="AF84" s="129">
        <v>51.699999999999974</v>
      </c>
      <c r="AG84" s="129">
        <v>51.699999999999974</v>
      </c>
      <c r="AH84" s="129">
        <v>51.699999999999974</v>
      </c>
      <c r="AI84" s="129">
        <v>7.9000000000000101</v>
      </c>
      <c r="AK84" s="129">
        <v>61.89999999999997</v>
      </c>
      <c r="AL84" s="129">
        <v>61.89999999999997</v>
      </c>
      <c r="AM84" s="129">
        <v>61.89999999999997</v>
      </c>
      <c r="AN84" s="129">
        <v>61.89999999999997</v>
      </c>
      <c r="AO84" s="129">
        <v>61.89999999999997</v>
      </c>
      <c r="AP84" s="129">
        <v>61.89999999999997</v>
      </c>
      <c r="AQ84" s="129">
        <v>61.89999999999997</v>
      </c>
      <c r="AR84" s="129">
        <v>61.89999999999997</v>
      </c>
      <c r="AS84" s="129">
        <v>61.89999999999997</v>
      </c>
      <c r="AT84" s="129">
        <v>7.9000000000000101</v>
      </c>
      <c r="AV84" s="129">
        <v>63.899999999999956</v>
      </c>
      <c r="AW84" s="129">
        <v>63.899999999999956</v>
      </c>
      <c r="AX84" s="129">
        <v>63.899999999999956</v>
      </c>
      <c r="AY84" s="129">
        <v>63.899999999999956</v>
      </c>
      <c r="AZ84" s="129">
        <v>63.899999999999956</v>
      </c>
      <c r="BA84" s="129">
        <v>63.899999999999956</v>
      </c>
      <c r="BB84" s="129">
        <v>63.899999999999956</v>
      </c>
      <c r="BC84" s="129">
        <v>63.899999999999956</v>
      </c>
      <c r="BD84" s="129">
        <v>63.899999999999956</v>
      </c>
      <c r="BE84" s="129">
        <v>7.9000000000000101</v>
      </c>
      <c r="BG84" s="129">
        <v>100.39999999999995</v>
      </c>
      <c r="BH84" s="129">
        <v>100.39999999999995</v>
      </c>
      <c r="BI84" s="129">
        <v>100.39999999999995</v>
      </c>
      <c r="BJ84" s="129">
        <v>100.39999999999995</v>
      </c>
      <c r="BK84" s="129">
        <v>100.39999999999995</v>
      </c>
      <c r="BL84" s="129">
        <v>100.39999999999995</v>
      </c>
      <c r="BM84" s="129">
        <v>100.39999999999995</v>
      </c>
      <c r="BN84" s="129">
        <v>100.39999999999995</v>
      </c>
      <c r="BO84" s="129">
        <v>100.39999999999995</v>
      </c>
      <c r="BP84" s="129">
        <v>7.9000000000000101</v>
      </c>
      <c r="BR84" s="129">
        <v>100.39999999999995</v>
      </c>
      <c r="BS84" s="129">
        <v>100.39999999999995</v>
      </c>
      <c r="BT84" s="129">
        <v>100.39999999999995</v>
      </c>
      <c r="BU84" s="129">
        <v>100.39999999999995</v>
      </c>
      <c r="BV84" s="129">
        <v>100.39999999999995</v>
      </c>
      <c r="BW84" s="129">
        <v>100.39999999999995</v>
      </c>
      <c r="BX84" s="129">
        <v>100.39999999999995</v>
      </c>
      <c r="BY84" s="129">
        <v>100.39999999999995</v>
      </c>
      <c r="BZ84" s="129">
        <v>100.39999999999995</v>
      </c>
      <c r="CA84" s="129">
        <v>7.9000000000000101</v>
      </c>
      <c r="CC84" s="129">
        <v>24.299999999999994</v>
      </c>
      <c r="CD84" s="129">
        <v>24.299999999999994</v>
      </c>
      <c r="CE84" s="129">
        <v>24.299999999999994</v>
      </c>
      <c r="CF84" s="129">
        <v>24.299999999999994</v>
      </c>
      <c r="CG84" s="129">
        <v>24.299999999999994</v>
      </c>
      <c r="CH84" s="129">
        <v>24.299999999999994</v>
      </c>
      <c r="CI84" s="129">
        <v>24.299999999999994</v>
      </c>
      <c r="CJ84" s="129">
        <v>24.299999999999994</v>
      </c>
      <c r="CK84" s="129">
        <v>24.299999999999994</v>
      </c>
      <c r="CL84" s="129">
        <v>7.9000000000000101</v>
      </c>
      <c r="CN84" s="129">
        <v>28.400000000000013</v>
      </c>
      <c r="CO84" s="129">
        <v>28.400000000000013</v>
      </c>
      <c r="CP84" s="129">
        <v>28.400000000000013</v>
      </c>
      <c r="CQ84" s="129">
        <v>28.400000000000013</v>
      </c>
      <c r="CR84" s="129">
        <v>28.400000000000013</v>
      </c>
      <c r="CS84" s="129">
        <v>28.400000000000013</v>
      </c>
      <c r="CT84" s="129">
        <v>28.400000000000013</v>
      </c>
      <c r="CU84" s="129">
        <v>28.400000000000013</v>
      </c>
      <c r="CV84" s="129">
        <v>28.400000000000013</v>
      </c>
      <c r="CW84" s="129">
        <v>7.9000000000000101</v>
      </c>
      <c r="CY84" s="129">
        <v>39.5</v>
      </c>
      <c r="CZ84" s="129">
        <v>39.5</v>
      </c>
      <c r="DA84" s="129">
        <v>39.5</v>
      </c>
      <c r="DB84" s="129">
        <v>39.5</v>
      </c>
      <c r="DC84" s="129">
        <v>39.5</v>
      </c>
      <c r="DD84" s="129">
        <v>39.5</v>
      </c>
      <c r="DE84" s="129">
        <v>39.5</v>
      </c>
      <c r="DF84" s="129">
        <v>39.5</v>
      </c>
      <c r="DG84" s="129">
        <v>39.5</v>
      </c>
      <c r="DH84" s="129">
        <v>7.9000000000000101</v>
      </c>
      <c r="DJ84" s="129">
        <v>39.5</v>
      </c>
      <c r="DK84" s="129">
        <v>39.5</v>
      </c>
      <c r="DL84" s="129">
        <v>39.5</v>
      </c>
      <c r="DM84" s="129">
        <v>39.5</v>
      </c>
      <c r="DN84" s="129">
        <v>39.5</v>
      </c>
      <c r="DO84" s="129">
        <v>39.5</v>
      </c>
      <c r="DP84" s="129">
        <v>39.5</v>
      </c>
      <c r="DQ84" s="129">
        <v>39.5</v>
      </c>
      <c r="DR84" s="129">
        <v>39.5</v>
      </c>
      <c r="DS84" s="129">
        <v>7.9000000000000101</v>
      </c>
      <c r="DW84" s="27">
        <v>24.299999999999994</v>
      </c>
      <c r="DX84" s="27">
        <v>24.299999999999994</v>
      </c>
      <c r="DY84" s="27">
        <v>24.299999999999994</v>
      </c>
      <c r="DZ84" s="27">
        <v>24.299999999999994</v>
      </c>
      <c r="EA84" s="27">
        <v>24.299999999999994</v>
      </c>
      <c r="EB84" s="27">
        <v>24.299999999999994</v>
      </c>
      <c r="EC84" s="27">
        <v>24.299999999999994</v>
      </c>
      <c r="ED84" s="27">
        <v>24.299999999999994</v>
      </c>
      <c r="EE84" s="27">
        <v>24.299999999999994</v>
      </c>
      <c r="EF84" s="129">
        <v>9.9000000000000092</v>
      </c>
      <c r="EH84" s="27">
        <v>41.400000000000013</v>
      </c>
      <c r="EI84" s="27">
        <v>41.400000000000013</v>
      </c>
      <c r="EJ84" s="27">
        <v>41.400000000000013</v>
      </c>
      <c r="EK84" s="27">
        <v>41.400000000000013</v>
      </c>
      <c r="EL84" s="27">
        <v>41.400000000000013</v>
      </c>
      <c r="EM84" s="27">
        <v>41.400000000000013</v>
      </c>
      <c r="EN84" s="27">
        <v>41.400000000000013</v>
      </c>
      <c r="EO84" s="27">
        <v>41.400000000000013</v>
      </c>
      <c r="EP84" s="27">
        <v>41.400000000000013</v>
      </c>
      <c r="EQ84" s="129">
        <v>9.9000000000000092</v>
      </c>
      <c r="ES84" s="27">
        <v>49.5</v>
      </c>
      <c r="ET84" s="27">
        <v>49.5</v>
      </c>
      <c r="EU84" s="27">
        <v>49.5</v>
      </c>
      <c r="EV84" s="27">
        <v>49.5</v>
      </c>
      <c r="EW84" s="27">
        <v>49.5</v>
      </c>
      <c r="EX84" s="27">
        <v>49.5</v>
      </c>
      <c r="EY84" s="27">
        <v>49.5</v>
      </c>
      <c r="EZ84" s="27">
        <v>49.5</v>
      </c>
      <c r="FA84" s="27">
        <v>49.5</v>
      </c>
      <c r="FB84" s="129">
        <v>9.9000000000000092</v>
      </c>
      <c r="FD84" s="27">
        <v>51.5</v>
      </c>
      <c r="FE84" s="27">
        <v>51.5</v>
      </c>
      <c r="FF84" s="27">
        <v>51.5</v>
      </c>
      <c r="FG84" s="27">
        <v>51.5</v>
      </c>
      <c r="FH84" s="27">
        <v>51.5</v>
      </c>
      <c r="FI84" s="27">
        <v>51.5</v>
      </c>
      <c r="FJ84" s="27">
        <v>51.5</v>
      </c>
      <c r="FK84" s="27">
        <v>51.5</v>
      </c>
      <c r="FL84" s="27">
        <v>51.5</v>
      </c>
      <c r="FM84" s="129">
        <v>9.9000000000000092</v>
      </c>
      <c r="FO84" s="27">
        <v>79.899999999999949</v>
      </c>
      <c r="FP84" s="27">
        <v>79.899999999999949</v>
      </c>
      <c r="FQ84" s="27">
        <v>79.899999999999949</v>
      </c>
      <c r="FR84" s="27">
        <v>79.899999999999949</v>
      </c>
      <c r="FS84" s="27">
        <v>79.899999999999949</v>
      </c>
      <c r="FT84" s="27">
        <v>79.899999999999949</v>
      </c>
      <c r="FU84" s="27">
        <v>79.899999999999949</v>
      </c>
      <c r="FV84" s="27">
        <v>79.899999999999949</v>
      </c>
      <c r="FW84" s="27">
        <v>79.899999999999949</v>
      </c>
      <c r="FX84" s="129">
        <v>9.9000000000000092</v>
      </c>
      <c r="FZ84" s="27">
        <v>79.899999999999949</v>
      </c>
      <c r="GA84" s="27">
        <v>79.899999999999949</v>
      </c>
      <c r="GB84" s="27">
        <v>79.899999999999949</v>
      </c>
      <c r="GC84" s="27">
        <v>79.899999999999949</v>
      </c>
      <c r="GD84" s="27">
        <v>79.899999999999949</v>
      </c>
      <c r="GE84" s="27">
        <v>79.899999999999949</v>
      </c>
      <c r="GF84" s="27">
        <v>79.899999999999949</v>
      </c>
      <c r="GG84" s="27">
        <v>79.899999999999949</v>
      </c>
      <c r="GH84" s="27">
        <v>79.899999999999949</v>
      </c>
      <c r="GI84" s="129">
        <v>9.9000000000000092</v>
      </c>
      <c r="GJ84" s="27"/>
      <c r="GK84" s="27">
        <v>19.200000000000006</v>
      </c>
      <c r="GL84" s="27">
        <v>19.200000000000006</v>
      </c>
      <c r="GM84" s="27">
        <v>19.200000000000006</v>
      </c>
      <c r="GN84" s="27">
        <v>19.200000000000006</v>
      </c>
      <c r="GO84" s="27">
        <v>19.200000000000006</v>
      </c>
      <c r="GP84" s="27">
        <v>19.200000000000006</v>
      </c>
      <c r="GQ84" s="27">
        <v>19.200000000000006</v>
      </c>
      <c r="GR84" s="27">
        <v>19.200000000000006</v>
      </c>
      <c r="GS84" s="27">
        <v>19.200000000000006</v>
      </c>
      <c r="GT84" s="129">
        <v>9.9000000000000092</v>
      </c>
      <c r="GV84" s="27">
        <v>23.200000000000006</v>
      </c>
      <c r="GW84" s="27">
        <v>23.200000000000006</v>
      </c>
      <c r="GX84" s="27">
        <v>23.200000000000006</v>
      </c>
      <c r="GY84" s="27">
        <v>23.200000000000006</v>
      </c>
      <c r="GZ84" s="27">
        <v>23.200000000000006</v>
      </c>
      <c r="HA84" s="27">
        <v>23.200000000000006</v>
      </c>
      <c r="HB84" s="27">
        <v>23.200000000000006</v>
      </c>
      <c r="HC84" s="27">
        <v>23.200000000000006</v>
      </c>
      <c r="HD84" s="27">
        <v>23.200000000000006</v>
      </c>
      <c r="HE84" s="129">
        <v>9.9000000000000092</v>
      </c>
      <c r="HG84" s="27">
        <v>31.400000000000013</v>
      </c>
      <c r="HH84" s="27">
        <v>31.400000000000013</v>
      </c>
      <c r="HI84" s="27">
        <v>31.400000000000013</v>
      </c>
      <c r="HJ84" s="27">
        <v>31.400000000000013</v>
      </c>
      <c r="HK84" s="27">
        <v>31.400000000000013</v>
      </c>
      <c r="HL84" s="27">
        <v>31.400000000000013</v>
      </c>
      <c r="HM84" s="27">
        <v>31.400000000000013</v>
      </c>
      <c r="HN84" s="27">
        <v>31.400000000000013</v>
      </c>
      <c r="HO84" s="27">
        <v>31.400000000000013</v>
      </c>
      <c r="HP84" s="129">
        <v>9.9000000000000092</v>
      </c>
      <c r="HR84" s="27">
        <v>31.400000000000013</v>
      </c>
      <c r="HS84" s="27">
        <v>31.400000000000013</v>
      </c>
      <c r="HT84" s="27">
        <v>31.400000000000013</v>
      </c>
      <c r="HU84" s="27">
        <v>31.400000000000013</v>
      </c>
      <c r="HV84" s="27">
        <v>31.400000000000013</v>
      </c>
      <c r="HW84" s="27">
        <v>31.400000000000013</v>
      </c>
      <c r="HX84" s="27">
        <v>31.400000000000013</v>
      </c>
      <c r="HY84" s="27">
        <v>31.400000000000013</v>
      </c>
      <c r="HZ84" s="27">
        <v>31.400000000000013</v>
      </c>
      <c r="IA84" s="129">
        <v>9.9000000000000092</v>
      </c>
    </row>
    <row r="85" spans="15:235" ht="12" customHeight="1">
      <c r="O85" s="129">
        <v>30</v>
      </c>
      <c r="P85" s="129">
        <v>30</v>
      </c>
      <c r="Q85" s="129">
        <v>30</v>
      </c>
      <c r="R85" s="129">
        <v>30</v>
      </c>
      <c r="S85" s="129">
        <v>30</v>
      </c>
      <c r="T85" s="129">
        <v>30</v>
      </c>
      <c r="U85" s="129">
        <v>30</v>
      </c>
      <c r="V85" s="129">
        <v>30</v>
      </c>
      <c r="W85" s="129">
        <v>30</v>
      </c>
      <c r="X85" s="129">
        <v>8.0000000000000107</v>
      </c>
      <c r="Y85" s="27"/>
      <c r="Z85" s="129">
        <v>51</v>
      </c>
      <c r="AA85" s="129">
        <v>51</v>
      </c>
      <c r="AB85" s="129">
        <v>51</v>
      </c>
      <c r="AC85" s="129">
        <v>51</v>
      </c>
      <c r="AD85" s="129">
        <v>51</v>
      </c>
      <c r="AE85" s="129">
        <v>51</v>
      </c>
      <c r="AF85" s="129">
        <v>51</v>
      </c>
      <c r="AG85" s="129">
        <v>51</v>
      </c>
      <c r="AH85" s="129">
        <v>51</v>
      </c>
      <c r="AI85" s="129">
        <v>8.0000000000000107</v>
      </c>
      <c r="AK85" s="129">
        <v>61</v>
      </c>
      <c r="AL85" s="129">
        <v>61</v>
      </c>
      <c r="AM85" s="129">
        <v>61</v>
      </c>
      <c r="AN85" s="129">
        <v>61</v>
      </c>
      <c r="AO85" s="129">
        <v>61</v>
      </c>
      <c r="AP85" s="129">
        <v>61</v>
      </c>
      <c r="AQ85" s="129">
        <v>61</v>
      </c>
      <c r="AR85" s="129">
        <v>61</v>
      </c>
      <c r="AS85" s="129">
        <v>61</v>
      </c>
      <c r="AT85" s="129">
        <v>8.0000000000000107</v>
      </c>
      <c r="AV85" s="129">
        <v>63</v>
      </c>
      <c r="AW85" s="129">
        <v>63</v>
      </c>
      <c r="AX85" s="129">
        <v>63</v>
      </c>
      <c r="AY85" s="129">
        <v>63</v>
      </c>
      <c r="AZ85" s="129">
        <v>63</v>
      </c>
      <c r="BA85" s="129">
        <v>63</v>
      </c>
      <c r="BB85" s="129">
        <v>63</v>
      </c>
      <c r="BC85" s="129">
        <v>63</v>
      </c>
      <c r="BD85" s="129">
        <v>63</v>
      </c>
      <c r="BE85" s="129">
        <v>8.0000000000000107</v>
      </c>
      <c r="BG85" s="129">
        <v>99</v>
      </c>
      <c r="BH85" s="129">
        <v>99</v>
      </c>
      <c r="BI85" s="129">
        <v>99</v>
      </c>
      <c r="BJ85" s="129">
        <v>99</v>
      </c>
      <c r="BK85" s="129">
        <v>99</v>
      </c>
      <c r="BL85" s="129">
        <v>99</v>
      </c>
      <c r="BM85" s="129">
        <v>99</v>
      </c>
      <c r="BN85" s="129">
        <v>99</v>
      </c>
      <c r="BO85" s="129">
        <v>99</v>
      </c>
      <c r="BP85" s="129">
        <v>8.0000000000000107</v>
      </c>
      <c r="BR85" s="129">
        <v>99</v>
      </c>
      <c r="BS85" s="129">
        <v>99</v>
      </c>
      <c r="BT85" s="129">
        <v>99</v>
      </c>
      <c r="BU85" s="129">
        <v>99</v>
      </c>
      <c r="BV85" s="129">
        <v>99</v>
      </c>
      <c r="BW85" s="129">
        <v>99</v>
      </c>
      <c r="BX85" s="129">
        <v>99</v>
      </c>
      <c r="BY85" s="129">
        <v>99</v>
      </c>
      <c r="BZ85" s="129">
        <v>99</v>
      </c>
      <c r="CA85" s="129">
        <v>8.0000000000000107</v>
      </c>
      <c r="CC85" s="129">
        <v>24</v>
      </c>
      <c r="CD85" s="129">
        <v>24</v>
      </c>
      <c r="CE85" s="129">
        <v>24</v>
      </c>
      <c r="CF85" s="129">
        <v>24</v>
      </c>
      <c r="CG85" s="129">
        <v>24</v>
      </c>
      <c r="CH85" s="129">
        <v>24</v>
      </c>
      <c r="CI85" s="129">
        <v>24</v>
      </c>
      <c r="CJ85" s="129">
        <v>24</v>
      </c>
      <c r="CK85" s="129">
        <v>24</v>
      </c>
      <c r="CL85" s="129">
        <v>8.0000000000000107</v>
      </c>
      <c r="CN85" s="129">
        <v>28</v>
      </c>
      <c r="CO85" s="129">
        <v>28</v>
      </c>
      <c r="CP85" s="129">
        <v>28</v>
      </c>
      <c r="CQ85" s="129">
        <v>28</v>
      </c>
      <c r="CR85" s="129">
        <v>28</v>
      </c>
      <c r="CS85" s="129">
        <v>28</v>
      </c>
      <c r="CT85" s="129">
        <v>28</v>
      </c>
      <c r="CU85" s="129">
        <v>28</v>
      </c>
      <c r="CV85" s="129">
        <v>28</v>
      </c>
      <c r="CW85" s="129">
        <v>8.0000000000000107</v>
      </c>
      <c r="CY85" s="129">
        <v>39</v>
      </c>
      <c r="CZ85" s="129">
        <v>39</v>
      </c>
      <c r="DA85" s="129">
        <v>39</v>
      </c>
      <c r="DB85" s="129">
        <v>39</v>
      </c>
      <c r="DC85" s="129">
        <v>39</v>
      </c>
      <c r="DD85" s="129">
        <v>39</v>
      </c>
      <c r="DE85" s="129">
        <v>39</v>
      </c>
      <c r="DF85" s="129">
        <v>39</v>
      </c>
      <c r="DG85" s="129">
        <v>39</v>
      </c>
      <c r="DH85" s="129">
        <v>8.0000000000000107</v>
      </c>
      <c r="DJ85" s="129">
        <v>39</v>
      </c>
      <c r="DK85" s="129">
        <v>39</v>
      </c>
      <c r="DL85" s="129">
        <v>39</v>
      </c>
      <c r="DM85" s="129">
        <v>39</v>
      </c>
      <c r="DN85" s="129">
        <v>39</v>
      </c>
      <c r="DO85" s="129">
        <v>39</v>
      </c>
      <c r="DP85" s="129">
        <v>39</v>
      </c>
      <c r="DQ85" s="129">
        <v>39</v>
      </c>
      <c r="DR85" s="129">
        <v>39</v>
      </c>
      <c r="DS85" s="129">
        <v>8.0000000000000107</v>
      </c>
      <c r="DW85" s="27">
        <v>24</v>
      </c>
      <c r="DX85" s="27">
        <v>24</v>
      </c>
      <c r="DY85" s="27">
        <v>24</v>
      </c>
      <c r="DZ85" s="27">
        <v>24</v>
      </c>
      <c r="EA85" s="27">
        <v>24</v>
      </c>
      <c r="EB85" s="27">
        <v>24</v>
      </c>
      <c r="EC85" s="27">
        <v>24</v>
      </c>
      <c r="ED85" s="27">
        <v>24</v>
      </c>
      <c r="EE85" s="27">
        <v>24</v>
      </c>
      <c r="EF85" s="129">
        <v>10</v>
      </c>
      <c r="EH85" s="27">
        <v>41</v>
      </c>
      <c r="EI85" s="27">
        <v>41</v>
      </c>
      <c r="EJ85" s="27">
        <v>41</v>
      </c>
      <c r="EK85" s="27">
        <v>41</v>
      </c>
      <c r="EL85" s="27">
        <v>41</v>
      </c>
      <c r="EM85" s="27">
        <v>41</v>
      </c>
      <c r="EN85" s="27">
        <v>41</v>
      </c>
      <c r="EO85" s="27">
        <v>41</v>
      </c>
      <c r="EP85" s="27">
        <v>41</v>
      </c>
      <c r="EQ85" s="129">
        <v>10</v>
      </c>
      <c r="ES85" s="27">
        <v>49</v>
      </c>
      <c r="ET85" s="27">
        <v>49</v>
      </c>
      <c r="EU85" s="27">
        <v>49</v>
      </c>
      <c r="EV85" s="27">
        <v>49</v>
      </c>
      <c r="EW85" s="27">
        <v>49</v>
      </c>
      <c r="EX85" s="27">
        <v>49</v>
      </c>
      <c r="EY85" s="27">
        <v>49</v>
      </c>
      <c r="EZ85" s="27">
        <v>49</v>
      </c>
      <c r="FA85" s="27">
        <v>49</v>
      </c>
      <c r="FB85" s="129">
        <v>10</v>
      </c>
      <c r="FD85" s="27">
        <v>51</v>
      </c>
      <c r="FE85" s="27">
        <v>51</v>
      </c>
      <c r="FF85" s="27">
        <v>51</v>
      </c>
      <c r="FG85" s="27">
        <v>51</v>
      </c>
      <c r="FH85" s="27">
        <v>51</v>
      </c>
      <c r="FI85" s="27">
        <v>51</v>
      </c>
      <c r="FJ85" s="27">
        <v>51</v>
      </c>
      <c r="FK85" s="27">
        <v>51</v>
      </c>
      <c r="FL85" s="27">
        <v>51</v>
      </c>
      <c r="FM85" s="129">
        <v>10</v>
      </c>
      <c r="FO85" s="27">
        <v>79</v>
      </c>
      <c r="FP85" s="27">
        <v>79</v>
      </c>
      <c r="FQ85" s="27">
        <v>79</v>
      </c>
      <c r="FR85" s="27">
        <v>79</v>
      </c>
      <c r="FS85" s="27">
        <v>79</v>
      </c>
      <c r="FT85" s="27">
        <v>79</v>
      </c>
      <c r="FU85" s="27">
        <v>79</v>
      </c>
      <c r="FV85" s="27">
        <v>79</v>
      </c>
      <c r="FW85" s="27">
        <v>79</v>
      </c>
      <c r="FX85" s="129">
        <v>10</v>
      </c>
      <c r="FZ85" s="27">
        <v>79</v>
      </c>
      <c r="GA85" s="27">
        <v>79</v>
      </c>
      <c r="GB85" s="27">
        <v>79</v>
      </c>
      <c r="GC85" s="27">
        <v>79</v>
      </c>
      <c r="GD85" s="27">
        <v>79</v>
      </c>
      <c r="GE85" s="27">
        <v>79</v>
      </c>
      <c r="GF85" s="27">
        <v>79</v>
      </c>
      <c r="GG85" s="27">
        <v>79</v>
      </c>
      <c r="GH85" s="27">
        <v>79</v>
      </c>
      <c r="GI85" s="129">
        <v>10</v>
      </c>
      <c r="GJ85" s="27"/>
      <c r="GK85" s="27">
        <v>19</v>
      </c>
      <c r="GL85" s="27">
        <v>19</v>
      </c>
      <c r="GM85" s="27">
        <v>19</v>
      </c>
      <c r="GN85" s="27">
        <v>19</v>
      </c>
      <c r="GO85" s="27">
        <v>19</v>
      </c>
      <c r="GP85" s="27">
        <v>19</v>
      </c>
      <c r="GQ85" s="27">
        <v>19</v>
      </c>
      <c r="GR85" s="27">
        <v>19</v>
      </c>
      <c r="GS85" s="27">
        <v>19</v>
      </c>
      <c r="GT85" s="129">
        <v>10</v>
      </c>
      <c r="GV85" s="27">
        <v>23</v>
      </c>
      <c r="GW85" s="27">
        <v>23</v>
      </c>
      <c r="GX85" s="27">
        <v>23</v>
      </c>
      <c r="GY85" s="27">
        <v>23</v>
      </c>
      <c r="GZ85" s="27">
        <v>23</v>
      </c>
      <c r="HA85" s="27">
        <v>23</v>
      </c>
      <c r="HB85" s="27">
        <v>23</v>
      </c>
      <c r="HC85" s="27">
        <v>23</v>
      </c>
      <c r="HD85" s="27">
        <v>23</v>
      </c>
      <c r="HE85" s="129">
        <v>10</v>
      </c>
      <c r="HG85" s="27">
        <v>31</v>
      </c>
      <c r="HH85" s="27">
        <v>31</v>
      </c>
      <c r="HI85" s="27">
        <v>31</v>
      </c>
      <c r="HJ85" s="27">
        <v>31</v>
      </c>
      <c r="HK85" s="27">
        <v>31</v>
      </c>
      <c r="HL85" s="27">
        <v>31</v>
      </c>
      <c r="HM85" s="27">
        <v>31</v>
      </c>
      <c r="HN85" s="27">
        <v>31</v>
      </c>
      <c r="HO85" s="27">
        <v>31</v>
      </c>
      <c r="HP85" s="129">
        <v>10</v>
      </c>
      <c r="HR85" s="27">
        <v>31</v>
      </c>
      <c r="HS85" s="27">
        <v>31</v>
      </c>
      <c r="HT85" s="27">
        <v>31</v>
      </c>
      <c r="HU85" s="27">
        <v>31</v>
      </c>
      <c r="HV85" s="27">
        <v>31</v>
      </c>
      <c r="HW85" s="27">
        <v>31</v>
      </c>
      <c r="HX85" s="27">
        <v>31</v>
      </c>
      <c r="HY85" s="27">
        <v>31</v>
      </c>
      <c r="HZ85" s="27">
        <v>31</v>
      </c>
      <c r="IA85" s="129">
        <v>10</v>
      </c>
    </row>
    <row r="86" spans="15:235" ht="19.899999999999999" customHeight="1">
      <c r="O86" s="129">
        <v>29.3</v>
      </c>
      <c r="P86" s="129">
        <v>29.3</v>
      </c>
      <c r="Q86" s="129">
        <v>29.3</v>
      </c>
      <c r="R86" s="129">
        <v>29.3</v>
      </c>
      <c r="S86" s="129">
        <v>29.3</v>
      </c>
      <c r="T86" s="129">
        <v>29.3</v>
      </c>
      <c r="U86" s="129">
        <v>29.3</v>
      </c>
      <c r="V86" s="129">
        <v>29.3</v>
      </c>
      <c r="W86" s="129">
        <v>29.3</v>
      </c>
      <c r="X86" s="129">
        <v>8.1</v>
      </c>
      <c r="Y86" s="27"/>
      <c r="Z86" s="129">
        <v>50.4</v>
      </c>
      <c r="AA86" s="129">
        <v>50.4</v>
      </c>
      <c r="AB86" s="129">
        <v>50.4</v>
      </c>
      <c r="AC86" s="129">
        <v>50.4</v>
      </c>
      <c r="AD86" s="129">
        <v>50.4</v>
      </c>
      <c r="AE86" s="129">
        <v>50.4</v>
      </c>
      <c r="AF86" s="129">
        <v>50.4</v>
      </c>
      <c r="AG86" s="129">
        <v>50.4</v>
      </c>
      <c r="AH86" s="129">
        <v>50.4</v>
      </c>
      <c r="AI86" s="129">
        <v>8.1</v>
      </c>
      <c r="AK86" s="129">
        <v>60.3</v>
      </c>
      <c r="AL86" s="129">
        <v>60.3</v>
      </c>
      <c r="AM86" s="129">
        <v>60.3</v>
      </c>
      <c r="AN86" s="129">
        <v>60.3</v>
      </c>
      <c r="AO86" s="129">
        <v>60.3</v>
      </c>
      <c r="AP86" s="129">
        <v>60.3</v>
      </c>
      <c r="AQ86" s="129">
        <v>60.3</v>
      </c>
      <c r="AR86" s="129">
        <v>60.3</v>
      </c>
      <c r="AS86" s="129">
        <v>60.3</v>
      </c>
      <c r="AT86" s="129">
        <v>8.1</v>
      </c>
      <c r="AV86" s="129">
        <v>62.3</v>
      </c>
      <c r="AW86" s="129">
        <v>62.3</v>
      </c>
      <c r="AX86" s="129">
        <v>62.3</v>
      </c>
      <c r="AY86" s="129">
        <v>62.3</v>
      </c>
      <c r="AZ86" s="129">
        <v>62.3</v>
      </c>
      <c r="BA86" s="129">
        <v>62.3</v>
      </c>
      <c r="BB86" s="129">
        <v>62.3</v>
      </c>
      <c r="BC86" s="129">
        <v>62.3</v>
      </c>
      <c r="BD86" s="129">
        <v>62.3</v>
      </c>
      <c r="BE86" s="129">
        <v>8.1</v>
      </c>
      <c r="BG86" s="129">
        <v>97.9</v>
      </c>
      <c r="BH86" s="129">
        <v>97.9</v>
      </c>
      <c r="BI86" s="129">
        <v>97.9</v>
      </c>
      <c r="BJ86" s="129">
        <v>97.9</v>
      </c>
      <c r="BK86" s="129">
        <v>97.9</v>
      </c>
      <c r="BL86" s="129">
        <v>97.9</v>
      </c>
      <c r="BM86" s="129">
        <v>97.9</v>
      </c>
      <c r="BN86" s="129">
        <v>97.9</v>
      </c>
      <c r="BO86" s="129">
        <v>97.9</v>
      </c>
      <c r="BP86" s="129">
        <v>8.1</v>
      </c>
      <c r="BR86" s="129">
        <v>97.9</v>
      </c>
      <c r="BS86" s="129">
        <v>97.9</v>
      </c>
      <c r="BT86" s="129">
        <v>97.9</v>
      </c>
      <c r="BU86" s="129">
        <v>97.9</v>
      </c>
      <c r="BV86" s="129">
        <v>97.9</v>
      </c>
      <c r="BW86" s="129">
        <v>97.9</v>
      </c>
      <c r="BX86" s="129">
        <v>97.9</v>
      </c>
      <c r="BY86" s="129">
        <v>97.9</v>
      </c>
      <c r="BZ86" s="129">
        <v>97.9</v>
      </c>
      <c r="CA86" s="129">
        <v>8.1</v>
      </c>
      <c r="CC86" s="129">
        <v>23.7</v>
      </c>
      <c r="CD86" s="129">
        <v>23.7</v>
      </c>
      <c r="CE86" s="129">
        <v>23.7</v>
      </c>
      <c r="CF86" s="129">
        <v>23.7</v>
      </c>
      <c r="CG86" s="129">
        <v>23.7</v>
      </c>
      <c r="CH86" s="129">
        <v>23.7</v>
      </c>
      <c r="CI86" s="129">
        <v>23.7</v>
      </c>
      <c r="CJ86" s="129">
        <v>23.7</v>
      </c>
      <c r="CK86" s="129">
        <v>23.7</v>
      </c>
      <c r="CL86" s="129">
        <v>8.1</v>
      </c>
      <c r="CN86" s="129">
        <v>27.7</v>
      </c>
      <c r="CO86" s="129">
        <v>27.7</v>
      </c>
      <c r="CP86" s="129">
        <v>27.7</v>
      </c>
      <c r="CQ86" s="129">
        <v>27.7</v>
      </c>
      <c r="CR86" s="129">
        <v>27.7</v>
      </c>
      <c r="CS86" s="129">
        <v>27.7</v>
      </c>
      <c r="CT86" s="129">
        <v>27.7</v>
      </c>
      <c r="CU86" s="129">
        <v>27.7</v>
      </c>
      <c r="CV86" s="129">
        <v>27.7</v>
      </c>
      <c r="CW86" s="129">
        <v>8.1</v>
      </c>
      <c r="CY86" s="129">
        <v>38.6</v>
      </c>
      <c r="CZ86" s="129">
        <v>38.6</v>
      </c>
      <c r="DA86" s="129">
        <v>38.6</v>
      </c>
      <c r="DB86" s="129">
        <v>38.6</v>
      </c>
      <c r="DC86" s="129">
        <v>38.6</v>
      </c>
      <c r="DD86" s="129">
        <v>38.6</v>
      </c>
      <c r="DE86" s="129">
        <v>38.6</v>
      </c>
      <c r="DF86" s="129">
        <v>38.6</v>
      </c>
      <c r="DG86" s="129">
        <v>38.6</v>
      </c>
      <c r="DH86" s="129">
        <v>8.1</v>
      </c>
      <c r="DJ86" s="129">
        <v>38.6</v>
      </c>
      <c r="DK86" s="129">
        <v>38.6</v>
      </c>
      <c r="DL86" s="129">
        <v>38.6</v>
      </c>
      <c r="DM86" s="129">
        <v>38.6</v>
      </c>
      <c r="DN86" s="129">
        <v>38.6</v>
      </c>
      <c r="DO86" s="129">
        <v>38.6</v>
      </c>
      <c r="DP86" s="129">
        <v>38.6</v>
      </c>
      <c r="DQ86" s="129">
        <v>38.6</v>
      </c>
      <c r="DR86" s="129">
        <v>38.6</v>
      </c>
      <c r="DS86" s="129">
        <v>8.1</v>
      </c>
      <c r="DW86" s="27">
        <v>23.8</v>
      </c>
      <c r="DX86" s="27">
        <v>23.8</v>
      </c>
      <c r="DY86" s="27">
        <v>23.8</v>
      </c>
      <c r="DZ86" s="27">
        <v>23.8</v>
      </c>
      <c r="EA86" s="27">
        <v>23.8</v>
      </c>
      <c r="EB86" s="27">
        <v>23.8</v>
      </c>
      <c r="EC86" s="27">
        <v>23.8</v>
      </c>
      <c r="ED86" s="27">
        <v>23.8</v>
      </c>
      <c r="EE86" s="27">
        <v>23.8</v>
      </c>
      <c r="EF86" s="129">
        <v>10.1</v>
      </c>
      <c r="EH86" s="27">
        <v>40.6</v>
      </c>
      <c r="EI86" s="27">
        <v>40.6</v>
      </c>
      <c r="EJ86" s="27">
        <v>40.6</v>
      </c>
      <c r="EK86" s="27">
        <v>40.6</v>
      </c>
      <c r="EL86" s="27">
        <v>40.6</v>
      </c>
      <c r="EM86" s="27">
        <v>40.6</v>
      </c>
      <c r="EN86" s="27">
        <v>40.6</v>
      </c>
      <c r="EO86" s="27">
        <v>40.6</v>
      </c>
      <c r="EP86" s="27">
        <v>40.6</v>
      </c>
      <c r="EQ86" s="129">
        <v>10.1</v>
      </c>
      <c r="ES86" s="27">
        <v>48.5</v>
      </c>
      <c r="ET86" s="27">
        <v>48.5</v>
      </c>
      <c r="EU86" s="27">
        <v>48.5</v>
      </c>
      <c r="EV86" s="27">
        <v>48.5</v>
      </c>
      <c r="EW86" s="27">
        <v>48.5</v>
      </c>
      <c r="EX86" s="27">
        <v>48.5</v>
      </c>
      <c r="EY86" s="27">
        <v>48.5</v>
      </c>
      <c r="EZ86" s="27">
        <v>48.5</v>
      </c>
      <c r="FA86" s="27">
        <v>48.5</v>
      </c>
      <c r="FB86" s="129">
        <v>10.1</v>
      </c>
      <c r="FD86" s="27">
        <v>50.5</v>
      </c>
      <c r="FE86" s="27">
        <v>50.5</v>
      </c>
      <c r="FF86" s="27">
        <v>50.5</v>
      </c>
      <c r="FG86" s="27">
        <v>50.5</v>
      </c>
      <c r="FH86" s="27">
        <v>50.5</v>
      </c>
      <c r="FI86" s="27">
        <v>50.5</v>
      </c>
      <c r="FJ86" s="27">
        <v>50.5</v>
      </c>
      <c r="FK86" s="27">
        <v>50.5</v>
      </c>
      <c r="FL86" s="27">
        <v>50.5</v>
      </c>
      <c r="FM86" s="129">
        <v>10.1</v>
      </c>
      <c r="FO86" s="27">
        <v>78.3</v>
      </c>
      <c r="FP86" s="27">
        <v>78.3</v>
      </c>
      <c r="FQ86" s="27">
        <v>78.3</v>
      </c>
      <c r="FR86" s="27">
        <v>78.3</v>
      </c>
      <c r="FS86" s="27">
        <v>78.3</v>
      </c>
      <c r="FT86" s="27">
        <v>78.3</v>
      </c>
      <c r="FU86" s="27">
        <v>78.3</v>
      </c>
      <c r="FV86" s="27">
        <v>78.3</v>
      </c>
      <c r="FW86" s="27">
        <v>78.3</v>
      </c>
      <c r="FX86" s="129">
        <v>10.1</v>
      </c>
      <c r="FZ86" s="27">
        <v>78.3</v>
      </c>
      <c r="GA86" s="27">
        <v>78.3</v>
      </c>
      <c r="GB86" s="27">
        <v>78.3</v>
      </c>
      <c r="GC86" s="27">
        <v>78.3</v>
      </c>
      <c r="GD86" s="27">
        <v>78.3</v>
      </c>
      <c r="GE86" s="27">
        <v>78.3</v>
      </c>
      <c r="GF86" s="27">
        <v>78.3</v>
      </c>
      <c r="GG86" s="27">
        <v>78.3</v>
      </c>
      <c r="GH86" s="27">
        <v>78.3</v>
      </c>
      <c r="GI86" s="129">
        <v>10.1</v>
      </c>
      <c r="GJ86" s="27"/>
      <c r="GK86" s="27">
        <v>18.8</v>
      </c>
      <c r="GL86" s="27">
        <v>18.8</v>
      </c>
      <c r="GM86" s="27">
        <v>18.8</v>
      </c>
      <c r="GN86" s="27">
        <v>18.8</v>
      </c>
      <c r="GO86" s="27">
        <v>18.8</v>
      </c>
      <c r="GP86" s="27">
        <v>18.8</v>
      </c>
      <c r="GQ86" s="27">
        <v>18.8</v>
      </c>
      <c r="GR86" s="27">
        <v>18.8</v>
      </c>
      <c r="GS86" s="27">
        <v>18.8</v>
      </c>
      <c r="GT86" s="129">
        <v>10.1</v>
      </c>
      <c r="GV86" s="27">
        <v>22.8</v>
      </c>
      <c r="GW86" s="27">
        <v>22.8</v>
      </c>
      <c r="GX86" s="27">
        <v>22.8</v>
      </c>
      <c r="GY86" s="27">
        <v>22.8</v>
      </c>
      <c r="GZ86" s="27">
        <v>22.8</v>
      </c>
      <c r="HA86" s="27">
        <v>22.8</v>
      </c>
      <c r="HB86" s="27">
        <v>22.8</v>
      </c>
      <c r="HC86" s="27">
        <v>22.8</v>
      </c>
      <c r="HD86" s="27">
        <v>22.8</v>
      </c>
      <c r="HE86" s="129">
        <v>10.1</v>
      </c>
      <c r="HG86" s="27">
        <v>30.7</v>
      </c>
      <c r="HH86" s="27">
        <v>30.7</v>
      </c>
      <c r="HI86" s="27">
        <v>30.7</v>
      </c>
      <c r="HJ86" s="27">
        <v>30.7</v>
      </c>
      <c r="HK86" s="27">
        <v>30.7</v>
      </c>
      <c r="HL86" s="27">
        <v>30.7</v>
      </c>
      <c r="HM86" s="27">
        <v>30.7</v>
      </c>
      <c r="HN86" s="27">
        <v>30.7</v>
      </c>
      <c r="HO86" s="27">
        <v>30.7</v>
      </c>
      <c r="HP86" s="129">
        <v>10.1</v>
      </c>
      <c r="HR86" s="27">
        <v>30.7</v>
      </c>
      <c r="HS86" s="27">
        <v>30.7</v>
      </c>
      <c r="HT86" s="27">
        <v>30.7</v>
      </c>
      <c r="HU86" s="27">
        <v>30.7</v>
      </c>
      <c r="HV86" s="27">
        <v>30.7</v>
      </c>
      <c r="HW86" s="27">
        <v>30.7</v>
      </c>
      <c r="HX86" s="27">
        <v>30.7</v>
      </c>
      <c r="HY86" s="27">
        <v>30.7</v>
      </c>
      <c r="HZ86" s="27">
        <v>30.7</v>
      </c>
      <c r="IA86" s="129">
        <v>10.1</v>
      </c>
    </row>
    <row r="87" spans="15:235" ht="19.899999999999999" customHeight="1">
      <c r="O87" s="129">
        <v>28.6</v>
      </c>
      <c r="P87" s="129">
        <v>28.6</v>
      </c>
      <c r="Q87" s="129">
        <v>28.6</v>
      </c>
      <c r="R87" s="129">
        <v>28.6</v>
      </c>
      <c r="S87" s="129">
        <v>28.6</v>
      </c>
      <c r="T87" s="129">
        <v>28.6</v>
      </c>
      <c r="U87" s="129">
        <v>28.6</v>
      </c>
      <c r="V87" s="129">
        <v>28.6</v>
      </c>
      <c r="W87" s="129">
        <v>28.6</v>
      </c>
      <c r="X87" s="129">
        <v>8.2000000000000099</v>
      </c>
      <c r="Y87" s="27"/>
      <c r="Z87" s="129">
        <v>49.8</v>
      </c>
      <c r="AA87" s="129">
        <v>49.8</v>
      </c>
      <c r="AB87" s="129">
        <v>49.8</v>
      </c>
      <c r="AC87" s="129">
        <v>49.8</v>
      </c>
      <c r="AD87" s="129">
        <v>49.8</v>
      </c>
      <c r="AE87" s="129">
        <v>49.8</v>
      </c>
      <c r="AF87" s="129">
        <v>49.8</v>
      </c>
      <c r="AG87" s="129">
        <v>49.8</v>
      </c>
      <c r="AH87" s="129">
        <v>49.8</v>
      </c>
      <c r="AI87" s="129">
        <v>8.2000000000000099</v>
      </c>
      <c r="AK87" s="129">
        <v>59.599999999999994</v>
      </c>
      <c r="AL87" s="129">
        <v>59.599999999999994</v>
      </c>
      <c r="AM87" s="129">
        <v>59.599999999999994</v>
      </c>
      <c r="AN87" s="129">
        <v>59.599999999999994</v>
      </c>
      <c r="AO87" s="129">
        <v>59.599999999999994</v>
      </c>
      <c r="AP87" s="129">
        <v>59.599999999999994</v>
      </c>
      <c r="AQ87" s="129">
        <v>59.599999999999994</v>
      </c>
      <c r="AR87" s="129">
        <v>59.599999999999994</v>
      </c>
      <c r="AS87" s="129">
        <v>59.599999999999994</v>
      </c>
      <c r="AT87" s="129">
        <v>8.2000000000000099</v>
      </c>
      <c r="AV87" s="129">
        <v>61.599999999999994</v>
      </c>
      <c r="AW87" s="129">
        <v>61.599999999999994</v>
      </c>
      <c r="AX87" s="129">
        <v>61.599999999999994</v>
      </c>
      <c r="AY87" s="129">
        <v>61.599999999999994</v>
      </c>
      <c r="AZ87" s="129">
        <v>61.599999999999994</v>
      </c>
      <c r="BA87" s="129">
        <v>61.599999999999994</v>
      </c>
      <c r="BB87" s="129">
        <v>61.599999999999994</v>
      </c>
      <c r="BC87" s="129">
        <v>61.599999999999994</v>
      </c>
      <c r="BD87" s="129">
        <v>61.599999999999994</v>
      </c>
      <c r="BE87" s="129">
        <v>8.2000000000000099</v>
      </c>
      <c r="BG87" s="129">
        <v>96.800000000000011</v>
      </c>
      <c r="BH87" s="129">
        <v>96.800000000000011</v>
      </c>
      <c r="BI87" s="129">
        <v>96.800000000000011</v>
      </c>
      <c r="BJ87" s="129">
        <v>96.800000000000011</v>
      </c>
      <c r="BK87" s="129">
        <v>96.800000000000011</v>
      </c>
      <c r="BL87" s="129">
        <v>96.800000000000011</v>
      </c>
      <c r="BM87" s="129">
        <v>96.800000000000011</v>
      </c>
      <c r="BN87" s="129">
        <v>96.800000000000011</v>
      </c>
      <c r="BO87" s="129">
        <v>96.800000000000011</v>
      </c>
      <c r="BP87" s="129">
        <v>8.2000000000000099</v>
      </c>
      <c r="BR87" s="129">
        <v>96.800000000000011</v>
      </c>
      <c r="BS87" s="129">
        <v>96.800000000000011</v>
      </c>
      <c r="BT87" s="129">
        <v>96.800000000000011</v>
      </c>
      <c r="BU87" s="129">
        <v>96.800000000000011</v>
      </c>
      <c r="BV87" s="129">
        <v>96.800000000000011</v>
      </c>
      <c r="BW87" s="129">
        <v>96.800000000000011</v>
      </c>
      <c r="BX87" s="129">
        <v>96.800000000000011</v>
      </c>
      <c r="BY87" s="129">
        <v>96.800000000000011</v>
      </c>
      <c r="BZ87" s="129">
        <v>96.800000000000011</v>
      </c>
      <c r="CA87" s="129">
        <v>8.2000000000000099</v>
      </c>
      <c r="CC87" s="129">
        <v>23.4</v>
      </c>
      <c r="CD87" s="129">
        <v>23.4</v>
      </c>
      <c r="CE87" s="129">
        <v>23.4</v>
      </c>
      <c r="CF87" s="129">
        <v>23.4</v>
      </c>
      <c r="CG87" s="129">
        <v>23.4</v>
      </c>
      <c r="CH87" s="129">
        <v>23.4</v>
      </c>
      <c r="CI87" s="129">
        <v>23.4</v>
      </c>
      <c r="CJ87" s="129">
        <v>23.4</v>
      </c>
      <c r="CK87" s="129">
        <v>23.4</v>
      </c>
      <c r="CL87" s="129">
        <v>8.2000000000000099</v>
      </c>
      <c r="CN87" s="129">
        <v>27.4</v>
      </c>
      <c r="CO87" s="129">
        <v>27.4</v>
      </c>
      <c r="CP87" s="129">
        <v>27.4</v>
      </c>
      <c r="CQ87" s="129">
        <v>27.4</v>
      </c>
      <c r="CR87" s="129">
        <v>27.4</v>
      </c>
      <c r="CS87" s="129">
        <v>27.4</v>
      </c>
      <c r="CT87" s="129">
        <v>27.4</v>
      </c>
      <c r="CU87" s="129">
        <v>27.4</v>
      </c>
      <c r="CV87" s="129">
        <v>27.4</v>
      </c>
      <c r="CW87" s="129">
        <v>8.2000000000000099</v>
      </c>
      <c r="CY87" s="129">
        <v>38.200000000000003</v>
      </c>
      <c r="CZ87" s="129">
        <v>38.200000000000003</v>
      </c>
      <c r="DA87" s="129">
        <v>38.200000000000003</v>
      </c>
      <c r="DB87" s="129">
        <v>38.200000000000003</v>
      </c>
      <c r="DC87" s="129">
        <v>38.200000000000003</v>
      </c>
      <c r="DD87" s="129">
        <v>38.200000000000003</v>
      </c>
      <c r="DE87" s="129">
        <v>38.200000000000003</v>
      </c>
      <c r="DF87" s="129">
        <v>38.200000000000003</v>
      </c>
      <c r="DG87" s="129">
        <v>38.200000000000003</v>
      </c>
      <c r="DH87" s="129">
        <v>8.2000000000000099</v>
      </c>
      <c r="DJ87" s="129">
        <v>38.200000000000003</v>
      </c>
      <c r="DK87" s="129">
        <v>38.200000000000003</v>
      </c>
      <c r="DL87" s="129">
        <v>38.200000000000003</v>
      </c>
      <c r="DM87" s="129">
        <v>38.200000000000003</v>
      </c>
      <c r="DN87" s="129">
        <v>38.200000000000003</v>
      </c>
      <c r="DO87" s="129">
        <v>38.200000000000003</v>
      </c>
      <c r="DP87" s="129">
        <v>38.200000000000003</v>
      </c>
      <c r="DQ87" s="129">
        <v>38.200000000000003</v>
      </c>
      <c r="DR87" s="129">
        <v>38.200000000000003</v>
      </c>
      <c r="DS87" s="129">
        <v>8.2000000000000099</v>
      </c>
      <c r="DW87" s="27">
        <v>23.6</v>
      </c>
      <c r="DX87" s="27">
        <v>23.6</v>
      </c>
      <c r="DY87" s="27">
        <v>23.6</v>
      </c>
      <c r="DZ87" s="27">
        <v>23.6</v>
      </c>
      <c r="EA87" s="27">
        <v>23.6</v>
      </c>
      <c r="EB87" s="27">
        <v>23.6</v>
      </c>
      <c r="EC87" s="27">
        <v>23.6</v>
      </c>
      <c r="ED87" s="27">
        <v>23.6</v>
      </c>
      <c r="EE87" s="27">
        <v>23.6</v>
      </c>
      <c r="EF87" s="129">
        <v>10.199999999999999</v>
      </c>
      <c r="EH87" s="27">
        <v>40.200000000000003</v>
      </c>
      <c r="EI87" s="27">
        <v>40.200000000000003</v>
      </c>
      <c r="EJ87" s="27">
        <v>40.200000000000003</v>
      </c>
      <c r="EK87" s="27">
        <v>40.200000000000003</v>
      </c>
      <c r="EL87" s="27">
        <v>40.200000000000003</v>
      </c>
      <c r="EM87" s="27">
        <v>40.200000000000003</v>
      </c>
      <c r="EN87" s="27">
        <v>40.200000000000003</v>
      </c>
      <c r="EO87" s="27">
        <v>40.200000000000003</v>
      </c>
      <c r="EP87" s="27">
        <v>40.200000000000003</v>
      </c>
      <c r="EQ87" s="129">
        <v>10.199999999999999</v>
      </c>
      <c r="ES87" s="27">
        <v>48</v>
      </c>
      <c r="ET87" s="27">
        <v>48</v>
      </c>
      <c r="EU87" s="27">
        <v>48</v>
      </c>
      <c r="EV87" s="27">
        <v>48</v>
      </c>
      <c r="EW87" s="27">
        <v>48</v>
      </c>
      <c r="EX87" s="27">
        <v>48</v>
      </c>
      <c r="EY87" s="27">
        <v>48</v>
      </c>
      <c r="EZ87" s="27">
        <v>48</v>
      </c>
      <c r="FA87" s="27">
        <v>48</v>
      </c>
      <c r="FB87" s="129">
        <v>10.199999999999999</v>
      </c>
      <c r="FD87" s="27">
        <v>50</v>
      </c>
      <c r="FE87" s="27">
        <v>50</v>
      </c>
      <c r="FF87" s="27">
        <v>50</v>
      </c>
      <c r="FG87" s="27">
        <v>50</v>
      </c>
      <c r="FH87" s="27">
        <v>50</v>
      </c>
      <c r="FI87" s="27">
        <v>50</v>
      </c>
      <c r="FJ87" s="27">
        <v>50</v>
      </c>
      <c r="FK87" s="27">
        <v>50</v>
      </c>
      <c r="FL87" s="27">
        <v>50</v>
      </c>
      <c r="FM87" s="129">
        <v>10.199999999999999</v>
      </c>
      <c r="FO87" s="27">
        <v>77.599999999999994</v>
      </c>
      <c r="FP87" s="27">
        <v>77.599999999999994</v>
      </c>
      <c r="FQ87" s="27">
        <v>77.599999999999994</v>
      </c>
      <c r="FR87" s="27">
        <v>77.599999999999994</v>
      </c>
      <c r="FS87" s="27">
        <v>77.599999999999994</v>
      </c>
      <c r="FT87" s="27">
        <v>77.599999999999994</v>
      </c>
      <c r="FU87" s="27">
        <v>77.599999999999994</v>
      </c>
      <c r="FV87" s="27">
        <v>77.599999999999994</v>
      </c>
      <c r="FW87" s="27">
        <v>77.599999999999994</v>
      </c>
      <c r="FX87" s="129">
        <v>10.199999999999999</v>
      </c>
      <c r="FZ87" s="27">
        <v>77.599999999999994</v>
      </c>
      <c r="GA87" s="27">
        <v>77.599999999999994</v>
      </c>
      <c r="GB87" s="27">
        <v>77.599999999999994</v>
      </c>
      <c r="GC87" s="27">
        <v>77.599999999999994</v>
      </c>
      <c r="GD87" s="27">
        <v>77.599999999999994</v>
      </c>
      <c r="GE87" s="27">
        <v>77.599999999999994</v>
      </c>
      <c r="GF87" s="27">
        <v>77.599999999999994</v>
      </c>
      <c r="GG87" s="27">
        <v>77.599999999999994</v>
      </c>
      <c r="GH87" s="27">
        <v>77.599999999999994</v>
      </c>
      <c r="GI87" s="129">
        <v>10.199999999999999</v>
      </c>
      <c r="GJ87" s="27"/>
      <c r="GK87" s="27">
        <v>18.600000000000001</v>
      </c>
      <c r="GL87" s="27">
        <v>18.600000000000001</v>
      </c>
      <c r="GM87" s="27">
        <v>18.600000000000001</v>
      </c>
      <c r="GN87" s="27">
        <v>18.600000000000001</v>
      </c>
      <c r="GO87" s="27">
        <v>18.600000000000001</v>
      </c>
      <c r="GP87" s="27">
        <v>18.600000000000001</v>
      </c>
      <c r="GQ87" s="27">
        <v>18.600000000000001</v>
      </c>
      <c r="GR87" s="27">
        <v>18.600000000000001</v>
      </c>
      <c r="GS87" s="27">
        <v>18.600000000000001</v>
      </c>
      <c r="GT87" s="129">
        <v>10.199999999999999</v>
      </c>
      <c r="GV87" s="27">
        <v>22.6</v>
      </c>
      <c r="GW87" s="27">
        <v>22.6</v>
      </c>
      <c r="GX87" s="27">
        <v>22.6</v>
      </c>
      <c r="GY87" s="27">
        <v>22.6</v>
      </c>
      <c r="GZ87" s="27">
        <v>22.6</v>
      </c>
      <c r="HA87" s="27">
        <v>22.6</v>
      </c>
      <c r="HB87" s="27">
        <v>22.6</v>
      </c>
      <c r="HC87" s="27">
        <v>22.6</v>
      </c>
      <c r="HD87" s="27">
        <v>22.6</v>
      </c>
      <c r="HE87" s="129">
        <v>10.199999999999999</v>
      </c>
      <c r="HG87" s="27">
        <v>30.4</v>
      </c>
      <c r="HH87" s="27">
        <v>30.4</v>
      </c>
      <c r="HI87" s="27">
        <v>30.4</v>
      </c>
      <c r="HJ87" s="27">
        <v>30.4</v>
      </c>
      <c r="HK87" s="27">
        <v>30.4</v>
      </c>
      <c r="HL87" s="27">
        <v>30.4</v>
      </c>
      <c r="HM87" s="27">
        <v>30.4</v>
      </c>
      <c r="HN87" s="27">
        <v>30.4</v>
      </c>
      <c r="HO87" s="27">
        <v>30.4</v>
      </c>
      <c r="HP87" s="129">
        <v>10.199999999999999</v>
      </c>
      <c r="HR87" s="27">
        <v>30.4</v>
      </c>
      <c r="HS87" s="27">
        <v>30.4</v>
      </c>
      <c r="HT87" s="27">
        <v>30.4</v>
      </c>
      <c r="HU87" s="27">
        <v>30.4</v>
      </c>
      <c r="HV87" s="27">
        <v>30.4</v>
      </c>
      <c r="HW87" s="27">
        <v>30.4</v>
      </c>
      <c r="HX87" s="27">
        <v>30.4</v>
      </c>
      <c r="HY87" s="27">
        <v>30.4</v>
      </c>
      <c r="HZ87" s="27">
        <v>30.4</v>
      </c>
      <c r="IA87" s="129">
        <v>10.199999999999999</v>
      </c>
    </row>
    <row r="88" spans="15:235" ht="19.899999999999999" customHeight="1">
      <c r="O88" s="129">
        <v>27.900000000000002</v>
      </c>
      <c r="P88" s="129">
        <v>27.900000000000002</v>
      </c>
      <c r="Q88" s="129">
        <v>27.900000000000002</v>
      </c>
      <c r="R88" s="129">
        <v>27.900000000000002</v>
      </c>
      <c r="S88" s="129">
        <v>27.900000000000002</v>
      </c>
      <c r="T88" s="129">
        <v>27.900000000000002</v>
      </c>
      <c r="U88" s="129">
        <v>27.900000000000002</v>
      </c>
      <c r="V88" s="129">
        <v>27.900000000000002</v>
      </c>
      <c r="W88" s="129">
        <v>27.900000000000002</v>
      </c>
      <c r="X88" s="129">
        <v>8.3000000000000096</v>
      </c>
      <c r="Y88" s="27"/>
      <c r="Z88" s="129">
        <v>49.199999999999996</v>
      </c>
      <c r="AA88" s="129">
        <v>49.199999999999996</v>
      </c>
      <c r="AB88" s="129">
        <v>49.199999999999996</v>
      </c>
      <c r="AC88" s="129">
        <v>49.199999999999996</v>
      </c>
      <c r="AD88" s="129">
        <v>49.199999999999996</v>
      </c>
      <c r="AE88" s="129">
        <v>49.199999999999996</v>
      </c>
      <c r="AF88" s="129">
        <v>49.199999999999996</v>
      </c>
      <c r="AG88" s="129">
        <v>49.199999999999996</v>
      </c>
      <c r="AH88" s="129">
        <v>49.199999999999996</v>
      </c>
      <c r="AI88" s="129">
        <v>8.3000000000000096</v>
      </c>
      <c r="AK88" s="129">
        <v>58.899999999999991</v>
      </c>
      <c r="AL88" s="129">
        <v>58.899999999999991</v>
      </c>
      <c r="AM88" s="129">
        <v>58.899999999999991</v>
      </c>
      <c r="AN88" s="129">
        <v>58.899999999999991</v>
      </c>
      <c r="AO88" s="129">
        <v>58.899999999999991</v>
      </c>
      <c r="AP88" s="129">
        <v>58.899999999999991</v>
      </c>
      <c r="AQ88" s="129">
        <v>58.899999999999991</v>
      </c>
      <c r="AR88" s="129">
        <v>58.899999999999991</v>
      </c>
      <c r="AS88" s="129">
        <v>58.899999999999991</v>
      </c>
      <c r="AT88" s="129">
        <v>8.3000000000000096</v>
      </c>
      <c r="AV88" s="129">
        <v>60.899999999999991</v>
      </c>
      <c r="AW88" s="129">
        <v>60.899999999999991</v>
      </c>
      <c r="AX88" s="129">
        <v>60.899999999999991</v>
      </c>
      <c r="AY88" s="129">
        <v>60.899999999999991</v>
      </c>
      <c r="AZ88" s="129">
        <v>60.899999999999991</v>
      </c>
      <c r="BA88" s="129">
        <v>60.899999999999991</v>
      </c>
      <c r="BB88" s="129">
        <v>60.899999999999991</v>
      </c>
      <c r="BC88" s="129">
        <v>60.899999999999991</v>
      </c>
      <c r="BD88" s="129">
        <v>60.899999999999991</v>
      </c>
      <c r="BE88" s="129">
        <v>8.3000000000000096</v>
      </c>
      <c r="BG88" s="129">
        <v>95.700000000000017</v>
      </c>
      <c r="BH88" s="129">
        <v>95.700000000000017</v>
      </c>
      <c r="BI88" s="129">
        <v>95.700000000000017</v>
      </c>
      <c r="BJ88" s="129">
        <v>95.700000000000017</v>
      </c>
      <c r="BK88" s="129">
        <v>95.700000000000017</v>
      </c>
      <c r="BL88" s="129">
        <v>95.700000000000017</v>
      </c>
      <c r="BM88" s="129">
        <v>95.700000000000017</v>
      </c>
      <c r="BN88" s="129">
        <v>95.700000000000017</v>
      </c>
      <c r="BO88" s="129">
        <v>95.700000000000017</v>
      </c>
      <c r="BP88" s="129">
        <v>8.3000000000000096</v>
      </c>
      <c r="BR88" s="129">
        <v>95.700000000000017</v>
      </c>
      <c r="BS88" s="129">
        <v>95.700000000000017</v>
      </c>
      <c r="BT88" s="129">
        <v>95.700000000000017</v>
      </c>
      <c r="BU88" s="129">
        <v>95.700000000000017</v>
      </c>
      <c r="BV88" s="129">
        <v>95.700000000000017</v>
      </c>
      <c r="BW88" s="129">
        <v>95.700000000000017</v>
      </c>
      <c r="BX88" s="129">
        <v>95.700000000000017</v>
      </c>
      <c r="BY88" s="129">
        <v>95.700000000000017</v>
      </c>
      <c r="BZ88" s="129">
        <v>95.700000000000017</v>
      </c>
      <c r="CA88" s="129">
        <v>8.3000000000000096</v>
      </c>
      <c r="CC88" s="129">
        <v>23.099999999999998</v>
      </c>
      <c r="CD88" s="129">
        <v>23.099999999999998</v>
      </c>
      <c r="CE88" s="129">
        <v>23.099999999999998</v>
      </c>
      <c r="CF88" s="129">
        <v>23.099999999999998</v>
      </c>
      <c r="CG88" s="129">
        <v>23.099999999999998</v>
      </c>
      <c r="CH88" s="129">
        <v>23.099999999999998</v>
      </c>
      <c r="CI88" s="129">
        <v>23.099999999999998</v>
      </c>
      <c r="CJ88" s="129">
        <v>23.099999999999998</v>
      </c>
      <c r="CK88" s="129">
        <v>23.099999999999998</v>
      </c>
      <c r="CL88" s="129">
        <v>8.3000000000000096</v>
      </c>
      <c r="CN88" s="129">
        <v>27.099999999999998</v>
      </c>
      <c r="CO88" s="129">
        <v>27.099999999999998</v>
      </c>
      <c r="CP88" s="129">
        <v>27.099999999999998</v>
      </c>
      <c r="CQ88" s="129">
        <v>27.099999999999998</v>
      </c>
      <c r="CR88" s="129">
        <v>27.099999999999998</v>
      </c>
      <c r="CS88" s="129">
        <v>27.099999999999998</v>
      </c>
      <c r="CT88" s="129">
        <v>27.099999999999998</v>
      </c>
      <c r="CU88" s="129">
        <v>27.099999999999998</v>
      </c>
      <c r="CV88" s="129">
        <v>27.099999999999998</v>
      </c>
      <c r="CW88" s="129">
        <v>8.3000000000000096</v>
      </c>
      <c r="CY88" s="129">
        <v>37.800000000000004</v>
      </c>
      <c r="CZ88" s="129">
        <v>37.800000000000004</v>
      </c>
      <c r="DA88" s="129">
        <v>37.800000000000004</v>
      </c>
      <c r="DB88" s="129">
        <v>37.800000000000004</v>
      </c>
      <c r="DC88" s="129">
        <v>37.800000000000004</v>
      </c>
      <c r="DD88" s="129">
        <v>37.800000000000004</v>
      </c>
      <c r="DE88" s="129">
        <v>37.800000000000004</v>
      </c>
      <c r="DF88" s="129">
        <v>37.800000000000004</v>
      </c>
      <c r="DG88" s="129">
        <v>37.800000000000004</v>
      </c>
      <c r="DH88" s="129">
        <v>8.3000000000000096</v>
      </c>
      <c r="DJ88" s="129">
        <v>37.800000000000004</v>
      </c>
      <c r="DK88" s="129">
        <v>37.800000000000004</v>
      </c>
      <c r="DL88" s="129">
        <v>37.800000000000004</v>
      </c>
      <c r="DM88" s="129">
        <v>37.800000000000004</v>
      </c>
      <c r="DN88" s="129">
        <v>37.800000000000004</v>
      </c>
      <c r="DO88" s="129">
        <v>37.800000000000004</v>
      </c>
      <c r="DP88" s="129">
        <v>37.800000000000004</v>
      </c>
      <c r="DQ88" s="129">
        <v>37.800000000000004</v>
      </c>
      <c r="DR88" s="129">
        <v>37.800000000000004</v>
      </c>
      <c r="DS88" s="129">
        <v>8.3000000000000096</v>
      </c>
      <c r="DW88" s="27">
        <v>23.400000000000002</v>
      </c>
      <c r="DX88" s="27">
        <v>23.400000000000002</v>
      </c>
      <c r="DY88" s="27">
        <v>23.400000000000002</v>
      </c>
      <c r="DZ88" s="27">
        <v>23.400000000000002</v>
      </c>
      <c r="EA88" s="27">
        <v>23.400000000000002</v>
      </c>
      <c r="EB88" s="27">
        <v>23.400000000000002</v>
      </c>
      <c r="EC88" s="27">
        <v>23.400000000000002</v>
      </c>
      <c r="ED88" s="27">
        <v>23.400000000000002</v>
      </c>
      <c r="EE88" s="27">
        <v>23.400000000000002</v>
      </c>
      <c r="EF88" s="129">
        <v>10.3</v>
      </c>
      <c r="EH88" s="27">
        <v>39.800000000000004</v>
      </c>
      <c r="EI88" s="27">
        <v>39.800000000000004</v>
      </c>
      <c r="EJ88" s="27">
        <v>39.800000000000004</v>
      </c>
      <c r="EK88" s="27">
        <v>39.800000000000004</v>
      </c>
      <c r="EL88" s="27">
        <v>39.800000000000004</v>
      </c>
      <c r="EM88" s="27">
        <v>39.800000000000004</v>
      </c>
      <c r="EN88" s="27">
        <v>39.800000000000004</v>
      </c>
      <c r="EO88" s="27">
        <v>39.800000000000004</v>
      </c>
      <c r="EP88" s="27">
        <v>39.800000000000004</v>
      </c>
      <c r="EQ88" s="129">
        <v>10.3</v>
      </c>
      <c r="ES88" s="27">
        <v>47.5</v>
      </c>
      <c r="ET88" s="27">
        <v>47.5</v>
      </c>
      <c r="EU88" s="27">
        <v>47.5</v>
      </c>
      <c r="EV88" s="27">
        <v>47.5</v>
      </c>
      <c r="EW88" s="27">
        <v>47.5</v>
      </c>
      <c r="EX88" s="27">
        <v>47.5</v>
      </c>
      <c r="EY88" s="27">
        <v>47.5</v>
      </c>
      <c r="EZ88" s="27">
        <v>47.5</v>
      </c>
      <c r="FA88" s="27">
        <v>47.5</v>
      </c>
      <c r="FB88" s="129">
        <v>10.3</v>
      </c>
      <c r="FD88" s="27">
        <v>49.5</v>
      </c>
      <c r="FE88" s="27">
        <v>49.5</v>
      </c>
      <c r="FF88" s="27">
        <v>49.5</v>
      </c>
      <c r="FG88" s="27">
        <v>49.5</v>
      </c>
      <c r="FH88" s="27">
        <v>49.5</v>
      </c>
      <c r="FI88" s="27">
        <v>49.5</v>
      </c>
      <c r="FJ88" s="27">
        <v>49.5</v>
      </c>
      <c r="FK88" s="27">
        <v>49.5</v>
      </c>
      <c r="FL88" s="27">
        <v>49.5</v>
      </c>
      <c r="FM88" s="129">
        <v>10.3</v>
      </c>
      <c r="FO88" s="27">
        <v>76.899999999999991</v>
      </c>
      <c r="FP88" s="27">
        <v>76.899999999999991</v>
      </c>
      <c r="FQ88" s="27">
        <v>76.899999999999991</v>
      </c>
      <c r="FR88" s="27">
        <v>76.899999999999991</v>
      </c>
      <c r="FS88" s="27">
        <v>76.899999999999991</v>
      </c>
      <c r="FT88" s="27">
        <v>76.899999999999991</v>
      </c>
      <c r="FU88" s="27">
        <v>76.899999999999991</v>
      </c>
      <c r="FV88" s="27">
        <v>76.899999999999991</v>
      </c>
      <c r="FW88" s="27">
        <v>76.899999999999991</v>
      </c>
      <c r="FX88" s="129">
        <v>10.3</v>
      </c>
      <c r="FZ88" s="27">
        <v>76.899999999999991</v>
      </c>
      <c r="GA88" s="27">
        <v>76.899999999999991</v>
      </c>
      <c r="GB88" s="27">
        <v>76.899999999999991</v>
      </c>
      <c r="GC88" s="27">
        <v>76.899999999999991</v>
      </c>
      <c r="GD88" s="27">
        <v>76.899999999999991</v>
      </c>
      <c r="GE88" s="27">
        <v>76.899999999999991</v>
      </c>
      <c r="GF88" s="27">
        <v>76.899999999999991</v>
      </c>
      <c r="GG88" s="27">
        <v>76.899999999999991</v>
      </c>
      <c r="GH88" s="27">
        <v>76.899999999999991</v>
      </c>
      <c r="GI88" s="129">
        <v>10.3</v>
      </c>
      <c r="GJ88" s="27"/>
      <c r="GK88" s="27">
        <v>18.400000000000002</v>
      </c>
      <c r="GL88" s="27">
        <v>18.400000000000002</v>
      </c>
      <c r="GM88" s="27">
        <v>18.400000000000002</v>
      </c>
      <c r="GN88" s="27">
        <v>18.400000000000002</v>
      </c>
      <c r="GO88" s="27">
        <v>18.400000000000002</v>
      </c>
      <c r="GP88" s="27">
        <v>18.400000000000002</v>
      </c>
      <c r="GQ88" s="27">
        <v>18.400000000000002</v>
      </c>
      <c r="GR88" s="27">
        <v>18.400000000000002</v>
      </c>
      <c r="GS88" s="27">
        <v>18.400000000000002</v>
      </c>
      <c r="GT88" s="129">
        <v>10.3</v>
      </c>
      <c r="GV88" s="27">
        <v>22.400000000000002</v>
      </c>
      <c r="GW88" s="27">
        <v>22.400000000000002</v>
      </c>
      <c r="GX88" s="27">
        <v>22.400000000000002</v>
      </c>
      <c r="GY88" s="27">
        <v>22.400000000000002</v>
      </c>
      <c r="GZ88" s="27">
        <v>22.400000000000002</v>
      </c>
      <c r="HA88" s="27">
        <v>22.400000000000002</v>
      </c>
      <c r="HB88" s="27">
        <v>22.400000000000002</v>
      </c>
      <c r="HC88" s="27">
        <v>22.400000000000002</v>
      </c>
      <c r="HD88" s="27">
        <v>22.400000000000002</v>
      </c>
      <c r="HE88" s="129">
        <v>10.3</v>
      </c>
      <c r="HG88" s="27">
        <v>30.099999999999998</v>
      </c>
      <c r="HH88" s="27">
        <v>30.099999999999998</v>
      </c>
      <c r="HI88" s="27">
        <v>30.099999999999998</v>
      </c>
      <c r="HJ88" s="27">
        <v>30.099999999999998</v>
      </c>
      <c r="HK88" s="27">
        <v>30.099999999999998</v>
      </c>
      <c r="HL88" s="27">
        <v>30.099999999999998</v>
      </c>
      <c r="HM88" s="27">
        <v>30.099999999999998</v>
      </c>
      <c r="HN88" s="27">
        <v>30.099999999999998</v>
      </c>
      <c r="HO88" s="27">
        <v>30.099999999999998</v>
      </c>
      <c r="HP88" s="129">
        <v>10.3</v>
      </c>
      <c r="HR88" s="27">
        <v>30.099999999999998</v>
      </c>
      <c r="HS88" s="27">
        <v>30.099999999999998</v>
      </c>
      <c r="HT88" s="27">
        <v>30.099999999999998</v>
      </c>
      <c r="HU88" s="27">
        <v>30.099999999999998</v>
      </c>
      <c r="HV88" s="27">
        <v>30.099999999999998</v>
      </c>
      <c r="HW88" s="27">
        <v>30.099999999999998</v>
      </c>
      <c r="HX88" s="27">
        <v>30.099999999999998</v>
      </c>
      <c r="HY88" s="27">
        <v>30.099999999999998</v>
      </c>
      <c r="HZ88" s="27">
        <v>30.099999999999998</v>
      </c>
      <c r="IA88" s="129">
        <v>10.3</v>
      </c>
    </row>
    <row r="89" spans="15:235" ht="19.899999999999999" customHeight="1">
      <c r="O89" s="129">
        <v>27.200000000000003</v>
      </c>
      <c r="P89" s="129">
        <v>27.200000000000003</v>
      </c>
      <c r="Q89" s="129">
        <v>27.200000000000003</v>
      </c>
      <c r="R89" s="129">
        <v>27.200000000000003</v>
      </c>
      <c r="S89" s="129">
        <v>27.200000000000003</v>
      </c>
      <c r="T89" s="129">
        <v>27.200000000000003</v>
      </c>
      <c r="U89" s="129">
        <v>27.200000000000003</v>
      </c>
      <c r="V89" s="129">
        <v>27.200000000000003</v>
      </c>
      <c r="W89" s="129">
        <v>27.200000000000003</v>
      </c>
      <c r="X89" s="129">
        <v>8.4000000000000092</v>
      </c>
      <c r="Y89" s="27"/>
      <c r="Z89" s="129">
        <v>48.599999999999994</v>
      </c>
      <c r="AA89" s="129">
        <v>48.599999999999994</v>
      </c>
      <c r="AB89" s="129">
        <v>48.599999999999994</v>
      </c>
      <c r="AC89" s="129">
        <v>48.599999999999994</v>
      </c>
      <c r="AD89" s="129">
        <v>48.599999999999994</v>
      </c>
      <c r="AE89" s="129">
        <v>48.599999999999994</v>
      </c>
      <c r="AF89" s="129">
        <v>48.599999999999994</v>
      </c>
      <c r="AG89" s="129">
        <v>48.599999999999994</v>
      </c>
      <c r="AH89" s="129">
        <v>48.599999999999994</v>
      </c>
      <c r="AI89" s="129">
        <v>8.4000000000000092</v>
      </c>
      <c r="AK89" s="129">
        <v>58.199999999999989</v>
      </c>
      <c r="AL89" s="129">
        <v>58.199999999999989</v>
      </c>
      <c r="AM89" s="129">
        <v>58.199999999999989</v>
      </c>
      <c r="AN89" s="129">
        <v>58.199999999999989</v>
      </c>
      <c r="AO89" s="129">
        <v>58.199999999999989</v>
      </c>
      <c r="AP89" s="129">
        <v>58.199999999999989</v>
      </c>
      <c r="AQ89" s="129">
        <v>58.199999999999989</v>
      </c>
      <c r="AR89" s="129">
        <v>58.199999999999989</v>
      </c>
      <c r="AS89" s="129">
        <v>58.199999999999989</v>
      </c>
      <c r="AT89" s="129">
        <v>8.4000000000000092</v>
      </c>
      <c r="AV89" s="129">
        <v>60.199999999999989</v>
      </c>
      <c r="AW89" s="129">
        <v>60.199999999999989</v>
      </c>
      <c r="AX89" s="129">
        <v>60.199999999999989</v>
      </c>
      <c r="AY89" s="129">
        <v>60.199999999999989</v>
      </c>
      <c r="AZ89" s="129">
        <v>60.199999999999989</v>
      </c>
      <c r="BA89" s="129">
        <v>60.199999999999989</v>
      </c>
      <c r="BB89" s="129">
        <v>60.199999999999989</v>
      </c>
      <c r="BC89" s="129">
        <v>60.199999999999989</v>
      </c>
      <c r="BD89" s="129">
        <v>60.199999999999989</v>
      </c>
      <c r="BE89" s="129">
        <v>8.4000000000000092</v>
      </c>
      <c r="BG89" s="129">
        <v>94.600000000000023</v>
      </c>
      <c r="BH89" s="129">
        <v>94.600000000000023</v>
      </c>
      <c r="BI89" s="129">
        <v>94.600000000000023</v>
      </c>
      <c r="BJ89" s="129">
        <v>94.600000000000023</v>
      </c>
      <c r="BK89" s="129">
        <v>94.600000000000023</v>
      </c>
      <c r="BL89" s="129">
        <v>94.600000000000023</v>
      </c>
      <c r="BM89" s="129">
        <v>94.600000000000023</v>
      </c>
      <c r="BN89" s="129">
        <v>94.600000000000023</v>
      </c>
      <c r="BO89" s="129">
        <v>94.600000000000023</v>
      </c>
      <c r="BP89" s="129">
        <v>8.4000000000000092</v>
      </c>
      <c r="BR89" s="129">
        <v>94.600000000000023</v>
      </c>
      <c r="BS89" s="129">
        <v>94.600000000000023</v>
      </c>
      <c r="BT89" s="129">
        <v>94.600000000000023</v>
      </c>
      <c r="BU89" s="129">
        <v>94.600000000000023</v>
      </c>
      <c r="BV89" s="129">
        <v>94.600000000000023</v>
      </c>
      <c r="BW89" s="129">
        <v>94.600000000000023</v>
      </c>
      <c r="BX89" s="129">
        <v>94.600000000000023</v>
      </c>
      <c r="BY89" s="129">
        <v>94.600000000000023</v>
      </c>
      <c r="BZ89" s="129">
        <v>94.600000000000023</v>
      </c>
      <c r="CA89" s="129">
        <v>8.4000000000000092</v>
      </c>
      <c r="CC89" s="129">
        <v>22.799999999999997</v>
      </c>
      <c r="CD89" s="129">
        <v>22.799999999999997</v>
      </c>
      <c r="CE89" s="129">
        <v>22.799999999999997</v>
      </c>
      <c r="CF89" s="129">
        <v>22.799999999999997</v>
      </c>
      <c r="CG89" s="129">
        <v>22.799999999999997</v>
      </c>
      <c r="CH89" s="129">
        <v>22.799999999999997</v>
      </c>
      <c r="CI89" s="129">
        <v>22.799999999999997</v>
      </c>
      <c r="CJ89" s="129">
        <v>22.799999999999997</v>
      </c>
      <c r="CK89" s="129">
        <v>22.799999999999997</v>
      </c>
      <c r="CL89" s="129">
        <v>8.4000000000000092</v>
      </c>
      <c r="CN89" s="129">
        <v>26.799999999999997</v>
      </c>
      <c r="CO89" s="129">
        <v>26.799999999999997</v>
      </c>
      <c r="CP89" s="129">
        <v>26.799999999999997</v>
      </c>
      <c r="CQ89" s="129">
        <v>26.799999999999997</v>
      </c>
      <c r="CR89" s="129">
        <v>26.799999999999997</v>
      </c>
      <c r="CS89" s="129">
        <v>26.799999999999997</v>
      </c>
      <c r="CT89" s="129">
        <v>26.799999999999997</v>
      </c>
      <c r="CU89" s="129">
        <v>26.799999999999997</v>
      </c>
      <c r="CV89" s="129">
        <v>26.799999999999997</v>
      </c>
      <c r="CW89" s="129">
        <v>8.4000000000000092</v>
      </c>
      <c r="CY89" s="129">
        <v>37.400000000000006</v>
      </c>
      <c r="CZ89" s="129">
        <v>37.400000000000006</v>
      </c>
      <c r="DA89" s="129">
        <v>37.400000000000006</v>
      </c>
      <c r="DB89" s="129">
        <v>37.400000000000006</v>
      </c>
      <c r="DC89" s="129">
        <v>37.400000000000006</v>
      </c>
      <c r="DD89" s="129">
        <v>37.400000000000006</v>
      </c>
      <c r="DE89" s="129">
        <v>37.400000000000006</v>
      </c>
      <c r="DF89" s="129">
        <v>37.400000000000006</v>
      </c>
      <c r="DG89" s="129">
        <v>37.400000000000006</v>
      </c>
      <c r="DH89" s="129">
        <v>8.4000000000000092</v>
      </c>
      <c r="DJ89" s="129">
        <v>37.400000000000006</v>
      </c>
      <c r="DK89" s="129">
        <v>37.400000000000006</v>
      </c>
      <c r="DL89" s="129">
        <v>37.400000000000006</v>
      </c>
      <c r="DM89" s="129">
        <v>37.400000000000006</v>
      </c>
      <c r="DN89" s="129">
        <v>37.400000000000006</v>
      </c>
      <c r="DO89" s="129">
        <v>37.400000000000006</v>
      </c>
      <c r="DP89" s="129">
        <v>37.400000000000006</v>
      </c>
      <c r="DQ89" s="129">
        <v>37.400000000000006</v>
      </c>
      <c r="DR89" s="129">
        <v>37.400000000000006</v>
      </c>
      <c r="DS89" s="129">
        <v>8.4000000000000092</v>
      </c>
      <c r="DW89" s="27">
        <v>23.200000000000003</v>
      </c>
      <c r="DX89" s="27">
        <v>23.200000000000003</v>
      </c>
      <c r="DY89" s="27">
        <v>23.200000000000003</v>
      </c>
      <c r="DZ89" s="27">
        <v>23.200000000000003</v>
      </c>
      <c r="EA89" s="27">
        <v>23.200000000000003</v>
      </c>
      <c r="EB89" s="27">
        <v>23.200000000000003</v>
      </c>
      <c r="EC89" s="27">
        <v>23.200000000000003</v>
      </c>
      <c r="ED89" s="27">
        <v>23.200000000000003</v>
      </c>
      <c r="EE89" s="27">
        <v>23.200000000000003</v>
      </c>
      <c r="EF89" s="129">
        <v>10.4</v>
      </c>
      <c r="EH89" s="27">
        <v>39.400000000000006</v>
      </c>
      <c r="EI89" s="27">
        <v>39.400000000000006</v>
      </c>
      <c r="EJ89" s="27">
        <v>39.400000000000006</v>
      </c>
      <c r="EK89" s="27">
        <v>39.400000000000006</v>
      </c>
      <c r="EL89" s="27">
        <v>39.400000000000006</v>
      </c>
      <c r="EM89" s="27">
        <v>39.400000000000006</v>
      </c>
      <c r="EN89" s="27">
        <v>39.400000000000006</v>
      </c>
      <c r="EO89" s="27">
        <v>39.400000000000006</v>
      </c>
      <c r="EP89" s="27">
        <v>39.400000000000006</v>
      </c>
      <c r="EQ89" s="129">
        <v>10.4</v>
      </c>
      <c r="ES89" s="27">
        <v>47</v>
      </c>
      <c r="ET89" s="27">
        <v>47</v>
      </c>
      <c r="EU89" s="27">
        <v>47</v>
      </c>
      <c r="EV89" s="27">
        <v>47</v>
      </c>
      <c r="EW89" s="27">
        <v>47</v>
      </c>
      <c r="EX89" s="27">
        <v>47</v>
      </c>
      <c r="EY89" s="27">
        <v>47</v>
      </c>
      <c r="EZ89" s="27">
        <v>47</v>
      </c>
      <c r="FA89" s="27">
        <v>47</v>
      </c>
      <c r="FB89" s="129">
        <v>10.4</v>
      </c>
      <c r="FD89" s="27">
        <v>49</v>
      </c>
      <c r="FE89" s="27">
        <v>49</v>
      </c>
      <c r="FF89" s="27">
        <v>49</v>
      </c>
      <c r="FG89" s="27">
        <v>49</v>
      </c>
      <c r="FH89" s="27">
        <v>49</v>
      </c>
      <c r="FI89" s="27">
        <v>49</v>
      </c>
      <c r="FJ89" s="27">
        <v>49</v>
      </c>
      <c r="FK89" s="27">
        <v>49</v>
      </c>
      <c r="FL89" s="27">
        <v>49</v>
      </c>
      <c r="FM89" s="129">
        <v>10.4</v>
      </c>
      <c r="FO89" s="27">
        <v>76.199999999999989</v>
      </c>
      <c r="FP89" s="27">
        <v>76.199999999999989</v>
      </c>
      <c r="FQ89" s="27">
        <v>76.199999999999989</v>
      </c>
      <c r="FR89" s="27">
        <v>76.199999999999989</v>
      </c>
      <c r="FS89" s="27">
        <v>76.199999999999989</v>
      </c>
      <c r="FT89" s="27">
        <v>76.199999999999989</v>
      </c>
      <c r="FU89" s="27">
        <v>76.199999999999989</v>
      </c>
      <c r="FV89" s="27">
        <v>76.199999999999989</v>
      </c>
      <c r="FW89" s="27">
        <v>76.199999999999989</v>
      </c>
      <c r="FX89" s="129">
        <v>10.4</v>
      </c>
      <c r="FZ89" s="27">
        <v>76.199999999999989</v>
      </c>
      <c r="GA89" s="27">
        <v>76.199999999999989</v>
      </c>
      <c r="GB89" s="27">
        <v>76.199999999999989</v>
      </c>
      <c r="GC89" s="27">
        <v>76.199999999999989</v>
      </c>
      <c r="GD89" s="27">
        <v>76.199999999999989</v>
      </c>
      <c r="GE89" s="27">
        <v>76.199999999999989</v>
      </c>
      <c r="GF89" s="27">
        <v>76.199999999999989</v>
      </c>
      <c r="GG89" s="27">
        <v>76.199999999999989</v>
      </c>
      <c r="GH89" s="27">
        <v>76.199999999999989</v>
      </c>
      <c r="GI89" s="129">
        <v>10.4</v>
      </c>
      <c r="GJ89" s="27"/>
      <c r="GK89" s="27">
        <v>18.200000000000003</v>
      </c>
      <c r="GL89" s="27">
        <v>18.200000000000003</v>
      </c>
      <c r="GM89" s="27">
        <v>18.200000000000003</v>
      </c>
      <c r="GN89" s="27">
        <v>18.200000000000003</v>
      </c>
      <c r="GO89" s="27">
        <v>18.200000000000003</v>
      </c>
      <c r="GP89" s="27">
        <v>18.200000000000003</v>
      </c>
      <c r="GQ89" s="27">
        <v>18.200000000000003</v>
      </c>
      <c r="GR89" s="27">
        <v>18.200000000000003</v>
      </c>
      <c r="GS89" s="27">
        <v>18.200000000000003</v>
      </c>
      <c r="GT89" s="129">
        <v>10.4</v>
      </c>
      <c r="GV89" s="27">
        <v>22.200000000000003</v>
      </c>
      <c r="GW89" s="27">
        <v>22.200000000000003</v>
      </c>
      <c r="GX89" s="27">
        <v>22.200000000000003</v>
      </c>
      <c r="GY89" s="27">
        <v>22.200000000000003</v>
      </c>
      <c r="GZ89" s="27">
        <v>22.200000000000003</v>
      </c>
      <c r="HA89" s="27">
        <v>22.200000000000003</v>
      </c>
      <c r="HB89" s="27">
        <v>22.200000000000003</v>
      </c>
      <c r="HC89" s="27">
        <v>22.200000000000003</v>
      </c>
      <c r="HD89" s="27">
        <v>22.200000000000003</v>
      </c>
      <c r="HE89" s="129">
        <v>10.4</v>
      </c>
      <c r="HG89" s="27">
        <v>29.799999999999997</v>
      </c>
      <c r="HH89" s="27">
        <v>29.799999999999997</v>
      </c>
      <c r="HI89" s="27">
        <v>29.799999999999997</v>
      </c>
      <c r="HJ89" s="27">
        <v>29.799999999999997</v>
      </c>
      <c r="HK89" s="27">
        <v>29.799999999999997</v>
      </c>
      <c r="HL89" s="27">
        <v>29.799999999999997</v>
      </c>
      <c r="HM89" s="27">
        <v>29.799999999999997</v>
      </c>
      <c r="HN89" s="27">
        <v>29.799999999999997</v>
      </c>
      <c r="HO89" s="27">
        <v>29.799999999999997</v>
      </c>
      <c r="HP89" s="129">
        <v>10.4</v>
      </c>
      <c r="HR89" s="27">
        <v>29.799999999999997</v>
      </c>
      <c r="HS89" s="27">
        <v>29.799999999999997</v>
      </c>
      <c r="HT89" s="27">
        <v>29.799999999999997</v>
      </c>
      <c r="HU89" s="27">
        <v>29.799999999999997</v>
      </c>
      <c r="HV89" s="27">
        <v>29.799999999999997</v>
      </c>
      <c r="HW89" s="27">
        <v>29.799999999999997</v>
      </c>
      <c r="HX89" s="27">
        <v>29.799999999999997</v>
      </c>
      <c r="HY89" s="27">
        <v>29.799999999999997</v>
      </c>
      <c r="HZ89" s="27">
        <v>29.799999999999997</v>
      </c>
      <c r="IA89" s="129">
        <v>10.4</v>
      </c>
    </row>
    <row r="90" spans="15:235" ht="19.899999999999999" customHeight="1">
      <c r="O90" s="129">
        <v>26.500000000000004</v>
      </c>
      <c r="P90" s="129">
        <v>26.500000000000004</v>
      </c>
      <c r="Q90" s="129">
        <v>26.500000000000004</v>
      </c>
      <c r="R90" s="129">
        <v>26.500000000000004</v>
      </c>
      <c r="S90" s="129">
        <v>26.500000000000004</v>
      </c>
      <c r="T90" s="129">
        <v>26.500000000000004</v>
      </c>
      <c r="U90" s="129">
        <v>26.500000000000004</v>
      </c>
      <c r="V90" s="129">
        <v>26.500000000000004</v>
      </c>
      <c r="W90" s="129">
        <v>26.500000000000004</v>
      </c>
      <c r="X90" s="129">
        <v>8.5000000000000107</v>
      </c>
      <c r="Y90" s="27"/>
      <c r="Z90" s="129">
        <v>47.999999999999993</v>
      </c>
      <c r="AA90" s="129">
        <v>47.999999999999993</v>
      </c>
      <c r="AB90" s="129">
        <v>47.999999999999993</v>
      </c>
      <c r="AC90" s="129">
        <v>47.999999999999993</v>
      </c>
      <c r="AD90" s="129">
        <v>47.999999999999993</v>
      </c>
      <c r="AE90" s="129">
        <v>47.999999999999993</v>
      </c>
      <c r="AF90" s="129">
        <v>47.999999999999993</v>
      </c>
      <c r="AG90" s="129">
        <v>47.999999999999993</v>
      </c>
      <c r="AH90" s="129">
        <v>47.999999999999993</v>
      </c>
      <c r="AI90" s="129">
        <v>8.5000000000000107</v>
      </c>
      <c r="AK90" s="129">
        <v>57.499999999999986</v>
      </c>
      <c r="AL90" s="129">
        <v>57.499999999999986</v>
      </c>
      <c r="AM90" s="129">
        <v>57.499999999999986</v>
      </c>
      <c r="AN90" s="129">
        <v>57.499999999999986</v>
      </c>
      <c r="AO90" s="129">
        <v>57.499999999999986</v>
      </c>
      <c r="AP90" s="129">
        <v>57.499999999999986</v>
      </c>
      <c r="AQ90" s="129">
        <v>57.499999999999986</v>
      </c>
      <c r="AR90" s="129">
        <v>57.499999999999986</v>
      </c>
      <c r="AS90" s="129">
        <v>57.499999999999986</v>
      </c>
      <c r="AT90" s="129">
        <v>8.5000000000000107</v>
      </c>
      <c r="AV90" s="129">
        <v>59.499999999999986</v>
      </c>
      <c r="AW90" s="129">
        <v>59.499999999999986</v>
      </c>
      <c r="AX90" s="129">
        <v>59.499999999999986</v>
      </c>
      <c r="AY90" s="129">
        <v>59.499999999999986</v>
      </c>
      <c r="AZ90" s="129">
        <v>59.499999999999986</v>
      </c>
      <c r="BA90" s="129">
        <v>59.499999999999986</v>
      </c>
      <c r="BB90" s="129">
        <v>59.499999999999986</v>
      </c>
      <c r="BC90" s="129">
        <v>59.499999999999986</v>
      </c>
      <c r="BD90" s="129">
        <v>59.499999999999986</v>
      </c>
      <c r="BE90" s="129">
        <v>8.5000000000000107</v>
      </c>
      <c r="BG90" s="129">
        <v>93.500000000000028</v>
      </c>
      <c r="BH90" s="129">
        <v>93.500000000000028</v>
      </c>
      <c r="BI90" s="129">
        <v>93.500000000000028</v>
      </c>
      <c r="BJ90" s="129">
        <v>93.500000000000028</v>
      </c>
      <c r="BK90" s="129">
        <v>93.500000000000028</v>
      </c>
      <c r="BL90" s="129">
        <v>93.500000000000028</v>
      </c>
      <c r="BM90" s="129">
        <v>93.500000000000028</v>
      </c>
      <c r="BN90" s="129">
        <v>93.500000000000028</v>
      </c>
      <c r="BO90" s="129">
        <v>93.500000000000028</v>
      </c>
      <c r="BP90" s="129">
        <v>8.5000000000000107</v>
      </c>
      <c r="BR90" s="129">
        <v>93.500000000000028</v>
      </c>
      <c r="BS90" s="129">
        <v>93.500000000000028</v>
      </c>
      <c r="BT90" s="129">
        <v>93.500000000000028</v>
      </c>
      <c r="BU90" s="129">
        <v>93.500000000000028</v>
      </c>
      <c r="BV90" s="129">
        <v>93.500000000000028</v>
      </c>
      <c r="BW90" s="129">
        <v>93.500000000000028</v>
      </c>
      <c r="BX90" s="129">
        <v>93.500000000000028</v>
      </c>
      <c r="BY90" s="129">
        <v>93.500000000000028</v>
      </c>
      <c r="BZ90" s="129">
        <v>93.500000000000028</v>
      </c>
      <c r="CA90" s="129">
        <v>8.5000000000000107</v>
      </c>
      <c r="CC90" s="129">
        <v>22.499999999999996</v>
      </c>
      <c r="CD90" s="129">
        <v>22.499999999999996</v>
      </c>
      <c r="CE90" s="129">
        <v>22.499999999999996</v>
      </c>
      <c r="CF90" s="129">
        <v>22.499999999999996</v>
      </c>
      <c r="CG90" s="129">
        <v>22.499999999999996</v>
      </c>
      <c r="CH90" s="129">
        <v>22.499999999999996</v>
      </c>
      <c r="CI90" s="129">
        <v>22.499999999999996</v>
      </c>
      <c r="CJ90" s="129">
        <v>22.499999999999996</v>
      </c>
      <c r="CK90" s="129">
        <v>22.499999999999996</v>
      </c>
      <c r="CL90" s="129">
        <v>8.5000000000000107</v>
      </c>
      <c r="CN90" s="129">
        <v>26.499999999999996</v>
      </c>
      <c r="CO90" s="129">
        <v>26.499999999999996</v>
      </c>
      <c r="CP90" s="129">
        <v>26.499999999999996</v>
      </c>
      <c r="CQ90" s="129">
        <v>26.499999999999996</v>
      </c>
      <c r="CR90" s="129">
        <v>26.499999999999996</v>
      </c>
      <c r="CS90" s="129">
        <v>26.499999999999996</v>
      </c>
      <c r="CT90" s="129">
        <v>26.499999999999996</v>
      </c>
      <c r="CU90" s="129">
        <v>26.499999999999996</v>
      </c>
      <c r="CV90" s="129">
        <v>26.499999999999996</v>
      </c>
      <c r="CW90" s="129">
        <v>8.5000000000000107</v>
      </c>
      <c r="CY90" s="129">
        <v>37.000000000000007</v>
      </c>
      <c r="CZ90" s="129">
        <v>37.000000000000007</v>
      </c>
      <c r="DA90" s="129">
        <v>37.000000000000007</v>
      </c>
      <c r="DB90" s="129">
        <v>37.000000000000007</v>
      </c>
      <c r="DC90" s="129">
        <v>37.000000000000007</v>
      </c>
      <c r="DD90" s="129">
        <v>37.000000000000007</v>
      </c>
      <c r="DE90" s="129">
        <v>37.000000000000007</v>
      </c>
      <c r="DF90" s="129">
        <v>37.000000000000007</v>
      </c>
      <c r="DG90" s="129">
        <v>37.000000000000007</v>
      </c>
      <c r="DH90" s="129">
        <v>8.5000000000000107</v>
      </c>
      <c r="DJ90" s="129">
        <v>37.000000000000007</v>
      </c>
      <c r="DK90" s="129">
        <v>37.000000000000007</v>
      </c>
      <c r="DL90" s="129">
        <v>37.000000000000007</v>
      </c>
      <c r="DM90" s="129">
        <v>37.000000000000007</v>
      </c>
      <c r="DN90" s="129">
        <v>37.000000000000007</v>
      </c>
      <c r="DO90" s="129">
        <v>37.000000000000007</v>
      </c>
      <c r="DP90" s="129">
        <v>37.000000000000007</v>
      </c>
      <c r="DQ90" s="129">
        <v>37.000000000000007</v>
      </c>
      <c r="DR90" s="129">
        <v>37.000000000000007</v>
      </c>
      <c r="DS90" s="129">
        <v>8.5000000000000107</v>
      </c>
      <c r="DW90" s="27">
        <v>23.000000000000004</v>
      </c>
      <c r="DX90" s="27">
        <v>23.000000000000004</v>
      </c>
      <c r="DY90" s="27">
        <v>23.000000000000004</v>
      </c>
      <c r="DZ90" s="27">
        <v>23.000000000000004</v>
      </c>
      <c r="EA90" s="27">
        <v>23.000000000000004</v>
      </c>
      <c r="EB90" s="27">
        <v>23.000000000000004</v>
      </c>
      <c r="EC90" s="27">
        <v>23.000000000000004</v>
      </c>
      <c r="ED90" s="27">
        <v>23.000000000000004</v>
      </c>
      <c r="EE90" s="27">
        <v>23.000000000000004</v>
      </c>
      <c r="EF90" s="129">
        <v>10.5</v>
      </c>
      <c r="EH90" s="27">
        <v>39.000000000000007</v>
      </c>
      <c r="EI90" s="27">
        <v>39.000000000000007</v>
      </c>
      <c r="EJ90" s="27">
        <v>39.000000000000007</v>
      </c>
      <c r="EK90" s="27">
        <v>39.000000000000007</v>
      </c>
      <c r="EL90" s="27">
        <v>39.000000000000007</v>
      </c>
      <c r="EM90" s="27">
        <v>39.000000000000007</v>
      </c>
      <c r="EN90" s="27">
        <v>39.000000000000007</v>
      </c>
      <c r="EO90" s="27">
        <v>39.000000000000007</v>
      </c>
      <c r="EP90" s="27">
        <v>39.000000000000007</v>
      </c>
      <c r="EQ90" s="129">
        <v>10.5</v>
      </c>
      <c r="ES90" s="27">
        <v>46.5</v>
      </c>
      <c r="ET90" s="27">
        <v>46.5</v>
      </c>
      <c r="EU90" s="27">
        <v>46.5</v>
      </c>
      <c r="EV90" s="27">
        <v>46.5</v>
      </c>
      <c r="EW90" s="27">
        <v>46.5</v>
      </c>
      <c r="EX90" s="27">
        <v>46.5</v>
      </c>
      <c r="EY90" s="27">
        <v>46.5</v>
      </c>
      <c r="EZ90" s="27">
        <v>46.5</v>
      </c>
      <c r="FA90" s="27">
        <v>46.5</v>
      </c>
      <c r="FB90" s="129">
        <v>10.5</v>
      </c>
      <c r="FD90" s="27">
        <v>48.5</v>
      </c>
      <c r="FE90" s="27">
        <v>48.5</v>
      </c>
      <c r="FF90" s="27">
        <v>48.5</v>
      </c>
      <c r="FG90" s="27">
        <v>48.5</v>
      </c>
      <c r="FH90" s="27">
        <v>48.5</v>
      </c>
      <c r="FI90" s="27">
        <v>48.5</v>
      </c>
      <c r="FJ90" s="27">
        <v>48.5</v>
      </c>
      <c r="FK90" s="27">
        <v>48.5</v>
      </c>
      <c r="FL90" s="27">
        <v>48.5</v>
      </c>
      <c r="FM90" s="129">
        <v>10.5</v>
      </c>
      <c r="FO90" s="27">
        <v>75.499999999999986</v>
      </c>
      <c r="FP90" s="27">
        <v>75.499999999999986</v>
      </c>
      <c r="FQ90" s="27">
        <v>75.499999999999986</v>
      </c>
      <c r="FR90" s="27">
        <v>75.499999999999986</v>
      </c>
      <c r="FS90" s="27">
        <v>75.499999999999986</v>
      </c>
      <c r="FT90" s="27">
        <v>75.499999999999986</v>
      </c>
      <c r="FU90" s="27">
        <v>75.499999999999986</v>
      </c>
      <c r="FV90" s="27">
        <v>75.499999999999986</v>
      </c>
      <c r="FW90" s="27">
        <v>75.499999999999986</v>
      </c>
      <c r="FX90" s="129">
        <v>10.5</v>
      </c>
      <c r="FZ90" s="27">
        <v>75.499999999999986</v>
      </c>
      <c r="GA90" s="27">
        <v>75.499999999999986</v>
      </c>
      <c r="GB90" s="27">
        <v>75.499999999999986</v>
      </c>
      <c r="GC90" s="27">
        <v>75.499999999999986</v>
      </c>
      <c r="GD90" s="27">
        <v>75.499999999999986</v>
      </c>
      <c r="GE90" s="27">
        <v>75.499999999999986</v>
      </c>
      <c r="GF90" s="27">
        <v>75.499999999999986</v>
      </c>
      <c r="GG90" s="27">
        <v>75.499999999999986</v>
      </c>
      <c r="GH90" s="27">
        <v>75.499999999999986</v>
      </c>
      <c r="GI90" s="129">
        <v>10.5</v>
      </c>
      <c r="GJ90" s="27"/>
      <c r="GK90" s="27">
        <v>18.000000000000004</v>
      </c>
      <c r="GL90" s="27">
        <v>18.000000000000004</v>
      </c>
      <c r="GM90" s="27">
        <v>18.000000000000004</v>
      </c>
      <c r="GN90" s="27">
        <v>18.000000000000004</v>
      </c>
      <c r="GO90" s="27">
        <v>18.000000000000004</v>
      </c>
      <c r="GP90" s="27">
        <v>18.000000000000004</v>
      </c>
      <c r="GQ90" s="27">
        <v>18.000000000000004</v>
      </c>
      <c r="GR90" s="27">
        <v>18.000000000000004</v>
      </c>
      <c r="GS90" s="27">
        <v>18.000000000000004</v>
      </c>
      <c r="GT90" s="129">
        <v>10.5</v>
      </c>
      <c r="GV90" s="27">
        <v>22.000000000000004</v>
      </c>
      <c r="GW90" s="27">
        <v>22.000000000000004</v>
      </c>
      <c r="GX90" s="27">
        <v>22.000000000000004</v>
      </c>
      <c r="GY90" s="27">
        <v>22.000000000000004</v>
      </c>
      <c r="GZ90" s="27">
        <v>22.000000000000004</v>
      </c>
      <c r="HA90" s="27">
        <v>22.000000000000004</v>
      </c>
      <c r="HB90" s="27">
        <v>22.000000000000004</v>
      </c>
      <c r="HC90" s="27">
        <v>22.000000000000004</v>
      </c>
      <c r="HD90" s="27">
        <v>22.000000000000004</v>
      </c>
      <c r="HE90" s="129">
        <v>10.5</v>
      </c>
      <c r="HG90" s="27">
        <v>29.499999999999996</v>
      </c>
      <c r="HH90" s="27">
        <v>29.499999999999996</v>
      </c>
      <c r="HI90" s="27">
        <v>29.499999999999996</v>
      </c>
      <c r="HJ90" s="27">
        <v>29.499999999999996</v>
      </c>
      <c r="HK90" s="27">
        <v>29.499999999999996</v>
      </c>
      <c r="HL90" s="27">
        <v>29.499999999999996</v>
      </c>
      <c r="HM90" s="27">
        <v>29.499999999999996</v>
      </c>
      <c r="HN90" s="27">
        <v>29.499999999999996</v>
      </c>
      <c r="HO90" s="27">
        <v>29.499999999999996</v>
      </c>
      <c r="HP90" s="129">
        <v>10.5</v>
      </c>
      <c r="HR90" s="27">
        <v>29.499999999999996</v>
      </c>
      <c r="HS90" s="27">
        <v>29.499999999999996</v>
      </c>
      <c r="HT90" s="27">
        <v>29.499999999999996</v>
      </c>
      <c r="HU90" s="27">
        <v>29.499999999999996</v>
      </c>
      <c r="HV90" s="27">
        <v>29.499999999999996</v>
      </c>
      <c r="HW90" s="27">
        <v>29.499999999999996</v>
      </c>
      <c r="HX90" s="27">
        <v>29.499999999999996</v>
      </c>
      <c r="HY90" s="27">
        <v>29.499999999999996</v>
      </c>
      <c r="HZ90" s="27">
        <v>29.499999999999996</v>
      </c>
      <c r="IA90" s="129">
        <v>10.5</v>
      </c>
    </row>
    <row r="91" spans="15:235" ht="19.899999999999999" customHeight="1">
      <c r="O91" s="129">
        <v>25.800000000000004</v>
      </c>
      <c r="P91" s="129">
        <v>25.800000000000004</v>
      </c>
      <c r="Q91" s="129">
        <v>25.800000000000004</v>
      </c>
      <c r="R91" s="129">
        <v>25.800000000000004</v>
      </c>
      <c r="S91" s="129">
        <v>25.800000000000004</v>
      </c>
      <c r="T91" s="129">
        <v>25.800000000000004</v>
      </c>
      <c r="U91" s="129">
        <v>25.800000000000004</v>
      </c>
      <c r="V91" s="129">
        <v>25.800000000000004</v>
      </c>
      <c r="W91" s="129">
        <v>25.800000000000004</v>
      </c>
      <c r="X91" s="129">
        <v>8.6000000000000103</v>
      </c>
      <c r="Y91" s="27"/>
      <c r="Z91" s="129">
        <v>47.399999999999991</v>
      </c>
      <c r="AA91" s="129">
        <v>47.399999999999991</v>
      </c>
      <c r="AB91" s="129">
        <v>47.399999999999991</v>
      </c>
      <c r="AC91" s="129">
        <v>47.399999999999991</v>
      </c>
      <c r="AD91" s="129">
        <v>47.399999999999991</v>
      </c>
      <c r="AE91" s="129">
        <v>47.399999999999991</v>
      </c>
      <c r="AF91" s="129">
        <v>47.399999999999991</v>
      </c>
      <c r="AG91" s="129">
        <v>47.399999999999991</v>
      </c>
      <c r="AH91" s="129">
        <v>47.399999999999991</v>
      </c>
      <c r="AI91" s="129">
        <v>8.6000000000000103</v>
      </c>
      <c r="AK91" s="129">
        <v>56.799999999999983</v>
      </c>
      <c r="AL91" s="129">
        <v>56.799999999999983</v>
      </c>
      <c r="AM91" s="129">
        <v>56.799999999999983</v>
      </c>
      <c r="AN91" s="129">
        <v>56.799999999999983</v>
      </c>
      <c r="AO91" s="129">
        <v>56.799999999999983</v>
      </c>
      <c r="AP91" s="129">
        <v>56.799999999999983</v>
      </c>
      <c r="AQ91" s="129">
        <v>56.799999999999983</v>
      </c>
      <c r="AR91" s="129">
        <v>56.799999999999983</v>
      </c>
      <c r="AS91" s="129">
        <v>56.799999999999983</v>
      </c>
      <c r="AT91" s="129">
        <v>8.6000000000000103</v>
      </c>
      <c r="AV91" s="129">
        <v>58.799999999999983</v>
      </c>
      <c r="AW91" s="129">
        <v>58.799999999999983</v>
      </c>
      <c r="AX91" s="129">
        <v>58.799999999999983</v>
      </c>
      <c r="AY91" s="129">
        <v>58.799999999999983</v>
      </c>
      <c r="AZ91" s="129">
        <v>58.799999999999983</v>
      </c>
      <c r="BA91" s="129">
        <v>58.799999999999983</v>
      </c>
      <c r="BB91" s="129">
        <v>58.799999999999983</v>
      </c>
      <c r="BC91" s="129">
        <v>58.799999999999983</v>
      </c>
      <c r="BD91" s="129">
        <v>58.799999999999983</v>
      </c>
      <c r="BE91" s="129">
        <v>8.6000000000000103</v>
      </c>
      <c r="BG91" s="129">
        <v>92.400000000000034</v>
      </c>
      <c r="BH91" s="129">
        <v>92.400000000000034</v>
      </c>
      <c r="BI91" s="129">
        <v>92.400000000000034</v>
      </c>
      <c r="BJ91" s="129">
        <v>92.400000000000034</v>
      </c>
      <c r="BK91" s="129">
        <v>92.400000000000034</v>
      </c>
      <c r="BL91" s="129">
        <v>92.400000000000034</v>
      </c>
      <c r="BM91" s="129">
        <v>92.400000000000034</v>
      </c>
      <c r="BN91" s="129">
        <v>92.400000000000034</v>
      </c>
      <c r="BO91" s="129">
        <v>92.400000000000034</v>
      </c>
      <c r="BP91" s="129">
        <v>8.6000000000000103</v>
      </c>
      <c r="BR91" s="129">
        <v>92.400000000000034</v>
      </c>
      <c r="BS91" s="129">
        <v>92.400000000000034</v>
      </c>
      <c r="BT91" s="129">
        <v>92.400000000000034</v>
      </c>
      <c r="BU91" s="129">
        <v>92.400000000000034</v>
      </c>
      <c r="BV91" s="129">
        <v>92.400000000000034</v>
      </c>
      <c r="BW91" s="129">
        <v>92.400000000000034</v>
      </c>
      <c r="BX91" s="129">
        <v>92.400000000000034</v>
      </c>
      <c r="BY91" s="129">
        <v>92.400000000000034</v>
      </c>
      <c r="BZ91" s="129">
        <v>92.400000000000034</v>
      </c>
      <c r="CA91" s="129">
        <v>8.6000000000000103</v>
      </c>
      <c r="CC91" s="129">
        <v>22.199999999999996</v>
      </c>
      <c r="CD91" s="129">
        <v>22.199999999999996</v>
      </c>
      <c r="CE91" s="129">
        <v>22.199999999999996</v>
      </c>
      <c r="CF91" s="129">
        <v>22.199999999999996</v>
      </c>
      <c r="CG91" s="129">
        <v>22.199999999999996</v>
      </c>
      <c r="CH91" s="129">
        <v>22.199999999999996</v>
      </c>
      <c r="CI91" s="129">
        <v>22.199999999999996</v>
      </c>
      <c r="CJ91" s="129">
        <v>22.199999999999996</v>
      </c>
      <c r="CK91" s="129">
        <v>22.199999999999996</v>
      </c>
      <c r="CL91" s="129">
        <v>8.6000000000000103</v>
      </c>
      <c r="CN91" s="129">
        <v>26.199999999999996</v>
      </c>
      <c r="CO91" s="129">
        <v>26.199999999999996</v>
      </c>
      <c r="CP91" s="129">
        <v>26.199999999999996</v>
      </c>
      <c r="CQ91" s="129">
        <v>26.199999999999996</v>
      </c>
      <c r="CR91" s="129">
        <v>26.199999999999996</v>
      </c>
      <c r="CS91" s="129">
        <v>26.199999999999996</v>
      </c>
      <c r="CT91" s="129">
        <v>26.199999999999996</v>
      </c>
      <c r="CU91" s="129">
        <v>26.199999999999996</v>
      </c>
      <c r="CV91" s="129">
        <v>26.199999999999996</v>
      </c>
      <c r="CW91" s="129">
        <v>8.6000000000000103</v>
      </c>
      <c r="CY91" s="129">
        <v>36.600000000000009</v>
      </c>
      <c r="CZ91" s="129">
        <v>36.600000000000009</v>
      </c>
      <c r="DA91" s="129">
        <v>36.600000000000009</v>
      </c>
      <c r="DB91" s="129">
        <v>36.600000000000009</v>
      </c>
      <c r="DC91" s="129">
        <v>36.600000000000009</v>
      </c>
      <c r="DD91" s="129">
        <v>36.600000000000009</v>
      </c>
      <c r="DE91" s="129">
        <v>36.600000000000009</v>
      </c>
      <c r="DF91" s="129">
        <v>36.600000000000009</v>
      </c>
      <c r="DG91" s="129">
        <v>36.600000000000009</v>
      </c>
      <c r="DH91" s="129">
        <v>8.6000000000000103</v>
      </c>
      <c r="DJ91" s="129">
        <v>36.600000000000009</v>
      </c>
      <c r="DK91" s="129">
        <v>36.600000000000009</v>
      </c>
      <c r="DL91" s="129">
        <v>36.600000000000009</v>
      </c>
      <c r="DM91" s="129">
        <v>36.600000000000009</v>
      </c>
      <c r="DN91" s="129">
        <v>36.600000000000009</v>
      </c>
      <c r="DO91" s="129">
        <v>36.600000000000009</v>
      </c>
      <c r="DP91" s="129">
        <v>36.600000000000009</v>
      </c>
      <c r="DQ91" s="129">
        <v>36.600000000000009</v>
      </c>
      <c r="DR91" s="129">
        <v>36.600000000000009</v>
      </c>
      <c r="DS91" s="129">
        <v>8.6000000000000103</v>
      </c>
      <c r="DW91" s="27">
        <v>22.800000000000004</v>
      </c>
      <c r="DX91" s="27">
        <v>22.800000000000004</v>
      </c>
      <c r="DY91" s="27">
        <v>22.800000000000004</v>
      </c>
      <c r="DZ91" s="27">
        <v>22.800000000000004</v>
      </c>
      <c r="EA91" s="27">
        <v>22.800000000000004</v>
      </c>
      <c r="EB91" s="27">
        <v>22.800000000000004</v>
      </c>
      <c r="EC91" s="27">
        <v>22.800000000000004</v>
      </c>
      <c r="ED91" s="27">
        <v>22.800000000000004</v>
      </c>
      <c r="EE91" s="27">
        <v>22.800000000000004</v>
      </c>
      <c r="EF91" s="129">
        <v>10.6</v>
      </c>
      <c r="EH91" s="27">
        <v>38.600000000000009</v>
      </c>
      <c r="EI91" s="27">
        <v>38.600000000000009</v>
      </c>
      <c r="EJ91" s="27">
        <v>38.600000000000009</v>
      </c>
      <c r="EK91" s="27">
        <v>38.600000000000009</v>
      </c>
      <c r="EL91" s="27">
        <v>38.600000000000009</v>
      </c>
      <c r="EM91" s="27">
        <v>38.600000000000009</v>
      </c>
      <c r="EN91" s="27">
        <v>38.600000000000009</v>
      </c>
      <c r="EO91" s="27">
        <v>38.600000000000009</v>
      </c>
      <c r="EP91" s="27">
        <v>38.600000000000009</v>
      </c>
      <c r="EQ91" s="129">
        <v>10.6</v>
      </c>
      <c r="ES91" s="27">
        <v>46</v>
      </c>
      <c r="ET91" s="27">
        <v>46</v>
      </c>
      <c r="EU91" s="27">
        <v>46</v>
      </c>
      <c r="EV91" s="27">
        <v>46</v>
      </c>
      <c r="EW91" s="27">
        <v>46</v>
      </c>
      <c r="EX91" s="27">
        <v>46</v>
      </c>
      <c r="EY91" s="27">
        <v>46</v>
      </c>
      <c r="EZ91" s="27">
        <v>46</v>
      </c>
      <c r="FA91" s="27">
        <v>46</v>
      </c>
      <c r="FB91" s="129">
        <v>10.6</v>
      </c>
      <c r="FD91" s="27">
        <v>48</v>
      </c>
      <c r="FE91" s="27">
        <v>48</v>
      </c>
      <c r="FF91" s="27">
        <v>48</v>
      </c>
      <c r="FG91" s="27">
        <v>48</v>
      </c>
      <c r="FH91" s="27">
        <v>48</v>
      </c>
      <c r="FI91" s="27">
        <v>48</v>
      </c>
      <c r="FJ91" s="27">
        <v>48</v>
      </c>
      <c r="FK91" s="27">
        <v>48</v>
      </c>
      <c r="FL91" s="27">
        <v>48</v>
      </c>
      <c r="FM91" s="129">
        <v>10.6</v>
      </c>
      <c r="FO91" s="27">
        <v>74.799999999999983</v>
      </c>
      <c r="FP91" s="27">
        <v>74.799999999999983</v>
      </c>
      <c r="FQ91" s="27">
        <v>74.799999999999983</v>
      </c>
      <c r="FR91" s="27">
        <v>74.799999999999983</v>
      </c>
      <c r="FS91" s="27">
        <v>74.799999999999983</v>
      </c>
      <c r="FT91" s="27">
        <v>74.799999999999983</v>
      </c>
      <c r="FU91" s="27">
        <v>74.799999999999983</v>
      </c>
      <c r="FV91" s="27">
        <v>74.799999999999983</v>
      </c>
      <c r="FW91" s="27">
        <v>74.799999999999983</v>
      </c>
      <c r="FX91" s="129">
        <v>10.6</v>
      </c>
      <c r="FZ91" s="27">
        <v>74.799999999999983</v>
      </c>
      <c r="GA91" s="27">
        <v>74.799999999999983</v>
      </c>
      <c r="GB91" s="27">
        <v>74.799999999999983</v>
      </c>
      <c r="GC91" s="27">
        <v>74.799999999999983</v>
      </c>
      <c r="GD91" s="27">
        <v>74.799999999999983</v>
      </c>
      <c r="GE91" s="27">
        <v>74.799999999999983</v>
      </c>
      <c r="GF91" s="27">
        <v>74.799999999999983</v>
      </c>
      <c r="GG91" s="27">
        <v>74.799999999999983</v>
      </c>
      <c r="GH91" s="27">
        <v>74.799999999999983</v>
      </c>
      <c r="GI91" s="129">
        <v>10.6</v>
      </c>
      <c r="GJ91" s="27"/>
      <c r="GK91" s="27">
        <v>17.800000000000004</v>
      </c>
      <c r="GL91" s="27">
        <v>17.800000000000004</v>
      </c>
      <c r="GM91" s="27">
        <v>17.800000000000004</v>
      </c>
      <c r="GN91" s="27">
        <v>17.800000000000004</v>
      </c>
      <c r="GO91" s="27">
        <v>17.800000000000004</v>
      </c>
      <c r="GP91" s="27">
        <v>17.800000000000004</v>
      </c>
      <c r="GQ91" s="27">
        <v>17.800000000000004</v>
      </c>
      <c r="GR91" s="27">
        <v>17.800000000000004</v>
      </c>
      <c r="GS91" s="27">
        <v>17.800000000000004</v>
      </c>
      <c r="GT91" s="129">
        <v>10.6</v>
      </c>
      <c r="GV91" s="27">
        <v>21.800000000000004</v>
      </c>
      <c r="GW91" s="27">
        <v>21.800000000000004</v>
      </c>
      <c r="GX91" s="27">
        <v>21.800000000000004</v>
      </c>
      <c r="GY91" s="27">
        <v>21.800000000000004</v>
      </c>
      <c r="GZ91" s="27">
        <v>21.800000000000004</v>
      </c>
      <c r="HA91" s="27">
        <v>21.800000000000004</v>
      </c>
      <c r="HB91" s="27">
        <v>21.800000000000004</v>
      </c>
      <c r="HC91" s="27">
        <v>21.800000000000004</v>
      </c>
      <c r="HD91" s="27">
        <v>21.800000000000004</v>
      </c>
      <c r="HE91" s="129">
        <v>10.6</v>
      </c>
      <c r="HG91" s="27">
        <v>29.199999999999996</v>
      </c>
      <c r="HH91" s="27">
        <v>29.199999999999996</v>
      </c>
      <c r="HI91" s="27">
        <v>29.199999999999996</v>
      </c>
      <c r="HJ91" s="27">
        <v>29.199999999999996</v>
      </c>
      <c r="HK91" s="27">
        <v>29.199999999999996</v>
      </c>
      <c r="HL91" s="27">
        <v>29.199999999999996</v>
      </c>
      <c r="HM91" s="27">
        <v>29.199999999999996</v>
      </c>
      <c r="HN91" s="27">
        <v>29.199999999999996</v>
      </c>
      <c r="HO91" s="27">
        <v>29.199999999999996</v>
      </c>
      <c r="HP91" s="129">
        <v>10.6</v>
      </c>
      <c r="HR91" s="27">
        <v>29.199999999999996</v>
      </c>
      <c r="HS91" s="27">
        <v>29.199999999999996</v>
      </c>
      <c r="HT91" s="27">
        <v>29.199999999999996</v>
      </c>
      <c r="HU91" s="27">
        <v>29.199999999999996</v>
      </c>
      <c r="HV91" s="27">
        <v>29.199999999999996</v>
      </c>
      <c r="HW91" s="27">
        <v>29.199999999999996</v>
      </c>
      <c r="HX91" s="27">
        <v>29.199999999999996</v>
      </c>
      <c r="HY91" s="27">
        <v>29.199999999999996</v>
      </c>
      <c r="HZ91" s="27">
        <v>29.199999999999996</v>
      </c>
      <c r="IA91" s="129">
        <v>10.6</v>
      </c>
    </row>
    <row r="92" spans="15:235" ht="19.899999999999999" customHeight="1">
      <c r="O92" s="129">
        <v>25.100000000000005</v>
      </c>
      <c r="P92" s="129">
        <v>25.100000000000005</v>
      </c>
      <c r="Q92" s="129">
        <v>25.100000000000005</v>
      </c>
      <c r="R92" s="129">
        <v>25.100000000000005</v>
      </c>
      <c r="S92" s="129">
        <v>25.100000000000005</v>
      </c>
      <c r="T92" s="129">
        <v>25.100000000000005</v>
      </c>
      <c r="U92" s="129">
        <v>25.100000000000005</v>
      </c>
      <c r="V92" s="129">
        <v>25.100000000000005</v>
      </c>
      <c r="W92" s="129">
        <v>25.100000000000005</v>
      </c>
      <c r="X92" s="129">
        <v>8.7000000000000099</v>
      </c>
      <c r="Y92" s="27"/>
      <c r="Z92" s="129">
        <v>46.79999999999999</v>
      </c>
      <c r="AA92" s="129">
        <v>46.79999999999999</v>
      </c>
      <c r="AB92" s="129">
        <v>46.79999999999999</v>
      </c>
      <c r="AC92" s="129">
        <v>46.79999999999999</v>
      </c>
      <c r="AD92" s="129">
        <v>46.79999999999999</v>
      </c>
      <c r="AE92" s="129">
        <v>46.79999999999999</v>
      </c>
      <c r="AF92" s="129">
        <v>46.79999999999999</v>
      </c>
      <c r="AG92" s="129">
        <v>46.79999999999999</v>
      </c>
      <c r="AH92" s="129">
        <v>46.79999999999999</v>
      </c>
      <c r="AI92" s="129">
        <v>8.7000000000000099</v>
      </c>
      <c r="AK92" s="129">
        <v>56.09999999999998</v>
      </c>
      <c r="AL92" s="129">
        <v>56.09999999999998</v>
      </c>
      <c r="AM92" s="129">
        <v>56.09999999999998</v>
      </c>
      <c r="AN92" s="129">
        <v>56.09999999999998</v>
      </c>
      <c r="AO92" s="129">
        <v>56.09999999999998</v>
      </c>
      <c r="AP92" s="129">
        <v>56.09999999999998</v>
      </c>
      <c r="AQ92" s="129">
        <v>56.09999999999998</v>
      </c>
      <c r="AR92" s="129">
        <v>56.09999999999998</v>
      </c>
      <c r="AS92" s="129">
        <v>56.09999999999998</v>
      </c>
      <c r="AT92" s="129">
        <v>8.7000000000000099</v>
      </c>
      <c r="AV92" s="129">
        <v>58.09999999999998</v>
      </c>
      <c r="AW92" s="129">
        <v>58.09999999999998</v>
      </c>
      <c r="AX92" s="129">
        <v>58.09999999999998</v>
      </c>
      <c r="AY92" s="129">
        <v>58.09999999999998</v>
      </c>
      <c r="AZ92" s="129">
        <v>58.09999999999998</v>
      </c>
      <c r="BA92" s="129">
        <v>58.09999999999998</v>
      </c>
      <c r="BB92" s="129">
        <v>58.09999999999998</v>
      </c>
      <c r="BC92" s="129">
        <v>58.09999999999998</v>
      </c>
      <c r="BD92" s="129">
        <v>58.09999999999998</v>
      </c>
      <c r="BE92" s="129">
        <v>8.7000000000000099</v>
      </c>
      <c r="BG92" s="129">
        <v>91.30000000000004</v>
      </c>
      <c r="BH92" s="129">
        <v>91.30000000000004</v>
      </c>
      <c r="BI92" s="129">
        <v>91.30000000000004</v>
      </c>
      <c r="BJ92" s="129">
        <v>91.30000000000004</v>
      </c>
      <c r="BK92" s="129">
        <v>91.30000000000004</v>
      </c>
      <c r="BL92" s="129">
        <v>91.30000000000004</v>
      </c>
      <c r="BM92" s="129">
        <v>91.30000000000004</v>
      </c>
      <c r="BN92" s="129">
        <v>91.30000000000004</v>
      </c>
      <c r="BO92" s="129">
        <v>91.30000000000004</v>
      </c>
      <c r="BP92" s="129">
        <v>8.7000000000000099</v>
      </c>
      <c r="BR92" s="129">
        <v>91.30000000000004</v>
      </c>
      <c r="BS92" s="129">
        <v>91.30000000000004</v>
      </c>
      <c r="BT92" s="129">
        <v>91.30000000000004</v>
      </c>
      <c r="BU92" s="129">
        <v>91.30000000000004</v>
      </c>
      <c r="BV92" s="129">
        <v>91.30000000000004</v>
      </c>
      <c r="BW92" s="129">
        <v>91.30000000000004</v>
      </c>
      <c r="BX92" s="129">
        <v>91.30000000000004</v>
      </c>
      <c r="BY92" s="129">
        <v>91.30000000000004</v>
      </c>
      <c r="BZ92" s="129">
        <v>91.30000000000004</v>
      </c>
      <c r="CA92" s="129">
        <v>8.7000000000000099</v>
      </c>
      <c r="CC92" s="129">
        <v>21.899999999999995</v>
      </c>
      <c r="CD92" s="129">
        <v>21.899999999999995</v>
      </c>
      <c r="CE92" s="129">
        <v>21.899999999999995</v>
      </c>
      <c r="CF92" s="129">
        <v>21.899999999999995</v>
      </c>
      <c r="CG92" s="129">
        <v>21.899999999999995</v>
      </c>
      <c r="CH92" s="129">
        <v>21.899999999999995</v>
      </c>
      <c r="CI92" s="129">
        <v>21.899999999999995</v>
      </c>
      <c r="CJ92" s="129">
        <v>21.899999999999995</v>
      </c>
      <c r="CK92" s="129">
        <v>21.899999999999995</v>
      </c>
      <c r="CL92" s="129">
        <v>8.7000000000000099</v>
      </c>
      <c r="CN92" s="129">
        <v>25.899999999999995</v>
      </c>
      <c r="CO92" s="129">
        <v>25.899999999999995</v>
      </c>
      <c r="CP92" s="129">
        <v>25.899999999999995</v>
      </c>
      <c r="CQ92" s="129">
        <v>25.899999999999995</v>
      </c>
      <c r="CR92" s="129">
        <v>25.899999999999995</v>
      </c>
      <c r="CS92" s="129">
        <v>25.899999999999995</v>
      </c>
      <c r="CT92" s="129">
        <v>25.899999999999995</v>
      </c>
      <c r="CU92" s="129">
        <v>25.899999999999995</v>
      </c>
      <c r="CV92" s="129">
        <v>25.899999999999995</v>
      </c>
      <c r="CW92" s="129">
        <v>8.7000000000000099</v>
      </c>
      <c r="CY92" s="129">
        <v>36.20000000000001</v>
      </c>
      <c r="CZ92" s="129">
        <v>36.20000000000001</v>
      </c>
      <c r="DA92" s="129">
        <v>36.20000000000001</v>
      </c>
      <c r="DB92" s="129">
        <v>36.20000000000001</v>
      </c>
      <c r="DC92" s="129">
        <v>36.20000000000001</v>
      </c>
      <c r="DD92" s="129">
        <v>36.20000000000001</v>
      </c>
      <c r="DE92" s="129">
        <v>36.20000000000001</v>
      </c>
      <c r="DF92" s="129">
        <v>36.20000000000001</v>
      </c>
      <c r="DG92" s="129">
        <v>36.20000000000001</v>
      </c>
      <c r="DH92" s="129">
        <v>8.7000000000000099</v>
      </c>
      <c r="DJ92" s="129">
        <v>36.20000000000001</v>
      </c>
      <c r="DK92" s="129">
        <v>36.20000000000001</v>
      </c>
      <c r="DL92" s="129">
        <v>36.20000000000001</v>
      </c>
      <c r="DM92" s="129">
        <v>36.20000000000001</v>
      </c>
      <c r="DN92" s="129">
        <v>36.20000000000001</v>
      </c>
      <c r="DO92" s="129">
        <v>36.20000000000001</v>
      </c>
      <c r="DP92" s="129">
        <v>36.20000000000001</v>
      </c>
      <c r="DQ92" s="129">
        <v>36.20000000000001</v>
      </c>
      <c r="DR92" s="129">
        <v>36.20000000000001</v>
      </c>
      <c r="DS92" s="129">
        <v>8.7000000000000099</v>
      </c>
      <c r="DW92" s="27">
        <v>22.600000000000005</v>
      </c>
      <c r="DX92" s="27">
        <v>22.600000000000005</v>
      </c>
      <c r="DY92" s="27">
        <v>22.600000000000005</v>
      </c>
      <c r="DZ92" s="27">
        <v>22.600000000000005</v>
      </c>
      <c r="EA92" s="27">
        <v>22.600000000000005</v>
      </c>
      <c r="EB92" s="27">
        <v>22.600000000000005</v>
      </c>
      <c r="EC92" s="27">
        <v>22.600000000000005</v>
      </c>
      <c r="ED92" s="27">
        <v>22.600000000000005</v>
      </c>
      <c r="EE92" s="27">
        <v>22.600000000000005</v>
      </c>
      <c r="EF92" s="129">
        <v>10.7</v>
      </c>
      <c r="EH92" s="27">
        <v>38.20000000000001</v>
      </c>
      <c r="EI92" s="27">
        <v>38.20000000000001</v>
      </c>
      <c r="EJ92" s="27">
        <v>38.20000000000001</v>
      </c>
      <c r="EK92" s="27">
        <v>38.20000000000001</v>
      </c>
      <c r="EL92" s="27">
        <v>38.20000000000001</v>
      </c>
      <c r="EM92" s="27">
        <v>38.20000000000001</v>
      </c>
      <c r="EN92" s="27">
        <v>38.20000000000001</v>
      </c>
      <c r="EO92" s="27">
        <v>38.20000000000001</v>
      </c>
      <c r="EP92" s="27">
        <v>38.20000000000001</v>
      </c>
      <c r="EQ92" s="129">
        <v>10.7</v>
      </c>
      <c r="ES92" s="27">
        <v>45.5</v>
      </c>
      <c r="ET92" s="27">
        <v>45.5</v>
      </c>
      <c r="EU92" s="27">
        <v>45.5</v>
      </c>
      <c r="EV92" s="27">
        <v>45.5</v>
      </c>
      <c r="EW92" s="27">
        <v>45.5</v>
      </c>
      <c r="EX92" s="27">
        <v>45.5</v>
      </c>
      <c r="EY92" s="27">
        <v>45.5</v>
      </c>
      <c r="EZ92" s="27">
        <v>45.5</v>
      </c>
      <c r="FA92" s="27">
        <v>45.5</v>
      </c>
      <c r="FB92" s="129">
        <v>10.7</v>
      </c>
      <c r="FD92" s="27">
        <v>47.5</v>
      </c>
      <c r="FE92" s="27">
        <v>47.5</v>
      </c>
      <c r="FF92" s="27">
        <v>47.5</v>
      </c>
      <c r="FG92" s="27">
        <v>47.5</v>
      </c>
      <c r="FH92" s="27">
        <v>47.5</v>
      </c>
      <c r="FI92" s="27">
        <v>47.5</v>
      </c>
      <c r="FJ92" s="27">
        <v>47.5</v>
      </c>
      <c r="FK92" s="27">
        <v>47.5</v>
      </c>
      <c r="FL92" s="27">
        <v>47.5</v>
      </c>
      <c r="FM92" s="129">
        <v>10.7</v>
      </c>
      <c r="FO92" s="27">
        <v>74.09999999999998</v>
      </c>
      <c r="FP92" s="27">
        <v>74.09999999999998</v>
      </c>
      <c r="FQ92" s="27">
        <v>74.09999999999998</v>
      </c>
      <c r="FR92" s="27">
        <v>74.09999999999998</v>
      </c>
      <c r="FS92" s="27">
        <v>74.09999999999998</v>
      </c>
      <c r="FT92" s="27">
        <v>74.09999999999998</v>
      </c>
      <c r="FU92" s="27">
        <v>74.09999999999998</v>
      </c>
      <c r="FV92" s="27">
        <v>74.09999999999998</v>
      </c>
      <c r="FW92" s="27">
        <v>74.09999999999998</v>
      </c>
      <c r="FX92" s="129">
        <v>10.7</v>
      </c>
      <c r="FZ92" s="27">
        <v>74.09999999999998</v>
      </c>
      <c r="GA92" s="27">
        <v>74.09999999999998</v>
      </c>
      <c r="GB92" s="27">
        <v>74.09999999999998</v>
      </c>
      <c r="GC92" s="27">
        <v>74.09999999999998</v>
      </c>
      <c r="GD92" s="27">
        <v>74.09999999999998</v>
      </c>
      <c r="GE92" s="27">
        <v>74.09999999999998</v>
      </c>
      <c r="GF92" s="27">
        <v>74.09999999999998</v>
      </c>
      <c r="GG92" s="27">
        <v>74.09999999999998</v>
      </c>
      <c r="GH92" s="27">
        <v>74.09999999999998</v>
      </c>
      <c r="GI92" s="129">
        <v>10.7</v>
      </c>
      <c r="GJ92" s="27"/>
      <c r="GK92" s="27">
        <v>17.600000000000005</v>
      </c>
      <c r="GL92" s="27">
        <v>17.600000000000005</v>
      </c>
      <c r="GM92" s="27">
        <v>17.600000000000005</v>
      </c>
      <c r="GN92" s="27">
        <v>17.600000000000005</v>
      </c>
      <c r="GO92" s="27">
        <v>17.600000000000005</v>
      </c>
      <c r="GP92" s="27">
        <v>17.600000000000005</v>
      </c>
      <c r="GQ92" s="27">
        <v>17.600000000000005</v>
      </c>
      <c r="GR92" s="27">
        <v>17.600000000000005</v>
      </c>
      <c r="GS92" s="27">
        <v>17.600000000000005</v>
      </c>
      <c r="GT92" s="129">
        <v>10.7</v>
      </c>
      <c r="GV92" s="27">
        <v>21.600000000000005</v>
      </c>
      <c r="GW92" s="27">
        <v>21.600000000000005</v>
      </c>
      <c r="GX92" s="27">
        <v>21.600000000000005</v>
      </c>
      <c r="GY92" s="27">
        <v>21.600000000000005</v>
      </c>
      <c r="GZ92" s="27">
        <v>21.600000000000005</v>
      </c>
      <c r="HA92" s="27">
        <v>21.600000000000005</v>
      </c>
      <c r="HB92" s="27">
        <v>21.600000000000005</v>
      </c>
      <c r="HC92" s="27">
        <v>21.600000000000005</v>
      </c>
      <c r="HD92" s="27">
        <v>21.600000000000005</v>
      </c>
      <c r="HE92" s="129">
        <v>10.7</v>
      </c>
      <c r="HG92" s="27">
        <v>28.899999999999995</v>
      </c>
      <c r="HH92" s="27">
        <v>28.899999999999995</v>
      </c>
      <c r="HI92" s="27">
        <v>28.899999999999995</v>
      </c>
      <c r="HJ92" s="27">
        <v>28.899999999999995</v>
      </c>
      <c r="HK92" s="27">
        <v>28.899999999999995</v>
      </c>
      <c r="HL92" s="27">
        <v>28.899999999999995</v>
      </c>
      <c r="HM92" s="27">
        <v>28.899999999999995</v>
      </c>
      <c r="HN92" s="27">
        <v>28.899999999999995</v>
      </c>
      <c r="HO92" s="27">
        <v>28.899999999999995</v>
      </c>
      <c r="HP92" s="129">
        <v>10.7</v>
      </c>
      <c r="HR92" s="27">
        <v>28.899999999999995</v>
      </c>
      <c r="HS92" s="27">
        <v>28.899999999999995</v>
      </c>
      <c r="HT92" s="27">
        <v>28.899999999999995</v>
      </c>
      <c r="HU92" s="27">
        <v>28.899999999999995</v>
      </c>
      <c r="HV92" s="27">
        <v>28.899999999999995</v>
      </c>
      <c r="HW92" s="27">
        <v>28.899999999999995</v>
      </c>
      <c r="HX92" s="27">
        <v>28.899999999999995</v>
      </c>
      <c r="HY92" s="27">
        <v>28.899999999999995</v>
      </c>
      <c r="HZ92" s="27">
        <v>28.899999999999995</v>
      </c>
      <c r="IA92" s="129">
        <v>10.7</v>
      </c>
    </row>
    <row r="93" spans="15:235" ht="19.899999999999999" customHeight="1">
      <c r="O93" s="129">
        <v>24.400000000000006</v>
      </c>
      <c r="P93" s="129">
        <v>24.400000000000006</v>
      </c>
      <c r="Q93" s="129">
        <v>24.400000000000006</v>
      </c>
      <c r="R93" s="129">
        <v>24.400000000000006</v>
      </c>
      <c r="S93" s="129">
        <v>24.400000000000006</v>
      </c>
      <c r="T93" s="129">
        <v>24.400000000000006</v>
      </c>
      <c r="U93" s="129">
        <v>24.400000000000006</v>
      </c>
      <c r="V93" s="129">
        <v>24.400000000000006</v>
      </c>
      <c r="W93" s="129">
        <v>24.400000000000006</v>
      </c>
      <c r="X93" s="129">
        <v>8.8000000000000096</v>
      </c>
      <c r="Y93" s="27"/>
      <c r="Z93" s="129">
        <v>46.199999999999989</v>
      </c>
      <c r="AA93" s="129">
        <v>46.199999999999989</v>
      </c>
      <c r="AB93" s="129">
        <v>46.199999999999989</v>
      </c>
      <c r="AC93" s="129">
        <v>46.199999999999989</v>
      </c>
      <c r="AD93" s="129">
        <v>46.199999999999989</v>
      </c>
      <c r="AE93" s="129">
        <v>46.199999999999989</v>
      </c>
      <c r="AF93" s="129">
        <v>46.199999999999989</v>
      </c>
      <c r="AG93" s="129">
        <v>46.199999999999989</v>
      </c>
      <c r="AH93" s="129">
        <v>46.199999999999989</v>
      </c>
      <c r="AI93" s="129">
        <v>8.8000000000000096</v>
      </c>
      <c r="AK93" s="129">
        <v>55.399999999999977</v>
      </c>
      <c r="AL93" s="129">
        <v>55.399999999999977</v>
      </c>
      <c r="AM93" s="129">
        <v>55.399999999999977</v>
      </c>
      <c r="AN93" s="129">
        <v>55.399999999999977</v>
      </c>
      <c r="AO93" s="129">
        <v>55.399999999999977</v>
      </c>
      <c r="AP93" s="129">
        <v>55.399999999999977</v>
      </c>
      <c r="AQ93" s="129">
        <v>55.399999999999977</v>
      </c>
      <c r="AR93" s="129">
        <v>55.399999999999977</v>
      </c>
      <c r="AS93" s="129">
        <v>55.399999999999977</v>
      </c>
      <c r="AT93" s="129">
        <v>8.8000000000000096</v>
      </c>
      <c r="AV93" s="129">
        <v>57.399999999999977</v>
      </c>
      <c r="AW93" s="129">
        <v>57.399999999999977</v>
      </c>
      <c r="AX93" s="129">
        <v>57.399999999999977</v>
      </c>
      <c r="AY93" s="129">
        <v>57.399999999999977</v>
      </c>
      <c r="AZ93" s="129">
        <v>57.399999999999977</v>
      </c>
      <c r="BA93" s="129">
        <v>57.399999999999977</v>
      </c>
      <c r="BB93" s="129">
        <v>57.399999999999977</v>
      </c>
      <c r="BC93" s="129">
        <v>57.399999999999977</v>
      </c>
      <c r="BD93" s="129">
        <v>57.399999999999977</v>
      </c>
      <c r="BE93" s="129">
        <v>8.8000000000000096</v>
      </c>
      <c r="BG93" s="129">
        <v>90.200000000000045</v>
      </c>
      <c r="BH93" s="129">
        <v>90.200000000000045</v>
      </c>
      <c r="BI93" s="129">
        <v>90.200000000000045</v>
      </c>
      <c r="BJ93" s="129">
        <v>90.200000000000045</v>
      </c>
      <c r="BK93" s="129">
        <v>90.200000000000045</v>
      </c>
      <c r="BL93" s="129">
        <v>90.200000000000045</v>
      </c>
      <c r="BM93" s="129">
        <v>90.200000000000045</v>
      </c>
      <c r="BN93" s="129">
        <v>90.200000000000045</v>
      </c>
      <c r="BO93" s="129">
        <v>90.200000000000045</v>
      </c>
      <c r="BP93" s="129">
        <v>8.8000000000000096</v>
      </c>
      <c r="BR93" s="129">
        <v>90.200000000000045</v>
      </c>
      <c r="BS93" s="129">
        <v>90.200000000000045</v>
      </c>
      <c r="BT93" s="129">
        <v>90.200000000000045</v>
      </c>
      <c r="BU93" s="129">
        <v>90.200000000000045</v>
      </c>
      <c r="BV93" s="129">
        <v>90.200000000000045</v>
      </c>
      <c r="BW93" s="129">
        <v>90.200000000000045</v>
      </c>
      <c r="BX93" s="129">
        <v>90.200000000000045</v>
      </c>
      <c r="BY93" s="129">
        <v>90.200000000000045</v>
      </c>
      <c r="BZ93" s="129">
        <v>90.200000000000045</v>
      </c>
      <c r="CA93" s="129">
        <v>8.8000000000000096</v>
      </c>
      <c r="CC93" s="129">
        <v>21.599999999999994</v>
      </c>
      <c r="CD93" s="129">
        <v>21.599999999999994</v>
      </c>
      <c r="CE93" s="129">
        <v>21.599999999999994</v>
      </c>
      <c r="CF93" s="129">
        <v>21.599999999999994</v>
      </c>
      <c r="CG93" s="129">
        <v>21.599999999999994</v>
      </c>
      <c r="CH93" s="129">
        <v>21.599999999999994</v>
      </c>
      <c r="CI93" s="129">
        <v>21.599999999999994</v>
      </c>
      <c r="CJ93" s="129">
        <v>21.599999999999994</v>
      </c>
      <c r="CK93" s="129">
        <v>21.599999999999994</v>
      </c>
      <c r="CL93" s="129">
        <v>8.8000000000000096</v>
      </c>
      <c r="CN93" s="129">
        <v>25.599999999999994</v>
      </c>
      <c r="CO93" s="129">
        <v>25.599999999999994</v>
      </c>
      <c r="CP93" s="129">
        <v>25.599999999999994</v>
      </c>
      <c r="CQ93" s="129">
        <v>25.599999999999994</v>
      </c>
      <c r="CR93" s="129">
        <v>25.599999999999994</v>
      </c>
      <c r="CS93" s="129">
        <v>25.599999999999994</v>
      </c>
      <c r="CT93" s="129">
        <v>25.599999999999994</v>
      </c>
      <c r="CU93" s="129">
        <v>25.599999999999994</v>
      </c>
      <c r="CV93" s="129">
        <v>25.599999999999994</v>
      </c>
      <c r="CW93" s="129">
        <v>8.8000000000000096</v>
      </c>
      <c r="CY93" s="129">
        <v>35.800000000000011</v>
      </c>
      <c r="CZ93" s="129">
        <v>35.800000000000011</v>
      </c>
      <c r="DA93" s="129">
        <v>35.800000000000011</v>
      </c>
      <c r="DB93" s="129">
        <v>35.800000000000011</v>
      </c>
      <c r="DC93" s="129">
        <v>35.800000000000011</v>
      </c>
      <c r="DD93" s="129">
        <v>35.800000000000011</v>
      </c>
      <c r="DE93" s="129">
        <v>35.800000000000011</v>
      </c>
      <c r="DF93" s="129">
        <v>35.800000000000011</v>
      </c>
      <c r="DG93" s="129">
        <v>35.800000000000011</v>
      </c>
      <c r="DH93" s="129">
        <v>8.8000000000000096</v>
      </c>
      <c r="DJ93" s="129">
        <v>35.800000000000011</v>
      </c>
      <c r="DK93" s="129">
        <v>35.800000000000011</v>
      </c>
      <c r="DL93" s="129">
        <v>35.800000000000011</v>
      </c>
      <c r="DM93" s="129">
        <v>35.800000000000011</v>
      </c>
      <c r="DN93" s="129">
        <v>35.800000000000011</v>
      </c>
      <c r="DO93" s="129">
        <v>35.800000000000011</v>
      </c>
      <c r="DP93" s="129">
        <v>35.800000000000011</v>
      </c>
      <c r="DQ93" s="129">
        <v>35.800000000000011</v>
      </c>
      <c r="DR93" s="129">
        <v>35.800000000000011</v>
      </c>
      <c r="DS93" s="129">
        <v>8.8000000000000096</v>
      </c>
      <c r="DW93" s="27">
        <v>22.400000000000006</v>
      </c>
      <c r="DX93" s="27">
        <v>22.400000000000006</v>
      </c>
      <c r="DY93" s="27">
        <v>22.400000000000006</v>
      </c>
      <c r="DZ93" s="27">
        <v>22.400000000000006</v>
      </c>
      <c r="EA93" s="27">
        <v>22.400000000000006</v>
      </c>
      <c r="EB93" s="27">
        <v>22.400000000000006</v>
      </c>
      <c r="EC93" s="27">
        <v>22.400000000000006</v>
      </c>
      <c r="ED93" s="27">
        <v>22.400000000000006</v>
      </c>
      <c r="EE93" s="27">
        <v>22.400000000000006</v>
      </c>
      <c r="EF93" s="129">
        <v>10.8</v>
      </c>
      <c r="EH93" s="27">
        <v>37.800000000000011</v>
      </c>
      <c r="EI93" s="27">
        <v>37.800000000000011</v>
      </c>
      <c r="EJ93" s="27">
        <v>37.800000000000011</v>
      </c>
      <c r="EK93" s="27">
        <v>37.800000000000011</v>
      </c>
      <c r="EL93" s="27">
        <v>37.800000000000011</v>
      </c>
      <c r="EM93" s="27">
        <v>37.800000000000011</v>
      </c>
      <c r="EN93" s="27">
        <v>37.800000000000011</v>
      </c>
      <c r="EO93" s="27">
        <v>37.800000000000011</v>
      </c>
      <c r="EP93" s="27">
        <v>37.800000000000011</v>
      </c>
      <c r="EQ93" s="129">
        <v>10.8</v>
      </c>
      <c r="ES93" s="27">
        <v>45</v>
      </c>
      <c r="ET93" s="27">
        <v>45</v>
      </c>
      <c r="EU93" s="27">
        <v>45</v>
      </c>
      <c r="EV93" s="27">
        <v>45</v>
      </c>
      <c r="EW93" s="27">
        <v>45</v>
      </c>
      <c r="EX93" s="27">
        <v>45</v>
      </c>
      <c r="EY93" s="27">
        <v>45</v>
      </c>
      <c r="EZ93" s="27">
        <v>45</v>
      </c>
      <c r="FA93" s="27">
        <v>45</v>
      </c>
      <c r="FB93" s="129">
        <v>10.8</v>
      </c>
      <c r="FD93" s="27">
        <v>47</v>
      </c>
      <c r="FE93" s="27">
        <v>47</v>
      </c>
      <c r="FF93" s="27">
        <v>47</v>
      </c>
      <c r="FG93" s="27">
        <v>47</v>
      </c>
      <c r="FH93" s="27">
        <v>47</v>
      </c>
      <c r="FI93" s="27">
        <v>47</v>
      </c>
      <c r="FJ93" s="27">
        <v>47</v>
      </c>
      <c r="FK93" s="27">
        <v>47</v>
      </c>
      <c r="FL93" s="27">
        <v>47</v>
      </c>
      <c r="FM93" s="129">
        <v>10.8</v>
      </c>
      <c r="FO93" s="27">
        <v>73.399999999999977</v>
      </c>
      <c r="FP93" s="27">
        <v>73.399999999999977</v>
      </c>
      <c r="FQ93" s="27">
        <v>73.399999999999977</v>
      </c>
      <c r="FR93" s="27">
        <v>73.399999999999977</v>
      </c>
      <c r="FS93" s="27">
        <v>73.399999999999977</v>
      </c>
      <c r="FT93" s="27">
        <v>73.399999999999977</v>
      </c>
      <c r="FU93" s="27">
        <v>73.399999999999977</v>
      </c>
      <c r="FV93" s="27">
        <v>73.399999999999977</v>
      </c>
      <c r="FW93" s="27">
        <v>73.399999999999977</v>
      </c>
      <c r="FX93" s="129">
        <v>10.8</v>
      </c>
      <c r="FZ93" s="27">
        <v>73.399999999999977</v>
      </c>
      <c r="GA93" s="27">
        <v>73.399999999999977</v>
      </c>
      <c r="GB93" s="27">
        <v>73.399999999999977</v>
      </c>
      <c r="GC93" s="27">
        <v>73.399999999999977</v>
      </c>
      <c r="GD93" s="27">
        <v>73.399999999999977</v>
      </c>
      <c r="GE93" s="27">
        <v>73.399999999999977</v>
      </c>
      <c r="GF93" s="27">
        <v>73.399999999999977</v>
      </c>
      <c r="GG93" s="27">
        <v>73.399999999999977</v>
      </c>
      <c r="GH93" s="27">
        <v>73.399999999999977</v>
      </c>
      <c r="GI93" s="129">
        <v>10.8</v>
      </c>
      <c r="GJ93" s="27"/>
      <c r="GK93" s="27">
        <v>17.400000000000006</v>
      </c>
      <c r="GL93" s="27">
        <v>17.400000000000006</v>
      </c>
      <c r="GM93" s="27">
        <v>17.400000000000006</v>
      </c>
      <c r="GN93" s="27">
        <v>17.400000000000006</v>
      </c>
      <c r="GO93" s="27">
        <v>17.400000000000006</v>
      </c>
      <c r="GP93" s="27">
        <v>17.400000000000006</v>
      </c>
      <c r="GQ93" s="27">
        <v>17.400000000000006</v>
      </c>
      <c r="GR93" s="27">
        <v>17.400000000000006</v>
      </c>
      <c r="GS93" s="27">
        <v>17.400000000000006</v>
      </c>
      <c r="GT93" s="129">
        <v>10.8</v>
      </c>
      <c r="GV93" s="27">
        <v>21.400000000000006</v>
      </c>
      <c r="GW93" s="27">
        <v>21.400000000000006</v>
      </c>
      <c r="GX93" s="27">
        <v>21.400000000000006</v>
      </c>
      <c r="GY93" s="27">
        <v>21.400000000000006</v>
      </c>
      <c r="GZ93" s="27">
        <v>21.400000000000006</v>
      </c>
      <c r="HA93" s="27">
        <v>21.400000000000006</v>
      </c>
      <c r="HB93" s="27">
        <v>21.400000000000006</v>
      </c>
      <c r="HC93" s="27">
        <v>21.400000000000006</v>
      </c>
      <c r="HD93" s="27">
        <v>21.400000000000006</v>
      </c>
      <c r="HE93" s="129">
        <v>10.8</v>
      </c>
      <c r="HG93" s="27">
        <v>28.599999999999994</v>
      </c>
      <c r="HH93" s="27">
        <v>28.599999999999994</v>
      </c>
      <c r="HI93" s="27">
        <v>28.599999999999994</v>
      </c>
      <c r="HJ93" s="27">
        <v>28.599999999999994</v>
      </c>
      <c r="HK93" s="27">
        <v>28.599999999999994</v>
      </c>
      <c r="HL93" s="27">
        <v>28.599999999999994</v>
      </c>
      <c r="HM93" s="27">
        <v>28.599999999999994</v>
      </c>
      <c r="HN93" s="27">
        <v>28.599999999999994</v>
      </c>
      <c r="HO93" s="27">
        <v>28.599999999999994</v>
      </c>
      <c r="HP93" s="129">
        <v>10.8</v>
      </c>
      <c r="HR93" s="27">
        <v>28.599999999999994</v>
      </c>
      <c r="HS93" s="27">
        <v>28.599999999999994</v>
      </c>
      <c r="HT93" s="27">
        <v>28.599999999999994</v>
      </c>
      <c r="HU93" s="27">
        <v>28.599999999999994</v>
      </c>
      <c r="HV93" s="27">
        <v>28.599999999999994</v>
      </c>
      <c r="HW93" s="27">
        <v>28.599999999999994</v>
      </c>
      <c r="HX93" s="27">
        <v>28.599999999999994</v>
      </c>
      <c r="HY93" s="27">
        <v>28.599999999999994</v>
      </c>
      <c r="HZ93" s="27">
        <v>28.599999999999994</v>
      </c>
      <c r="IA93" s="129">
        <v>10.8</v>
      </c>
    </row>
    <row r="94" spans="15:235" ht="19.899999999999999" customHeight="1">
      <c r="O94" s="129">
        <v>23.700000000000006</v>
      </c>
      <c r="P94" s="129">
        <v>23.700000000000006</v>
      </c>
      <c r="Q94" s="129">
        <v>23.700000000000006</v>
      </c>
      <c r="R94" s="129">
        <v>23.700000000000006</v>
      </c>
      <c r="S94" s="129">
        <v>23.700000000000006</v>
      </c>
      <c r="T94" s="129">
        <v>23.700000000000006</v>
      </c>
      <c r="U94" s="129">
        <v>23.700000000000006</v>
      </c>
      <c r="V94" s="129">
        <v>23.700000000000006</v>
      </c>
      <c r="W94" s="129">
        <v>23.700000000000006</v>
      </c>
      <c r="X94" s="129">
        <v>8.9000000000000092</v>
      </c>
      <c r="Y94" s="27"/>
      <c r="Z94" s="129">
        <v>45.599999999999987</v>
      </c>
      <c r="AA94" s="129">
        <v>45.599999999999987</v>
      </c>
      <c r="AB94" s="129">
        <v>45.599999999999987</v>
      </c>
      <c r="AC94" s="129">
        <v>45.599999999999987</v>
      </c>
      <c r="AD94" s="129">
        <v>45.599999999999987</v>
      </c>
      <c r="AE94" s="129">
        <v>45.599999999999987</v>
      </c>
      <c r="AF94" s="129">
        <v>45.599999999999987</v>
      </c>
      <c r="AG94" s="129">
        <v>45.599999999999987</v>
      </c>
      <c r="AH94" s="129">
        <v>45.599999999999987</v>
      </c>
      <c r="AI94" s="129">
        <v>8.9000000000000092</v>
      </c>
      <c r="AK94" s="129">
        <v>54.699999999999974</v>
      </c>
      <c r="AL94" s="129">
        <v>54.699999999999974</v>
      </c>
      <c r="AM94" s="129">
        <v>54.699999999999974</v>
      </c>
      <c r="AN94" s="129">
        <v>54.699999999999974</v>
      </c>
      <c r="AO94" s="129">
        <v>54.699999999999974</v>
      </c>
      <c r="AP94" s="129">
        <v>54.699999999999974</v>
      </c>
      <c r="AQ94" s="129">
        <v>54.699999999999974</v>
      </c>
      <c r="AR94" s="129">
        <v>54.699999999999974</v>
      </c>
      <c r="AS94" s="129">
        <v>54.699999999999974</v>
      </c>
      <c r="AT94" s="129">
        <v>8.9000000000000092</v>
      </c>
      <c r="AV94" s="129">
        <v>56.699999999999974</v>
      </c>
      <c r="AW94" s="129">
        <v>56.699999999999974</v>
      </c>
      <c r="AX94" s="129">
        <v>56.699999999999974</v>
      </c>
      <c r="AY94" s="129">
        <v>56.699999999999974</v>
      </c>
      <c r="AZ94" s="129">
        <v>56.699999999999974</v>
      </c>
      <c r="BA94" s="129">
        <v>56.699999999999974</v>
      </c>
      <c r="BB94" s="129">
        <v>56.699999999999974</v>
      </c>
      <c r="BC94" s="129">
        <v>56.699999999999974</v>
      </c>
      <c r="BD94" s="129">
        <v>56.699999999999974</v>
      </c>
      <c r="BE94" s="129">
        <v>8.9000000000000092</v>
      </c>
      <c r="BG94" s="129">
        <v>89.100000000000051</v>
      </c>
      <c r="BH94" s="129">
        <v>89.100000000000051</v>
      </c>
      <c r="BI94" s="129">
        <v>89.100000000000051</v>
      </c>
      <c r="BJ94" s="129">
        <v>89.100000000000051</v>
      </c>
      <c r="BK94" s="129">
        <v>89.100000000000051</v>
      </c>
      <c r="BL94" s="129">
        <v>89.100000000000051</v>
      </c>
      <c r="BM94" s="129">
        <v>89.100000000000051</v>
      </c>
      <c r="BN94" s="129">
        <v>89.100000000000051</v>
      </c>
      <c r="BO94" s="129">
        <v>89.100000000000051</v>
      </c>
      <c r="BP94" s="129">
        <v>8.9000000000000092</v>
      </c>
      <c r="BR94" s="129">
        <v>89.100000000000051</v>
      </c>
      <c r="BS94" s="129">
        <v>89.100000000000051</v>
      </c>
      <c r="BT94" s="129">
        <v>89.100000000000051</v>
      </c>
      <c r="BU94" s="129">
        <v>89.100000000000051</v>
      </c>
      <c r="BV94" s="129">
        <v>89.100000000000051</v>
      </c>
      <c r="BW94" s="129">
        <v>89.100000000000051</v>
      </c>
      <c r="BX94" s="129">
        <v>89.100000000000051</v>
      </c>
      <c r="BY94" s="129">
        <v>89.100000000000051</v>
      </c>
      <c r="BZ94" s="129">
        <v>89.100000000000051</v>
      </c>
      <c r="CA94" s="129">
        <v>8.9000000000000092</v>
      </c>
      <c r="CC94" s="129">
        <v>21.299999999999994</v>
      </c>
      <c r="CD94" s="129">
        <v>21.299999999999994</v>
      </c>
      <c r="CE94" s="129">
        <v>21.299999999999994</v>
      </c>
      <c r="CF94" s="129">
        <v>21.299999999999994</v>
      </c>
      <c r="CG94" s="129">
        <v>21.299999999999994</v>
      </c>
      <c r="CH94" s="129">
        <v>21.299999999999994</v>
      </c>
      <c r="CI94" s="129">
        <v>21.299999999999994</v>
      </c>
      <c r="CJ94" s="129">
        <v>21.299999999999994</v>
      </c>
      <c r="CK94" s="129">
        <v>21.299999999999994</v>
      </c>
      <c r="CL94" s="129">
        <v>8.9000000000000092</v>
      </c>
      <c r="CN94" s="129">
        <v>25.299999999999994</v>
      </c>
      <c r="CO94" s="129">
        <v>25.299999999999994</v>
      </c>
      <c r="CP94" s="129">
        <v>25.299999999999994</v>
      </c>
      <c r="CQ94" s="129">
        <v>25.299999999999994</v>
      </c>
      <c r="CR94" s="129">
        <v>25.299999999999994</v>
      </c>
      <c r="CS94" s="129">
        <v>25.299999999999994</v>
      </c>
      <c r="CT94" s="129">
        <v>25.299999999999994</v>
      </c>
      <c r="CU94" s="129">
        <v>25.299999999999994</v>
      </c>
      <c r="CV94" s="129">
        <v>25.299999999999994</v>
      </c>
      <c r="CW94" s="129">
        <v>8.9000000000000092</v>
      </c>
      <c r="CY94" s="129">
        <v>35.400000000000013</v>
      </c>
      <c r="CZ94" s="129">
        <v>35.400000000000013</v>
      </c>
      <c r="DA94" s="129">
        <v>35.400000000000013</v>
      </c>
      <c r="DB94" s="129">
        <v>35.400000000000013</v>
      </c>
      <c r="DC94" s="129">
        <v>35.400000000000013</v>
      </c>
      <c r="DD94" s="129">
        <v>35.400000000000013</v>
      </c>
      <c r="DE94" s="129">
        <v>35.400000000000013</v>
      </c>
      <c r="DF94" s="129">
        <v>35.400000000000013</v>
      </c>
      <c r="DG94" s="129">
        <v>35.400000000000013</v>
      </c>
      <c r="DH94" s="129">
        <v>8.9000000000000092</v>
      </c>
      <c r="DJ94" s="129">
        <v>35.400000000000013</v>
      </c>
      <c r="DK94" s="129">
        <v>35.400000000000013</v>
      </c>
      <c r="DL94" s="129">
        <v>35.400000000000013</v>
      </c>
      <c r="DM94" s="129">
        <v>35.400000000000013</v>
      </c>
      <c r="DN94" s="129">
        <v>35.400000000000013</v>
      </c>
      <c r="DO94" s="129">
        <v>35.400000000000013</v>
      </c>
      <c r="DP94" s="129">
        <v>35.400000000000013</v>
      </c>
      <c r="DQ94" s="129">
        <v>35.400000000000013</v>
      </c>
      <c r="DR94" s="129">
        <v>35.400000000000013</v>
      </c>
      <c r="DS94" s="129">
        <v>8.9000000000000092</v>
      </c>
      <c r="DW94" s="27">
        <v>22.200000000000006</v>
      </c>
      <c r="DX94" s="27">
        <v>22.200000000000006</v>
      </c>
      <c r="DY94" s="27">
        <v>22.200000000000006</v>
      </c>
      <c r="DZ94" s="27">
        <v>22.200000000000006</v>
      </c>
      <c r="EA94" s="27">
        <v>22.200000000000006</v>
      </c>
      <c r="EB94" s="27">
        <v>22.200000000000006</v>
      </c>
      <c r="EC94" s="27">
        <v>22.200000000000006</v>
      </c>
      <c r="ED94" s="27">
        <v>22.200000000000006</v>
      </c>
      <c r="EE94" s="27">
        <v>22.200000000000006</v>
      </c>
      <c r="EF94" s="129">
        <v>10.9</v>
      </c>
      <c r="EH94" s="27">
        <v>37.400000000000013</v>
      </c>
      <c r="EI94" s="27">
        <v>37.400000000000013</v>
      </c>
      <c r="EJ94" s="27">
        <v>37.400000000000013</v>
      </c>
      <c r="EK94" s="27">
        <v>37.400000000000013</v>
      </c>
      <c r="EL94" s="27">
        <v>37.400000000000013</v>
      </c>
      <c r="EM94" s="27">
        <v>37.400000000000013</v>
      </c>
      <c r="EN94" s="27">
        <v>37.400000000000013</v>
      </c>
      <c r="EO94" s="27">
        <v>37.400000000000013</v>
      </c>
      <c r="EP94" s="27">
        <v>37.400000000000013</v>
      </c>
      <c r="EQ94" s="129">
        <v>10.9</v>
      </c>
      <c r="ES94" s="27">
        <v>44.5</v>
      </c>
      <c r="ET94" s="27">
        <v>44.5</v>
      </c>
      <c r="EU94" s="27">
        <v>44.5</v>
      </c>
      <c r="EV94" s="27">
        <v>44.5</v>
      </c>
      <c r="EW94" s="27">
        <v>44.5</v>
      </c>
      <c r="EX94" s="27">
        <v>44.5</v>
      </c>
      <c r="EY94" s="27">
        <v>44.5</v>
      </c>
      <c r="EZ94" s="27">
        <v>44.5</v>
      </c>
      <c r="FA94" s="27">
        <v>44.5</v>
      </c>
      <c r="FB94" s="129">
        <v>10.9</v>
      </c>
      <c r="FD94" s="27">
        <v>46.5</v>
      </c>
      <c r="FE94" s="27">
        <v>46.5</v>
      </c>
      <c r="FF94" s="27">
        <v>46.5</v>
      </c>
      <c r="FG94" s="27">
        <v>46.5</v>
      </c>
      <c r="FH94" s="27">
        <v>46.5</v>
      </c>
      <c r="FI94" s="27">
        <v>46.5</v>
      </c>
      <c r="FJ94" s="27">
        <v>46.5</v>
      </c>
      <c r="FK94" s="27">
        <v>46.5</v>
      </c>
      <c r="FL94" s="27">
        <v>46.5</v>
      </c>
      <c r="FM94" s="129">
        <v>10.9</v>
      </c>
      <c r="FO94" s="27">
        <v>72.699999999999974</v>
      </c>
      <c r="FP94" s="27">
        <v>72.699999999999974</v>
      </c>
      <c r="FQ94" s="27">
        <v>72.699999999999974</v>
      </c>
      <c r="FR94" s="27">
        <v>72.699999999999974</v>
      </c>
      <c r="FS94" s="27">
        <v>72.699999999999974</v>
      </c>
      <c r="FT94" s="27">
        <v>72.699999999999974</v>
      </c>
      <c r="FU94" s="27">
        <v>72.699999999999974</v>
      </c>
      <c r="FV94" s="27">
        <v>72.699999999999974</v>
      </c>
      <c r="FW94" s="27">
        <v>72.699999999999974</v>
      </c>
      <c r="FX94" s="129">
        <v>10.9</v>
      </c>
      <c r="FZ94" s="27">
        <v>72.699999999999974</v>
      </c>
      <c r="GA94" s="27">
        <v>72.699999999999974</v>
      </c>
      <c r="GB94" s="27">
        <v>72.699999999999974</v>
      </c>
      <c r="GC94" s="27">
        <v>72.699999999999974</v>
      </c>
      <c r="GD94" s="27">
        <v>72.699999999999974</v>
      </c>
      <c r="GE94" s="27">
        <v>72.699999999999974</v>
      </c>
      <c r="GF94" s="27">
        <v>72.699999999999974</v>
      </c>
      <c r="GG94" s="27">
        <v>72.699999999999974</v>
      </c>
      <c r="GH94" s="27">
        <v>72.699999999999974</v>
      </c>
      <c r="GI94" s="129">
        <v>10.9</v>
      </c>
      <c r="GJ94" s="27"/>
      <c r="GK94" s="27">
        <v>17.200000000000006</v>
      </c>
      <c r="GL94" s="27">
        <v>17.200000000000006</v>
      </c>
      <c r="GM94" s="27">
        <v>17.200000000000006</v>
      </c>
      <c r="GN94" s="27">
        <v>17.200000000000006</v>
      </c>
      <c r="GO94" s="27">
        <v>17.200000000000006</v>
      </c>
      <c r="GP94" s="27">
        <v>17.200000000000006</v>
      </c>
      <c r="GQ94" s="27">
        <v>17.200000000000006</v>
      </c>
      <c r="GR94" s="27">
        <v>17.200000000000006</v>
      </c>
      <c r="GS94" s="27">
        <v>17.200000000000006</v>
      </c>
      <c r="GT94" s="129">
        <v>10.9</v>
      </c>
      <c r="GV94" s="27">
        <v>21.200000000000006</v>
      </c>
      <c r="GW94" s="27">
        <v>21.200000000000006</v>
      </c>
      <c r="GX94" s="27">
        <v>21.200000000000006</v>
      </c>
      <c r="GY94" s="27">
        <v>21.200000000000006</v>
      </c>
      <c r="GZ94" s="27">
        <v>21.200000000000006</v>
      </c>
      <c r="HA94" s="27">
        <v>21.200000000000006</v>
      </c>
      <c r="HB94" s="27">
        <v>21.200000000000006</v>
      </c>
      <c r="HC94" s="27">
        <v>21.200000000000006</v>
      </c>
      <c r="HD94" s="27">
        <v>21.200000000000006</v>
      </c>
      <c r="HE94" s="129">
        <v>10.9</v>
      </c>
      <c r="HG94" s="27">
        <v>28.299999999999994</v>
      </c>
      <c r="HH94" s="27">
        <v>28.299999999999994</v>
      </c>
      <c r="HI94" s="27">
        <v>28.299999999999994</v>
      </c>
      <c r="HJ94" s="27">
        <v>28.299999999999994</v>
      </c>
      <c r="HK94" s="27">
        <v>28.299999999999994</v>
      </c>
      <c r="HL94" s="27">
        <v>28.299999999999994</v>
      </c>
      <c r="HM94" s="27">
        <v>28.299999999999994</v>
      </c>
      <c r="HN94" s="27">
        <v>28.299999999999994</v>
      </c>
      <c r="HO94" s="27">
        <v>28.299999999999994</v>
      </c>
      <c r="HP94" s="129">
        <v>10.9</v>
      </c>
      <c r="HR94" s="27">
        <v>28.299999999999994</v>
      </c>
      <c r="HS94" s="27">
        <v>28.299999999999994</v>
      </c>
      <c r="HT94" s="27">
        <v>28.299999999999994</v>
      </c>
      <c r="HU94" s="27">
        <v>28.299999999999994</v>
      </c>
      <c r="HV94" s="27">
        <v>28.299999999999994</v>
      </c>
      <c r="HW94" s="27">
        <v>28.299999999999994</v>
      </c>
      <c r="HX94" s="27">
        <v>28.299999999999994</v>
      </c>
      <c r="HY94" s="27">
        <v>28.299999999999994</v>
      </c>
      <c r="HZ94" s="27">
        <v>28.299999999999994</v>
      </c>
      <c r="IA94" s="129">
        <v>10.9</v>
      </c>
    </row>
    <row r="95" spans="15:235" ht="19.899999999999999" customHeight="1">
      <c r="O95" s="129">
        <v>23</v>
      </c>
      <c r="P95" s="129">
        <v>23</v>
      </c>
      <c r="Q95" s="129">
        <v>23</v>
      </c>
      <c r="R95" s="129">
        <v>23</v>
      </c>
      <c r="S95" s="129">
        <v>23</v>
      </c>
      <c r="T95" s="129">
        <v>23</v>
      </c>
      <c r="U95" s="129">
        <v>23</v>
      </c>
      <c r="V95" s="129">
        <v>23</v>
      </c>
      <c r="W95" s="129">
        <v>23</v>
      </c>
      <c r="X95" s="129">
        <v>9.0000000000000107</v>
      </c>
      <c r="Y95" s="27"/>
      <c r="Z95" s="129">
        <v>45</v>
      </c>
      <c r="AA95" s="129">
        <v>45</v>
      </c>
      <c r="AB95" s="129">
        <v>45</v>
      </c>
      <c r="AC95" s="129">
        <v>45</v>
      </c>
      <c r="AD95" s="129">
        <v>45</v>
      </c>
      <c r="AE95" s="129">
        <v>45</v>
      </c>
      <c r="AF95" s="129">
        <v>45</v>
      </c>
      <c r="AG95" s="129">
        <v>45</v>
      </c>
      <c r="AH95" s="129">
        <v>45</v>
      </c>
      <c r="AI95" s="129">
        <v>9.0000000000000107</v>
      </c>
      <c r="AK95" s="129">
        <v>54</v>
      </c>
      <c r="AL95" s="129">
        <v>54</v>
      </c>
      <c r="AM95" s="129">
        <v>54</v>
      </c>
      <c r="AN95" s="129">
        <v>54</v>
      </c>
      <c r="AO95" s="129">
        <v>54</v>
      </c>
      <c r="AP95" s="129">
        <v>54</v>
      </c>
      <c r="AQ95" s="129">
        <v>54</v>
      </c>
      <c r="AR95" s="129">
        <v>54</v>
      </c>
      <c r="AS95" s="129">
        <v>54</v>
      </c>
      <c r="AT95" s="129">
        <v>9.0000000000000107</v>
      </c>
      <c r="AV95" s="129">
        <v>56</v>
      </c>
      <c r="AW95" s="129">
        <v>56</v>
      </c>
      <c r="AX95" s="129">
        <v>56</v>
      </c>
      <c r="AY95" s="129">
        <v>56</v>
      </c>
      <c r="AZ95" s="129">
        <v>56</v>
      </c>
      <c r="BA95" s="129">
        <v>56</v>
      </c>
      <c r="BB95" s="129">
        <v>56</v>
      </c>
      <c r="BC95" s="129">
        <v>56</v>
      </c>
      <c r="BD95" s="129">
        <v>56</v>
      </c>
      <c r="BE95" s="129">
        <v>9.0000000000000107</v>
      </c>
      <c r="BG95" s="129">
        <v>88</v>
      </c>
      <c r="BH95" s="129">
        <v>88</v>
      </c>
      <c r="BI95" s="129">
        <v>88</v>
      </c>
      <c r="BJ95" s="129">
        <v>88</v>
      </c>
      <c r="BK95" s="129">
        <v>88</v>
      </c>
      <c r="BL95" s="129">
        <v>88</v>
      </c>
      <c r="BM95" s="129">
        <v>88</v>
      </c>
      <c r="BN95" s="129">
        <v>88</v>
      </c>
      <c r="BO95" s="129">
        <v>88</v>
      </c>
      <c r="BP95" s="129">
        <v>9.0000000000000107</v>
      </c>
      <c r="BR95" s="129">
        <v>88</v>
      </c>
      <c r="BS95" s="129">
        <v>88</v>
      </c>
      <c r="BT95" s="129">
        <v>88</v>
      </c>
      <c r="BU95" s="129">
        <v>88</v>
      </c>
      <c r="BV95" s="129">
        <v>88</v>
      </c>
      <c r="BW95" s="129">
        <v>88</v>
      </c>
      <c r="BX95" s="129">
        <v>88</v>
      </c>
      <c r="BY95" s="129">
        <v>88</v>
      </c>
      <c r="BZ95" s="129">
        <v>88</v>
      </c>
      <c r="CA95" s="129">
        <v>9.0000000000000107</v>
      </c>
      <c r="CC95" s="129">
        <v>21</v>
      </c>
      <c r="CD95" s="129">
        <v>21</v>
      </c>
      <c r="CE95" s="129">
        <v>21</v>
      </c>
      <c r="CF95" s="129">
        <v>21</v>
      </c>
      <c r="CG95" s="129">
        <v>21</v>
      </c>
      <c r="CH95" s="129">
        <v>21</v>
      </c>
      <c r="CI95" s="129">
        <v>21</v>
      </c>
      <c r="CJ95" s="129">
        <v>21</v>
      </c>
      <c r="CK95" s="129">
        <v>21</v>
      </c>
      <c r="CL95" s="129">
        <v>9.0000000000000107</v>
      </c>
      <c r="CN95" s="129">
        <v>25</v>
      </c>
      <c r="CO95" s="129">
        <v>25</v>
      </c>
      <c r="CP95" s="129">
        <v>25</v>
      </c>
      <c r="CQ95" s="129">
        <v>25</v>
      </c>
      <c r="CR95" s="129">
        <v>25</v>
      </c>
      <c r="CS95" s="129">
        <v>25</v>
      </c>
      <c r="CT95" s="129">
        <v>25</v>
      </c>
      <c r="CU95" s="129">
        <v>25</v>
      </c>
      <c r="CV95" s="129">
        <v>25</v>
      </c>
      <c r="CW95" s="129">
        <v>9.0000000000000107</v>
      </c>
      <c r="CY95" s="129">
        <v>35</v>
      </c>
      <c r="CZ95" s="129">
        <v>35</v>
      </c>
      <c r="DA95" s="129">
        <v>35</v>
      </c>
      <c r="DB95" s="129">
        <v>35</v>
      </c>
      <c r="DC95" s="129">
        <v>35</v>
      </c>
      <c r="DD95" s="129">
        <v>35</v>
      </c>
      <c r="DE95" s="129">
        <v>35</v>
      </c>
      <c r="DF95" s="129">
        <v>35</v>
      </c>
      <c r="DG95" s="129">
        <v>35</v>
      </c>
      <c r="DH95" s="129">
        <v>9.0000000000000107</v>
      </c>
      <c r="DJ95" s="129">
        <v>35</v>
      </c>
      <c r="DK95" s="129">
        <v>35</v>
      </c>
      <c r="DL95" s="129">
        <v>35</v>
      </c>
      <c r="DM95" s="129">
        <v>35</v>
      </c>
      <c r="DN95" s="129">
        <v>35</v>
      </c>
      <c r="DO95" s="129">
        <v>35</v>
      </c>
      <c r="DP95" s="129">
        <v>35</v>
      </c>
      <c r="DQ95" s="129">
        <v>35</v>
      </c>
      <c r="DR95" s="129">
        <v>35</v>
      </c>
      <c r="DS95" s="129">
        <v>9.0000000000000107</v>
      </c>
      <c r="DW95" s="27">
        <v>22</v>
      </c>
      <c r="DX95" s="27">
        <v>22</v>
      </c>
      <c r="DY95" s="27">
        <v>22</v>
      </c>
      <c r="DZ95" s="27">
        <v>22</v>
      </c>
      <c r="EA95" s="27">
        <v>22</v>
      </c>
      <c r="EB95" s="27">
        <v>22</v>
      </c>
      <c r="EC95" s="27">
        <v>22</v>
      </c>
      <c r="ED95" s="27">
        <v>22</v>
      </c>
      <c r="EE95" s="27">
        <v>22</v>
      </c>
      <c r="EF95" s="129">
        <v>11</v>
      </c>
      <c r="EH95" s="27">
        <v>37</v>
      </c>
      <c r="EI95" s="27">
        <v>37</v>
      </c>
      <c r="EJ95" s="27">
        <v>37</v>
      </c>
      <c r="EK95" s="27">
        <v>37</v>
      </c>
      <c r="EL95" s="27">
        <v>37</v>
      </c>
      <c r="EM95" s="27">
        <v>37</v>
      </c>
      <c r="EN95" s="27">
        <v>37</v>
      </c>
      <c r="EO95" s="27">
        <v>37</v>
      </c>
      <c r="EP95" s="27">
        <v>37</v>
      </c>
      <c r="EQ95" s="129">
        <v>11</v>
      </c>
      <c r="ES95" s="27">
        <v>44</v>
      </c>
      <c r="ET95" s="27">
        <v>44</v>
      </c>
      <c r="EU95" s="27">
        <v>44</v>
      </c>
      <c r="EV95" s="27">
        <v>44</v>
      </c>
      <c r="EW95" s="27">
        <v>44</v>
      </c>
      <c r="EX95" s="27">
        <v>44</v>
      </c>
      <c r="EY95" s="27">
        <v>44</v>
      </c>
      <c r="EZ95" s="27">
        <v>44</v>
      </c>
      <c r="FA95" s="27">
        <v>44</v>
      </c>
      <c r="FB95" s="129">
        <v>11</v>
      </c>
      <c r="FD95" s="27">
        <v>46</v>
      </c>
      <c r="FE95" s="27">
        <v>46</v>
      </c>
      <c r="FF95" s="27">
        <v>46</v>
      </c>
      <c r="FG95" s="27">
        <v>46</v>
      </c>
      <c r="FH95" s="27">
        <v>46</v>
      </c>
      <c r="FI95" s="27">
        <v>46</v>
      </c>
      <c r="FJ95" s="27">
        <v>46</v>
      </c>
      <c r="FK95" s="27">
        <v>46</v>
      </c>
      <c r="FL95" s="27">
        <v>46</v>
      </c>
      <c r="FM95" s="129">
        <v>11</v>
      </c>
      <c r="FO95" s="27">
        <v>72</v>
      </c>
      <c r="FP95" s="27">
        <v>72</v>
      </c>
      <c r="FQ95" s="27">
        <v>72</v>
      </c>
      <c r="FR95" s="27">
        <v>72</v>
      </c>
      <c r="FS95" s="27">
        <v>72</v>
      </c>
      <c r="FT95" s="27">
        <v>72</v>
      </c>
      <c r="FU95" s="27">
        <v>72</v>
      </c>
      <c r="FV95" s="27">
        <v>72</v>
      </c>
      <c r="FW95" s="27">
        <v>72</v>
      </c>
      <c r="FX95" s="129">
        <v>11</v>
      </c>
      <c r="FZ95" s="27">
        <v>72</v>
      </c>
      <c r="GA95" s="27">
        <v>72</v>
      </c>
      <c r="GB95" s="27">
        <v>72</v>
      </c>
      <c r="GC95" s="27">
        <v>72</v>
      </c>
      <c r="GD95" s="27">
        <v>72</v>
      </c>
      <c r="GE95" s="27">
        <v>72</v>
      </c>
      <c r="GF95" s="27">
        <v>72</v>
      </c>
      <c r="GG95" s="27">
        <v>72</v>
      </c>
      <c r="GH95" s="27">
        <v>72</v>
      </c>
      <c r="GI95" s="129">
        <v>11</v>
      </c>
      <c r="GJ95" s="27"/>
      <c r="GK95" s="27">
        <v>17</v>
      </c>
      <c r="GL95" s="27">
        <v>17</v>
      </c>
      <c r="GM95" s="27">
        <v>17</v>
      </c>
      <c r="GN95" s="27">
        <v>17</v>
      </c>
      <c r="GO95" s="27">
        <v>17</v>
      </c>
      <c r="GP95" s="27">
        <v>17</v>
      </c>
      <c r="GQ95" s="27">
        <v>17</v>
      </c>
      <c r="GR95" s="27">
        <v>17</v>
      </c>
      <c r="GS95" s="27">
        <v>17</v>
      </c>
      <c r="GT95" s="129">
        <v>11</v>
      </c>
      <c r="GV95" s="27">
        <v>21</v>
      </c>
      <c r="GW95" s="27">
        <v>21</v>
      </c>
      <c r="GX95" s="27">
        <v>21</v>
      </c>
      <c r="GY95" s="27">
        <v>21</v>
      </c>
      <c r="GZ95" s="27">
        <v>21</v>
      </c>
      <c r="HA95" s="27">
        <v>21</v>
      </c>
      <c r="HB95" s="27">
        <v>21</v>
      </c>
      <c r="HC95" s="27">
        <v>21</v>
      </c>
      <c r="HD95" s="27">
        <v>21</v>
      </c>
      <c r="HE95" s="129">
        <v>11</v>
      </c>
      <c r="HG95" s="27">
        <v>28</v>
      </c>
      <c r="HH95" s="27">
        <v>28</v>
      </c>
      <c r="HI95" s="27">
        <v>28</v>
      </c>
      <c r="HJ95" s="27">
        <v>28</v>
      </c>
      <c r="HK95" s="27">
        <v>28</v>
      </c>
      <c r="HL95" s="27">
        <v>28</v>
      </c>
      <c r="HM95" s="27">
        <v>28</v>
      </c>
      <c r="HN95" s="27">
        <v>28</v>
      </c>
      <c r="HO95" s="27">
        <v>28</v>
      </c>
      <c r="HP95" s="129">
        <v>11</v>
      </c>
      <c r="HR95" s="27">
        <v>28</v>
      </c>
      <c r="HS95" s="27">
        <v>28</v>
      </c>
      <c r="HT95" s="27">
        <v>28</v>
      </c>
      <c r="HU95" s="27">
        <v>28</v>
      </c>
      <c r="HV95" s="27">
        <v>28</v>
      </c>
      <c r="HW95" s="27">
        <v>28</v>
      </c>
      <c r="HX95" s="27">
        <v>28</v>
      </c>
      <c r="HY95" s="27">
        <v>28</v>
      </c>
      <c r="HZ95" s="27">
        <v>28</v>
      </c>
      <c r="IA95" s="129">
        <v>11</v>
      </c>
    </row>
    <row r="96" spans="15:235" ht="19.899999999999999" customHeight="1">
      <c r="O96" s="129">
        <v>22.4</v>
      </c>
      <c r="P96" s="129">
        <v>22.4</v>
      </c>
      <c r="Q96" s="129">
        <v>22.4</v>
      </c>
      <c r="R96" s="129">
        <v>22.4</v>
      </c>
      <c r="S96" s="129">
        <v>22.4</v>
      </c>
      <c r="T96" s="129">
        <v>22.4</v>
      </c>
      <c r="U96" s="129">
        <v>22.4</v>
      </c>
      <c r="V96" s="129">
        <v>22.4</v>
      </c>
      <c r="W96" s="129">
        <v>22.4</v>
      </c>
      <c r="X96" s="129">
        <v>9.1000000000000103</v>
      </c>
      <c r="Y96" s="27"/>
      <c r="Z96" s="129">
        <v>44</v>
      </c>
      <c r="AA96" s="129">
        <v>44</v>
      </c>
      <c r="AB96" s="129">
        <v>44</v>
      </c>
      <c r="AC96" s="129">
        <v>44</v>
      </c>
      <c r="AD96" s="129">
        <v>44</v>
      </c>
      <c r="AE96" s="129">
        <v>44</v>
      </c>
      <c r="AF96" s="129">
        <v>44</v>
      </c>
      <c r="AG96" s="129">
        <v>44</v>
      </c>
      <c r="AH96" s="129">
        <v>44</v>
      </c>
      <c r="AI96" s="129">
        <v>9.1000000000000103</v>
      </c>
      <c r="AK96" s="129">
        <v>53.5</v>
      </c>
      <c r="AL96" s="129">
        <v>53.5</v>
      </c>
      <c r="AM96" s="129">
        <v>53.5</v>
      </c>
      <c r="AN96" s="129">
        <v>53.5</v>
      </c>
      <c r="AO96" s="129">
        <v>53.5</v>
      </c>
      <c r="AP96" s="129">
        <v>53.5</v>
      </c>
      <c r="AQ96" s="129">
        <v>53.5</v>
      </c>
      <c r="AR96" s="129">
        <v>53.5</v>
      </c>
      <c r="AS96" s="129">
        <v>53.5</v>
      </c>
      <c r="AT96" s="129">
        <v>9.1000000000000103</v>
      </c>
      <c r="AV96" s="129">
        <v>55.5</v>
      </c>
      <c r="AW96" s="129">
        <v>55.5</v>
      </c>
      <c r="AX96" s="129">
        <v>55.5</v>
      </c>
      <c r="AY96" s="129">
        <v>55.5</v>
      </c>
      <c r="AZ96" s="129">
        <v>55.5</v>
      </c>
      <c r="BA96" s="129">
        <v>55.5</v>
      </c>
      <c r="BB96" s="129">
        <v>55.5</v>
      </c>
      <c r="BC96" s="129">
        <v>55.5</v>
      </c>
      <c r="BD96" s="129">
        <v>55.5</v>
      </c>
      <c r="BE96" s="129">
        <v>9.1000000000000103</v>
      </c>
      <c r="BG96" s="129">
        <v>87.1</v>
      </c>
      <c r="BH96" s="129">
        <v>87.1</v>
      </c>
      <c r="BI96" s="129">
        <v>87.1</v>
      </c>
      <c r="BJ96" s="129">
        <v>87.1</v>
      </c>
      <c r="BK96" s="129">
        <v>87.1</v>
      </c>
      <c r="BL96" s="129">
        <v>87.1</v>
      </c>
      <c r="BM96" s="129">
        <v>87.1</v>
      </c>
      <c r="BN96" s="129">
        <v>87.1</v>
      </c>
      <c r="BO96" s="129">
        <v>87.1</v>
      </c>
      <c r="BP96" s="129">
        <v>9.1000000000000103</v>
      </c>
      <c r="BR96" s="129">
        <v>87.1</v>
      </c>
      <c r="BS96" s="129">
        <v>87.1</v>
      </c>
      <c r="BT96" s="129">
        <v>87.1</v>
      </c>
      <c r="BU96" s="129">
        <v>87.1</v>
      </c>
      <c r="BV96" s="129">
        <v>87.1</v>
      </c>
      <c r="BW96" s="129">
        <v>87.1</v>
      </c>
      <c r="BX96" s="129">
        <v>87.1</v>
      </c>
      <c r="BY96" s="129">
        <v>87.1</v>
      </c>
      <c r="BZ96" s="129">
        <v>87.1</v>
      </c>
      <c r="CA96" s="129">
        <v>9.1000000000000103</v>
      </c>
      <c r="CC96" s="129">
        <v>20.8</v>
      </c>
      <c r="CD96" s="129">
        <v>20.8</v>
      </c>
      <c r="CE96" s="129">
        <v>20.8</v>
      </c>
      <c r="CF96" s="129">
        <v>20.8</v>
      </c>
      <c r="CG96" s="129">
        <v>20.8</v>
      </c>
      <c r="CH96" s="129">
        <v>20.8</v>
      </c>
      <c r="CI96" s="129">
        <v>20.8</v>
      </c>
      <c r="CJ96" s="129">
        <v>20.8</v>
      </c>
      <c r="CK96" s="129">
        <v>20.8</v>
      </c>
      <c r="CL96" s="129">
        <v>9.1000000000000103</v>
      </c>
      <c r="CN96" s="129">
        <v>24.8</v>
      </c>
      <c r="CO96" s="129">
        <v>24.8</v>
      </c>
      <c r="CP96" s="129">
        <v>24.8</v>
      </c>
      <c r="CQ96" s="129">
        <v>24.8</v>
      </c>
      <c r="CR96" s="129">
        <v>24.8</v>
      </c>
      <c r="CS96" s="129">
        <v>24.8</v>
      </c>
      <c r="CT96" s="129">
        <v>24.8</v>
      </c>
      <c r="CU96" s="129">
        <v>24.8</v>
      </c>
      <c r="CV96" s="129">
        <v>24.8</v>
      </c>
      <c r="CW96" s="129">
        <v>9.1000000000000103</v>
      </c>
      <c r="CY96" s="129">
        <v>34.6</v>
      </c>
      <c r="CZ96" s="129">
        <v>34.6</v>
      </c>
      <c r="DA96" s="129">
        <v>34.6</v>
      </c>
      <c r="DB96" s="129">
        <v>34.6</v>
      </c>
      <c r="DC96" s="129">
        <v>34.6</v>
      </c>
      <c r="DD96" s="129">
        <v>34.6</v>
      </c>
      <c r="DE96" s="129">
        <v>34.6</v>
      </c>
      <c r="DF96" s="129">
        <v>34.6</v>
      </c>
      <c r="DG96" s="129">
        <v>34.6</v>
      </c>
      <c r="DH96" s="129">
        <v>9.1000000000000103</v>
      </c>
      <c r="DJ96" s="129">
        <v>34.6</v>
      </c>
      <c r="DK96" s="129">
        <v>34.6</v>
      </c>
      <c r="DL96" s="129">
        <v>34.6</v>
      </c>
      <c r="DM96" s="129">
        <v>34.6</v>
      </c>
      <c r="DN96" s="129">
        <v>34.6</v>
      </c>
      <c r="DO96" s="129">
        <v>34.6</v>
      </c>
      <c r="DP96" s="129">
        <v>34.6</v>
      </c>
      <c r="DQ96" s="129">
        <v>34.6</v>
      </c>
      <c r="DR96" s="129">
        <v>34.6</v>
      </c>
      <c r="DS96" s="129">
        <v>9.1000000000000103</v>
      </c>
      <c r="DW96" s="27">
        <v>21.8</v>
      </c>
      <c r="DX96" s="27">
        <v>21.8</v>
      </c>
      <c r="DY96" s="27">
        <v>21.8</v>
      </c>
      <c r="DZ96" s="27">
        <v>21.8</v>
      </c>
      <c r="EA96" s="27">
        <v>21.8</v>
      </c>
      <c r="EB96" s="27">
        <v>21.8</v>
      </c>
      <c r="EC96" s="27">
        <v>21.8</v>
      </c>
      <c r="ED96" s="27">
        <v>21.8</v>
      </c>
      <c r="EE96" s="27">
        <v>21.8</v>
      </c>
      <c r="EF96" s="129">
        <v>11.1</v>
      </c>
      <c r="EH96" s="27">
        <v>36.700000000000003</v>
      </c>
      <c r="EI96" s="27">
        <v>36.700000000000003</v>
      </c>
      <c r="EJ96" s="27">
        <v>36.700000000000003</v>
      </c>
      <c r="EK96" s="27">
        <v>36.700000000000003</v>
      </c>
      <c r="EL96" s="27">
        <v>36.700000000000003</v>
      </c>
      <c r="EM96" s="27">
        <v>36.700000000000003</v>
      </c>
      <c r="EN96" s="27">
        <v>36.700000000000003</v>
      </c>
      <c r="EO96" s="27">
        <v>36.700000000000003</v>
      </c>
      <c r="EP96" s="27">
        <v>36.700000000000003</v>
      </c>
      <c r="EQ96" s="129">
        <v>11.1</v>
      </c>
      <c r="ES96" s="27">
        <v>43.7</v>
      </c>
      <c r="ET96" s="27">
        <v>43.7</v>
      </c>
      <c r="EU96" s="27">
        <v>43.7</v>
      </c>
      <c r="EV96" s="27">
        <v>43.7</v>
      </c>
      <c r="EW96" s="27">
        <v>43.7</v>
      </c>
      <c r="EX96" s="27">
        <v>43.7</v>
      </c>
      <c r="EY96" s="27">
        <v>43.7</v>
      </c>
      <c r="EZ96" s="27">
        <v>43.7</v>
      </c>
      <c r="FA96" s="27">
        <v>43.7</v>
      </c>
      <c r="FB96" s="129">
        <v>11.1</v>
      </c>
      <c r="FD96" s="27">
        <v>45.6</v>
      </c>
      <c r="FE96" s="27">
        <v>45.6</v>
      </c>
      <c r="FF96" s="27">
        <v>45.6</v>
      </c>
      <c r="FG96" s="27">
        <v>45.6</v>
      </c>
      <c r="FH96" s="27">
        <v>45.6</v>
      </c>
      <c r="FI96" s="27">
        <v>45.6</v>
      </c>
      <c r="FJ96" s="27">
        <v>45.6</v>
      </c>
      <c r="FK96" s="27">
        <v>45.6</v>
      </c>
      <c r="FL96" s="27">
        <v>45.6</v>
      </c>
      <c r="FM96" s="129">
        <v>11.1</v>
      </c>
      <c r="FO96" s="27">
        <v>71.400000000000006</v>
      </c>
      <c r="FP96" s="27">
        <v>71.400000000000006</v>
      </c>
      <c r="FQ96" s="27">
        <v>71.400000000000006</v>
      </c>
      <c r="FR96" s="27">
        <v>71.400000000000006</v>
      </c>
      <c r="FS96" s="27">
        <v>71.400000000000006</v>
      </c>
      <c r="FT96" s="27">
        <v>71.400000000000006</v>
      </c>
      <c r="FU96" s="27">
        <v>71.400000000000006</v>
      </c>
      <c r="FV96" s="27">
        <v>71.400000000000006</v>
      </c>
      <c r="FW96" s="27">
        <v>71.400000000000006</v>
      </c>
      <c r="FX96" s="129">
        <v>11.1</v>
      </c>
      <c r="FZ96" s="27">
        <v>71.400000000000006</v>
      </c>
      <c r="GA96" s="27">
        <v>71.400000000000006</v>
      </c>
      <c r="GB96" s="27">
        <v>71.400000000000006</v>
      </c>
      <c r="GC96" s="27">
        <v>71.400000000000006</v>
      </c>
      <c r="GD96" s="27">
        <v>71.400000000000006</v>
      </c>
      <c r="GE96" s="27">
        <v>71.400000000000006</v>
      </c>
      <c r="GF96" s="27">
        <v>71.400000000000006</v>
      </c>
      <c r="GG96" s="27">
        <v>71.400000000000006</v>
      </c>
      <c r="GH96" s="27">
        <v>71.400000000000006</v>
      </c>
      <c r="GI96" s="129">
        <v>11.1</v>
      </c>
      <c r="GJ96" s="27"/>
      <c r="GK96" s="27">
        <v>16.899999999999999</v>
      </c>
      <c r="GL96" s="27">
        <v>16.899999999999999</v>
      </c>
      <c r="GM96" s="27">
        <v>16.899999999999999</v>
      </c>
      <c r="GN96" s="27">
        <v>16.899999999999999</v>
      </c>
      <c r="GO96" s="27">
        <v>16.899999999999999</v>
      </c>
      <c r="GP96" s="27">
        <v>16.899999999999999</v>
      </c>
      <c r="GQ96" s="27">
        <v>16.899999999999999</v>
      </c>
      <c r="GR96" s="27">
        <v>16.899999999999999</v>
      </c>
      <c r="GS96" s="27">
        <v>16.899999999999999</v>
      </c>
      <c r="GT96" s="129">
        <v>11.1</v>
      </c>
      <c r="GV96" s="27">
        <v>20.8</v>
      </c>
      <c r="GW96" s="27">
        <v>20.8</v>
      </c>
      <c r="GX96" s="27">
        <v>20.8</v>
      </c>
      <c r="GY96" s="27">
        <v>20.8</v>
      </c>
      <c r="GZ96" s="27">
        <v>20.8</v>
      </c>
      <c r="HA96" s="27">
        <v>20.8</v>
      </c>
      <c r="HB96" s="27">
        <v>20.8</v>
      </c>
      <c r="HC96" s="27">
        <v>20.8</v>
      </c>
      <c r="HD96" s="27">
        <v>20.8</v>
      </c>
      <c r="HE96" s="129">
        <v>11.1</v>
      </c>
      <c r="HG96" s="27">
        <v>27.8</v>
      </c>
      <c r="HH96" s="27">
        <v>27.8</v>
      </c>
      <c r="HI96" s="27">
        <v>27.8</v>
      </c>
      <c r="HJ96" s="27">
        <v>27.8</v>
      </c>
      <c r="HK96" s="27">
        <v>27.8</v>
      </c>
      <c r="HL96" s="27">
        <v>27.8</v>
      </c>
      <c r="HM96" s="27">
        <v>27.8</v>
      </c>
      <c r="HN96" s="27">
        <v>27.8</v>
      </c>
      <c r="HO96" s="27">
        <v>27.8</v>
      </c>
      <c r="HP96" s="129">
        <v>11.1</v>
      </c>
      <c r="HR96" s="27">
        <v>27.8</v>
      </c>
      <c r="HS96" s="27">
        <v>27.8</v>
      </c>
      <c r="HT96" s="27">
        <v>27.8</v>
      </c>
      <c r="HU96" s="27">
        <v>27.8</v>
      </c>
      <c r="HV96" s="27">
        <v>27.8</v>
      </c>
      <c r="HW96" s="27">
        <v>27.8</v>
      </c>
      <c r="HX96" s="27">
        <v>27.8</v>
      </c>
      <c r="HY96" s="27">
        <v>27.8</v>
      </c>
      <c r="HZ96" s="27">
        <v>27.8</v>
      </c>
      <c r="IA96" s="129">
        <v>11.1</v>
      </c>
    </row>
    <row r="97" spans="15:235" ht="3" customHeight="1">
      <c r="O97" s="129">
        <v>21.799999999999997</v>
      </c>
      <c r="P97" s="129">
        <v>21.799999999999997</v>
      </c>
      <c r="Q97" s="129">
        <v>21.799999999999997</v>
      </c>
      <c r="R97" s="129">
        <v>21.799999999999997</v>
      </c>
      <c r="S97" s="129">
        <v>21.799999999999997</v>
      </c>
      <c r="T97" s="129">
        <v>21.799999999999997</v>
      </c>
      <c r="U97" s="129">
        <v>21.799999999999997</v>
      </c>
      <c r="V97" s="129">
        <v>21.799999999999997</v>
      </c>
      <c r="W97" s="129">
        <v>21.799999999999997</v>
      </c>
      <c r="X97" s="129">
        <v>9.2000000000000099</v>
      </c>
      <c r="Y97" s="27"/>
      <c r="Z97" s="129">
        <v>43</v>
      </c>
      <c r="AA97" s="129">
        <v>43</v>
      </c>
      <c r="AB97" s="129">
        <v>43</v>
      </c>
      <c r="AC97" s="129">
        <v>43</v>
      </c>
      <c r="AD97" s="129">
        <v>43</v>
      </c>
      <c r="AE97" s="129">
        <v>43</v>
      </c>
      <c r="AF97" s="129">
        <v>43</v>
      </c>
      <c r="AG97" s="129">
        <v>43</v>
      </c>
      <c r="AH97" s="129">
        <v>43</v>
      </c>
      <c r="AI97" s="129">
        <v>9.2000000000000099</v>
      </c>
      <c r="AK97" s="129">
        <v>53</v>
      </c>
      <c r="AL97" s="129">
        <v>53</v>
      </c>
      <c r="AM97" s="129">
        <v>53</v>
      </c>
      <c r="AN97" s="129">
        <v>53</v>
      </c>
      <c r="AO97" s="129">
        <v>53</v>
      </c>
      <c r="AP97" s="129">
        <v>53</v>
      </c>
      <c r="AQ97" s="129">
        <v>53</v>
      </c>
      <c r="AR97" s="129">
        <v>53</v>
      </c>
      <c r="AS97" s="129">
        <v>53</v>
      </c>
      <c r="AT97" s="129">
        <v>9.2000000000000099</v>
      </c>
      <c r="AV97" s="129">
        <v>55</v>
      </c>
      <c r="AW97" s="129">
        <v>55</v>
      </c>
      <c r="AX97" s="129">
        <v>55</v>
      </c>
      <c r="AY97" s="129">
        <v>55</v>
      </c>
      <c r="AZ97" s="129">
        <v>55</v>
      </c>
      <c r="BA97" s="129">
        <v>55</v>
      </c>
      <c r="BB97" s="129">
        <v>55</v>
      </c>
      <c r="BC97" s="129">
        <v>55</v>
      </c>
      <c r="BD97" s="129">
        <v>55</v>
      </c>
      <c r="BE97" s="129">
        <v>9.2000000000000099</v>
      </c>
      <c r="BG97" s="129">
        <v>86.199999999999989</v>
      </c>
      <c r="BH97" s="129">
        <v>86.199999999999989</v>
      </c>
      <c r="BI97" s="129">
        <v>86.199999999999989</v>
      </c>
      <c r="BJ97" s="129">
        <v>86.199999999999989</v>
      </c>
      <c r="BK97" s="129">
        <v>86.199999999999989</v>
      </c>
      <c r="BL97" s="129">
        <v>86.199999999999989</v>
      </c>
      <c r="BM97" s="129">
        <v>86.199999999999989</v>
      </c>
      <c r="BN97" s="129">
        <v>86.199999999999989</v>
      </c>
      <c r="BO97" s="129">
        <v>86.199999999999989</v>
      </c>
      <c r="BP97" s="129">
        <v>9.2000000000000099</v>
      </c>
      <c r="BR97" s="129">
        <v>86.199999999999989</v>
      </c>
      <c r="BS97" s="129">
        <v>86.199999999999989</v>
      </c>
      <c r="BT97" s="129">
        <v>86.199999999999989</v>
      </c>
      <c r="BU97" s="129">
        <v>86.199999999999989</v>
      </c>
      <c r="BV97" s="129">
        <v>86.199999999999989</v>
      </c>
      <c r="BW97" s="129">
        <v>86.199999999999989</v>
      </c>
      <c r="BX97" s="129">
        <v>86.199999999999989</v>
      </c>
      <c r="BY97" s="129">
        <v>86.199999999999989</v>
      </c>
      <c r="BZ97" s="129">
        <v>86.199999999999989</v>
      </c>
      <c r="CA97" s="129">
        <v>9.2000000000000099</v>
      </c>
      <c r="CC97" s="129">
        <v>20.6</v>
      </c>
      <c r="CD97" s="129">
        <v>20.6</v>
      </c>
      <c r="CE97" s="129">
        <v>20.6</v>
      </c>
      <c r="CF97" s="129">
        <v>20.6</v>
      </c>
      <c r="CG97" s="129">
        <v>20.6</v>
      </c>
      <c r="CH97" s="129">
        <v>20.6</v>
      </c>
      <c r="CI97" s="129">
        <v>20.6</v>
      </c>
      <c r="CJ97" s="129">
        <v>20.6</v>
      </c>
      <c r="CK97" s="129">
        <v>20.6</v>
      </c>
      <c r="CL97" s="129">
        <v>9.2000000000000099</v>
      </c>
      <c r="CN97" s="129">
        <v>24.6</v>
      </c>
      <c r="CO97" s="129">
        <v>24.6</v>
      </c>
      <c r="CP97" s="129">
        <v>24.6</v>
      </c>
      <c r="CQ97" s="129">
        <v>24.6</v>
      </c>
      <c r="CR97" s="129">
        <v>24.6</v>
      </c>
      <c r="CS97" s="129">
        <v>24.6</v>
      </c>
      <c r="CT97" s="129">
        <v>24.6</v>
      </c>
      <c r="CU97" s="129">
        <v>24.6</v>
      </c>
      <c r="CV97" s="129">
        <v>24.6</v>
      </c>
      <c r="CW97" s="129">
        <v>9.2000000000000099</v>
      </c>
      <c r="CY97" s="129">
        <v>34.200000000000003</v>
      </c>
      <c r="CZ97" s="129">
        <v>34.200000000000003</v>
      </c>
      <c r="DA97" s="129">
        <v>34.200000000000003</v>
      </c>
      <c r="DB97" s="129">
        <v>34.200000000000003</v>
      </c>
      <c r="DC97" s="129">
        <v>34.200000000000003</v>
      </c>
      <c r="DD97" s="129">
        <v>34.200000000000003</v>
      </c>
      <c r="DE97" s="129">
        <v>34.200000000000003</v>
      </c>
      <c r="DF97" s="129">
        <v>34.200000000000003</v>
      </c>
      <c r="DG97" s="129">
        <v>34.200000000000003</v>
      </c>
      <c r="DH97" s="129">
        <v>9.2000000000000099</v>
      </c>
      <c r="DJ97" s="129">
        <v>34.200000000000003</v>
      </c>
      <c r="DK97" s="129">
        <v>34.200000000000003</v>
      </c>
      <c r="DL97" s="129">
        <v>34.200000000000003</v>
      </c>
      <c r="DM97" s="129">
        <v>34.200000000000003</v>
      </c>
      <c r="DN97" s="129">
        <v>34.200000000000003</v>
      </c>
      <c r="DO97" s="129">
        <v>34.200000000000003</v>
      </c>
      <c r="DP97" s="129">
        <v>34.200000000000003</v>
      </c>
      <c r="DQ97" s="129">
        <v>34.200000000000003</v>
      </c>
      <c r="DR97" s="129">
        <v>34.200000000000003</v>
      </c>
      <c r="DS97" s="129">
        <v>9.2000000000000099</v>
      </c>
      <c r="DW97" s="27">
        <v>21.6</v>
      </c>
      <c r="DX97" s="27">
        <v>21.6</v>
      </c>
      <c r="DY97" s="27">
        <v>21.6</v>
      </c>
      <c r="DZ97" s="27">
        <v>21.6</v>
      </c>
      <c r="EA97" s="27">
        <v>21.6</v>
      </c>
      <c r="EB97" s="27">
        <v>21.6</v>
      </c>
      <c r="EC97" s="27">
        <v>21.6</v>
      </c>
      <c r="ED97" s="27">
        <v>21.6</v>
      </c>
      <c r="EE97" s="27">
        <v>21.6</v>
      </c>
      <c r="EF97" s="129">
        <v>11.2</v>
      </c>
      <c r="EH97" s="27">
        <v>36.400000000000006</v>
      </c>
      <c r="EI97" s="27">
        <v>36.400000000000006</v>
      </c>
      <c r="EJ97" s="27">
        <v>36.400000000000006</v>
      </c>
      <c r="EK97" s="27">
        <v>36.400000000000006</v>
      </c>
      <c r="EL97" s="27">
        <v>36.400000000000006</v>
      </c>
      <c r="EM97" s="27">
        <v>36.400000000000006</v>
      </c>
      <c r="EN97" s="27">
        <v>36.400000000000006</v>
      </c>
      <c r="EO97" s="27">
        <v>36.400000000000006</v>
      </c>
      <c r="EP97" s="27">
        <v>36.400000000000006</v>
      </c>
      <c r="EQ97" s="129">
        <v>11.2</v>
      </c>
      <c r="ES97" s="27">
        <v>43.400000000000006</v>
      </c>
      <c r="ET97" s="27">
        <v>43.400000000000006</v>
      </c>
      <c r="EU97" s="27">
        <v>43.400000000000006</v>
      </c>
      <c r="EV97" s="27">
        <v>43.400000000000006</v>
      </c>
      <c r="EW97" s="27">
        <v>43.400000000000006</v>
      </c>
      <c r="EX97" s="27">
        <v>43.400000000000006</v>
      </c>
      <c r="EY97" s="27">
        <v>43.400000000000006</v>
      </c>
      <c r="EZ97" s="27">
        <v>43.400000000000006</v>
      </c>
      <c r="FA97" s="27">
        <v>43.400000000000006</v>
      </c>
      <c r="FB97" s="129">
        <v>11.2</v>
      </c>
      <c r="FD97" s="27">
        <v>45.2</v>
      </c>
      <c r="FE97" s="27">
        <v>45.2</v>
      </c>
      <c r="FF97" s="27">
        <v>45.2</v>
      </c>
      <c r="FG97" s="27">
        <v>45.2</v>
      </c>
      <c r="FH97" s="27">
        <v>45.2</v>
      </c>
      <c r="FI97" s="27">
        <v>45.2</v>
      </c>
      <c r="FJ97" s="27">
        <v>45.2</v>
      </c>
      <c r="FK97" s="27">
        <v>45.2</v>
      </c>
      <c r="FL97" s="27">
        <v>45.2</v>
      </c>
      <c r="FM97" s="129">
        <v>11.2</v>
      </c>
      <c r="FO97" s="27">
        <v>70.800000000000011</v>
      </c>
      <c r="FP97" s="27">
        <v>70.800000000000011</v>
      </c>
      <c r="FQ97" s="27">
        <v>70.800000000000011</v>
      </c>
      <c r="FR97" s="27">
        <v>70.800000000000011</v>
      </c>
      <c r="FS97" s="27">
        <v>70.800000000000011</v>
      </c>
      <c r="FT97" s="27">
        <v>70.800000000000011</v>
      </c>
      <c r="FU97" s="27">
        <v>70.800000000000011</v>
      </c>
      <c r="FV97" s="27">
        <v>70.800000000000011</v>
      </c>
      <c r="FW97" s="27">
        <v>70.800000000000011</v>
      </c>
      <c r="FX97" s="129">
        <v>11.2</v>
      </c>
      <c r="FZ97" s="27">
        <v>70.800000000000011</v>
      </c>
      <c r="GA97" s="27">
        <v>70.800000000000011</v>
      </c>
      <c r="GB97" s="27">
        <v>70.800000000000011</v>
      </c>
      <c r="GC97" s="27">
        <v>70.800000000000011</v>
      </c>
      <c r="GD97" s="27">
        <v>70.800000000000011</v>
      </c>
      <c r="GE97" s="27">
        <v>70.800000000000011</v>
      </c>
      <c r="GF97" s="27">
        <v>70.800000000000011</v>
      </c>
      <c r="GG97" s="27">
        <v>70.800000000000011</v>
      </c>
      <c r="GH97" s="27">
        <v>70.800000000000011</v>
      </c>
      <c r="GI97" s="129">
        <v>11.2</v>
      </c>
      <c r="GJ97" s="27"/>
      <c r="GK97" s="27">
        <v>16.799999999999997</v>
      </c>
      <c r="GL97" s="27">
        <v>16.799999999999997</v>
      </c>
      <c r="GM97" s="27">
        <v>16.799999999999997</v>
      </c>
      <c r="GN97" s="27">
        <v>16.799999999999997</v>
      </c>
      <c r="GO97" s="27">
        <v>16.799999999999997</v>
      </c>
      <c r="GP97" s="27">
        <v>16.799999999999997</v>
      </c>
      <c r="GQ97" s="27">
        <v>16.799999999999997</v>
      </c>
      <c r="GR97" s="27">
        <v>16.799999999999997</v>
      </c>
      <c r="GS97" s="27">
        <v>16.799999999999997</v>
      </c>
      <c r="GT97" s="129">
        <v>11.2</v>
      </c>
      <c r="GV97" s="27">
        <v>20.6</v>
      </c>
      <c r="GW97" s="27">
        <v>20.6</v>
      </c>
      <c r="GX97" s="27">
        <v>20.6</v>
      </c>
      <c r="GY97" s="27">
        <v>20.6</v>
      </c>
      <c r="GZ97" s="27">
        <v>20.6</v>
      </c>
      <c r="HA97" s="27">
        <v>20.6</v>
      </c>
      <c r="HB97" s="27">
        <v>20.6</v>
      </c>
      <c r="HC97" s="27">
        <v>20.6</v>
      </c>
      <c r="HD97" s="27">
        <v>20.6</v>
      </c>
      <c r="HE97" s="129">
        <v>11.2</v>
      </c>
      <c r="HG97" s="27">
        <v>27.6</v>
      </c>
      <c r="HH97" s="27">
        <v>27.6</v>
      </c>
      <c r="HI97" s="27">
        <v>27.6</v>
      </c>
      <c r="HJ97" s="27">
        <v>27.6</v>
      </c>
      <c r="HK97" s="27">
        <v>27.6</v>
      </c>
      <c r="HL97" s="27">
        <v>27.6</v>
      </c>
      <c r="HM97" s="27">
        <v>27.6</v>
      </c>
      <c r="HN97" s="27">
        <v>27.6</v>
      </c>
      <c r="HO97" s="27">
        <v>27.6</v>
      </c>
      <c r="HP97" s="129">
        <v>11.2</v>
      </c>
      <c r="HR97" s="27">
        <v>27.6</v>
      </c>
      <c r="HS97" s="27">
        <v>27.6</v>
      </c>
      <c r="HT97" s="27">
        <v>27.6</v>
      </c>
      <c r="HU97" s="27">
        <v>27.6</v>
      </c>
      <c r="HV97" s="27">
        <v>27.6</v>
      </c>
      <c r="HW97" s="27">
        <v>27.6</v>
      </c>
      <c r="HX97" s="27">
        <v>27.6</v>
      </c>
      <c r="HY97" s="27">
        <v>27.6</v>
      </c>
      <c r="HZ97" s="27">
        <v>27.6</v>
      </c>
      <c r="IA97" s="129">
        <v>11.2</v>
      </c>
    </row>
    <row r="98" spans="15:235" ht="3" customHeight="1">
      <c r="O98" s="129">
        <v>21.199999999999996</v>
      </c>
      <c r="P98" s="129">
        <v>21.199999999999996</v>
      </c>
      <c r="Q98" s="129">
        <v>21.199999999999996</v>
      </c>
      <c r="R98" s="129">
        <v>21.199999999999996</v>
      </c>
      <c r="S98" s="129">
        <v>21.199999999999996</v>
      </c>
      <c r="T98" s="129">
        <v>21.199999999999996</v>
      </c>
      <c r="U98" s="129">
        <v>21.199999999999996</v>
      </c>
      <c r="V98" s="129">
        <v>21.199999999999996</v>
      </c>
      <c r="W98" s="129">
        <v>21.199999999999996</v>
      </c>
      <c r="X98" s="129">
        <v>9.3000000000000096</v>
      </c>
      <c r="Y98" s="27"/>
      <c r="Z98" s="129">
        <v>42</v>
      </c>
      <c r="AA98" s="129">
        <v>42</v>
      </c>
      <c r="AB98" s="129">
        <v>42</v>
      </c>
      <c r="AC98" s="129">
        <v>42</v>
      </c>
      <c r="AD98" s="129">
        <v>42</v>
      </c>
      <c r="AE98" s="129">
        <v>42</v>
      </c>
      <c r="AF98" s="129">
        <v>42</v>
      </c>
      <c r="AG98" s="129">
        <v>42</v>
      </c>
      <c r="AH98" s="129">
        <v>42</v>
      </c>
      <c r="AI98" s="129">
        <v>9.3000000000000096</v>
      </c>
      <c r="AK98" s="129">
        <v>52.5</v>
      </c>
      <c r="AL98" s="129">
        <v>52.5</v>
      </c>
      <c r="AM98" s="129">
        <v>52.5</v>
      </c>
      <c r="AN98" s="129">
        <v>52.5</v>
      </c>
      <c r="AO98" s="129">
        <v>52.5</v>
      </c>
      <c r="AP98" s="129">
        <v>52.5</v>
      </c>
      <c r="AQ98" s="129">
        <v>52.5</v>
      </c>
      <c r="AR98" s="129">
        <v>52.5</v>
      </c>
      <c r="AS98" s="129">
        <v>52.5</v>
      </c>
      <c r="AT98" s="129">
        <v>9.3000000000000096</v>
      </c>
      <c r="AV98" s="129">
        <v>54.5</v>
      </c>
      <c r="AW98" s="129">
        <v>54.5</v>
      </c>
      <c r="AX98" s="129">
        <v>54.5</v>
      </c>
      <c r="AY98" s="129">
        <v>54.5</v>
      </c>
      <c r="AZ98" s="129">
        <v>54.5</v>
      </c>
      <c r="BA98" s="129">
        <v>54.5</v>
      </c>
      <c r="BB98" s="129">
        <v>54.5</v>
      </c>
      <c r="BC98" s="129">
        <v>54.5</v>
      </c>
      <c r="BD98" s="129">
        <v>54.5</v>
      </c>
      <c r="BE98" s="129">
        <v>9.3000000000000096</v>
      </c>
      <c r="BG98" s="129">
        <v>85.299999999999983</v>
      </c>
      <c r="BH98" s="129">
        <v>85.299999999999983</v>
      </c>
      <c r="BI98" s="129">
        <v>85.299999999999983</v>
      </c>
      <c r="BJ98" s="129">
        <v>85.299999999999983</v>
      </c>
      <c r="BK98" s="129">
        <v>85.299999999999983</v>
      </c>
      <c r="BL98" s="129">
        <v>85.299999999999983</v>
      </c>
      <c r="BM98" s="129">
        <v>85.299999999999983</v>
      </c>
      <c r="BN98" s="129">
        <v>85.299999999999983</v>
      </c>
      <c r="BO98" s="129">
        <v>85.299999999999983</v>
      </c>
      <c r="BP98" s="129">
        <v>9.3000000000000096</v>
      </c>
      <c r="BR98" s="129">
        <v>85.299999999999983</v>
      </c>
      <c r="BS98" s="129">
        <v>85.299999999999983</v>
      </c>
      <c r="BT98" s="129">
        <v>85.299999999999983</v>
      </c>
      <c r="BU98" s="129">
        <v>85.299999999999983</v>
      </c>
      <c r="BV98" s="129">
        <v>85.299999999999983</v>
      </c>
      <c r="BW98" s="129">
        <v>85.299999999999983</v>
      </c>
      <c r="BX98" s="129">
        <v>85.299999999999983</v>
      </c>
      <c r="BY98" s="129">
        <v>85.299999999999983</v>
      </c>
      <c r="BZ98" s="129">
        <v>85.299999999999983</v>
      </c>
      <c r="CA98" s="129">
        <v>9.3000000000000096</v>
      </c>
      <c r="CC98" s="129">
        <v>20.400000000000002</v>
      </c>
      <c r="CD98" s="129">
        <v>20.400000000000002</v>
      </c>
      <c r="CE98" s="129">
        <v>20.400000000000002</v>
      </c>
      <c r="CF98" s="129">
        <v>20.400000000000002</v>
      </c>
      <c r="CG98" s="129">
        <v>20.400000000000002</v>
      </c>
      <c r="CH98" s="129">
        <v>20.400000000000002</v>
      </c>
      <c r="CI98" s="129">
        <v>20.400000000000002</v>
      </c>
      <c r="CJ98" s="129">
        <v>20.400000000000002</v>
      </c>
      <c r="CK98" s="129">
        <v>20.400000000000002</v>
      </c>
      <c r="CL98" s="129">
        <v>9.3000000000000096</v>
      </c>
      <c r="CN98" s="129">
        <v>24.400000000000002</v>
      </c>
      <c r="CO98" s="129">
        <v>24.400000000000002</v>
      </c>
      <c r="CP98" s="129">
        <v>24.400000000000002</v>
      </c>
      <c r="CQ98" s="129">
        <v>24.400000000000002</v>
      </c>
      <c r="CR98" s="129">
        <v>24.400000000000002</v>
      </c>
      <c r="CS98" s="129">
        <v>24.400000000000002</v>
      </c>
      <c r="CT98" s="129">
        <v>24.400000000000002</v>
      </c>
      <c r="CU98" s="129">
        <v>24.400000000000002</v>
      </c>
      <c r="CV98" s="129">
        <v>24.400000000000002</v>
      </c>
      <c r="CW98" s="129">
        <v>9.3000000000000096</v>
      </c>
      <c r="CY98" s="129">
        <v>33.800000000000004</v>
      </c>
      <c r="CZ98" s="129">
        <v>33.800000000000004</v>
      </c>
      <c r="DA98" s="129">
        <v>33.800000000000004</v>
      </c>
      <c r="DB98" s="129">
        <v>33.800000000000004</v>
      </c>
      <c r="DC98" s="129">
        <v>33.800000000000004</v>
      </c>
      <c r="DD98" s="129">
        <v>33.800000000000004</v>
      </c>
      <c r="DE98" s="129">
        <v>33.800000000000004</v>
      </c>
      <c r="DF98" s="129">
        <v>33.800000000000004</v>
      </c>
      <c r="DG98" s="129">
        <v>33.800000000000004</v>
      </c>
      <c r="DH98" s="129">
        <v>9.3000000000000096</v>
      </c>
      <c r="DJ98" s="129">
        <v>33.800000000000004</v>
      </c>
      <c r="DK98" s="129">
        <v>33.800000000000004</v>
      </c>
      <c r="DL98" s="129">
        <v>33.800000000000004</v>
      </c>
      <c r="DM98" s="129">
        <v>33.800000000000004</v>
      </c>
      <c r="DN98" s="129">
        <v>33.800000000000004</v>
      </c>
      <c r="DO98" s="129">
        <v>33.800000000000004</v>
      </c>
      <c r="DP98" s="129">
        <v>33.800000000000004</v>
      </c>
      <c r="DQ98" s="129">
        <v>33.800000000000004</v>
      </c>
      <c r="DR98" s="129">
        <v>33.800000000000004</v>
      </c>
      <c r="DS98" s="129">
        <v>9.3000000000000096</v>
      </c>
      <c r="DW98" s="27">
        <v>21.400000000000002</v>
      </c>
      <c r="DX98" s="27">
        <v>21.400000000000002</v>
      </c>
      <c r="DY98" s="27">
        <v>21.400000000000002</v>
      </c>
      <c r="DZ98" s="27">
        <v>21.400000000000002</v>
      </c>
      <c r="EA98" s="27">
        <v>21.400000000000002</v>
      </c>
      <c r="EB98" s="27">
        <v>21.400000000000002</v>
      </c>
      <c r="EC98" s="27">
        <v>21.400000000000002</v>
      </c>
      <c r="ED98" s="27">
        <v>21.400000000000002</v>
      </c>
      <c r="EE98" s="27">
        <v>21.400000000000002</v>
      </c>
      <c r="EF98" s="129">
        <v>11.3</v>
      </c>
      <c r="EH98" s="27">
        <v>36.100000000000009</v>
      </c>
      <c r="EI98" s="27">
        <v>36.100000000000009</v>
      </c>
      <c r="EJ98" s="27">
        <v>36.100000000000009</v>
      </c>
      <c r="EK98" s="27">
        <v>36.100000000000009</v>
      </c>
      <c r="EL98" s="27">
        <v>36.100000000000009</v>
      </c>
      <c r="EM98" s="27">
        <v>36.100000000000009</v>
      </c>
      <c r="EN98" s="27">
        <v>36.100000000000009</v>
      </c>
      <c r="EO98" s="27">
        <v>36.100000000000009</v>
      </c>
      <c r="EP98" s="27">
        <v>36.100000000000009</v>
      </c>
      <c r="EQ98" s="129">
        <v>11.3</v>
      </c>
      <c r="ES98" s="27">
        <v>43.100000000000009</v>
      </c>
      <c r="ET98" s="27">
        <v>43.100000000000009</v>
      </c>
      <c r="EU98" s="27">
        <v>43.100000000000009</v>
      </c>
      <c r="EV98" s="27">
        <v>43.100000000000009</v>
      </c>
      <c r="EW98" s="27">
        <v>43.100000000000009</v>
      </c>
      <c r="EX98" s="27">
        <v>43.100000000000009</v>
      </c>
      <c r="EY98" s="27">
        <v>43.100000000000009</v>
      </c>
      <c r="EZ98" s="27">
        <v>43.100000000000009</v>
      </c>
      <c r="FA98" s="27">
        <v>43.100000000000009</v>
      </c>
      <c r="FB98" s="129">
        <v>11.3</v>
      </c>
      <c r="FD98" s="27">
        <v>44.800000000000004</v>
      </c>
      <c r="FE98" s="27">
        <v>44.800000000000004</v>
      </c>
      <c r="FF98" s="27">
        <v>44.800000000000004</v>
      </c>
      <c r="FG98" s="27">
        <v>44.800000000000004</v>
      </c>
      <c r="FH98" s="27">
        <v>44.800000000000004</v>
      </c>
      <c r="FI98" s="27">
        <v>44.800000000000004</v>
      </c>
      <c r="FJ98" s="27">
        <v>44.800000000000004</v>
      </c>
      <c r="FK98" s="27">
        <v>44.800000000000004</v>
      </c>
      <c r="FL98" s="27">
        <v>44.800000000000004</v>
      </c>
      <c r="FM98" s="129">
        <v>11.3</v>
      </c>
      <c r="FO98" s="27">
        <v>70.200000000000017</v>
      </c>
      <c r="FP98" s="27">
        <v>70.200000000000017</v>
      </c>
      <c r="FQ98" s="27">
        <v>70.200000000000017</v>
      </c>
      <c r="FR98" s="27">
        <v>70.200000000000017</v>
      </c>
      <c r="FS98" s="27">
        <v>70.200000000000017</v>
      </c>
      <c r="FT98" s="27">
        <v>70.200000000000017</v>
      </c>
      <c r="FU98" s="27">
        <v>70.200000000000017</v>
      </c>
      <c r="FV98" s="27">
        <v>70.200000000000017</v>
      </c>
      <c r="FW98" s="27">
        <v>70.200000000000017</v>
      </c>
      <c r="FX98" s="129">
        <v>11.3</v>
      </c>
      <c r="FZ98" s="27">
        <v>70.200000000000017</v>
      </c>
      <c r="GA98" s="27">
        <v>70.200000000000017</v>
      </c>
      <c r="GB98" s="27">
        <v>70.200000000000017</v>
      </c>
      <c r="GC98" s="27">
        <v>70.200000000000017</v>
      </c>
      <c r="GD98" s="27">
        <v>70.200000000000017</v>
      </c>
      <c r="GE98" s="27">
        <v>70.200000000000017</v>
      </c>
      <c r="GF98" s="27">
        <v>70.200000000000017</v>
      </c>
      <c r="GG98" s="27">
        <v>70.200000000000017</v>
      </c>
      <c r="GH98" s="27">
        <v>70.200000000000017</v>
      </c>
      <c r="GI98" s="129">
        <v>11.3</v>
      </c>
      <c r="GJ98" s="27"/>
      <c r="GK98" s="27">
        <v>16.699999999999996</v>
      </c>
      <c r="GL98" s="27">
        <v>16.699999999999996</v>
      </c>
      <c r="GM98" s="27">
        <v>16.699999999999996</v>
      </c>
      <c r="GN98" s="27">
        <v>16.699999999999996</v>
      </c>
      <c r="GO98" s="27">
        <v>16.699999999999996</v>
      </c>
      <c r="GP98" s="27">
        <v>16.699999999999996</v>
      </c>
      <c r="GQ98" s="27">
        <v>16.699999999999996</v>
      </c>
      <c r="GR98" s="27">
        <v>16.699999999999996</v>
      </c>
      <c r="GS98" s="27">
        <v>16.699999999999996</v>
      </c>
      <c r="GT98" s="129">
        <v>11.3</v>
      </c>
      <c r="GV98" s="27">
        <v>20.400000000000002</v>
      </c>
      <c r="GW98" s="27">
        <v>20.400000000000002</v>
      </c>
      <c r="GX98" s="27">
        <v>20.400000000000002</v>
      </c>
      <c r="GY98" s="27">
        <v>20.400000000000002</v>
      </c>
      <c r="GZ98" s="27">
        <v>20.400000000000002</v>
      </c>
      <c r="HA98" s="27">
        <v>20.400000000000002</v>
      </c>
      <c r="HB98" s="27">
        <v>20.400000000000002</v>
      </c>
      <c r="HC98" s="27">
        <v>20.400000000000002</v>
      </c>
      <c r="HD98" s="27">
        <v>20.400000000000002</v>
      </c>
      <c r="HE98" s="129">
        <v>11.3</v>
      </c>
      <c r="HG98" s="27">
        <v>27.400000000000002</v>
      </c>
      <c r="HH98" s="27">
        <v>27.400000000000002</v>
      </c>
      <c r="HI98" s="27">
        <v>27.400000000000002</v>
      </c>
      <c r="HJ98" s="27">
        <v>27.400000000000002</v>
      </c>
      <c r="HK98" s="27">
        <v>27.400000000000002</v>
      </c>
      <c r="HL98" s="27">
        <v>27.400000000000002</v>
      </c>
      <c r="HM98" s="27">
        <v>27.400000000000002</v>
      </c>
      <c r="HN98" s="27">
        <v>27.400000000000002</v>
      </c>
      <c r="HO98" s="27">
        <v>27.400000000000002</v>
      </c>
      <c r="HP98" s="129">
        <v>11.3</v>
      </c>
      <c r="HR98" s="27">
        <v>27.400000000000002</v>
      </c>
      <c r="HS98" s="27">
        <v>27.400000000000002</v>
      </c>
      <c r="HT98" s="27">
        <v>27.400000000000002</v>
      </c>
      <c r="HU98" s="27">
        <v>27.400000000000002</v>
      </c>
      <c r="HV98" s="27">
        <v>27.400000000000002</v>
      </c>
      <c r="HW98" s="27">
        <v>27.400000000000002</v>
      </c>
      <c r="HX98" s="27">
        <v>27.400000000000002</v>
      </c>
      <c r="HY98" s="27">
        <v>27.400000000000002</v>
      </c>
      <c r="HZ98" s="27">
        <v>27.400000000000002</v>
      </c>
      <c r="IA98" s="129">
        <v>11.3</v>
      </c>
    </row>
    <row r="99" spans="15:235" ht="3" customHeight="1">
      <c r="O99" s="129">
        <v>20.599999999999994</v>
      </c>
      <c r="P99" s="129">
        <v>20.599999999999994</v>
      </c>
      <c r="Q99" s="129">
        <v>20.599999999999994</v>
      </c>
      <c r="R99" s="129">
        <v>20.599999999999994</v>
      </c>
      <c r="S99" s="129">
        <v>20.599999999999994</v>
      </c>
      <c r="T99" s="129">
        <v>20.599999999999994</v>
      </c>
      <c r="U99" s="129">
        <v>20.599999999999994</v>
      </c>
      <c r="V99" s="129">
        <v>20.599999999999994</v>
      </c>
      <c r="W99" s="129">
        <v>20.599999999999994</v>
      </c>
      <c r="X99" s="129">
        <v>9.4000000000000092</v>
      </c>
      <c r="Y99" s="27"/>
      <c r="Z99" s="129">
        <v>41</v>
      </c>
      <c r="AA99" s="129">
        <v>41</v>
      </c>
      <c r="AB99" s="129">
        <v>41</v>
      </c>
      <c r="AC99" s="129">
        <v>41</v>
      </c>
      <c r="AD99" s="129">
        <v>41</v>
      </c>
      <c r="AE99" s="129">
        <v>41</v>
      </c>
      <c r="AF99" s="129">
        <v>41</v>
      </c>
      <c r="AG99" s="129">
        <v>41</v>
      </c>
      <c r="AH99" s="129">
        <v>41</v>
      </c>
      <c r="AI99" s="129">
        <v>9.4000000000000092</v>
      </c>
      <c r="AK99" s="129">
        <v>52</v>
      </c>
      <c r="AL99" s="129">
        <v>52</v>
      </c>
      <c r="AM99" s="129">
        <v>52</v>
      </c>
      <c r="AN99" s="129">
        <v>52</v>
      </c>
      <c r="AO99" s="129">
        <v>52</v>
      </c>
      <c r="AP99" s="129">
        <v>52</v>
      </c>
      <c r="AQ99" s="129">
        <v>52</v>
      </c>
      <c r="AR99" s="129">
        <v>52</v>
      </c>
      <c r="AS99" s="129">
        <v>52</v>
      </c>
      <c r="AT99" s="129">
        <v>9.4000000000000092</v>
      </c>
      <c r="AV99" s="129">
        <v>54</v>
      </c>
      <c r="AW99" s="129">
        <v>54</v>
      </c>
      <c r="AX99" s="129">
        <v>54</v>
      </c>
      <c r="AY99" s="129">
        <v>54</v>
      </c>
      <c r="AZ99" s="129">
        <v>54</v>
      </c>
      <c r="BA99" s="129">
        <v>54</v>
      </c>
      <c r="BB99" s="129">
        <v>54</v>
      </c>
      <c r="BC99" s="129">
        <v>54</v>
      </c>
      <c r="BD99" s="129">
        <v>54</v>
      </c>
      <c r="BE99" s="129">
        <v>9.4000000000000092</v>
      </c>
      <c r="BG99" s="129">
        <v>84.399999999999977</v>
      </c>
      <c r="BH99" s="129">
        <v>84.399999999999977</v>
      </c>
      <c r="BI99" s="129">
        <v>84.399999999999977</v>
      </c>
      <c r="BJ99" s="129">
        <v>84.399999999999977</v>
      </c>
      <c r="BK99" s="129">
        <v>84.399999999999977</v>
      </c>
      <c r="BL99" s="129">
        <v>84.399999999999977</v>
      </c>
      <c r="BM99" s="129">
        <v>84.399999999999977</v>
      </c>
      <c r="BN99" s="129">
        <v>84.399999999999977</v>
      </c>
      <c r="BO99" s="129">
        <v>84.399999999999977</v>
      </c>
      <c r="BP99" s="129">
        <v>9.4000000000000092</v>
      </c>
      <c r="BR99" s="129">
        <v>84.399999999999977</v>
      </c>
      <c r="BS99" s="129">
        <v>84.399999999999977</v>
      </c>
      <c r="BT99" s="129">
        <v>84.399999999999977</v>
      </c>
      <c r="BU99" s="129">
        <v>84.399999999999977</v>
      </c>
      <c r="BV99" s="129">
        <v>84.399999999999977</v>
      </c>
      <c r="BW99" s="129">
        <v>84.399999999999977</v>
      </c>
      <c r="BX99" s="129">
        <v>84.399999999999977</v>
      </c>
      <c r="BY99" s="129">
        <v>84.399999999999977</v>
      </c>
      <c r="BZ99" s="129">
        <v>84.399999999999977</v>
      </c>
      <c r="CA99" s="129">
        <v>9.4000000000000092</v>
      </c>
      <c r="CC99" s="129">
        <v>20.200000000000003</v>
      </c>
      <c r="CD99" s="129">
        <v>20.200000000000003</v>
      </c>
      <c r="CE99" s="129">
        <v>20.200000000000003</v>
      </c>
      <c r="CF99" s="129">
        <v>20.200000000000003</v>
      </c>
      <c r="CG99" s="129">
        <v>20.200000000000003</v>
      </c>
      <c r="CH99" s="129">
        <v>20.200000000000003</v>
      </c>
      <c r="CI99" s="129">
        <v>20.200000000000003</v>
      </c>
      <c r="CJ99" s="129">
        <v>20.200000000000003</v>
      </c>
      <c r="CK99" s="129">
        <v>20.200000000000003</v>
      </c>
      <c r="CL99" s="129">
        <v>9.4000000000000092</v>
      </c>
      <c r="CN99" s="129">
        <v>24.200000000000003</v>
      </c>
      <c r="CO99" s="129">
        <v>24.200000000000003</v>
      </c>
      <c r="CP99" s="129">
        <v>24.200000000000003</v>
      </c>
      <c r="CQ99" s="129">
        <v>24.200000000000003</v>
      </c>
      <c r="CR99" s="129">
        <v>24.200000000000003</v>
      </c>
      <c r="CS99" s="129">
        <v>24.200000000000003</v>
      </c>
      <c r="CT99" s="129">
        <v>24.200000000000003</v>
      </c>
      <c r="CU99" s="129">
        <v>24.200000000000003</v>
      </c>
      <c r="CV99" s="129">
        <v>24.200000000000003</v>
      </c>
      <c r="CW99" s="129">
        <v>9.4000000000000092</v>
      </c>
      <c r="CY99" s="129">
        <v>33.400000000000006</v>
      </c>
      <c r="CZ99" s="129">
        <v>33.400000000000006</v>
      </c>
      <c r="DA99" s="129">
        <v>33.400000000000006</v>
      </c>
      <c r="DB99" s="129">
        <v>33.400000000000006</v>
      </c>
      <c r="DC99" s="129">
        <v>33.400000000000006</v>
      </c>
      <c r="DD99" s="129">
        <v>33.400000000000006</v>
      </c>
      <c r="DE99" s="129">
        <v>33.400000000000006</v>
      </c>
      <c r="DF99" s="129">
        <v>33.400000000000006</v>
      </c>
      <c r="DG99" s="129">
        <v>33.400000000000006</v>
      </c>
      <c r="DH99" s="129">
        <v>9.4000000000000092</v>
      </c>
      <c r="DJ99" s="129">
        <v>33.400000000000006</v>
      </c>
      <c r="DK99" s="129">
        <v>33.400000000000006</v>
      </c>
      <c r="DL99" s="129">
        <v>33.400000000000006</v>
      </c>
      <c r="DM99" s="129">
        <v>33.400000000000006</v>
      </c>
      <c r="DN99" s="129">
        <v>33.400000000000006</v>
      </c>
      <c r="DO99" s="129">
        <v>33.400000000000006</v>
      </c>
      <c r="DP99" s="129">
        <v>33.400000000000006</v>
      </c>
      <c r="DQ99" s="129">
        <v>33.400000000000006</v>
      </c>
      <c r="DR99" s="129">
        <v>33.400000000000006</v>
      </c>
      <c r="DS99" s="129">
        <v>9.4000000000000092</v>
      </c>
      <c r="DW99" s="27">
        <v>21.200000000000003</v>
      </c>
      <c r="DX99" s="27">
        <v>21.200000000000003</v>
      </c>
      <c r="DY99" s="27">
        <v>21.200000000000003</v>
      </c>
      <c r="DZ99" s="27">
        <v>21.200000000000003</v>
      </c>
      <c r="EA99" s="27">
        <v>21.200000000000003</v>
      </c>
      <c r="EB99" s="27">
        <v>21.200000000000003</v>
      </c>
      <c r="EC99" s="27">
        <v>21.200000000000003</v>
      </c>
      <c r="ED99" s="27">
        <v>21.200000000000003</v>
      </c>
      <c r="EE99" s="27">
        <v>21.200000000000003</v>
      </c>
      <c r="EF99" s="129">
        <v>11.4</v>
      </c>
      <c r="EH99" s="27">
        <v>35.800000000000011</v>
      </c>
      <c r="EI99" s="27">
        <v>35.800000000000011</v>
      </c>
      <c r="EJ99" s="27">
        <v>35.800000000000011</v>
      </c>
      <c r="EK99" s="27">
        <v>35.800000000000011</v>
      </c>
      <c r="EL99" s="27">
        <v>35.800000000000011</v>
      </c>
      <c r="EM99" s="27">
        <v>35.800000000000011</v>
      </c>
      <c r="EN99" s="27">
        <v>35.800000000000011</v>
      </c>
      <c r="EO99" s="27">
        <v>35.800000000000011</v>
      </c>
      <c r="EP99" s="27">
        <v>35.800000000000011</v>
      </c>
      <c r="EQ99" s="129">
        <v>11.4</v>
      </c>
      <c r="ES99" s="27">
        <v>42.800000000000011</v>
      </c>
      <c r="ET99" s="27">
        <v>42.800000000000011</v>
      </c>
      <c r="EU99" s="27">
        <v>42.800000000000011</v>
      </c>
      <c r="EV99" s="27">
        <v>42.800000000000011</v>
      </c>
      <c r="EW99" s="27">
        <v>42.800000000000011</v>
      </c>
      <c r="EX99" s="27">
        <v>42.800000000000011</v>
      </c>
      <c r="EY99" s="27">
        <v>42.800000000000011</v>
      </c>
      <c r="EZ99" s="27">
        <v>42.800000000000011</v>
      </c>
      <c r="FA99" s="27">
        <v>42.800000000000011</v>
      </c>
      <c r="FB99" s="129">
        <v>11.4</v>
      </c>
      <c r="FD99" s="27">
        <v>44.400000000000006</v>
      </c>
      <c r="FE99" s="27">
        <v>44.400000000000006</v>
      </c>
      <c r="FF99" s="27">
        <v>44.400000000000006</v>
      </c>
      <c r="FG99" s="27">
        <v>44.400000000000006</v>
      </c>
      <c r="FH99" s="27">
        <v>44.400000000000006</v>
      </c>
      <c r="FI99" s="27">
        <v>44.400000000000006</v>
      </c>
      <c r="FJ99" s="27">
        <v>44.400000000000006</v>
      </c>
      <c r="FK99" s="27">
        <v>44.400000000000006</v>
      </c>
      <c r="FL99" s="27">
        <v>44.400000000000006</v>
      </c>
      <c r="FM99" s="129">
        <v>11.4</v>
      </c>
      <c r="FO99" s="27">
        <v>69.600000000000023</v>
      </c>
      <c r="FP99" s="27">
        <v>69.600000000000023</v>
      </c>
      <c r="FQ99" s="27">
        <v>69.600000000000023</v>
      </c>
      <c r="FR99" s="27">
        <v>69.600000000000023</v>
      </c>
      <c r="FS99" s="27">
        <v>69.600000000000023</v>
      </c>
      <c r="FT99" s="27">
        <v>69.600000000000023</v>
      </c>
      <c r="FU99" s="27">
        <v>69.600000000000023</v>
      </c>
      <c r="FV99" s="27">
        <v>69.600000000000023</v>
      </c>
      <c r="FW99" s="27">
        <v>69.600000000000023</v>
      </c>
      <c r="FX99" s="129">
        <v>11.4</v>
      </c>
      <c r="FZ99" s="27">
        <v>69.600000000000023</v>
      </c>
      <c r="GA99" s="27">
        <v>69.600000000000023</v>
      </c>
      <c r="GB99" s="27">
        <v>69.600000000000023</v>
      </c>
      <c r="GC99" s="27">
        <v>69.600000000000023</v>
      </c>
      <c r="GD99" s="27">
        <v>69.600000000000023</v>
      </c>
      <c r="GE99" s="27">
        <v>69.600000000000023</v>
      </c>
      <c r="GF99" s="27">
        <v>69.600000000000023</v>
      </c>
      <c r="GG99" s="27">
        <v>69.600000000000023</v>
      </c>
      <c r="GH99" s="27">
        <v>69.600000000000023</v>
      </c>
      <c r="GI99" s="129">
        <v>11.4</v>
      </c>
      <c r="GJ99" s="27"/>
      <c r="GK99" s="27">
        <v>16.599999999999994</v>
      </c>
      <c r="GL99" s="27">
        <v>16.599999999999994</v>
      </c>
      <c r="GM99" s="27">
        <v>16.599999999999994</v>
      </c>
      <c r="GN99" s="27">
        <v>16.599999999999994</v>
      </c>
      <c r="GO99" s="27">
        <v>16.599999999999994</v>
      </c>
      <c r="GP99" s="27">
        <v>16.599999999999994</v>
      </c>
      <c r="GQ99" s="27">
        <v>16.599999999999994</v>
      </c>
      <c r="GR99" s="27">
        <v>16.599999999999994</v>
      </c>
      <c r="GS99" s="27">
        <v>16.599999999999994</v>
      </c>
      <c r="GT99" s="129">
        <v>11.4</v>
      </c>
      <c r="GV99" s="27">
        <v>20.200000000000003</v>
      </c>
      <c r="GW99" s="27">
        <v>20.200000000000003</v>
      </c>
      <c r="GX99" s="27">
        <v>20.200000000000003</v>
      </c>
      <c r="GY99" s="27">
        <v>20.200000000000003</v>
      </c>
      <c r="GZ99" s="27">
        <v>20.200000000000003</v>
      </c>
      <c r="HA99" s="27">
        <v>20.200000000000003</v>
      </c>
      <c r="HB99" s="27">
        <v>20.200000000000003</v>
      </c>
      <c r="HC99" s="27">
        <v>20.200000000000003</v>
      </c>
      <c r="HD99" s="27">
        <v>20.200000000000003</v>
      </c>
      <c r="HE99" s="129">
        <v>11.4</v>
      </c>
      <c r="HG99" s="27">
        <v>27.200000000000003</v>
      </c>
      <c r="HH99" s="27">
        <v>27.200000000000003</v>
      </c>
      <c r="HI99" s="27">
        <v>27.200000000000003</v>
      </c>
      <c r="HJ99" s="27">
        <v>27.200000000000003</v>
      </c>
      <c r="HK99" s="27">
        <v>27.200000000000003</v>
      </c>
      <c r="HL99" s="27">
        <v>27.200000000000003</v>
      </c>
      <c r="HM99" s="27">
        <v>27.200000000000003</v>
      </c>
      <c r="HN99" s="27">
        <v>27.200000000000003</v>
      </c>
      <c r="HO99" s="27">
        <v>27.200000000000003</v>
      </c>
      <c r="HP99" s="129">
        <v>11.4</v>
      </c>
      <c r="HR99" s="27">
        <v>27.200000000000003</v>
      </c>
      <c r="HS99" s="27">
        <v>27.200000000000003</v>
      </c>
      <c r="HT99" s="27">
        <v>27.200000000000003</v>
      </c>
      <c r="HU99" s="27">
        <v>27.200000000000003</v>
      </c>
      <c r="HV99" s="27">
        <v>27.200000000000003</v>
      </c>
      <c r="HW99" s="27">
        <v>27.200000000000003</v>
      </c>
      <c r="HX99" s="27">
        <v>27.200000000000003</v>
      </c>
      <c r="HY99" s="27">
        <v>27.200000000000003</v>
      </c>
      <c r="HZ99" s="27">
        <v>27.200000000000003</v>
      </c>
      <c r="IA99" s="129">
        <v>11.4</v>
      </c>
    </row>
    <row r="100" spans="15:235" ht="3" customHeight="1">
      <c r="O100" s="129">
        <v>19.999999999999993</v>
      </c>
      <c r="P100" s="129">
        <v>19.999999999999993</v>
      </c>
      <c r="Q100" s="129">
        <v>19.999999999999993</v>
      </c>
      <c r="R100" s="129">
        <v>19.999999999999993</v>
      </c>
      <c r="S100" s="129">
        <v>19.999999999999993</v>
      </c>
      <c r="T100" s="129">
        <v>19.999999999999993</v>
      </c>
      <c r="U100" s="129">
        <v>19.999999999999993</v>
      </c>
      <c r="V100" s="129">
        <v>19.999999999999993</v>
      </c>
      <c r="W100" s="129">
        <v>19.999999999999993</v>
      </c>
      <c r="X100" s="129">
        <v>9.5000000000000107</v>
      </c>
      <c r="Y100" s="27"/>
      <c r="Z100" s="129">
        <v>40</v>
      </c>
      <c r="AA100" s="129">
        <v>40</v>
      </c>
      <c r="AB100" s="129">
        <v>40</v>
      </c>
      <c r="AC100" s="129">
        <v>40</v>
      </c>
      <c r="AD100" s="129">
        <v>40</v>
      </c>
      <c r="AE100" s="129">
        <v>40</v>
      </c>
      <c r="AF100" s="129">
        <v>40</v>
      </c>
      <c r="AG100" s="129">
        <v>40</v>
      </c>
      <c r="AH100" s="129">
        <v>40</v>
      </c>
      <c r="AI100" s="129">
        <v>9.5000000000000107</v>
      </c>
      <c r="AK100" s="129">
        <v>51.5</v>
      </c>
      <c r="AL100" s="129">
        <v>51.5</v>
      </c>
      <c r="AM100" s="129">
        <v>51.5</v>
      </c>
      <c r="AN100" s="129">
        <v>51.5</v>
      </c>
      <c r="AO100" s="129">
        <v>51.5</v>
      </c>
      <c r="AP100" s="129">
        <v>51.5</v>
      </c>
      <c r="AQ100" s="129">
        <v>51.5</v>
      </c>
      <c r="AR100" s="129">
        <v>51.5</v>
      </c>
      <c r="AS100" s="129">
        <v>51.5</v>
      </c>
      <c r="AT100" s="129">
        <v>9.5000000000000107</v>
      </c>
      <c r="AV100" s="129">
        <v>53.5</v>
      </c>
      <c r="AW100" s="129">
        <v>53.5</v>
      </c>
      <c r="AX100" s="129">
        <v>53.5</v>
      </c>
      <c r="AY100" s="129">
        <v>53.5</v>
      </c>
      <c r="AZ100" s="129">
        <v>53.5</v>
      </c>
      <c r="BA100" s="129">
        <v>53.5</v>
      </c>
      <c r="BB100" s="129">
        <v>53.5</v>
      </c>
      <c r="BC100" s="129">
        <v>53.5</v>
      </c>
      <c r="BD100" s="129">
        <v>53.5</v>
      </c>
      <c r="BE100" s="129">
        <v>9.5000000000000107</v>
      </c>
      <c r="BG100" s="129">
        <v>83.499999999999972</v>
      </c>
      <c r="BH100" s="129">
        <v>83.499999999999972</v>
      </c>
      <c r="BI100" s="129">
        <v>83.499999999999972</v>
      </c>
      <c r="BJ100" s="129">
        <v>83.499999999999972</v>
      </c>
      <c r="BK100" s="129">
        <v>83.499999999999972</v>
      </c>
      <c r="BL100" s="129">
        <v>83.499999999999972</v>
      </c>
      <c r="BM100" s="129">
        <v>83.499999999999972</v>
      </c>
      <c r="BN100" s="129">
        <v>83.499999999999972</v>
      </c>
      <c r="BO100" s="129">
        <v>83.499999999999972</v>
      </c>
      <c r="BP100" s="129">
        <v>9.5000000000000107</v>
      </c>
      <c r="BR100" s="129">
        <v>83.499999999999972</v>
      </c>
      <c r="BS100" s="129">
        <v>83.499999999999972</v>
      </c>
      <c r="BT100" s="129">
        <v>83.499999999999972</v>
      </c>
      <c r="BU100" s="129">
        <v>83.499999999999972</v>
      </c>
      <c r="BV100" s="129">
        <v>83.499999999999972</v>
      </c>
      <c r="BW100" s="129">
        <v>83.499999999999972</v>
      </c>
      <c r="BX100" s="129">
        <v>83.499999999999972</v>
      </c>
      <c r="BY100" s="129">
        <v>83.499999999999972</v>
      </c>
      <c r="BZ100" s="129">
        <v>83.499999999999972</v>
      </c>
      <c r="CA100" s="129">
        <v>9.5000000000000107</v>
      </c>
      <c r="CC100" s="129">
        <v>20.000000000000004</v>
      </c>
      <c r="CD100" s="129">
        <v>20.000000000000004</v>
      </c>
      <c r="CE100" s="129">
        <v>20.000000000000004</v>
      </c>
      <c r="CF100" s="129">
        <v>20.000000000000004</v>
      </c>
      <c r="CG100" s="129">
        <v>20.000000000000004</v>
      </c>
      <c r="CH100" s="129">
        <v>20.000000000000004</v>
      </c>
      <c r="CI100" s="129">
        <v>20.000000000000004</v>
      </c>
      <c r="CJ100" s="129">
        <v>20.000000000000004</v>
      </c>
      <c r="CK100" s="129">
        <v>20.000000000000004</v>
      </c>
      <c r="CL100" s="129">
        <v>9.5000000000000107</v>
      </c>
      <c r="CN100" s="129">
        <v>24.000000000000004</v>
      </c>
      <c r="CO100" s="129">
        <v>24.000000000000004</v>
      </c>
      <c r="CP100" s="129">
        <v>24.000000000000004</v>
      </c>
      <c r="CQ100" s="129">
        <v>24.000000000000004</v>
      </c>
      <c r="CR100" s="129">
        <v>24.000000000000004</v>
      </c>
      <c r="CS100" s="129">
        <v>24.000000000000004</v>
      </c>
      <c r="CT100" s="129">
        <v>24.000000000000004</v>
      </c>
      <c r="CU100" s="129">
        <v>24.000000000000004</v>
      </c>
      <c r="CV100" s="129">
        <v>24.000000000000004</v>
      </c>
      <c r="CW100" s="129">
        <v>9.5000000000000107</v>
      </c>
      <c r="CY100" s="129">
        <v>33.000000000000007</v>
      </c>
      <c r="CZ100" s="129">
        <v>33.000000000000007</v>
      </c>
      <c r="DA100" s="129">
        <v>33.000000000000007</v>
      </c>
      <c r="DB100" s="129">
        <v>33.000000000000007</v>
      </c>
      <c r="DC100" s="129">
        <v>33.000000000000007</v>
      </c>
      <c r="DD100" s="129">
        <v>33.000000000000007</v>
      </c>
      <c r="DE100" s="129">
        <v>33.000000000000007</v>
      </c>
      <c r="DF100" s="129">
        <v>33.000000000000007</v>
      </c>
      <c r="DG100" s="129">
        <v>33.000000000000007</v>
      </c>
      <c r="DH100" s="129">
        <v>9.5000000000000107</v>
      </c>
      <c r="DJ100" s="129">
        <v>33.000000000000007</v>
      </c>
      <c r="DK100" s="129">
        <v>33.000000000000007</v>
      </c>
      <c r="DL100" s="129">
        <v>33.000000000000007</v>
      </c>
      <c r="DM100" s="129">
        <v>33.000000000000007</v>
      </c>
      <c r="DN100" s="129">
        <v>33.000000000000007</v>
      </c>
      <c r="DO100" s="129">
        <v>33.000000000000007</v>
      </c>
      <c r="DP100" s="129">
        <v>33.000000000000007</v>
      </c>
      <c r="DQ100" s="129">
        <v>33.000000000000007</v>
      </c>
      <c r="DR100" s="129">
        <v>33.000000000000007</v>
      </c>
      <c r="DS100" s="129">
        <v>9.5000000000000107</v>
      </c>
      <c r="DW100" s="27">
        <v>21.000000000000004</v>
      </c>
      <c r="DX100" s="27">
        <v>21.000000000000004</v>
      </c>
      <c r="DY100" s="27">
        <v>21.000000000000004</v>
      </c>
      <c r="DZ100" s="27">
        <v>21.000000000000004</v>
      </c>
      <c r="EA100" s="27">
        <v>21.000000000000004</v>
      </c>
      <c r="EB100" s="27">
        <v>21.000000000000004</v>
      </c>
      <c r="EC100" s="27">
        <v>21.000000000000004</v>
      </c>
      <c r="ED100" s="27">
        <v>21.000000000000004</v>
      </c>
      <c r="EE100" s="27">
        <v>21.000000000000004</v>
      </c>
      <c r="EF100" s="129">
        <v>11.5</v>
      </c>
      <c r="EH100" s="27">
        <v>35.500000000000014</v>
      </c>
      <c r="EI100" s="27">
        <v>35.500000000000014</v>
      </c>
      <c r="EJ100" s="27">
        <v>35.500000000000014</v>
      </c>
      <c r="EK100" s="27">
        <v>35.500000000000014</v>
      </c>
      <c r="EL100" s="27">
        <v>35.500000000000014</v>
      </c>
      <c r="EM100" s="27">
        <v>35.500000000000014</v>
      </c>
      <c r="EN100" s="27">
        <v>35.500000000000014</v>
      </c>
      <c r="EO100" s="27">
        <v>35.500000000000014</v>
      </c>
      <c r="EP100" s="27">
        <v>35.500000000000014</v>
      </c>
      <c r="EQ100" s="129">
        <v>11.5</v>
      </c>
      <c r="ES100" s="27">
        <v>42.500000000000014</v>
      </c>
      <c r="ET100" s="27">
        <v>42.500000000000014</v>
      </c>
      <c r="EU100" s="27">
        <v>42.500000000000014</v>
      </c>
      <c r="EV100" s="27">
        <v>42.500000000000014</v>
      </c>
      <c r="EW100" s="27">
        <v>42.500000000000014</v>
      </c>
      <c r="EX100" s="27">
        <v>42.500000000000014</v>
      </c>
      <c r="EY100" s="27">
        <v>42.500000000000014</v>
      </c>
      <c r="EZ100" s="27">
        <v>42.500000000000014</v>
      </c>
      <c r="FA100" s="27">
        <v>42.500000000000014</v>
      </c>
      <c r="FB100" s="129">
        <v>11.5</v>
      </c>
      <c r="FD100" s="27">
        <v>44.000000000000007</v>
      </c>
      <c r="FE100" s="27">
        <v>44.000000000000007</v>
      </c>
      <c r="FF100" s="27">
        <v>44.000000000000007</v>
      </c>
      <c r="FG100" s="27">
        <v>44.000000000000007</v>
      </c>
      <c r="FH100" s="27">
        <v>44.000000000000007</v>
      </c>
      <c r="FI100" s="27">
        <v>44.000000000000007</v>
      </c>
      <c r="FJ100" s="27">
        <v>44.000000000000007</v>
      </c>
      <c r="FK100" s="27">
        <v>44.000000000000007</v>
      </c>
      <c r="FL100" s="27">
        <v>44.000000000000007</v>
      </c>
      <c r="FM100" s="129">
        <v>11.5</v>
      </c>
      <c r="FO100" s="27">
        <v>69.000000000000028</v>
      </c>
      <c r="FP100" s="27">
        <v>69.000000000000028</v>
      </c>
      <c r="FQ100" s="27">
        <v>69.000000000000028</v>
      </c>
      <c r="FR100" s="27">
        <v>69.000000000000028</v>
      </c>
      <c r="FS100" s="27">
        <v>69.000000000000028</v>
      </c>
      <c r="FT100" s="27">
        <v>69.000000000000028</v>
      </c>
      <c r="FU100" s="27">
        <v>69.000000000000028</v>
      </c>
      <c r="FV100" s="27">
        <v>69.000000000000028</v>
      </c>
      <c r="FW100" s="27">
        <v>69.000000000000028</v>
      </c>
      <c r="FX100" s="129">
        <v>11.5</v>
      </c>
      <c r="FZ100" s="27">
        <v>69.000000000000028</v>
      </c>
      <c r="GA100" s="27">
        <v>69.000000000000028</v>
      </c>
      <c r="GB100" s="27">
        <v>69.000000000000028</v>
      </c>
      <c r="GC100" s="27">
        <v>69.000000000000028</v>
      </c>
      <c r="GD100" s="27">
        <v>69.000000000000028</v>
      </c>
      <c r="GE100" s="27">
        <v>69.000000000000028</v>
      </c>
      <c r="GF100" s="27">
        <v>69.000000000000028</v>
      </c>
      <c r="GG100" s="27">
        <v>69.000000000000028</v>
      </c>
      <c r="GH100" s="27">
        <v>69.000000000000028</v>
      </c>
      <c r="GI100" s="129">
        <v>11.5</v>
      </c>
      <c r="GJ100" s="27"/>
      <c r="GK100" s="27">
        <v>16.499999999999993</v>
      </c>
      <c r="GL100" s="27">
        <v>16.499999999999993</v>
      </c>
      <c r="GM100" s="27">
        <v>16.499999999999993</v>
      </c>
      <c r="GN100" s="27">
        <v>16.499999999999993</v>
      </c>
      <c r="GO100" s="27">
        <v>16.499999999999993</v>
      </c>
      <c r="GP100" s="27">
        <v>16.499999999999993</v>
      </c>
      <c r="GQ100" s="27">
        <v>16.499999999999993</v>
      </c>
      <c r="GR100" s="27">
        <v>16.499999999999993</v>
      </c>
      <c r="GS100" s="27">
        <v>16.499999999999993</v>
      </c>
      <c r="GT100" s="129">
        <v>11.5</v>
      </c>
      <c r="GV100" s="27">
        <v>20.000000000000004</v>
      </c>
      <c r="GW100" s="27">
        <v>20.000000000000004</v>
      </c>
      <c r="GX100" s="27">
        <v>20.000000000000004</v>
      </c>
      <c r="GY100" s="27">
        <v>20.000000000000004</v>
      </c>
      <c r="GZ100" s="27">
        <v>20.000000000000004</v>
      </c>
      <c r="HA100" s="27">
        <v>20.000000000000004</v>
      </c>
      <c r="HB100" s="27">
        <v>20.000000000000004</v>
      </c>
      <c r="HC100" s="27">
        <v>20.000000000000004</v>
      </c>
      <c r="HD100" s="27">
        <v>20.000000000000004</v>
      </c>
      <c r="HE100" s="129">
        <v>11.5</v>
      </c>
      <c r="HG100" s="27">
        <v>27.000000000000004</v>
      </c>
      <c r="HH100" s="27">
        <v>27.000000000000004</v>
      </c>
      <c r="HI100" s="27">
        <v>27.000000000000004</v>
      </c>
      <c r="HJ100" s="27">
        <v>27.000000000000004</v>
      </c>
      <c r="HK100" s="27">
        <v>27.000000000000004</v>
      </c>
      <c r="HL100" s="27">
        <v>27.000000000000004</v>
      </c>
      <c r="HM100" s="27">
        <v>27.000000000000004</v>
      </c>
      <c r="HN100" s="27">
        <v>27.000000000000004</v>
      </c>
      <c r="HO100" s="27">
        <v>27.000000000000004</v>
      </c>
      <c r="HP100" s="129">
        <v>11.5</v>
      </c>
      <c r="HR100" s="27">
        <v>27.000000000000004</v>
      </c>
      <c r="HS100" s="27">
        <v>27.000000000000004</v>
      </c>
      <c r="HT100" s="27">
        <v>27.000000000000004</v>
      </c>
      <c r="HU100" s="27">
        <v>27.000000000000004</v>
      </c>
      <c r="HV100" s="27">
        <v>27.000000000000004</v>
      </c>
      <c r="HW100" s="27">
        <v>27.000000000000004</v>
      </c>
      <c r="HX100" s="27">
        <v>27.000000000000004</v>
      </c>
      <c r="HY100" s="27">
        <v>27.000000000000004</v>
      </c>
      <c r="HZ100" s="27">
        <v>27.000000000000004</v>
      </c>
      <c r="IA100" s="129">
        <v>11.5</v>
      </c>
    </row>
    <row r="101" spans="15:235" ht="3" customHeight="1">
      <c r="O101" s="129">
        <v>19.399999999999991</v>
      </c>
      <c r="P101" s="129">
        <v>19.399999999999991</v>
      </c>
      <c r="Q101" s="129">
        <v>19.399999999999991</v>
      </c>
      <c r="R101" s="129">
        <v>19.399999999999991</v>
      </c>
      <c r="S101" s="129">
        <v>19.399999999999991</v>
      </c>
      <c r="T101" s="129">
        <v>19.399999999999991</v>
      </c>
      <c r="U101" s="129">
        <v>19.399999999999991</v>
      </c>
      <c r="V101" s="129">
        <v>19.399999999999991</v>
      </c>
      <c r="W101" s="129">
        <v>19.399999999999991</v>
      </c>
      <c r="X101" s="129">
        <v>9.6000000000000103</v>
      </c>
      <c r="Y101" s="27"/>
      <c r="Z101" s="129">
        <v>39</v>
      </c>
      <c r="AA101" s="129">
        <v>39</v>
      </c>
      <c r="AB101" s="129">
        <v>39</v>
      </c>
      <c r="AC101" s="129">
        <v>39</v>
      </c>
      <c r="AD101" s="129">
        <v>39</v>
      </c>
      <c r="AE101" s="129">
        <v>39</v>
      </c>
      <c r="AF101" s="129">
        <v>39</v>
      </c>
      <c r="AG101" s="129">
        <v>39</v>
      </c>
      <c r="AH101" s="129">
        <v>39</v>
      </c>
      <c r="AI101" s="129">
        <v>9.6000000000000103</v>
      </c>
      <c r="AK101" s="129">
        <v>51</v>
      </c>
      <c r="AL101" s="129">
        <v>51</v>
      </c>
      <c r="AM101" s="129">
        <v>51</v>
      </c>
      <c r="AN101" s="129">
        <v>51</v>
      </c>
      <c r="AO101" s="129">
        <v>51</v>
      </c>
      <c r="AP101" s="129">
        <v>51</v>
      </c>
      <c r="AQ101" s="129">
        <v>51</v>
      </c>
      <c r="AR101" s="129">
        <v>51</v>
      </c>
      <c r="AS101" s="129">
        <v>51</v>
      </c>
      <c r="AT101" s="129">
        <v>9.6000000000000103</v>
      </c>
      <c r="AV101" s="129">
        <v>53</v>
      </c>
      <c r="AW101" s="129">
        <v>53</v>
      </c>
      <c r="AX101" s="129">
        <v>53</v>
      </c>
      <c r="AY101" s="129">
        <v>53</v>
      </c>
      <c r="AZ101" s="129">
        <v>53</v>
      </c>
      <c r="BA101" s="129">
        <v>53</v>
      </c>
      <c r="BB101" s="129">
        <v>53</v>
      </c>
      <c r="BC101" s="129">
        <v>53</v>
      </c>
      <c r="BD101" s="129">
        <v>53</v>
      </c>
      <c r="BE101" s="129">
        <v>9.6000000000000103</v>
      </c>
      <c r="BG101" s="129">
        <v>82.599999999999966</v>
      </c>
      <c r="BH101" s="129">
        <v>82.599999999999966</v>
      </c>
      <c r="BI101" s="129">
        <v>82.599999999999966</v>
      </c>
      <c r="BJ101" s="129">
        <v>82.599999999999966</v>
      </c>
      <c r="BK101" s="129">
        <v>82.599999999999966</v>
      </c>
      <c r="BL101" s="129">
        <v>82.599999999999966</v>
      </c>
      <c r="BM101" s="129">
        <v>82.599999999999966</v>
      </c>
      <c r="BN101" s="129">
        <v>82.599999999999966</v>
      </c>
      <c r="BO101" s="129">
        <v>82.599999999999966</v>
      </c>
      <c r="BP101" s="129">
        <v>9.6000000000000103</v>
      </c>
      <c r="BR101" s="129">
        <v>82.599999999999966</v>
      </c>
      <c r="BS101" s="129">
        <v>82.599999999999966</v>
      </c>
      <c r="BT101" s="129">
        <v>82.599999999999966</v>
      </c>
      <c r="BU101" s="129">
        <v>82.599999999999966</v>
      </c>
      <c r="BV101" s="129">
        <v>82.599999999999966</v>
      </c>
      <c r="BW101" s="129">
        <v>82.599999999999966</v>
      </c>
      <c r="BX101" s="129">
        <v>82.599999999999966</v>
      </c>
      <c r="BY101" s="129">
        <v>82.599999999999966</v>
      </c>
      <c r="BZ101" s="129">
        <v>82.599999999999966</v>
      </c>
      <c r="CA101" s="129">
        <v>9.6000000000000103</v>
      </c>
      <c r="CC101" s="129">
        <v>19.800000000000004</v>
      </c>
      <c r="CD101" s="129">
        <v>19.800000000000004</v>
      </c>
      <c r="CE101" s="129">
        <v>19.800000000000004</v>
      </c>
      <c r="CF101" s="129">
        <v>19.800000000000004</v>
      </c>
      <c r="CG101" s="129">
        <v>19.800000000000004</v>
      </c>
      <c r="CH101" s="129">
        <v>19.800000000000004</v>
      </c>
      <c r="CI101" s="129">
        <v>19.800000000000004</v>
      </c>
      <c r="CJ101" s="129">
        <v>19.800000000000004</v>
      </c>
      <c r="CK101" s="129">
        <v>19.800000000000004</v>
      </c>
      <c r="CL101" s="129">
        <v>9.6000000000000103</v>
      </c>
      <c r="CN101" s="129">
        <v>23.800000000000004</v>
      </c>
      <c r="CO101" s="129">
        <v>23.800000000000004</v>
      </c>
      <c r="CP101" s="129">
        <v>23.800000000000004</v>
      </c>
      <c r="CQ101" s="129">
        <v>23.800000000000004</v>
      </c>
      <c r="CR101" s="129">
        <v>23.800000000000004</v>
      </c>
      <c r="CS101" s="129">
        <v>23.800000000000004</v>
      </c>
      <c r="CT101" s="129">
        <v>23.800000000000004</v>
      </c>
      <c r="CU101" s="129">
        <v>23.800000000000004</v>
      </c>
      <c r="CV101" s="129">
        <v>23.800000000000004</v>
      </c>
      <c r="CW101" s="129">
        <v>9.6000000000000103</v>
      </c>
      <c r="CY101" s="129">
        <v>32.600000000000009</v>
      </c>
      <c r="CZ101" s="129">
        <v>32.600000000000009</v>
      </c>
      <c r="DA101" s="129">
        <v>32.600000000000009</v>
      </c>
      <c r="DB101" s="129">
        <v>32.600000000000009</v>
      </c>
      <c r="DC101" s="129">
        <v>32.600000000000009</v>
      </c>
      <c r="DD101" s="129">
        <v>32.600000000000009</v>
      </c>
      <c r="DE101" s="129">
        <v>32.600000000000009</v>
      </c>
      <c r="DF101" s="129">
        <v>32.600000000000009</v>
      </c>
      <c r="DG101" s="129">
        <v>32.600000000000009</v>
      </c>
      <c r="DH101" s="129">
        <v>9.6000000000000103</v>
      </c>
      <c r="DJ101" s="129">
        <v>32.600000000000009</v>
      </c>
      <c r="DK101" s="129">
        <v>32.600000000000009</v>
      </c>
      <c r="DL101" s="129">
        <v>32.600000000000009</v>
      </c>
      <c r="DM101" s="129">
        <v>32.600000000000009</v>
      </c>
      <c r="DN101" s="129">
        <v>32.600000000000009</v>
      </c>
      <c r="DO101" s="129">
        <v>32.600000000000009</v>
      </c>
      <c r="DP101" s="129">
        <v>32.600000000000009</v>
      </c>
      <c r="DQ101" s="129">
        <v>32.600000000000009</v>
      </c>
      <c r="DR101" s="129">
        <v>32.600000000000009</v>
      </c>
      <c r="DS101" s="129">
        <v>9.6000000000000103</v>
      </c>
      <c r="DW101" s="27">
        <v>20.800000000000004</v>
      </c>
      <c r="DX101" s="27">
        <v>20.800000000000004</v>
      </c>
      <c r="DY101" s="27">
        <v>20.800000000000004</v>
      </c>
      <c r="DZ101" s="27">
        <v>20.800000000000004</v>
      </c>
      <c r="EA101" s="27">
        <v>20.800000000000004</v>
      </c>
      <c r="EB101" s="27">
        <v>20.800000000000004</v>
      </c>
      <c r="EC101" s="27">
        <v>20.800000000000004</v>
      </c>
      <c r="ED101" s="27">
        <v>20.800000000000004</v>
      </c>
      <c r="EE101" s="27">
        <v>20.800000000000004</v>
      </c>
      <c r="EF101" s="129">
        <v>11.6</v>
      </c>
      <c r="EH101" s="27">
        <v>35.200000000000017</v>
      </c>
      <c r="EI101" s="27">
        <v>35.200000000000017</v>
      </c>
      <c r="EJ101" s="27">
        <v>35.200000000000017</v>
      </c>
      <c r="EK101" s="27">
        <v>35.200000000000017</v>
      </c>
      <c r="EL101" s="27">
        <v>35.200000000000017</v>
      </c>
      <c r="EM101" s="27">
        <v>35.200000000000017</v>
      </c>
      <c r="EN101" s="27">
        <v>35.200000000000017</v>
      </c>
      <c r="EO101" s="27">
        <v>35.200000000000017</v>
      </c>
      <c r="EP101" s="27">
        <v>35.200000000000017</v>
      </c>
      <c r="EQ101" s="129">
        <v>11.6</v>
      </c>
      <c r="ES101" s="27">
        <v>42.200000000000017</v>
      </c>
      <c r="ET101" s="27">
        <v>42.200000000000017</v>
      </c>
      <c r="EU101" s="27">
        <v>42.200000000000017</v>
      </c>
      <c r="EV101" s="27">
        <v>42.200000000000017</v>
      </c>
      <c r="EW101" s="27">
        <v>42.200000000000017</v>
      </c>
      <c r="EX101" s="27">
        <v>42.200000000000017</v>
      </c>
      <c r="EY101" s="27">
        <v>42.200000000000017</v>
      </c>
      <c r="EZ101" s="27">
        <v>42.200000000000017</v>
      </c>
      <c r="FA101" s="27">
        <v>42.200000000000017</v>
      </c>
      <c r="FB101" s="129">
        <v>11.6</v>
      </c>
      <c r="FD101" s="27">
        <v>43.600000000000009</v>
      </c>
      <c r="FE101" s="27">
        <v>43.600000000000009</v>
      </c>
      <c r="FF101" s="27">
        <v>43.600000000000009</v>
      </c>
      <c r="FG101" s="27">
        <v>43.600000000000009</v>
      </c>
      <c r="FH101" s="27">
        <v>43.600000000000009</v>
      </c>
      <c r="FI101" s="27">
        <v>43.600000000000009</v>
      </c>
      <c r="FJ101" s="27">
        <v>43.600000000000009</v>
      </c>
      <c r="FK101" s="27">
        <v>43.600000000000009</v>
      </c>
      <c r="FL101" s="27">
        <v>43.600000000000009</v>
      </c>
      <c r="FM101" s="129">
        <v>11.6</v>
      </c>
      <c r="FO101" s="27">
        <v>68.400000000000034</v>
      </c>
      <c r="FP101" s="27">
        <v>68.400000000000034</v>
      </c>
      <c r="FQ101" s="27">
        <v>68.400000000000034</v>
      </c>
      <c r="FR101" s="27">
        <v>68.400000000000034</v>
      </c>
      <c r="FS101" s="27">
        <v>68.400000000000034</v>
      </c>
      <c r="FT101" s="27">
        <v>68.400000000000034</v>
      </c>
      <c r="FU101" s="27">
        <v>68.400000000000034</v>
      </c>
      <c r="FV101" s="27">
        <v>68.400000000000034</v>
      </c>
      <c r="FW101" s="27">
        <v>68.400000000000034</v>
      </c>
      <c r="FX101" s="129">
        <v>11.6</v>
      </c>
      <c r="FZ101" s="27">
        <v>68.400000000000034</v>
      </c>
      <c r="GA101" s="27">
        <v>68.400000000000034</v>
      </c>
      <c r="GB101" s="27">
        <v>68.400000000000034</v>
      </c>
      <c r="GC101" s="27">
        <v>68.400000000000034</v>
      </c>
      <c r="GD101" s="27">
        <v>68.400000000000034</v>
      </c>
      <c r="GE101" s="27">
        <v>68.400000000000034</v>
      </c>
      <c r="GF101" s="27">
        <v>68.400000000000034</v>
      </c>
      <c r="GG101" s="27">
        <v>68.400000000000034</v>
      </c>
      <c r="GH101" s="27">
        <v>68.400000000000034</v>
      </c>
      <c r="GI101" s="129">
        <v>11.6</v>
      </c>
      <c r="GJ101" s="27"/>
      <c r="GK101" s="27">
        <v>16.399999999999991</v>
      </c>
      <c r="GL101" s="27">
        <v>16.399999999999991</v>
      </c>
      <c r="GM101" s="27">
        <v>16.399999999999991</v>
      </c>
      <c r="GN101" s="27">
        <v>16.399999999999991</v>
      </c>
      <c r="GO101" s="27">
        <v>16.399999999999991</v>
      </c>
      <c r="GP101" s="27">
        <v>16.399999999999991</v>
      </c>
      <c r="GQ101" s="27">
        <v>16.399999999999991</v>
      </c>
      <c r="GR101" s="27">
        <v>16.399999999999991</v>
      </c>
      <c r="GS101" s="27">
        <v>16.399999999999991</v>
      </c>
      <c r="GT101" s="129">
        <v>11.6</v>
      </c>
      <c r="GV101" s="27">
        <v>19.800000000000004</v>
      </c>
      <c r="GW101" s="27">
        <v>19.800000000000004</v>
      </c>
      <c r="GX101" s="27">
        <v>19.800000000000004</v>
      </c>
      <c r="GY101" s="27">
        <v>19.800000000000004</v>
      </c>
      <c r="GZ101" s="27">
        <v>19.800000000000004</v>
      </c>
      <c r="HA101" s="27">
        <v>19.800000000000004</v>
      </c>
      <c r="HB101" s="27">
        <v>19.800000000000004</v>
      </c>
      <c r="HC101" s="27">
        <v>19.800000000000004</v>
      </c>
      <c r="HD101" s="27">
        <v>19.800000000000004</v>
      </c>
      <c r="HE101" s="129">
        <v>11.6</v>
      </c>
      <c r="HG101" s="27">
        <v>26.800000000000004</v>
      </c>
      <c r="HH101" s="27">
        <v>26.800000000000004</v>
      </c>
      <c r="HI101" s="27">
        <v>26.800000000000004</v>
      </c>
      <c r="HJ101" s="27">
        <v>26.800000000000004</v>
      </c>
      <c r="HK101" s="27">
        <v>26.800000000000004</v>
      </c>
      <c r="HL101" s="27">
        <v>26.800000000000004</v>
      </c>
      <c r="HM101" s="27">
        <v>26.800000000000004</v>
      </c>
      <c r="HN101" s="27">
        <v>26.800000000000004</v>
      </c>
      <c r="HO101" s="27">
        <v>26.800000000000004</v>
      </c>
      <c r="HP101" s="129">
        <v>11.6</v>
      </c>
      <c r="HR101" s="27">
        <v>26.800000000000004</v>
      </c>
      <c r="HS101" s="27">
        <v>26.800000000000004</v>
      </c>
      <c r="HT101" s="27">
        <v>26.800000000000004</v>
      </c>
      <c r="HU101" s="27">
        <v>26.800000000000004</v>
      </c>
      <c r="HV101" s="27">
        <v>26.800000000000004</v>
      </c>
      <c r="HW101" s="27">
        <v>26.800000000000004</v>
      </c>
      <c r="HX101" s="27">
        <v>26.800000000000004</v>
      </c>
      <c r="HY101" s="27">
        <v>26.800000000000004</v>
      </c>
      <c r="HZ101" s="27">
        <v>26.800000000000004</v>
      </c>
      <c r="IA101" s="129">
        <v>11.6</v>
      </c>
    </row>
    <row r="102" spans="15:235" ht="3" customHeight="1">
      <c r="O102" s="129">
        <v>18.79999999999999</v>
      </c>
      <c r="P102" s="129">
        <v>18.79999999999999</v>
      </c>
      <c r="Q102" s="129">
        <v>18.79999999999999</v>
      </c>
      <c r="R102" s="129">
        <v>18.79999999999999</v>
      </c>
      <c r="S102" s="129">
        <v>18.79999999999999</v>
      </c>
      <c r="T102" s="129">
        <v>18.79999999999999</v>
      </c>
      <c r="U102" s="129">
        <v>18.79999999999999</v>
      </c>
      <c r="V102" s="129">
        <v>18.79999999999999</v>
      </c>
      <c r="W102" s="129">
        <v>18.79999999999999</v>
      </c>
      <c r="X102" s="129">
        <v>9.7000000000000099</v>
      </c>
      <c r="Y102" s="27"/>
      <c r="Z102" s="129">
        <v>38</v>
      </c>
      <c r="AA102" s="129">
        <v>38</v>
      </c>
      <c r="AB102" s="129">
        <v>38</v>
      </c>
      <c r="AC102" s="129">
        <v>38</v>
      </c>
      <c r="AD102" s="129">
        <v>38</v>
      </c>
      <c r="AE102" s="129">
        <v>38</v>
      </c>
      <c r="AF102" s="129">
        <v>38</v>
      </c>
      <c r="AG102" s="129">
        <v>38</v>
      </c>
      <c r="AH102" s="129">
        <v>38</v>
      </c>
      <c r="AI102" s="129">
        <v>9.7000000000000099</v>
      </c>
      <c r="AK102" s="129">
        <v>50.5</v>
      </c>
      <c r="AL102" s="129">
        <v>50.5</v>
      </c>
      <c r="AM102" s="129">
        <v>50.5</v>
      </c>
      <c r="AN102" s="129">
        <v>50.5</v>
      </c>
      <c r="AO102" s="129">
        <v>50.5</v>
      </c>
      <c r="AP102" s="129">
        <v>50.5</v>
      </c>
      <c r="AQ102" s="129">
        <v>50.5</v>
      </c>
      <c r="AR102" s="129">
        <v>50.5</v>
      </c>
      <c r="AS102" s="129">
        <v>50.5</v>
      </c>
      <c r="AT102" s="129">
        <v>9.7000000000000099</v>
      </c>
      <c r="AV102" s="129">
        <v>52.5</v>
      </c>
      <c r="AW102" s="129">
        <v>52.5</v>
      </c>
      <c r="AX102" s="129">
        <v>52.5</v>
      </c>
      <c r="AY102" s="129">
        <v>52.5</v>
      </c>
      <c r="AZ102" s="129">
        <v>52.5</v>
      </c>
      <c r="BA102" s="129">
        <v>52.5</v>
      </c>
      <c r="BB102" s="129">
        <v>52.5</v>
      </c>
      <c r="BC102" s="129">
        <v>52.5</v>
      </c>
      <c r="BD102" s="129">
        <v>52.5</v>
      </c>
      <c r="BE102" s="129">
        <v>9.7000000000000099</v>
      </c>
      <c r="BG102" s="129">
        <v>81.69999999999996</v>
      </c>
      <c r="BH102" s="129">
        <v>81.69999999999996</v>
      </c>
      <c r="BI102" s="129">
        <v>81.69999999999996</v>
      </c>
      <c r="BJ102" s="129">
        <v>81.69999999999996</v>
      </c>
      <c r="BK102" s="129">
        <v>81.69999999999996</v>
      </c>
      <c r="BL102" s="129">
        <v>81.69999999999996</v>
      </c>
      <c r="BM102" s="129">
        <v>81.69999999999996</v>
      </c>
      <c r="BN102" s="129">
        <v>81.69999999999996</v>
      </c>
      <c r="BO102" s="129">
        <v>81.69999999999996</v>
      </c>
      <c r="BP102" s="129">
        <v>9.7000000000000099</v>
      </c>
      <c r="BR102" s="129">
        <v>81.69999999999996</v>
      </c>
      <c r="BS102" s="129">
        <v>81.69999999999996</v>
      </c>
      <c r="BT102" s="129">
        <v>81.69999999999996</v>
      </c>
      <c r="BU102" s="129">
        <v>81.69999999999996</v>
      </c>
      <c r="BV102" s="129">
        <v>81.69999999999996</v>
      </c>
      <c r="BW102" s="129">
        <v>81.69999999999996</v>
      </c>
      <c r="BX102" s="129">
        <v>81.69999999999996</v>
      </c>
      <c r="BY102" s="129">
        <v>81.69999999999996</v>
      </c>
      <c r="BZ102" s="129">
        <v>81.69999999999996</v>
      </c>
      <c r="CA102" s="129">
        <v>9.7000000000000099</v>
      </c>
      <c r="CC102" s="129">
        <v>19.600000000000005</v>
      </c>
      <c r="CD102" s="129">
        <v>19.600000000000005</v>
      </c>
      <c r="CE102" s="129">
        <v>19.600000000000005</v>
      </c>
      <c r="CF102" s="129">
        <v>19.600000000000005</v>
      </c>
      <c r="CG102" s="129">
        <v>19.600000000000005</v>
      </c>
      <c r="CH102" s="129">
        <v>19.600000000000005</v>
      </c>
      <c r="CI102" s="129">
        <v>19.600000000000005</v>
      </c>
      <c r="CJ102" s="129">
        <v>19.600000000000005</v>
      </c>
      <c r="CK102" s="129">
        <v>19.600000000000005</v>
      </c>
      <c r="CL102" s="129">
        <v>9.7000000000000099</v>
      </c>
      <c r="CN102" s="129">
        <v>23.600000000000005</v>
      </c>
      <c r="CO102" s="129">
        <v>23.600000000000005</v>
      </c>
      <c r="CP102" s="129">
        <v>23.600000000000005</v>
      </c>
      <c r="CQ102" s="129">
        <v>23.600000000000005</v>
      </c>
      <c r="CR102" s="129">
        <v>23.600000000000005</v>
      </c>
      <c r="CS102" s="129">
        <v>23.600000000000005</v>
      </c>
      <c r="CT102" s="129">
        <v>23.600000000000005</v>
      </c>
      <c r="CU102" s="129">
        <v>23.600000000000005</v>
      </c>
      <c r="CV102" s="129">
        <v>23.600000000000005</v>
      </c>
      <c r="CW102" s="129">
        <v>9.7000000000000099</v>
      </c>
      <c r="CY102" s="129">
        <v>32.20000000000001</v>
      </c>
      <c r="CZ102" s="129">
        <v>32.20000000000001</v>
      </c>
      <c r="DA102" s="129">
        <v>32.20000000000001</v>
      </c>
      <c r="DB102" s="129">
        <v>32.20000000000001</v>
      </c>
      <c r="DC102" s="129">
        <v>32.20000000000001</v>
      </c>
      <c r="DD102" s="129">
        <v>32.20000000000001</v>
      </c>
      <c r="DE102" s="129">
        <v>32.20000000000001</v>
      </c>
      <c r="DF102" s="129">
        <v>32.20000000000001</v>
      </c>
      <c r="DG102" s="129">
        <v>32.20000000000001</v>
      </c>
      <c r="DH102" s="129">
        <v>9.7000000000000099</v>
      </c>
      <c r="DJ102" s="129">
        <v>32.20000000000001</v>
      </c>
      <c r="DK102" s="129">
        <v>32.20000000000001</v>
      </c>
      <c r="DL102" s="129">
        <v>32.20000000000001</v>
      </c>
      <c r="DM102" s="129">
        <v>32.20000000000001</v>
      </c>
      <c r="DN102" s="129">
        <v>32.20000000000001</v>
      </c>
      <c r="DO102" s="129">
        <v>32.20000000000001</v>
      </c>
      <c r="DP102" s="129">
        <v>32.20000000000001</v>
      </c>
      <c r="DQ102" s="129">
        <v>32.20000000000001</v>
      </c>
      <c r="DR102" s="129">
        <v>32.20000000000001</v>
      </c>
      <c r="DS102" s="129">
        <v>9.7000000000000099</v>
      </c>
      <c r="DW102" s="27">
        <v>20.600000000000005</v>
      </c>
      <c r="DX102" s="27">
        <v>20.600000000000005</v>
      </c>
      <c r="DY102" s="27">
        <v>20.600000000000005</v>
      </c>
      <c r="DZ102" s="27">
        <v>20.600000000000005</v>
      </c>
      <c r="EA102" s="27">
        <v>20.600000000000005</v>
      </c>
      <c r="EB102" s="27">
        <v>20.600000000000005</v>
      </c>
      <c r="EC102" s="27">
        <v>20.600000000000005</v>
      </c>
      <c r="ED102" s="27">
        <v>20.600000000000005</v>
      </c>
      <c r="EE102" s="27">
        <v>20.600000000000005</v>
      </c>
      <c r="EF102" s="129">
        <v>11.7</v>
      </c>
      <c r="EH102" s="27">
        <v>34.90000000000002</v>
      </c>
      <c r="EI102" s="27">
        <v>34.90000000000002</v>
      </c>
      <c r="EJ102" s="27">
        <v>34.90000000000002</v>
      </c>
      <c r="EK102" s="27">
        <v>34.90000000000002</v>
      </c>
      <c r="EL102" s="27">
        <v>34.90000000000002</v>
      </c>
      <c r="EM102" s="27">
        <v>34.90000000000002</v>
      </c>
      <c r="EN102" s="27">
        <v>34.90000000000002</v>
      </c>
      <c r="EO102" s="27">
        <v>34.90000000000002</v>
      </c>
      <c r="EP102" s="27">
        <v>34.90000000000002</v>
      </c>
      <c r="EQ102" s="129">
        <v>11.7</v>
      </c>
      <c r="ES102" s="27">
        <v>41.90000000000002</v>
      </c>
      <c r="ET102" s="27">
        <v>41.90000000000002</v>
      </c>
      <c r="EU102" s="27">
        <v>41.90000000000002</v>
      </c>
      <c r="EV102" s="27">
        <v>41.90000000000002</v>
      </c>
      <c r="EW102" s="27">
        <v>41.90000000000002</v>
      </c>
      <c r="EX102" s="27">
        <v>41.90000000000002</v>
      </c>
      <c r="EY102" s="27">
        <v>41.90000000000002</v>
      </c>
      <c r="EZ102" s="27">
        <v>41.90000000000002</v>
      </c>
      <c r="FA102" s="27">
        <v>41.90000000000002</v>
      </c>
      <c r="FB102" s="129">
        <v>11.7</v>
      </c>
      <c r="FD102" s="27">
        <v>43.20000000000001</v>
      </c>
      <c r="FE102" s="27">
        <v>43.20000000000001</v>
      </c>
      <c r="FF102" s="27">
        <v>43.20000000000001</v>
      </c>
      <c r="FG102" s="27">
        <v>43.20000000000001</v>
      </c>
      <c r="FH102" s="27">
        <v>43.20000000000001</v>
      </c>
      <c r="FI102" s="27">
        <v>43.20000000000001</v>
      </c>
      <c r="FJ102" s="27">
        <v>43.20000000000001</v>
      </c>
      <c r="FK102" s="27">
        <v>43.20000000000001</v>
      </c>
      <c r="FL102" s="27">
        <v>43.20000000000001</v>
      </c>
      <c r="FM102" s="129">
        <v>11.7</v>
      </c>
      <c r="FO102" s="27">
        <v>67.80000000000004</v>
      </c>
      <c r="FP102" s="27">
        <v>67.80000000000004</v>
      </c>
      <c r="FQ102" s="27">
        <v>67.80000000000004</v>
      </c>
      <c r="FR102" s="27">
        <v>67.80000000000004</v>
      </c>
      <c r="FS102" s="27">
        <v>67.80000000000004</v>
      </c>
      <c r="FT102" s="27">
        <v>67.80000000000004</v>
      </c>
      <c r="FU102" s="27">
        <v>67.80000000000004</v>
      </c>
      <c r="FV102" s="27">
        <v>67.80000000000004</v>
      </c>
      <c r="FW102" s="27">
        <v>67.80000000000004</v>
      </c>
      <c r="FX102" s="129">
        <v>11.7</v>
      </c>
      <c r="FZ102" s="27">
        <v>67.80000000000004</v>
      </c>
      <c r="GA102" s="27">
        <v>67.80000000000004</v>
      </c>
      <c r="GB102" s="27">
        <v>67.80000000000004</v>
      </c>
      <c r="GC102" s="27">
        <v>67.80000000000004</v>
      </c>
      <c r="GD102" s="27">
        <v>67.80000000000004</v>
      </c>
      <c r="GE102" s="27">
        <v>67.80000000000004</v>
      </c>
      <c r="GF102" s="27">
        <v>67.80000000000004</v>
      </c>
      <c r="GG102" s="27">
        <v>67.80000000000004</v>
      </c>
      <c r="GH102" s="27">
        <v>67.80000000000004</v>
      </c>
      <c r="GI102" s="129">
        <v>11.7</v>
      </c>
      <c r="GJ102" s="27"/>
      <c r="GK102" s="27">
        <v>16.29999999999999</v>
      </c>
      <c r="GL102" s="27">
        <v>16.29999999999999</v>
      </c>
      <c r="GM102" s="27">
        <v>16.29999999999999</v>
      </c>
      <c r="GN102" s="27">
        <v>16.29999999999999</v>
      </c>
      <c r="GO102" s="27">
        <v>16.29999999999999</v>
      </c>
      <c r="GP102" s="27">
        <v>16.29999999999999</v>
      </c>
      <c r="GQ102" s="27">
        <v>16.29999999999999</v>
      </c>
      <c r="GR102" s="27">
        <v>16.29999999999999</v>
      </c>
      <c r="GS102" s="27">
        <v>16.29999999999999</v>
      </c>
      <c r="GT102" s="129">
        <v>11.7</v>
      </c>
      <c r="GV102" s="27">
        <v>19.600000000000005</v>
      </c>
      <c r="GW102" s="27">
        <v>19.600000000000005</v>
      </c>
      <c r="GX102" s="27">
        <v>19.600000000000005</v>
      </c>
      <c r="GY102" s="27">
        <v>19.600000000000005</v>
      </c>
      <c r="GZ102" s="27">
        <v>19.600000000000005</v>
      </c>
      <c r="HA102" s="27">
        <v>19.600000000000005</v>
      </c>
      <c r="HB102" s="27">
        <v>19.600000000000005</v>
      </c>
      <c r="HC102" s="27">
        <v>19.600000000000005</v>
      </c>
      <c r="HD102" s="27">
        <v>19.600000000000005</v>
      </c>
      <c r="HE102" s="129">
        <v>11.7</v>
      </c>
      <c r="HG102" s="27">
        <v>26.600000000000005</v>
      </c>
      <c r="HH102" s="27">
        <v>26.600000000000005</v>
      </c>
      <c r="HI102" s="27">
        <v>26.600000000000005</v>
      </c>
      <c r="HJ102" s="27">
        <v>26.600000000000005</v>
      </c>
      <c r="HK102" s="27">
        <v>26.600000000000005</v>
      </c>
      <c r="HL102" s="27">
        <v>26.600000000000005</v>
      </c>
      <c r="HM102" s="27">
        <v>26.600000000000005</v>
      </c>
      <c r="HN102" s="27">
        <v>26.600000000000005</v>
      </c>
      <c r="HO102" s="27">
        <v>26.600000000000005</v>
      </c>
      <c r="HP102" s="129">
        <v>11.7</v>
      </c>
      <c r="HR102" s="27">
        <v>26.600000000000005</v>
      </c>
      <c r="HS102" s="27">
        <v>26.600000000000005</v>
      </c>
      <c r="HT102" s="27">
        <v>26.600000000000005</v>
      </c>
      <c r="HU102" s="27">
        <v>26.600000000000005</v>
      </c>
      <c r="HV102" s="27">
        <v>26.600000000000005</v>
      </c>
      <c r="HW102" s="27">
        <v>26.600000000000005</v>
      </c>
      <c r="HX102" s="27">
        <v>26.600000000000005</v>
      </c>
      <c r="HY102" s="27">
        <v>26.600000000000005</v>
      </c>
      <c r="HZ102" s="27">
        <v>26.600000000000005</v>
      </c>
      <c r="IA102" s="129">
        <v>11.7</v>
      </c>
    </row>
    <row r="103" spans="15:235" ht="3" customHeight="1">
      <c r="O103" s="129">
        <v>18.199999999999989</v>
      </c>
      <c r="P103" s="129">
        <v>18.199999999999989</v>
      </c>
      <c r="Q103" s="129">
        <v>18.199999999999989</v>
      </c>
      <c r="R103" s="129">
        <v>18.199999999999989</v>
      </c>
      <c r="S103" s="129">
        <v>18.199999999999989</v>
      </c>
      <c r="T103" s="129">
        <v>18.199999999999989</v>
      </c>
      <c r="U103" s="129">
        <v>18.199999999999989</v>
      </c>
      <c r="V103" s="129">
        <v>18.199999999999989</v>
      </c>
      <c r="W103" s="129">
        <v>18.199999999999989</v>
      </c>
      <c r="X103" s="129">
        <v>9.8000000000000096</v>
      </c>
      <c r="Y103" s="27"/>
      <c r="Z103" s="129">
        <v>37</v>
      </c>
      <c r="AA103" s="129">
        <v>37</v>
      </c>
      <c r="AB103" s="129">
        <v>37</v>
      </c>
      <c r="AC103" s="129">
        <v>37</v>
      </c>
      <c r="AD103" s="129">
        <v>37</v>
      </c>
      <c r="AE103" s="129">
        <v>37</v>
      </c>
      <c r="AF103" s="129">
        <v>37</v>
      </c>
      <c r="AG103" s="129">
        <v>37</v>
      </c>
      <c r="AH103" s="129">
        <v>37</v>
      </c>
      <c r="AI103" s="129">
        <v>9.8000000000000096</v>
      </c>
      <c r="AK103" s="129">
        <v>50</v>
      </c>
      <c r="AL103" s="129">
        <v>50</v>
      </c>
      <c r="AM103" s="129">
        <v>50</v>
      </c>
      <c r="AN103" s="129">
        <v>50</v>
      </c>
      <c r="AO103" s="129">
        <v>50</v>
      </c>
      <c r="AP103" s="129">
        <v>50</v>
      </c>
      <c r="AQ103" s="129">
        <v>50</v>
      </c>
      <c r="AR103" s="129">
        <v>50</v>
      </c>
      <c r="AS103" s="129">
        <v>50</v>
      </c>
      <c r="AT103" s="129">
        <v>9.8000000000000096</v>
      </c>
      <c r="AV103" s="129">
        <v>52</v>
      </c>
      <c r="AW103" s="129">
        <v>52</v>
      </c>
      <c r="AX103" s="129">
        <v>52</v>
      </c>
      <c r="AY103" s="129">
        <v>52</v>
      </c>
      <c r="AZ103" s="129">
        <v>52</v>
      </c>
      <c r="BA103" s="129">
        <v>52</v>
      </c>
      <c r="BB103" s="129">
        <v>52</v>
      </c>
      <c r="BC103" s="129">
        <v>52</v>
      </c>
      <c r="BD103" s="129">
        <v>52</v>
      </c>
      <c r="BE103" s="129">
        <v>9.8000000000000096</v>
      </c>
      <c r="BG103" s="129">
        <v>80.799999999999955</v>
      </c>
      <c r="BH103" s="129">
        <v>80.799999999999955</v>
      </c>
      <c r="BI103" s="129">
        <v>80.799999999999955</v>
      </c>
      <c r="BJ103" s="129">
        <v>80.799999999999955</v>
      </c>
      <c r="BK103" s="129">
        <v>80.799999999999955</v>
      </c>
      <c r="BL103" s="129">
        <v>80.799999999999955</v>
      </c>
      <c r="BM103" s="129">
        <v>80.799999999999955</v>
      </c>
      <c r="BN103" s="129">
        <v>80.799999999999955</v>
      </c>
      <c r="BO103" s="129">
        <v>80.799999999999955</v>
      </c>
      <c r="BP103" s="129">
        <v>9.8000000000000096</v>
      </c>
      <c r="BR103" s="129">
        <v>80.799999999999955</v>
      </c>
      <c r="BS103" s="129">
        <v>80.799999999999955</v>
      </c>
      <c r="BT103" s="129">
        <v>80.799999999999955</v>
      </c>
      <c r="BU103" s="129">
        <v>80.799999999999955</v>
      </c>
      <c r="BV103" s="129">
        <v>80.799999999999955</v>
      </c>
      <c r="BW103" s="129">
        <v>80.799999999999955</v>
      </c>
      <c r="BX103" s="129">
        <v>80.799999999999955</v>
      </c>
      <c r="BY103" s="129">
        <v>80.799999999999955</v>
      </c>
      <c r="BZ103" s="129">
        <v>80.799999999999955</v>
      </c>
      <c r="CA103" s="129">
        <v>9.8000000000000096</v>
      </c>
      <c r="CC103" s="129">
        <v>19.400000000000006</v>
      </c>
      <c r="CD103" s="129">
        <v>19.400000000000006</v>
      </c>
      <c r="CE103" s="129">
        <v>19.400000000000006</v>
      </c>
      <c r="CF103" s="129">
        <v>19.400000000000006</v>
      </c>
      <c r="CG103" s="129">
        <v>19.400000000000006</v>
      </c>
      <c r="CH103" s="129">
        <v>19.400000000000006</v>
      </c>
      <c r="CI103" s="129">
        <v>19.400000000000006</v>
      </c>
      <c r="CJ103" s="129">
        <v>19.400000000000006</v>
      </c>
      <c r="CK103" s="129">
        <v>19.400000000000006</v>
      </c>
      <c r="CL103" s="129">
        <v>9.8000000000000096</v>
      </c>
      <c r="CN103" s="129">
        <v>23.400000000000006</v>
      </c>
      <c r="CO103" s="129">
        <v>23.400000000000006</v>
      </c>
      <c r="CP103" s="129">
        <v>23.400000000000006</v>
      </c>
      <c r="CQ103" s="129">
        <v>23.400000000000006</v>
      </c>
      <c r="CR103" s="129">
        <v>23.400000000000006</v>
      </c>
      <c r="CS103" s="129">
        <v>23.400000000000006</v>
      </c>
      <c r="CT103" s="129">
        <v>23.400000000000006</v>
      </c>
      <c r="CU103" s="129">
        <v>23.400000000000006</v>
      </c>
      <c r="CV103" s="129">
        <v>23.400000000000006</v>
      </c>
      <c r="CW103" s="129">
        <v>9.8000000000000096</v>
      </c>
      <c r="CY103" s="129">
        <v>31.800000000000011</v>
      </c>
      <c r="CZ103" s="129">
        <v>31.800000000000011</v>
      </c>
      <c r="DA103" s="129">
        <v>31.800000000000011</v>
      </c>
      <c r="DB103" s="129">
        <v>31.800000000000011</v>
      </c>
      <c r="DC103" s="129">
        <v>31.800000000000011</v>
      </c>
      <c r="DD103" s="129">
        <v>31.800000000000011</v>
      </c>
      <c r="DE103" s="129">
        <v>31.800000000000011</v>
      </c>
      <c r="DF103" s="129">
        <v>31.800000000000011</v>
      </c>
      <c r="DG103" s="129">
        <v>31.800000000000011</v>
      </c>
      <c r="DH103" s="129">
        <v>9.8000000000000096</v>
      </c>
      <c r="DJ103" s="129">
        <v>31.800000000000011</v>
      </c>
      <c r="DK103" s="129">
        <v>31.800000000000011</v>
      </c>
      <c r="DL103" s="129">
        <v>31.800000000000011</v>
      </c>
      <c r="DM103" s="129">
        <v>31.800000000000011</v>
      </c>
      <c r="DN103" s="129">
        <v>31.800000000000011</v>
      </c>
      <c r="DO103" s="129">
        <v>31.800000000000011</v>
      </c>
      <c r="DP103" s="129">
        <v>31.800000000000011</v>
      </c>
      <c r="DQ103" s="129">
        <v>31.800000000000011</v>
      </c>
      <c r="DR103" s="129">
        <v>31.800000000000011</v>
      </c>
      <c r="DS103" s="129">
        <v>9.8000000000000096</v>
      </c>
      <c r="DW103" s="27">
        <v>20.400000000000006</v>
      </c>
      <c r="DX103" s="27">
        <v>20.400000000000006</v>
      </c>
      <c r="DY103" s="27">
        <v>20.400000000000006</v>
      </c>
      <c r="DZ103" s="27">
        <v>20.400000000000006</v>
      </c>
      <c r="EA103" s="27">
        <v>20.400000000000006</v>
      </c>
      <c r="EB103" s="27">
        <v>20.400000000000006</v>
      </c>
      <c r="EC103" s="27">
        <v>20.400000000000006</v>
      </c>
      <c r="ED103" s="27">
        <v>20.400000000000006</v>
      </c>
      <c r="EE103" s="27">
        <v>20.400000000000006</v>
      </c>
      <c r="EF103" s="129">
        <v>11.8</v>
      </c>
      <c r="EH103" s="27">
        <v>34.600000000000023</v>
      </c>
      <c r="EI103" s="27">
        <v>34.600000000000023</v>
      </c>
      <c r="EJ103" s="27">
        <v>34.600000000000023</v>
      </c>
      <c r="EK103" s="27">
        <v>34.600000000000023</v>
      </c>
      <c r="EL103" s="27">
        <v>34.600000000000023</v>
      </c>
      <c r="EM103" s="27">
        <v>34.600000000000023</v>
      </c>
      <c r="EN103" s="27">
        <v>34.600000000000023</v>
      </c>
      <c r="EO103" s="27">
        <v>34.600000000000023</v>
      </c>
      <c r="EP103" s="27">
        <v>34.600000000000023</v>
      </c>
      <c r="EQ103" s="129">
        <v>11.8</v>
      </c>
      <c r="ES103" s="27">
        <v>41.600000000000023</v>
      </c>
      <c r="ET103" s="27">
        <v>41.600000000000023</v>
      </c>
      <c r="EU103" s="27">
        <v>41.600000000000023</v>
      </c>
      <c r="EV103" s="27">
        <v>41.600000000000023</v>
      </c>
      <c r="EW103" s="27">
        <v>41.600000000000023</v>
      </c>
      <c r="EX103" s="27">
        <v>41.600000000000023</v>
      </c>
      <c r="EY103" s="27">
        <v>41.600000000000023</v>
      </c>
      <c r="EZ103" s="27">
        <v>41.600000000000023</v>
      </c>
      <c r="FA103" s="27">
        <v>41.600000000000023</v>
      </c>
      <c r="FB103" s="129">
        <v>11.8</v>
      </c>
      <c r="FD103" s="27">
        <v>42.800000000000011</v>
      </c>
      <c r="FE103" s="27">
        <v>42.800000000000011</v>
      </c>
      <c r="FF103" s="27">
        <v>42.800000000000011</v>
      </c>
      <c r="FG103" s="27">
        <v>42.800000000000011</v>
      </c>
      <c r="FH103" s="27">
        <v>42.800000000000011</v>
      </c>
      <c r="FI103" s="27">
        <v>42.800000000000011</v>
      </c>
      <c r="FJ103" s="27">
        <v>42.800000000000011</v>
      </c>
      <c r="FK103" s="27">
        <v>42.800000000000011</v>
      </c>
      <c r="FL103" s="27">
        <v>42.800000000000011</v>
      </c>
      <c r="FM103" s="129">
        <v>11.8</v>
      </c>
      <c r="FO103" s="27">
        <v>67.200000000000045</v>
      </c>
      <c r="FP103" s="27">
        <v>67.200000000000045</v>
      </c>
      <c r="FQ103" s="27">
        <v>67.200000000000045</v>
      </c>
      <c r="FR103" s="27">
        <v>67.200000000000045</v>
      </c>
      <c r="FS103" s="27">
        <v>67.200000000000045</v>
      </c>
      <c r="FT103" s="27">
        <v>67.200000000000045</v>
      </c>
      <c r="FU103" s="27">
        <v>67.200000000000045</v>
      </c>
      <c r="FV103" s="27">
        <v>67.200000000000045</v>
      </c>
      <c r="FW103" s="27">
        <v>67.200000000000045</v>
      </c>
      <c r="FX103" s="129">
        <v>11.8</v>
      </c>
      <c r="FZ103" s="27">
        <v>67.200000000000045</v>
      </c>
      <c r="GA103" s="27">
        <v>67.200000000000045</v>
      </c>
      <c r="GB103" s="27">
        <v>67.200000000000045</v>
      </c>
      <c r="GC103" s="27">
        <v>67.200000000000045</v>
      </c>
      <c r="GD103" s="27">
        <v>67.200000000000045</v>
      </c>
      <c r="GE103" s="27">
        <v>67.200000000000045</v>
      </c>
      <c r="GF103" s="27">
        <v>67.200000000000045</v>
      </c>
      <c r="GG103" s="27">
        <v>67.200000000000045</v>
      </c>
      <c r="GH103" s="27">
        <v>67.200000000000045</v>
      </c>
      <c r="GI103" s="129">
        <v>11.8</v>
      </c>
      <c r="GJ103" s="27"/>
      <c r="GK103" s="27">
        <v>16.199999999999989</v>
      </c>
      <c r="GL103" s="27">
        <v>16.199999999999989</v>
      </c>
      <c r="GM103" s="27">
        <v>16.199999999999989</v>
      </c>
      <c r="GN103" s="27">
        <v>16.199999999999989</v>
      </c>
      <c r="GO103" s="27">
        <v>16.199999999999989</v>
      </c>
      <c r="GP103" s="27">
        <v>16.199999999999989</v>
      </c>
      <c r="GQ103" s="27">
        <v>16.199999999999989</v>
      </c>
      <c r="GR103" s="27">
        <v>16.199999999999989</v>
      </c>
      <c r="GS103" s="27">
        <v>16.199999999999989</v>
      </c>
      <c r="GT103" s="129">
        <v>11.8</v>
      </c>
      <c r="GV103" s="27">
        <v>19.400000000000006</v>
      </c>
      <c r="GW103" s="27">
        <v>19.400000000000006</v>
      </c>
      <c r="GX103" s="27">
        <v>19.400000000000006</v>
      </c>
      <c r="GY103" s="27">
        <v>19.400000000000006</v>
      </c>
      <c r="GZ103" s="27">
        <v>19.400000000000006</v>
      </c>
      <c r="HA103" s="27">
        <v>19.400000000000006</v>
      </c>
      <c r="HB103" s="27">
        <v>19.400000000000006</v>
      </c>
      <c r="HC103" s="27">
        <v>19.400000000000006</v>
      </c>
      <c r="HD103" s="27">
        <v>19.400000000000006</v>
      </c>
      <c r="HE103" s="129">
        <v>11.8</v>
      </c>
      <c r="HG103" s="27">
        <v>26.400000000000006</v>
      </c>
      <c r="HH103" s="27">
        <v>26.400000000000006</v>
      </c>
      <c r="HI103" s="27">
        <v>26.400000000000006</v>
      </c>
      <c r="HJ103" s="27">
        <v>26.400000000000006</v>
      </c>
      <c r="HK103" s="27">
        <v>26.400000000000006</v>
      </c>
      <c r="HL103" s="27">
        <v>26.400000000000006</v>
      </c>
      <c r="HM103" s="27">
        <v>26.400000000000006</v>
      </c>
      <c r="HN103" s="27">
        <v>26.400000000000006</v>
      </c>
      <c r="HO103" s="27">
        <v>26.400000000000006</v>
      </c>
      <c r="HP103" s="129">
        <v>11.8</v>
      </c>
      <c r="HR103" s="27">
        <v>26.400000000000006</v>
      </c>
      <c r="HS103" s="27">
        <v>26.400000000000006</v>
      </c>
      <c r="HT103" s="27">
        <v>26.400000000000006</v>
      </c>
      <c r="HU103" s="27">
        <v>26.400000000000006</v>
      </c>
      <c r="HV103" s="27">
        <v>26.400000000000006</v>
      </c>
      <c r="HW103" s="27">
        <v>26.400000000000006</v>
      </c>
      <c r="HX103" s="27">
        <v>26.400000000000006</v>
      </c>
      <c r="HY103" s="27">
        <v>26.400000000000006</v>
      </c>
      <c r="HZ103" s="27">
        <v>26.400000000000006</v>
      </c>
      <c r="IA103" s="129">
        <v>11.8</v>
      </c>
    </row>
    <row r="104" spans="15:235" ht="3" customHeight="1">
      <c r="O104" s="129">
        <v>17.599999999999987</v>
      </c>
      <c r="P104" s="129">
        <v>17.599999999999987</v>
      </c>
      <c r="Q104" s="129">
        <v>17.599999999999987</v>
      </c>
      <c r="R104" s="129">
        <v>17.599999999999987</v>
      </c>
      <c r="S104" s="129">
        <v>17.599999999999987</v>
      </c>
      <c r="T104" s="129">
        <v>17.599999999999987</v>
      </c>
      <c r="U104" s="129">
        <v>17.599999999999987</v>
      </c>
      <c r="V104" s="129">
        <v>17.599999999999987</v>
      </c>
      <c r="W104" s="129">
        <v>17.599999999999987</v>
      </c>
      <c r="X104" s="129">
        <v>9.9000000000000092</v>
      </c>
      <c r="Y104" s="27"/>
      <c r="Z104" s="129">
        <v>36</v>
      </c>
      <c r="AA104" s="129">
        <v>36</v>
      </c>
      <c r="AB104" s="129">
        <v>36</v>
      </c>
      <c r="AC104" s="129">
        <v>36</v>
      </c>
      <c r="AD104" s="129">
        <v>36</v>
      </c>
      <c r="AE104" s="129">
        <v>36</v>
      </c>
      <c r="AF104" s="129">
        <v>36</v>
      </c>
      <c r="AG104" s="129">
        <v>36</v>
      </c>
      <c r="AH104" s="129">
        <v>36</v>
      </c>
      <c r="AI104" s="129">
        <v>9.9000000000000092</v>
      </c>
      <c r="AK104" s="129">
        <v>49.5</v>
      </c>
      <c r="AL104" s="129">
        <v>49.5</v>
      </c>
      <c r="AM104" s="129">
        <v>49.5</v>
      </c>
      <c r="AN104" s="129">
        <v>49.5</v>
      </c>
      <c r="AO104" s="129">
        <v>49.5</v>
      </c>
      <c r="AP104" s="129">
        <v>49.5</v>
      </c>
      <c r="AQ104" s="129">
        <v>49.5</v>
      </c>
      <c r="AR104" s="129">
        <v>49.5</v>
      </c>
      <c r="AS104" s="129">
        <v>49.5</v>
      </c>
      <c r="AT104" s="129">
        <v>9.9000000000000092</v>
      </c>
      <c r="AV104" s="129">
        <v>51.5</v>
      </c>
      <c r="AW104" s="129">
        <v>51.5</v>
      </c>
      <c r="AX104" s="129">
        <v>51.5</v>
      </c>
      <c r="AY104" s="129">
        <v>51.5</v>
      </c>
      <c r="AZ104" s="129">
        <v>51.5</v>
      </c>
      <c r="BA104" s="129">
        <v>51.5</v>
      </c>
      <c r="BB104" s="129">
        <v>51.5</v>
      </c>
      <c r="BC104" s="129">
        <v>51.5</v>
      </c>
      <c r="BD104" s="129">
        <v>51.5</v>
      </c>
      <c r="BE104" s="129">
        <v>9.9000000000000092</v>
      </c>
      <c r="BG104" s="129">
        <v>79.899999999999949</v>
      </c>
      <c r="BH104" s="129">
        <v>79.899999999999949</v>
      </c>
      <c r="BI104" s="129">
        <v>79.899999999999949</v>
      </c>
      <c r="BJ104" s="129">
        <v>79.899999999999949</v>
      </c>
      <c r="BK104" s="129">
        <v>79.899999999999949</v>
      </c>
      <c r="BL104" s="129">
        <v>79.899999999999949</v>
      </c>
      <c r="BM104" s="129">
        <v>79.899999999999949</v>
      </c>
      <c r="BN104" s="129">
        <v>79.899999999999949</v>
      </c>
      <c r="BO104" s="129">
        <v>79.899999999999949</v>
      </c>
      <c r="BP104" s="129">
        <v>9.9000000000000092</v>
      </c>
      <c r="BR104" s="129">
        <v>79.899999999999949</v>
      </c>
      <c r="BS104" s="129">
        <v>79.899999999999949</v>
      </c>
      <c r="BT104" s="129">
        <v>79.899999999999949</v>
      </c>
      <c r="BU104" s="129">
        <v>79.899999999999949</v>
      </c>
      <c r="BV104" s="129">
        <v>79.899999999999949</v>
      </c>
      <c r="BW104" s="129">
        <v>79.899999999999949</v>
      </c>
      <c r="BX104" s="129">
        <v>79.899999999999949</v>
      </c>
      <c r="BY104" s="129">
        <v>79.899999999999949</v>
      </c>
      <c r="BZ104" s="129">
        <v>79.899999999999949</v>
      </c>
      <c r="CA104" s="129">
        <v>9.9000000000000092</v>
      </c>
      <c r="CC104" s="129">
        <v>19.200000000000006</v>
      </c>
      <c r="CD104" s="129">
        <v>19.200000000000006</v>
      </c>
      <c r="CE104" s="129">
        <v>19.200000000000006</v>
      </c>
      <c r="CF104" s="129">
        <v>19.200000000000006</v>
      </c>
      <c r="CG104" s="129">
        <v>19.200000000000006</v>
      </c>
      <c r="CH104" s="129">
        <v>19.200000000000006</v>
      </c>
      <c r="CI104" s="129">
        <v>19.200000000000006</v>
      </c>
      <c r="CJ104" s="129">
        <v>19.200000000000006</v>
      </c>
      <c r="CK104" s="129">
        <v>19.200000000000006</v>
      </c>
      <c r="CL104" s="129">
        <v>9.9000000000000092</v>
      </c>
      <c r="CN104" s="129">
        <v>23.200000000000006</v>
      </c>
      <c r="CO104" s="129">
        <v>23.200000000000006</v>
      </c>
      <c r="CP104" s="129">
        <v>23.200000000000006</v>
      </c>
      <c r="CQ104" s="129">
        <v>23.200000000000006</v>
      </c>
      <c r="CR104" s="129">
        <v>23.200000000000006</v>
      </c>
      <c r="CS104" s="129">
        <v>23.200000000000006</v>
      </c>
      <c r="CT104" s="129">
        <v>23.200000000000006</v>
      </c>
      <c r="CU104" s="129">
        <v>23.200000000000006</v>
      </c>
      <c r="CV104" s="129">
        <v>23.200000000000006</v>
      </c>
      <c r="CW104" s="129">
        <v>9.9000000000000092</v>
      </c>
      <c r="CY104" s="129">
        <v>31.400000000000013</v>
      </c>
      <c r="CZ104" s="129">
        <v>31.400000000000013</v>
      </c>
      <c r="DA104" s="129">
        <v>31.400000000000013</v>
      </c>
      <c r="DB104" s="129">
        <v>31.400000000000013</v>
      </c>
      <c r="DC104" s="129">
        <v>31.400000000000013</v>
      </c>
      <c r="DD104" s="129">
        <v>31.400000000000013</v>
      </c>
      <c r="DE104" s="129">
        <v>31.400000000000013</v>
      </c>
      <c r="DF104" s="129">
        <v>31.400000000000013</v>
      </c>
      <c r="DG104" s="129">
        <v>31.400000000000013</v>
      </c>
      <c r="DH104" s="129">
        <v>9.9000000000000092</v>
      </c>
      <c r="DJ104" s="129">
        <v>31.400000000000013</v>
      </c>
      <c r="DK104" s="129">
        <v>31.400000000000013</v>
      </c>
      <c r="DL104" s="129">
        <v>31.400000000000013</v>
      </c>
      <c r="DM104" s="129">
        <v>31.400000000000013</v>
      </c>
      <c r="DN104" s="129">
        <v>31.400000000000013</v>
      </c>
      <c r="DO104" s="129">
        <v>31.400000000000013</v>
      </c>
      <c r="DP104" s="129">
        <v>31.400000000000013</v>
      </c>
      <c r="DQ104" s="129">
        <v>31.400000000000013</v>
      </c>
      <c r="DR104" s="129">
        <v>31.400000000000013</v>
      </c>
      <c r="DS104" s="129">
        <v>9.9000000000000092</v>
      </c>
      <c r="DW104" s="27">
        <v>20.200000000000006</v>
      </c>
      <c r="DX104" s="27">
        <v>20.200000000000006</v>
      </c>
      <c r="DY104" s="27">
        <v>20.200000000000006</v>
      </c>
      <c r="DZ104" s="27">
        <v>20.200000000000006</v>
      </c>
      <c r="EA104" s="27">
        <v>20.200000000000006</v>
      </c>
      <c r="EB104" s="27">
        <v>20.200000000000006</v>
      </c>
      <c r="EC104" s="27">
        <v>20.200000000000006</v>
      </c>
      <c r="ED104" s="27">
        <v>20.200000000000006</v>
      </c>
      <c r="EE104" s="27">
        <v>20.200000000000006</v>
      </c>
      <c r="EF104" s="129">
        <v>11.9</v>
      </c>
      <c r="EH104" s="27">
        <v>34.300000000000026</v>
      </c>
      <c r="EI104" s="27">
        <v>34.300000000000026</v>
      </c>
      <c r="EJ104" s="27">
        <v>34.300000000000026</v>
      </c>
      <c r="EK104" s="27">
        <v>34.300000000000026</v>
      </c>
      <c r="EL104" s="27">
        <v>34.300000000000026</v>
      </c>
      <c r="EM104" s="27">
        <v>34.300000000000026</v>
      </c>
      <c r="EN104" s="27">
        <v>34.300000000000026</v>
      </c>
      <c r="EO104" s="27">
        <v>34.300000000000026</v>
      </c>
      <c r="EP104" s="27">
        <v>34.300000000000026</v>
      </c>
      <c r="EQ104" s="129">
        <v>11.9</v>
      </c>
      <c r="ES104" s="27">
        <v>41.300000000000026</v>
      </c>
      <c r="ET104" s="27">
        <v>41.300000000000026</v>
      </c>
      <c r="EU104" s="27">
        <v>41.300000000000026</v>
      </c>
      <c r="EV104" s="27">
        <v>41.300000000000026</v>
      </c>
      <c r="EW104" s="27">
        <v>41.300000000000026</v>
      </c>
      <c r="EX104" s="27">
        <v>41.300000000000026</v>
      </c>
      <c r="EY104" s="27">
        <v>41.300000000000026</v>
      </c>
      <c r="EZ104" s="27">
        <v>41.300000000000026</v>
      </c>
      <c r="FA104" s="27">
        <v>41.300000000000026</v>
      </c>
      <c r="FB104" s="129">
        <v>11.9</v>
      </c>
      <c r="FD104" s="27">
        <v>42.400000000000013</v>
      </c>
      <c r="FE104" s="27">
        <v>42.400000000000013</v>
      </c>
      <c r="FF104" s="27">
        <v>42.400000000000013</v>
      </c>
      <c r="FG104" s="27">
        <v>42.400000000000013</v>
      </c>
      <c r="FH104" s="27">
        <v>42.400000000000013</v>
      </c>
      <c r="FI104" s="27">
        <v>42.400000000000013</v>
      </c>
      <c r="FJ104" s="27">
        <v>42.400000000000013</v>
      </c>
      <c r="FK104" s="27">
        <v>42.400000000000013</v>
      </c>
      <c r="FL104" s="27">
        <v>42.400000000000013</v>
      </c>
      <c r="FM104" s="129">
        <v>11.9</v>
      </c>
      <c r="FO104" s="27">
        <v>66.600000000000051</v>
      </c>
      <c r="FP104" s="27">
        <v>66.600000000000051</v>
      </c>
      <c r="FQ104" s="27">
        <v>66.600000000000051</v>
      </c>
      <c r="FR104" s="27">
        <v>66.600000000000051</v>
      </c>
      <c r="FS104" s="27">
        <v>66.600000000000051</v>
      </c>
      <c r="FT104" s="27">
        <v>66.600000000000051</v>
      </c>
      <c r="FU104" s="27">
        <v>66.600000000000051</v>
      </c>
      <c r="FV104" s="27">
        <v>66.600000000000051</v>
      </c>
      <c r="FW104" s="27">
        <v>66.600000000000051</v>
      </c>
      <c r="FX104" s="129">
        <v>11.9</v>
      </c>
      <c r="FZ104" s="27">
        <v>66.600000000000051</v>
      </c>
      <c r="GA104" s="27">
        <v>66.600000000000051</v>
      </c>
      <c r="GB104" s="27">
        <v>66.600000000000051</v>
      </c>
      <c r="GC104" s="27">
        <v>66.600000000000051</v>
      </c>
      <c r="GD104" s="27">
        <v>66.600000000000051</v>
      </c>
      <c r="GE104" s="27">
        <v>66.600000000000051</v>
      </c>
      <c r="GF104" s="27">
        <v>66.600000000000051</v>
      </c>
      <c r="GG104" s="27">
        <v>66.600000000000051</v>
      </c>
      <c r="GH104" s="27">
        <v>66.600000000000051</v>
      </c>
      <c r="GI104" s="129">
        <v>11.9</v>
      </c>
      <c r="GJ104" s="27"/>
      <c r="GK104" s="27">
        <v>16.099999999999987</v>
      </c>
      <c r="GL104" s="27">
        <v>16.099999999999987</v>
      </c>
      <c r="GM104" s="27">
        <v>16.099999999999987</v>
      </c>
      <c r="GN104" s="27">
        <v>16.099999999999987</v>
      </c>
      <c r="GO104" s="27">
        <v>16.099999999999987</v>
      </c>
      <c r="GP104" s="27">
        <v>16.099999999999987</v>
      </c>
      <c r="GQ104" s="27">
        <v>16.099999999999987</v>
      </c>
      <c r="GR104" s="27">
        <v>16.099999999999987</v>
      </c>
      <c r="GS104" s="27">
        <v>16.099999999999987</v>
      </c>
      <c r="GT104" s="129">
        <v>11.9</v>
      </c>
      <c r="GV104" s="27">
        <v>19.200000000000006</v>
      </c>
      <c r="GW104" s="27">
        <v>19.200000000000006</v>
      </c>
      <c r="GX104" s="27">
        <v>19.200000000000006</v>
      </c>
      <c r="GY104" s="27">
        <v>19.200000000000006</v>
      </c>
      <c r="GZ104" s="27">
        <v>19.200000000000006</v>
      </c>
      <c r="HA104" s="27">
        <v>19.200000000000006</v>
      </c>
      <c r="HB104" s="27">
        <v>19.200000000000006</v>
      </c>
      <c r="HC104" s="27">
        <v>19.200000000000006</v>
      </c>
      <c r="HD104" s="27">
        <v>19.200000000000006</v>
      </c>
      <c r="HE104" s="129">
        <v>11.9</v>
      </c>
      <c r="HG104" s="27">
        <v>26.200000000000006</v>
      </c>
      <c r="HH104" s="27">
        <v>26.200000000000006</v>
      </c>
      <c r="HI104" s="27">
        <v>26.200000000000006</v>
      </c>
      <c r="HJ104" s="27">
        <v>26.200000000000006</v>
      </c>
      <c r="HK104" s="27">
        <v>26.200000000000006</v>
      </c>
      <c r="HL104" s="27">
        <v>26.200000000000006</v>
      </c>
      <c r="HM104" s="27">
        <v>26.200000000000006</v>
      </c>
      <c r="HN104" s="27">
        <v>26.200000000000006</v>
      </c>
      <c r="HO104" s="27">
        <v>26.200000000000006</v>
      </c>
      <c r="HP104" s="129">
        <v>11.9</v>
      </c>
      <c r="HR104" s="27">
        <v>26.200000000000006</v>
      </c>
      <c r="HS104" s="27">
        <v>26.200000000000006</v>
      </c>
      <c r="HT104" s="27">
        <v>26.200000000000006</v>
      </c>
      <c r="HU104" s="27">
        <v>26.200000000000006</v>
      </c>
      <c r="HV104" s="27">
        <v>26.200000000000006</v>
      </c>
      <c r="HW104" s="27">
        <v>26.200000000000006</v>
      </c>
      <c r="HX104" s="27">
        <v>26.200000000000006</v>
      </c>
      <c r="HY104" s="27">
        <v>26.200000000000006</v>
      </c>
      <c r="HZ104" s="27">
        <v>26.200000000000006</v>
      </c>
      <c r="IA104" s="129">
        <v>11.9</v>
      </c>
    </row>
    <row r="105" spans="15:235" ht="3" customHeight="1">
      <c r="O105" s="129">
        <v>17</v>
      </c>
      <c r="P105" s="129">
        <v>17</v>
      </c>
      <c r="Q105" s="129">
        <v>17</v>
      </c>
      <c r="R105" s="129">
        <v>17</v>
      </c>
      <c r="S105" s="129">
        <v>17</v>
      </c>
      <c r="T105" s="129">
        <v>17</v>
      </c>
      <c r="U105" s="129">
        <v>17</v>
      </c>
      <c r="V105" s="129">
        <v>17</v>
      </c>
      <c r="W105" s="129">
        <v>17</v>
      </c>
      <c r="X105" s="129">
        <v>10</v>
      </c>
      <c r="Y105" s="27"/>
      <c r="Z105" s="129">
        <v>35</v>
      </c>
      <c r="AA105" s="129">
        <v>35</v>
      </c>
      <c r="AB105" s="129">
        <v>35</v>
      </c>
      <c r="AC105" s="129">
        <v>35</v>
      </c>
      <c r="AD105" s="129">
        <v>35</v>
      </c>
      <c r="AE105" s="129">
        <v>35</v>
      </c>
      <c r="AF105" s="129">
        <v>35</v>
      </c>
      <c r="AG105" s="129">
        <v>35</v>
      </c>
      <c r="AH105" s="129">
        <v>35</v>
      </c>
      <c r="AI105" s="129">
        <v>10</v>
      </c>
      <c r="AK105" s="129">
        <v>49</v>
      </c>
      <c r="AL105" s="129">
        <v>49</v>
      </c>
      <c r="AM105" s="129">
        <v>49</v>
      </c>
      <c r="AN105" s="129">
        <v>49</v>
      </c>
      <c r="AO105" s="129">
        <v>49</v>
      </c>
      <c r="AP105" s="129">
        <v>49</v>
      </c>
      <c r="AQ105" s="129">
        <v>49</v>
      </c>
      <c r="AR105" s="129">
        <v>49</v>
      </c>
      <c r="AS105" s="129">
        <v>49</v>
      </c>
      <c r="AT105" s="129">
        <v>10</v>
      </c>
      <c r="AV105" s="129">
        <v>51</v>
      </c>
      <c r="AW105" s="129">
        <v>51</v>
      </c>
      <c r="AX105" s="129">
        <v>51</v>
      </c>
      <c r="AY105" s="129">
        <v>51</v>
      </c>
      <c r="AZ105" s="129">
        <v>51</v>
      </c>
      <c r="BA105" s="129">
        <v>51</v>
      </c>
      <c r="BB105" s="129">
        <v>51</v>
      </c>
      <c r="BC105" s="129">
        <v>51</v>
      </c>
      <c r="BD105" s="129">
        <v>51</v>
      </c>
      <c r="BE105" s="129">
        <v>10</v>
      </c>
      <c r="BG105" s="129">
        <v>79</v>
      </c>
      <c r="BH105" s="129">
        <v>79</v>
      </c>
      <c r="BI105" s="129">
        <v>79</v>
      </c>
      <c r="BJ105" s="129">
        <v>79</v>
      </c>
      <c r="BK105" s="129">
        <v>79</v>
      </c>
      <c r="BL105" s="129">
        <v>79</v>
      </c>
      <c r="BM105" s="129">
        <v>79</v>
      </c>
      <c r="BN105" s="129">
        <v>79</v>
      </c>
      <c r="BO105" s="129">
        <v>79</v>
      </c>
      <c r="BP105" s="129">
        <v>10</v>
      </c>
      <c r="BR105" s="129">
        <v>79</v>
      </c>
      <c r="BS105" s="129">
        <v>79</v>
      </c>
      <c r="BT105" s="129">
        <v>79</v>
      </c>
      <c r="BU105" s="129">
        <v>79</v>
      </c>
      <c r="BV105" s="129">
        <v>79</v>
      </c>
      <c r="BW105" s="129">
        <v>79</v>
      </c>
      <c r="BX105" s="129">
        <v>79</v>
      </c>
      <c r="BY105" s="129">
        <v>79</v>
      </c>
      <c r="BZ105" s="129">
        <v>79</v>
      </c>
      <c r="CA105" s="129">
        <v>10</v>
      </c>
      <c r="CC105" s="129">
        <v>19</v>
      </c>
      <c r="CD105" s="129">
        <v>19</v>
      </c>
      <c r="CE105" s="129">
        <v>19</v>
      </c>
      <c r="CF105" s="129">
        <v>19</v>
      </c>
      <c r="CG105" s="129">
        <v>19</v>
      </c>
      <c r="CH105" s="129">
        <v>19</v>
      </c>
      <c r="CI105" s="129">
        <v>19</v>
      </c>
      <c r="CJ105" s="129">
        <v>19</v>
      </c>
      <c r="CK105" s="129">
        <v>19</v>
      </c>
      <c r="CL105" s="129">
        <v>10</v>
      </c>
      <c r="CN105" s="129">
        <v>23</v>
      </c>
      <c r="CO105" s="129">
        <v>23</v>
      </c>
      <c r="CP105" s="129">
        <v>23</v>
      </c>
      <c r="CQ105" s="129">
        <v>23</v>
      </c>
      <c r="CR105" s="129">
        <v>23</v>
      </c>
      <c r="CS105" s="129">
        <v>23</v>
      </c>
      <c r="CT105" s="129">
        <v>23</v>
      </c>
      <c r="CU105" s="129">
        <v>23</v>
      </c>
      <c r="CV105" s="129">
        <v>23</v>
      </c>
      <c r="CW105" s="129">
        <v>10</v>
      </c>
      <c r="CY105" s="129">
        <v>31</v>
      </c>
      <c r="CZ105" s="129">
        <v>31</v>
      </c>
      <c r="DA105" s="129">
        <v>31</v>
      </c>
      <c r="DB105" s="129">
        <v>31</v>
      </c>
      <c r="DC105" s="129">
        <v>31</v>
      </c>
      <c r="DD105" s="129">
        <v>31</v>
      </c>
      <c r="DE105" s="129">
        <v>31</v>
      </c>
      <c r="DF105" s="129">
        <v>31</v>
      </c>
      <c r="DG105" s="129">
        <v>31</v>
      </c>
      <c r="DH105" s="129">
        <v>10</v>
      </c>
      <c r="DJ105" s="129">
        <v>31</v>
      </c>
      <c r="DK105" s="129">
        <v>31</v>
      </c>
      <c r="DL105" s="129">
        <v>31</v>
      </c>
      <c r="DM105" s="129">
        <v>31</v>
      </c>
      <c r="DN105" s="129">
        <v>31</v>
      </c>
      <c r="DO105" s="129">
        <v>31</v>
      </c>
      <c r="DP105" s="129">
        <v>31</v>
      </c>
      <c r="DQ105" s="129">
        <v>31</v>
      </c>
      <c r="DR105" s="129">
        <v>31</v>
      </c>
      <c r="DS105" s="129">
        <v>10</v>
      </c>
      <c r="DW105" s="27">
        <v>20</v>
      </c>
      <c r="DX105" s="27">
        <v>20</v>
      </c>
      <c r="DY105" s="27">
        <v>20</v>
      </c>
      <c r="DZ105" s="27">
        <v>20</v>
      </c>
      <c r="EA105" s="27">
        <v>20</v>
      </c>
      <c r="EB105" s="27">
        <v>20</v>
      </c>
      <c r="EC105" s="27">
        <v>20</v>
      </c>
      <c r="ED105" s="27">
        <v>20</v>
      </c>
      <c r="EE105" s="27">
        <v>20</v>
      </c>
      <c r="EF105" s="129">
        <v>12</v>
      </c>
      <c r="EH105" s="27">
        <v>34</v>
      </c>
      <c r="EI105" s="27">
        <v>34</v>
      </c>
      <c r="EJ105" s="27">
        <v>34</v>
      </c>
      <c r="EK105" s="27">
        <v>34</v>
      </c>
      <c r="EL105" s="27">
        <v>34</v>
      </c>
      <c r="EM105" s="27">
        <v>34</v>
      </c>
      <c r="EN105" s="27">
        <v>34</v>
      </c>
      <c r="EO105" s="27">
        <v>34</v>
      </c>
      <c r="EP105" s="27">
        <v>34</v>
      </c>
      <c r="EQ105" s="129">
        <v>12</v>
      </c>
      <c r="ES105" s="27">
        <v>41</v>
      </c>
      <c r="ET105" s="27">
        <v>41</v>
      </c>
      <c r="EU105" s="27">
        <v>41</v>
      </c>
      <c r="EV105" s="27">
        <v>41</v>
      </c>
      <c r="EW105" s="27">
        <v>41</v>
      </c>
      <c r="EX105" s="27">
        <v>41</v>
      </c>
      <c r="EY105" s="27">
        <v>41</v>
      </c>
      <c r="EZ105" s="27">
        <v>41</v>
      </c>
      <c r="FA105" s="27">
        <v>41</v>
      </c>
      <c r="FB105" s="129">
        <v>12</v>
      </c>
      <c r="FD105" s="27">
        <v>42</v>
      </c>
      <c r="FE105" s="27">
        <v>42</v>
      </c>
      <c r="FF105" s="27">
        <v>42</v>
      </c>
      <c r="FG105" s="27">
        <v>42</v>
      </c>
      <c r="FH105" s="27">
        <v>42</v>
      </c>
      <c r="FI105" s="27">
        <v>42</v>
      </c>
      <c r="FJ105" s="27">
        <v>42</v>
      </c>
      <c r="FK105" s="27">
        <v>42</v>
      </c>
      <c r="FL105" s="27">
        <v>42</v>
      </c>
      <c r="FM105" s="129">
        <v>12</v>
      </c>
      <c r="FO105" s="27">
        <v>66</v>
      </c>
      <c r="FP105" s="27">
        <v>66</v>
      </c>
      <c r="FQ105" s="27">
        <v>66</v>
      </c>
      <c r="FR105" s="27">
        <v>66</v>
      </c>
      <c r="FS105" s="27">
        <v>66</v>
      </c>
      <c r="FT105" s="27">
        <v>66</v>
      </c>
      <c r="FU105" s="27">
        <v>66</v>
      </c>
      <c r="FV105" s="27">
        <v>66</v>
      </c>
      <c r="FW105" s="27">
        <v>66</v>
      </c>
      <c r="FX105" s="129">
        <v>12</v>
      </c>
      <c r="FZ105" s="27">
        <v>66</v>
      </c>
      <c r="GA105" s="27">
        <v>66</v>
      </c>
      <c r="GB105" s="27">
        <v>66</v>
      </c>
      <c r="GC105" s="27">
        <v>66</v>
      </c>
      <c r="GD105" s="27">
        <v>66</v>
      </c>
      <c r="GE105" s="27">
        <v>66</v>
      </c>
      <c r="GF105" s="27">
        <v>66</v>
      </c>
      <c r="GG105" s="27">
        <v>66</v>
      </c>
      <c r="GH105" s="27">
        <v>66</v>
      </c>
      <c r="GI105" s="129">
        <v>12</v>
      </c>
      <c r="GJ105" s="27"/>
      <c r="GK105" s="27">
        <v>16</v>
      </c>
      <c r="GL105" s="27">
        <v>16</v>
      </c>
      <c r="GM105" s="27">
        <v>16</v>
      </c>
      <c r="GN105" s="27">
        <v>16</v>
      </c>
      <c r="GO105" s="27">
        <v>16</v>
      </c>
      <c r="GP105" s="27">
        <v>16</v>
      </c>
      <c r="GQ105" s="27">
        <v>16</v>
      </c>
      <c r="GR105" s="27">
        <v>16</v>
      </c>
      <c r="GS105" s="27">
        <v>16</v>
      </c>
      <c r="GT105" s="129">
        <v>12</v>
      </c>
      <c r="GV105" s="27">
        <v>19</v>
      </c>
      <c r="GW105" s="27">
        <v>19</v>
      </c>
      <c r="GX105" s="27">
        <v>19</v>
      </c>
      <c r="GY105" s="27">
        <v>19</v>
      </c>
      <c r="GZ105" s="27">
        <v>19</v>
      </c>
      <c r="HA105" s="27">
        <v>19</v>
      </c>
      <c r="HB105" s="27">
        <v>19</v>
      </c>
      <c r="HC105" s="27">
        <v>19</v>
      </c>
      <c r="HD105" s="27">
        <v>19</v>
      </c>
      <c r="HE105" s="129">
        <v>12</v>
      </c>
      <c r="HG105" s="27">
        <v>26</v>
      </c>
      <c r="HH105" s="27">
        <v>26</v>
      </c>
      <c r="HI105" s="27">
        <v>26</v>
      </c>
      <c r="HJ105" s="27">
        <v>26</v>
      </c>
      <c r="HK105" s="27">
        <v>26</v>
      </c>
      <c r="HL105" s="27">
        <v>26</v>
      </c>
      <c r="HM105" s="27">
        <v>26</v>
      </c>
      <c r="HN105" s="27">
        <v>26</v>
      </c>
      <c r="HO105" s="27">
        <v>26</v>
      </c>
      <c r="HP105" s="129">
        <v>12</v>
      </c>
      <c r="HR105" s="27">
        <v>26</v>
      </c>
      <c r="HS105" s="27">
        <v>26</v>
      </c>
      <c r="HT105" s="27">
        <v>26</v>
      </c>
      <c r="HU105" s="27">
        <v>26</v>
      </c>
      <c r="HV105" s="27">
        <v>26</v>
      </c>
      <c r="HW105" s="27">
        <v>26</v>
      </c>
      <c r="HX105" s="27">
        <v>26</v>
      </c>
      <c r="HY105" s="27">
        <v>26</v>
      </c>
      <c r="HZ105" s="27">
        <v>26</v>
      </c>
      <c r="IA105" s="129">
        <v>12</v>
      </c>
    </row>
    <row r="106" spans="15:235">
      <c r="O106" s="129">
        <v>16.600000000000001</v>
      </c>
      <c r="P106" s="129">
        <v>16.600000000000001</v>
      </c>
      <c r="Q106" s="129">
        <v>16.600000000000001</v>
      </c>
      <c r="R106" s="129">
        <v>16.600000000000001</v>
      </c>
      <c r="S106" s="129">
        <v>16.600000000000001</v>
      </c>
      <c r="T106" s="129">
        <v>16.600000000000001</v>
      </c>
      <c r="U106" s="129">
        <v>16.600000000000001</v>
      </c>
      <c r="V106" s="129">
        <v>16.600000000000001</v>
      </c>
      <c r="W106" s="129">
        <v>16.600000000000001</v>
      </c>
      <c r="X106" s="129">
        <v>10.1</v>
      </c>
      <c r="Y106" s="27"/>
      <c r="Z106" s="129">
        <v>34.1</v>
      </c>
      <c r="AA106" s="129">
        <v>34.1</v>
      </c>
      <c r="AB106" s="129">
        <v>34.1</v>
      </c>
      <c r="AC106" s="129">
        <v>34.1</v>
      </c>
      <c r="AD106" s="129">
        <v>34.1</v>
      </c>
      <c r="AE106" s="129">
        <v>34.1</v>
      </c>
      <c r="AF106" s="129">
        <v>34.1</v>
      </c>
      <c r="AG106" s="129">
        <v>34.1</v>
      </c>
      <c r="AH106" s="129">
        <v>34.1</v>
      </c>
      <c r="AI106" s="129">
        <v>10.1</v>
      </c>
      <c r="AK106" s="129">
        <v>48.5</v>
      </c>
      <c r="AL106" s="129">
        <v>48.5</v>
      </c>
      <c r="AM106" s="129">
        <v>48.5</v>
      </c>
      <c r="AN106" s="129">
        <v>48.5</v>
      </c>
      <c r="AO106" s="129">
        <v>48.5</v>
      </c>
      <c r="AP106" s="129">
        <v>48.5</v>
      </c>
      <c r="AQ106" s="129">
        <v>48.5</v>
      </c>
      <c r="AR106" s="129">
        <v>48.5</v>
      </c>
      <c r="AS106" s="129">
        <v>48.5</v>
      </c>
      <c r="AT106" s="129">
        <v>10.1</v>
      </c>
      <c r="AV106" s="129">
        <v>50.5</v>
      </c>
      <c r="AW106" s="129">
        <v>50.5</v>
      </c>
      <c r="AX106" s="129">
        <v>50.5</v>
      </c>
      <c r="AY106" s="129">
        <v>50.5</v>
      </c>
      <c r="AZ106" s="129">
        <v>50.5</v>
      </c>
      <c r="BA106" s="129">
        <v>50.5</v>
      </c>
      <c r="BB106" s="129">
        <v>50.5</v>
      </c>
      <c r="BC106" s="129">
        <v>50.5</v>
      </c>
      <c r="BD106" s="129">
        <v>50.5</v>
      </c>
      <c r="BE106" s="129">
        <v>10.1</v>
      </c>
      <c r="BG106" s="129">
        <v>78.3</v>
      </c>
      <c r="BH106" s="129">
        <v>78.3</v>
      </c>
      <c r="BI106" s="129">
        <v>78.3</v>
      </c>
      <c r="BJ106" s="129">
        <v>78.3</v>
      </c>
      <c r="BK106" s="129">
        <v>78.3</v>
      </c>
      <c r="BL106" s="129">
        <v>78.3</v>
      </c>
      <c r="BM106" s="129">
        <v>78.3</v>
      </c>
      <c r="BN106" s="129">
        <v>78.3</v>
      </c>
      <c r="BO106" s="129">
        <v>78.3</v>
      </c>
      <c r="BP106" s="129">
        <v>10.1</v>
      </c>
      <c r="BR106" s="129">
        <v>78.3</v>
      </c>
      <c r="BS106" s="129">
        <v>78.3</v>
      </c>
      <c r="BT106" s="129">
        <v>78.3</v>
      </c>
      <c r="BU106" s="129">
        <v>78.3</v>
      </c>
      <c r="BV106" s="129">
        <v>78.3</v>
      </c>
      <c r="BW106" s="129">
        <v>78.3</v>
      </c>
      <c r="BX106" s="129">
        <v>78.3</v>
      </c>
      <c r="BY106" s="129">
        <v>78.3</v>
      </c>
      <c r="BZ106" s="129">
        <v>78.3</v>
      </c>
      <c r="CA106" s="129">
        <v>10.1</v>
      </c>
      <c r="CC106" s="129">
        <v>18.8</v>
      </c>
      <c r="CD106" s="129">
        <v>18.8</v>
      </c>
      <c r="CE106" s="129">
        <v>18.8</v>
      </c>
      <c r="CF106" s="129">
        <v>18.8</v>
      </c>
      <c r="CG106" s="129">
        <v>18.8</v>
      </c>
      <c r="CH106" s="129">
        <v>18.8</v>
      </c>
      <c r="CI106" s="129">
        <v>18.8</v>
      </c>
      <c r="CJ106" s="129">
        <v>18.8</v>
      </c>
      <c r="CK106" s="129">
        <v>18.8</v>
      </c>
      <c r="CL106" s="129">
        <v>10.1</v>
      </c>
      <c r="CN106" s="129">
        <v>22.8</v>
      </c>
      <c r="CO106" s="129">
        <v>22.8</v>
      </c>
      <c r="CP106" s="129">
        <v>22.8</v>
      </c>
      <c r="CQ106" s="129">
        <v>22.8</v>
      </c>
      <c r="CR106" s="129">
        <v>22.8</v>
      </c>
      <c r="CS106" s="129">
        <v>22.8</v>
      </c>
      <c r="CT106" s="129">
        <v>22.8</v>
      </c>
      <c r="CU106" s="129">
        <v>22.8</v>
      </c>
      <c r="CV106" s="129">
        <v>22.8</v>
      </c>
      <c r="CW106" s="129">
        <v>10.1</v>
      </c>
      <c r="CY106" s="129">
        <v>30.7</v>
      </c>
      <c r="CZ106" s="129">
        <v>30.7</v>
      </c>
      <c r="DA106" s="129">
        <v>30.7</v>
      </c>
      <c r="DB106" s="129">
        <v>30.7</v>
      </c>
      <c r="DC106" s="129">
        <v>30.7</v>
      </c>
      <c r="DD106" s="129">
        <v>30.7</v>
      </c>
      <c r="DE106" s="129">
        <v>30.7</v>
      </c>
      <c r="DF106" s="129">
        <v>30.7</v>
      </c>
      <c r="DG106" s="129">
        <v>30.7</v>
      </c>
      <c r="DH106" s="129">
        <v>10.1</v>
      </c>
      <c r="DJ106" s="129">
        <v>30.7</v>
      </c>
      <c r="DK106" s="129">
        <v>30.7</v>
      </c>
      <c r="DL106" s="129">
        <v>30.7</v>
      </c>
      <c r="DM106" s="129">
        <v>30.7</v>
      </c>
      <c r="DN106" s="129">
        <v>30.7</v>
      </c>
      <c r="DO106" s="129">
        <v>30.7</v>
      </c>
      <c r="DP106" s="129">
        <v>30.7</v>
      </c>
      <c r="DQ106" s="129">
        <v>30.7</v>
      </c>
      <c r="DR106" s="129">
        <v>30.7</v>
      </c>
      <c r="DS106" s="129">
        <v>10.1</v>
      </c>
      <c r="DW106" s="27">
        <v>19.8</v>
      </c>
      <c r="DX106" s="27">
        <v>19.8</v>
      </c>
      <c r="DY106" s="27">
        <v>19.8</v>
      </c>
      <c r="DZ106" s="27">
        <v>19.8</v>
      </c>
      <c r="EA106" s="27">
        <v>19.8</v>
      </c>
      <c r="EB106" s="27">
        <v>19.8</v>
      </c>
      <c r="EC106" s="27">
        <v>19.8</v>
      </c>
      <c r="ED106" s="27">
        <v>19.8</v>
      </c>
      <c r="EE106" s="27">
        <v>19.8</v>
      </c>
      <c r="EF106" s="129">
        <v>12.1</v>
      </c>
      <c r="EH106" s="27">
        <v>33.700000000000003</v>
      </c>
      <c r="EI106" s="27">
        <v>33.700000000000003</v>
      </c>
      <c r="EJ106" s="27">
        <v>33.700000000000003</v>
      </c>
      <c r="EK106" s="27">
        <v>33.700000000000003</v>
      </c>
      <c r="EL106" s="27">
        <v>33.700000000000003</v>
      </c>
      <c r="EM106" s="27">
        <v>33.700000000000003</v>
      </c>
      <c r="EN106" s="27">
        <v>33.700000000000003</v>
      </c>
      <c r="EO106" s="27">
        <v>33.700000000000003</v>
      </c>
      <c r="EP106" s="27">
        <v>33.700000000000003</v>
      </c>
      <c r="EQ106" s="129">
        <v>12.1</v>
      </c>
      <c r="ES106" s="27">
        <v>40.700000000000003</v>
      </c>
      <c r="ET106" s="27">
        <v>40.700000000000003</v>
      </c>
      <c r="EU106" s="27">
        <v>40.700000000000003</v>
      </c>
      <c r="EV106" s="27">
        <v>40.700000000000003</v>
      </c>
      <c r="EW106" s="27">
        <v>40.700000000000003</v>
      </c>
      <c r="EX106" s="27">
        <v>40.700000000000003</v>
      </c>
      <c r="EY106" s="27">
        <v>40.700000000000003</v>
      </c>
      <c r="EZ106" s="27">
        <v>40.700000000000003</v>
      </c>
      <c r="FA106" s="27">
        <v>40.700000000000003</v>
      </c>
      <c r="FB106" s="129">
        <v>12.1</v>
      </c>
      <c r="FD106" s="27">
        <v>41.7</v>
      </c>
      <c r="FE106" s="27">
        <v>41.7</v>
      </c>
      <c r="FF106" s="27">
        <v>41.7</v>
      </c>
      <c r="FG106" s="27">
        <v>41.7</v>
      </c>
      <c r="FH106" s="27">
        <v>41.7</v>
      </c>
      <c r="FI106" s="27">
        <v>41.7</v>
      </c>
      <c r="FJ106" s="27">
        <v>41.7</v>
      </c>
      <c r="FK106" s="27">
        <v>41.7</v>
      </c>
      <c r="FL106" s="27">
        <v>41.7</v>
      </c>
      <c r="FM106" s="129">
        <v>12.1</v>
      </c>
      <c r="FO106" s="27">
        <v>65.5</v>
      </c>
      <c r="FP106" s="27">
        <v>65.5</v>
      </c>
      <c r="FQ106" s="27">
        <v>65.5</v>
      </c>
      <c r="FR106" s="27">
        <v>65.5</v>
      </c>
      <c r="FS106" s="27">
        <v>65.5</v>
      </c>
      <c r="FT106" s="27">
        <v>65.5</v>
      </c>
      <c r="FU106" s="27">
        <v>65.5</v>
      </c>
      <c r="FV106" s="27">
        <v>65.5</v>
      </c>
      <c r="FW106" s="27">
        <v>65.5</v>
      </c>
      <c r="FX106" s="129">
        <v>12.1</v>
      </c>
      <c r="FZ106" s="27">
        <v>65.5</v>
      </c>
      <c r="GA106" s="27">
        <v>65.5</v>
      </c>
      <c r="GB106" s="27">
        <v>65.5</v>
      </c>
      <c r="GC106" s="27">
        <v>65.5</v>
      </c>
      <c r="GD106" s="27">
        <v>65.5</v>
      </c>
      <c r="GE106" s="27">
        <v>65.5</v>
      </c>
      <c r="GF106" s="27">
        <v>65.5</v>
      </c>
      <c r="GG106" s="27">
        <v>65.5</v>
      </c>
      <c r="GH106" s="27">
        <v>65.5</v>
      </c>
      <c r="GI106" s="129">
        <v>12.1</v>
      </c>
      <c r="GJ106" s="27"/>
      <c r="GK106" s="27">
        <v>15.8</v>
      </c>
      <c r="GL106" s="27">
        <v>15.8</v>
      </c>
      <c r="GM106" s="27">
        <v>15.8</v>
      </c>
      <c r="GN106" s="27">
        <v>15.8</v>
      </c>
      <c r="GO106" s="27">
        <v>15.8</v>
      </c>
      <c r="GP106" s="27">
        <v>15.8</v>
      </c>
      <c r="GQ106" s="27">
        <v>15.8</v>
      </c>
      <c r="GR106" s="27">
        <v>15.8</v>
      </c>
      <c r="GS106" s="27">
        <v>15.8</v>
      </c>
      <c r="GT106" s="129">
        <v>12.1</v>
      </c>
      <c r="GV106" s="27">
        <v>18.8</v>
      </c>
      <c r="GW106" s="27">
        <v>18.8</v>
      </c>
      <c r="GX106" s="27">
        <v>18.8</v>
      </c>
      <c r="GY106" s="27">
        <v>18.8</v>
      </c>
      <c r="GZ106" s="27">
        <v>18.8</v>
      </c>
      <c r="HA106" s="27">
        <v>18.8</v>
      </c>
      <c r="HB106" s="27">
        <v>18.8</v>
      </c>
      <c r="HC106" s="27">
        <v>18.8</v>
      </c>
      <c r="HD106" s="27">
        <v>18.8</v>
      </c>
      <c r="HE106" s="129">
        <v>12.1</v>
      </c>
      <c r="HG106" s="27">
        <v>25.8</v>
      </c>
      <c r="HH106" s="27">
        <v>25.8</v>
      </c>
      <c r="HI106" s="27">
        <v>25.8</v>
      </c>
      <c r="HJ106" s="27">
        <v>25.8</v>
      </c>
      <c r="HK106" s="27">
        <v>25.8</v>
      </c>
      <c r="HL106" s="27">
        <v>25.8</v>
      </c>
      <c r="HM106" s="27">
        <v>25.8</v>
      </c>
      <c r="HN106" s="27">
        <v>25.8</v>
      </c>
      <c r="HO106" s="27">
        <v>25.8</v>
      </c>
      <c r="HP106" s="129">
        <v>12.1</v>
      </c>
      <c r="HR106" s="27">
        <v>25.8</v>
      </c>
      <c r="HS106" s="27">
        <v>25.8</v>
      </c>
      <c r="HT106" s="27">
        <v>25.8</v>
      </c>
      <c r="HU106" s="27">
        <v>25.8</v>
      </c>
      <c r="HV106" s="27">
        <v>25.8</v>
      </c>
      <c r="HW106" s="27">
        <v>25.8</v>
      </c>
      <c r="HX106" s="27">
        <v>25.8</v>
      </c>
      <c r="HY106" s="27">
        <v>25.8</v>
      </c>
      <c r="HZ106" s="27">
        <v>25.8</v>
      </c>
      <c r="IA106" s="129">
        <v>12.1</v>
      </c>
    </row>
    <row r="107" spans="15:235" ht="3" customHeight="1">
      <c r="O107" s="129">
        <v>16.200000000000003</v>
      </c>
      <c r="P107" s="129">
        <v>16.200000000000003</v>
      </c>
      <c r="Q107" s="129">
        <v>16.200000000000003</v>
      </c>
      <c r="R107" s="129">
        <v>16.200000000000003</v>
      </c>
      <c r="S107" s="129">
        <v>16.200000000000003</v>
      </c>
      <c r="T107" s="129">
        <v>16.200000000000003</v>
      </c>
      <c r="U107" s="129">
        <v>16.200000000000003</v>
      </c>
      <c r="V107" s="129">
        <v>16.200000000000003</v>
      </c>
      <c r="W107" s="129">
        <v>16.200000000000003</v>
      </c>
      <c r="X107" s="129">
        <v>10.199999999999999</v>
      </c>
      <c r="Y107" s="27"/>
      <c r="Z107" s="129">
        <v>33.200000000000003</v>
      </c>
      <c r="AA107" s="129">
        <v>33.200000000000003</v>
      </c>
      <c r="AB107" s="129">
        <v>33.200000000000003</v>
      </c>
      <c r="AC107" s="129">
        <v>33.200000000000003</v>
      </c>
      <c r="AD107" s="129">
        <v>33.200000000000003</v>
      </c>
      <c r="AE107" s="129">
        <v>33.200000000000003</v>
      </c>
      <c r="AF107" s="129">
        <v>33.200000000000003</v>
      </c>
      <c r="AG107" s="129">
        <v>33.200000000000003</v>
      </c>
      <c r="AH107" s="129">
        <v>33.200000000000003</v>
      </c>
      <c r="AI107" s="129">
        <v>10.199999999999999</v>
      </c>
      <c r="AK107" s="129">
        <v>48</v>
      </c>
      <c r="AL107" s="129">
        <v>48</v>
      </c>
      <c r="AM107" s="129">
        <v>48</v>
      </c>
      <c r="AN107" s="129">
        <v>48</v>
      </c>
      <c r="AO107" s="129">
        <v>48</v>
      </c>
      <c r="AP107" s="129">
        <v>48</v>
      </c>
      <c r="AQ107" s="129">
        <v>48</v>
      </c>
      <c r="AR107" s="129">
        <v>48</v>
      </c>
      <c r="AS107" s="129">
        <v>48</v>
      </c>
      <c r="AT107" s="129">
        <v>10.199999999999999</v>
      </c>
      <c r="AV107" s="129">
        <v>50</v>
      </c>
      <c r="AW107" s="129">
        <v>50</v>
      </c>
      <c r="AX107" s="129">
        <v>50</v>
      </c>
      <c r="AY107" s="129">
        <v>50</v>
      </c>
      <c r="AZ107" s="129">
        <v>50</v>
      </c>
      <c r="BA107" s="129">
        <v>50</v>
      </c>
      <c r="BB107" s="129">
        <v>50</v>
      </c>
      <c r="BC107" s="129">
        <v>50</v>
      </c>
      <c r="BD107" s="129">
        <v>50</v>
      </c>
      <c r="BE107" s="129">
        <v>10.199999999999999</v>
      </c>
      <c r="BG107" s="129">
        <v>77.599999999999994</v>
      </c>
      <c r="BH107" s="129">
        <v>77.599999999999994</v>
      </c>
      <c r="BI107" s="129">
        <v>77.599999999999994</v>
      </c>
      <c r="BJ107" s="129">
        <v>77.599999999999994</v>
      </c>
      <c r="BK107" s="129">
        <v>77.599999999999994</v>
      </c>
      <c r="BL107" s="129">
        <v>77.599999999999994</v>
      </c>
      <c r="BM107" s="129">
        <v>77.599999999999994</v>
      </c>
      <c r="BN107" s="129">
        <v>77.599999999999994</v>
      </c>
      <c r="BO107" s="129">
        <v>77.599999999999994</v>
      </c>
      <c r="BP107" s="129">
        <v>10.199999999999999</v>
      </c>
      <c r="BR107" s="129">
        <v>77.599999999999994</v>
      </c>
      <c r="BS107" s="129">
        <v>77.599999999999994</v>
      </c>
      <c r="BT107" s="129">
        <v>77.599999999999994</v>
      </c>
      <c r="BU107" s="129">
        <v>77.599999999999994</v>
      </c>
      <c r="BV107" s="129">
        <v>77.599999999999994</v>
      </c>
      <c r="BW107" s="129">
        <v>77.599999999999994</v>
      </c>
      <c r="BX107" s="129">
        <v>77.599999999999994</v>
      </c>
      <c r="BY107" s="129">
        <v>77.599999999999994</v>
      </c>
      <c r="BZ107" s="129">
        <v>77.599999999999994</v>
      </c>
      <c r="CA107" s="129">
        <v>10.199999999999999</v>
      </c>
      <c r="CC107" s="129">
        <v>18.600000000000001</v>
      </c>
      <c r="CD107" s="129">
        <v>18.600000000000001</v>
      </c>
      <c r="CE107" s="129">
        <v>18.600000000000001</v>
      </c>
      <c r="CF107" s="129">
        <v>18.600000000000001</v>
      </c>
      <c r="CG107" s="129">
        <v>18.600000000000001</v>
      </c>
      <c r="CH107" s="129">
        <v>18.600000000000001</v>
      </c>
      <c r="CI107" s="129">
        <v>18.600000000000001</v>
      </c>
      <c r="CJ107" s="129">
        <v>18.600000000000001</v>
      </c>
      <c r="CK107" s="129">
        <v>18.600000000000001</v>
      </c>
      <c r="CL107" s="129">
        <v>10.199999999999999</v>
      </c>
      <c r="CN107" s="129">
        <v>22.6</v>
      </c>
      <c r="CO107" s="129">
        <v>22.6</v>
      </c>
      <c r="CP107" s="129">
        <v>22.6</v>
      </c>
      <c r="CQ107" s="129">
        <v>22.6</v>
      </c>
      <c r="CR107" s="129">
        <v>22.6</v>
      </c>
      <c r="CS107" s="129">
        <v>22.6</v>
      </c>
      <c r="CT107" s="129">
        <v>22.6</v>
      </c>
      <c r="CU107" s="129">
        <v>22.6</v>
      </c>
      <c r="CV107" s="129">
        <v>22.6</v>
      </c>
      <c r="CW107" s="129">
        <v>10.199999999999999</v>
      </c>
      <c r="CY107" s="129">
        <v>30.4</v>
      </c>
      <c r="CZ107" s="129">
        <v>30.4</v>
      </c>
      <c r="DA107" s="129">
        <v>30.4</v>
      </c>
      <c r="DB107" s="129">
        <v>30.4</v>
      </c>
      <c r="DC107" s="129">
        <v>30.4</v>
      </c>
      <c r="DD107" s="129">
        <v>30.4</v>
      </c>
      <c r="DE107" s="129">
        <v>30.4</v>
      </c>
      <c r="DF107" s="129">
        <v>30.4</v>
      </c>
      <c r="DG107" s="129">
        <v>30.4</v>
      </c>
      <c r="DH107" s="129">
        <v>10.199999999999999</v>
      </c>
      <c r="DJ107" s="129">
        <v>30.4</v>
      </c>
      <c r="DK107" s="129">
        <v>30.4</v>
      </c>
      <c r="DL107" s="129">
        <v>30.4</v>
      </c>
      <c r="DM107" s="129">
        <v>30.4</v>
      </c>
      <c r="DN107" s="129">
        <v>30.4</v>
      </c>
      <c r="DO107" s="129">
        <v>30.4</v>
      </c>
      <c r="DP107" s="129">
        <v>30.4</v>
      </c>
      <c r="DQ107" s="129">
        <v>30.4</v>
      </c>
      <c r="DR107" s="129">
        <v>30.4</v>
      </c>
      <c r="DS107" s="129">
        <v>10.199999999999999</v>
      </c>
      <c r="DW107" s="27">
        <v>19.600000000000001</v>
      </c>
      <c r="DX107" s="27">
        <v>19.600000000000001</v>
      </c>
      <c r="DY107" s="27">
        <v>19.600000000000001</v>
      </c>
      <c r="DZ107" s="27">
        <v>19.600000000000001</v>
      </c>
      <c r="EA107" s="27">
        <v>19.600000000000001</v>
      </c>
      <c r="EB107" s="27">
        <v>19.600000000000001</v>
      </c>
      <c r="EC107" s="27">
        <v>19.600000000000001</v>
      </c>
      <c r="ED107" s="27">
        <v>19.600000000000001</v>
      </c>
      <c r="EE107" s="27">
        <v>19.600000000000001</v>
      </c>
      <c r="EF107" s="129">
        <v>12.2</v>
      </c>
      <c r="EH107" s="27">
        <v>33.400000000000006</v>
      </c>
      <c r="EI107" s="27">
        <v>33.400000000000006</v>
      </c>
      <c r="EJ107" s="27">
        <v>33.400000000000006</v>
      </c>
      <c r="EK107" s="27">
        <v>33.400000000000006</v>
      </c>
      <c r="EL107" s="27">
        <v>33.400000000000006</v>
      </c>
      <c r="EM107" s="27">
        <v>33.400000000000006</v>
      </c>
      <c r="EN107" s="27">
        <v>33.400000000000006</v>
      </c>
      <c r="EO107" s="27">
        <v>33.400000000000006</v>
      </c>
      <c r="EP107" s="27">
        <v>33.400000000000006</v>
      </c>
      <c r="EQ107" s="129">
        <v>12.2</v>
      </c>
      <c r="ES107" s="27">
        <v>40.400000000000006</v>
      </c>
      <c r="ET107" s="27">
        <v>40.400000000000006</v>
      </c>
      <c r="EU107" s="27">
        <v>40.400000000000006</v>
      </c>
      <c r="EV107" s="27">
        <v>40.400000000000006</v>
      </c>
      <c r="EW107" s="27">
        <v>40.400000000000006</v>
      </c>
      <c r="EX107" s="27">
        <v>40.400000000000006</v>
      </c>
      <c r="EY107" s="27">
        <v>40.400000000000006</v>
      </c>
      <c r="EZ107" s="27">
        <v>40.400000000000006</v>
      </c>
      <c r="FA107" s="27">
        <v>40.400000000000006</v>
      </c>
      <c r="FB107" s="129">
        <v>12.2</v>
      </c>
      <c r="FD107" s="27">
        <v>41.400000000000006</v>
      </c>
      <c r="FE107" s="27">
        <v>41.400000000000006</v>
      </c>
      <c r="FF107" s="27">
        <v>41.400000000000006</v>
      </c>
      <c r="FG107" s="27">
        <v>41.400000000000006</v>
      </c>
      <c r="FH107" s="27">
        <v>41.400000000000006</v>
      </c>
      <c r="FI107" s="27">
        <v>41.400000000000006</v>
      </c>
      <c r="FJ107" s="27">
        <v>41.400000000000006</v>
      </c>
      <c r="FK107" s="27">
        <v>41.400000000000006</v>
      </c>
      <c r="FL107" s="27">
        <v>41.400000000000006</v>
      </c>
      <c r="FM107" s="129">
        <v>12.2</v>
      </c>
      <c r="FO107" s="27">
        <v>65</v>
      </c>
      <c r="FP107" s="27">
        <v>65</v>
      </c>
      <c r="FQ107" s="27">
        <v>65</v>
      </c>
      <c r="FR107" s="27">
        <v>65</v>
      </c>
      <c r="FS107" s="27">
        <v>65</v>
      </c>
      <c r="FT107" s="27">
        <v>65</v>
      </c>
      <c r="FU107" s="27">
        <v>65</v>
      </c>
      <c r="FV107" s="27">
        <v>65</v>
      </c>
      <c r="FW107" s="27">
        <v>65</v>
      </c>
      <c r="FX107" s="129">
        <v>12.2</v>
      </c>
      <c r="FZ107" s="27">
        <v>65</v>
      </c>
      <c r="GA107" s="27">
        <v>65</v>
      </c>
      <c r="GB107" s="27">
        <v>65</v>
      </c>
      <c r="GC107" s="27">
        <v>65</v>
      </c>
      <c r="GD107" s="27">
        <v>65</v>
      </c>
      <c r="GE107" s="27">
        <v>65</v>
      </c>
      <c r="GF107" s="27">
        <v>65</v>
      </c>
      <c r="GG107" s="27">
        <v>65</v>
      </c>
      <c r="GH107" s="27">
        <v>65</v>
      </c>
      <c r="GI107" s="129">
        <v>12.2</v>
      </c>
      <c r="GJ107" s="27"/>
      <c r="GK107" s="27">
        <v>15.600000000000001</v>
      </c>
      <c r="GL107" s="27">
        <v>15.600000000000001</v>
      </c>
      <c r="GM107" s="27">
        <v>15.600000000000001</v>
      </c>
      <c r="GN107" s="27">
        <v>15.600000000000001</v>
      </c>
      <c r="GO107" s="27">
        <v>15.600000000000001</v>
      </c>
      <c r="GP107" s="27">
        <v>15.600000000000001</v>
      </c>
      <c r="GQ107" s="27">
        <v>15.600000000000001</v>
      </c>
      <c r="GR107" s="27">
        <v>15.600000000000001</v>
      </c>
      <c r="GS107" s="27">
        <v>15.600000000000001</v>
      </c>
      <c r="GT107" s="129">
        <v>12.2</v>
      </c>
      <c r="GV107" s="27">
        <v>18.600000000000001</v>
      </c>
      <c r="GW107" s="27">
        <v>18.600000000000001</v>
      </c>
      <c r="GX107" s="27">
        <v>18.600000000000001</v>
      </c>
      <c r="GY107" s="27">
        <v>18.600000000000001</v>
      </c>
      <c r="GZ107" s="27">
        <v>18.600000000000001</v>
      </c>
      <c r="HA107" s="27">
        <v>18.600000000000001</v>
      </c>
      <c r="HB107" s="27">
        <v>18.600000000000001</v>
      </c>
      <c r="HC107" s="27">
        <v>18.600000000000001</v>
      </c>
      <c r="HD107" s="27">
        <v>18.600000000000001</v>
      </c>
      <c r="HE107" s="129">
        <v>12.2</v>
      </c>
      <c r="HG107" s="27">
        <v>25.6</v>
      </c>
      <c r="HH107" s="27">
        <v>25.6</v>
      </c>
      <c r="HI107" s="27">
        <v>25.6</v>
      </c>
      <c r="HJ107" s="27">
        <v>25.6</v>
      </c>
      <c r="HK107" s="27">
        <v>25.6</v>
      </c>
      <c r="HL107" s="27">
        <v>25.6</v>
      </c>
      <c r="HM107" s="27">
        <v>25.6</v>
      </c>
      <c r="HN107" s="27">
        <v>25.6</v>
      </c>
      <c r="HO107" s="27">
        <v>25.6</v>
      </c>
      <c r="HP107" s="129">
        <v>12.2</v>
      </c>
      <c r="HR107" s="27">
        <v>25.6</v>
      </c>
      <c r="HS107" s="27">
        <v>25.6</v>
      </c>
      <c r="HT107" s="27">
        <v>25.6</v>
      </c>
      <c r="HU107" s="27">
        <v>25.6</v>
      </c>
      <c r="HV107" s="27">
        <v>25.6</v>
      </c>
      <c r="HW107" s="27">
        <v>25.6</v>
      </c>
      <c r="HX107" s="27">
        <v>25.6</v>
      </c>
      <c r="HY107" s="27">
        <v>25.6</v>
      </c>
      <c r="HZ107" s="27">
        <v>25.6</v>
      </c>
      <c r="IA107" s="129">
        <v>12.2</v>
      </c>
    </row>
    <row r="108" spans="15:235" ht="3" customHeight="1">
      <c r="O108" s="129">
        <v>15.800000000000002</v>
      </c>
      <c r="P108" s="129">
        <v>15.800000000000002</v>
      </c>
      <c r="Q108" s="129">
        <v>15.800000000000002</v>
      </c>
      <c r="R108" s="129">
        <v>15.800000000000002</v>
      </c>
      <c r="S108" s="129">
        <v>15.800000000000002</v>
      </c>
      <c r="T108" s="129">
        <v>15.800000000000002</v>
      </c>
      <c r="U108" s="129">
        <v>15.800000000000002</v>
      </c>
      <c r="V108" s="129">
        <v>15.800000000000002</v>
      </c>
      <c r="W108" s="129">
        <v>15.800000000000002</v>
      </c>
      <c r="X108" s="129">
        <v>10.3</v>
      </c>
      <c r="Y108" s="27"/>
      <c r="Z108" s="129">
        <v>32.300000000000004</v>
      </c>
      <c r="AA108" s="129">
        <v>32.300000000000004</v>
      </c>
      <c r="AB108" s="129">
        <v>32.300000000000004</v>
      </c>
      <c r="AC108" s="129">
        <v>32.300000000000004</v>
      </c>
      <c r="AD108" s="129">
        <v>32.300000000000004</v>
      </c>
      <c r="AE108" s="129">
        <v>32.300000000000004</v>
      </c>
      <c r="AF108" s="129">
        <v>32.300000000000004</v>
      </c>
      <c r="AG108" s="129">
        <v>32.300000000000004</v>
      </c>
      <c r="AH108" s="129">
        <v>32.300000000000004</v>
      </c>
      <c r="AI108" s="129">
        <v>10.3</v>
      </c>
      <c r="AK108" s="129">
        <v>47.5</v>
      </c>
      <c r="AL108" s="129">
        <v>47.5</v>
      </c>
      <c r="AM108" s="129">
        <v>47.5</v>
      </c>
      <c r="AN108" s="129">
        <v>47.5</v>
      </c>
      <c r="AO108" s="129">
        <v>47.5</v>
      </c>
      <c r="AP108" s="129">
        <v>47.5</v>
      </c>
      <c r="AQ108" s="129">
        <v>47.5</v>
      </c>
      <c r="AR108" s="129">
        <v>47.5</v>
      </c>
      <c r="AS108" s="129">
        <v>47.5</v>
      </c>
      <c r="AT108" s="129">
        <v>10.3</v>
      </c>
      <c r="AV108" s="129">
        <v>49.5</v>
      </c>
      <c r="AW108" s="129">
        <v>49.5</v>
      </c>
      <c r="AX108" s="129">
        <v>49.5</v>
      </c>
      <c r="AY108" s="129">
        <v>49.5</v>
      </c>
      <c r="AZ108" s="129">
        <v>49.5</v>
      </c>
      <c r="BA108" s="129">
        <v>49.5</v>
      </c>
      <c r="BB108" s="129">
        <v>49.5</v>
      </c>
      <c r="BC108" s="129">
        <v>49.5</v>
      </c>
      <c r="BD108" s="129">
        <v>49.5</v>
      </c>
      <c r="BE108" s="129">
        <v>10.3</v>
      </c>
      <c r="BG108" s="129">
        <v>76.899999999999991</v>
      </c>
      <c r="BH108" s="129">
        <v>76.899999999999991</v>
      </c>
      <c r="BI108" s="129">
        <v>76.899999999999991</v>
      </c>
      <c r="BJ108" s="129">
        <v>76.899999999999991</v>
      </c>
      <c r="BK108" s="129">
        <v>76.899999999999991</v>
      </c>
      <c r="BL108" s="129">
        <v>76.899999999999991</v>
      </c>
      <c r="BM108" s="129">
        <v>76.899999999999991</v>
      </c>
      <c r="BN108" s="129">
        <v>76.899999999999991</v>
      </c>
      <c r="BO108" s="129">
        <v>76.899999999999991</v>
      </c>
      <c r="BP108" s="129">
        <v>10.3</v>
      </c>
      <c r="BR108" s="129">
        <v>76.899999999999991</v>
      </c>
      <c r="BS108" s="129">
        <v>76.899999999999991</v>
      </c>
      <c r="BT108" s="129">
        <v>76.899999999999991</v>
      </c>
      <c r="BU108" s="129">
        <v>76.899999999999991</v>
      </c>
      <c r="BV108" s="129">
        <v>76.899999999999991</v>
      </c>
      <c r="BW108" s="129">
        <v>76.899999999999991</v>
      </c>
      <c r="BX108" s="129">
        <v>76.899999999999991</v>
      </c>
      <c r="BY108" s="129">
        <v>76.899999999999991</v>
      </c>
      <c r="BZ108" s="129">
        <v>76.899999999999991</v>
      </c>
      <c r="CA108" s="129">
        <v>10.3</v>
      </c>
      <c r="CC108" s="129">
        <v>18.400000000000002</v>
      </c>
      <c r="CD108" s="129">
        <v>18.400000000000002</v>
      </c>
      <c r="CE108" s="129">
        <v>18.400000000000002</v>
      </c>
      <c r="CF108" s="129">
        <v>18.400000000000002</v>
      </c>
      <c r="CG108" s="129">
        <v>18.400000000000002</v>
      </c>
      <c r="CH108" s="129">
        <v>18.400000000000002</v>
      </c>
      <c r="CI108" s="129">
        <v>18.400000000000002</v>
      </c>
      <c r="CJ108" s="129">
        <v>18.400000000000002</v>
      </c>
      <c r="CK108" s="129">
        <v>18.400000000000002</v>
      </c>
      <c r="CL108" s="129">
        <v>10.3</v>
      </c>
      <c r="CN108" s="129">
        <v>22.400000000000002</v>
      </c>
      <c r="CO108" s="129">
        <v>22.400000000000002</v>
      </c>
      <c r="CP108" s="129">
        <v>22.400000000000002</v>
      </c>
      <c r="CQ108" s="129">
        <v>22.400000000000002</v>
      </c>
      <c r="CR108" s="129">
        <v>22.400000000000002</v>
      </c>
      <c r="CS108" s="129">
        <v>22.400000000000002</v>
      </c>
      <c r="CT108" s="129">
        <v>22.400000000000002</v>
      </c>
      <c r="CU108" s="129">
        <v>22.400000000000002</v>
      </c>
      <c r="CV108" s="129">
        <v>22.400000000000002</v>
      </c>
      <c r="CW108" s="129">
        <v>10.3</v>
      </c>
      <c r="CY108" s="129">
        <v>30.099999999999998</v>
      </c>
      <c r="CZ108" s="129">
        <v>30.099999999999998</v>
      </c>
      <c r="DA108" s="129">
        <v>30.099999999999998</v>
      </c>
      <c r="DB108" s="129">
        <v>30.099999999999998</v>
      </c>
      <c r="DC108" s="129">
        <v>30.099999999999998</v>
      </c>
      <c r="DD108" s="129">
        <v>30.099999999999998</v>
      </c>
      <c r="DE108" s="129">
        <v>30.099999999999998</v>
      </c>
      <c r="DF108" s="129">
        <v>30.099999999999998</v>
      </c>
      <c r="DG108" s="129">
        <v>30.099999999999998</v>
      </c>
      <c r="DH108" s="129">
        <v>10.3</v>
      </c>
      <c r="DJ108" s="129">
        <v>30.099999999999998</v>
      </c>
      <c r="DK108" s="129">
        <v>30.099999999999998</v>
      </c>
      <c r="DL108" s="129">
        <v>30.099999999999998</v>
      </c>
      <c r="DM108" s="129">
        <v>30.099999999999998</v>
      </c>
      <c r="DN108" s="129">
        <v>30.099999999999998</v>
      </c>
      <c r="DO108" s="129">
        <v>30.099999999999998</v>
      </c>
      <c r="DP108" s="129">
        <v>30.099999999999998</v>
      </c>
      <c r="DQ108" s="129">
        <v>30.099999999999998</v>
      </c>
      <c r="DR108" s="129">
        <v>30.099999999999998</v>
      </c>
      <c r="DS108" s="129">
        <v>10.3</v>
      </c>
      <c r="DW108" s="27">
        <v>19.400000000000002</v>
      </c>
      <c r="DX108" s="27">
        <v>19.400000000000002</v>
      </c>
      <c r="DY108" s="27">
        <v>19.400000000000002</v>
      </c>
      <c r="DZ108" s="27">
        <v>19.400000000000002</v>
      </c>
      <c r="EA108" s="27">
        <v>19.400000000000002</v>
      </c>
      <c r="EB108" s="27">
        <v>19.400000000000002</v>
      </c>
      <c r="EC108" s="27">
        <v>19.400000000000002</v>
      </c>
      <c r="ED108" s="27">
        <v>19.400000000000002</v>
      </c>
      <c r="EE108" s="27">
        <v>19.400000000000002</v>
      </c>
      <c r="EF108" s="129">
        <v>12.3</v>
      </c>
      <c r="EH108" s="27">
        <v>33.100000000000009</v>
      </c>
      <c r="EI108" s="27">
        <v>33.100000000000009</v>
      </c>
      <c r="EJ108" s="27">
        <v>33.100000000000009</v>
      </c>
      <c r="EK108" s="27">
        <v>33.100000000000009</v>
      </c>
      <c r="EL108" s="27">
        <v>33.100000000000009</v>
      </c>
      <c r="EM108" s="27">
        <v>33.100000000000009</v>
      </c>
      <c r="EN108" s="27">
        <v>33.100000000000009</v>
      </c>
      <c r="EO108" s="27">
        <v>33.100000000000009</v>
      </c>
      <c r="EP108" s="27">
        <v>33.100000000000009</v>
      </c>
      <c r="EQ108" s="129">
        <v>12.3</v>
      </c>
      <c r="ES108" s="27">
        <v>40.100000000000009</v>
      </c>
      <c r="ET108" s="27">
        <v>40.100000000000009</v>
      </c>
      <c r="EU108" s="27">
        <v>40.100000000000009</v>
      </c>
      <c r="EV108" s="27">
        <v>40.100000000000009</v>
      </c>
      <c r="EW108" s="27">
        <v>40.100000000000009</v>
      </c>
      <c r="EX108" s="27">
        <v>40.100000000000009</v>
      </c>
      <c r="EY108" s="27">
        <v>40.100000000000009</v>
      </c>
      <c r="EZ108" s="27">
        <v>40.100000000000009</v>
      </c>
      <c r="FA108" s="27">
        <v>40.100000000000009</v>
      </c>
      <c r="FB108" s="129">
        <v>12.3</v>
      </c>
      <c r="FD108" s="27">
        <v>41.100000000000009</v>
      </c>
      <c r="FE108" s="27">
        <v>41.100000000000009</v>
      </c>
      <c r="FF108" s="27">
        <v>41.100000000000009</v>
      </c>
      <c r="FG108" s="27">
        <v>41.100000000000009</v>
      </c>
      <c r="FH108" s="27">
        <v>41.100000000000009</v>
      </c>
      <c r="FI108" s="27">
        <v>41.100000000000009</v>
      </c>
      <c r="FJ108" s="27">
        <v>41.100000000000009</v>
      </c>
      <c r="FK108" s="27">
        <v>41.100000000000009</v>
      </c>
      <c r="FL108" s="27">
        <v>41.100000000000009</v>
      </c>
      <c r="FM108" s="129">
        <v>12.3</v>
      </c>
      <c r="FO108" s="27">
        <v>64.5</v>
      </c>
      <c r="FP108" s="27">
        <v>64.5</v>
      </c>
      <c r="FQ108" s="27">
        <v>64.5</v>
      </c>
      <c r="FR108" s="27">
        <v>64.5</v>
      </c>
      <c r="FS108" s="27">
        <v>64.5</v>
      </c>
      <c r="FT108" s="27">
        <v>64.5</v>
      </c>
      <c r="FU108" s="27">
        <v>64.5</v>
      </c>
      <c r="FV108" s="27">
        <v>64.5</v>
      </c>
      <c r="FW108" s="27">
        <v>64.5</v>
      </c>
      <c r="FX108" s="129">
        <v>12.3</v>
      </c>
      <c r="FZ108" s="27">
        <v>64.5</v>
      </c>
      <c r="GA108" s="27">
        <v>64.5</v>
      </c>
      <c r="GB108" s="27">
        <v>64.5</v>
      </c>
      <c r="GC108" s="27">
        <v>64.5</v>
      </c>
      <c r="GD108" s="27">
        <v>64.5</v>
      </c>
      <c r="GE108" s="27">
        <v>64.5</v>
      </c>
      <c r="GF108" s="27">
        <v>64.5</v>
      </c>
      <c r="GG108" s="27">
        <v>64.5</v>
      </c>
      <c r="GH108" s="27">
        <v>64.5</v>
      </c>
      <c r="GI108" s="129">
        <v>12.3</v>
      </c>
      <c r="GJ108" s="27"/>
      <c r="GK108" s="27">
        <v>15.400000000000002</v>
      </c>
      <c r="GL108" s="27">
        <v>15.400000000000002</v>
      </c>
      <c r="GM108" s="27">
        <v>15.400000000000002</v>
      </c>
      <c r="GN108" s="27">
        <v>15.400000000000002</v>
      </c>
      <c r="GO108" s="27">
        <v>15.400000000000002</v>
      </c>
      <c r="GP108" s="27">
        <v>15.400000000000002</v>
      </c>
      <c r="GQ108" s="27">
        <v>15.400000000000002</v>
      </c>
      <c r="GR108" s="27">
        <v>15.400000000000002</v>
      </c>
      <c r="GS108" s="27">
        <v>15.400000000000002</v>
      </c>
      <c r="GT108" s="129">
        <v>12.3</v>
      </c>
      <c r="GV108" s="27">
        <v>18.400000000000002</v>
      </c>
      <c r="GW108" s="27">
        <v>18.400000000000002</v>
      </c>
      <c r="GX108" s="27">
        <v>18.400000000000002</v>
      </c>
      <c r="GY108" s="27">
        <v>18.400000000000002</v>
      </c>
      <c r="GZ108" s="27">
        <v>18.400000000000002</v>
      </c>
      <c r="HA108" s="27">
        <v>18.400000000000002</v>
      </c>
      <c r="HB108" s="27">
        <v>18.400000000000002</v>
      </c>
      <c r="HC108" s="27">
        <v>18.400000000000002</v>
      </c>
      <c r="HD108" s="27">
        <v>18.400000000000002</v>
      </c>
      <c r="HE108" s="129">
        <v>12.3</v>
      </c>
      <c r="HG108" s="27">
        <v>25.400000000000002</v>
      </c>
      <c r="HH108" s="27">
        <v>25.400000000000002</v>
      </c>
      <c r="HI108" s="27">
        <v>25.400000000000002</v>
      </c>
      <c r="HJ108" s="27">
        <v>25.400000000000002</v>
      </c>
      <c r="HK108" s="27">
        <v>25.400000000000002</v>
      </c>
      <c r="HL108" s="27">
        <v>25.400000000000002</v>
      </c>
      <c r="HM108" s="27">
        <v>25.400000000000002</v>
      </c>
      <c r="HN108" s="27">
        <v>25.400000000000002</v>
      </c>
      <c r="HO108" s="27">
        <v>25.400000000000002</v>
      </c>
      <c r="HP108" s="129">
        <v>12.3</v>
      </c>
      <c r="HR108" s="27">
        <v>25.400000000000002</v>
      </c>
      <c r="HS108" s="27">
        <v>25.400000000000002</v>
      </c>
      <c r="HT108" s="27">
        <v>25.400000000000002</v>
      </c>
      <c r="HU108" s="27">
        <v>25.400000000000002</v>
      </c>
      <c r="HV108" s="27">
        <v>25.400000000000002</v>
      </c>
      <c r="HW108" s="27">
        <v>25.400000000000002</v>
      </c>
      <c r="HX108" s="27">
        <v>25.400000000000002</v>
      </c>
      <c r="HY108" s="27">
        <v>25.400000000000002</v>
      </c>
      <c r="HZ108" s="27">
        <v>25.400000000000002</v>
      </c>
      <c r="IA108" s="129">
        <v>12.3</v>
      </c>
    </row>
    <row r="109" spans="15:235" ht="3" customHeight="1">
      <c r="O109" s="129">
        <v>15.400000000000002</v>
      </c>
      <c r="P109" s="129">
        <v>15.400000000000002</v>
      </c>
      <c r="Q109" s="129">
        <v>15.400000000000002</v>
      </c>
      <c r="R109" s="129">
        <v>15.400000000000002</v>
      </c>
      <c r="S109" s="129">
        <v>15.400000000000002</v>
      </c>
      <c r="T109" s="129">
        <v>15.400000000000002</v>
      </c>
      <c r="U109" s="129">
        <v>15.400000000000002</v>
      </c>
      <c r="V109" s="129">
        <v>15.400000000000002</v>
      </c>
      <c r="W109" s="129">
        <v>15.400000000000002</v>
      </c>
      <c r="X109" s="129">
        <v>10.4</v>
      </c>
      <c r="Y109" s="27"/>
      <c r="Z109" s="129">
        <v>31.400000000000006</v>
      </c>
      <c r="AA109" s="129">
        <v>31.400000000000006</v>
      </c>
      <c r="AB109" s="129">
        <v>31.400000000000006</v>
      </c>
      <c r="AC109" s="129">
        <v>31.400000000000006</v>
      </c>
      <c r="AD109" s="129">
        <v>31.400000000000006</v>
      </c>
      <c r="AE109" s="129">
        <v>31.400000000000006</v>
      </c>
      <c r="AF109" s="129">
        <v>31.400000000000006</v>
      </c>
      <c r="AG109" s="129">
        <v>31.400000000000006</v>
      </c>
      <c r="AH109" s="129">
        <v>31.400000000000006</v>
      </c>
      <c r="AI109" s="129">
        <v>10.4</v>
      </c>
      <c r="AK109" s="129">
        <v>47</v>
      </c>
      <c r="AL109" s="129">
        <v>47</v>
      </c>
      <c r="AM109" s="129">
        <v>47</v>
      </c>
      <c r="AN109" s="129">
        <v>47</v>
      </c>
      <c r="AO109" s="129">
        <v>47</v>
      </c>
      <c r="AP109" s="129">
        <v>47</v>
      </c>
      <c r="AQ109" s="129">
        <v>47</v>
      </c>
      <c r="AR109" s="129">
        <v>47</v>
      </c>
      <c r="AS109" s="129">
        <v>47</v>
      </c>
      <c r="AT109" s="129">
        <v>10.4</v>
      </c>
      <c r="AV109" s="129">
        <v>49</v>
      </c>
      <c r="AW109" s="129">
        <v>49</v>
      </c>
      <c r="AX109" s="129">
        <v>49</v>
      </c>
      <c r="AY109" s="129">
        <v>49</v>
      </c>
      <c r="AZ109" s="129">
        <v>49</v>
      </c>
      <c r="BA109" s="129">
        <v>49</v>
      </c>
      <c r="BB109" s="129">
        <v>49</v>
      </c>
      <c r="BC109" s="129">
        <v>49</v>
      </c>
      <c r="BD109" s="129">
        <v>49</v>
      </c>
      <c r="BE109" s="129">
        <v>10.4</v>
      </c>
      <c r="BG109" s="129">
        <v>76.199999999999989</v>
      </c>
      <c r="BH109" s="129">
        <v>76.199999999999989</v>
      </c>
      <c r="BI109" s="129">
        <v>76.199999999999989</v>
      </c>
      <c r="BJ109" s="129">
        <v>76.199999999999989</v>
      </c>
      <c r="BK109" s="129">
        <v>76.199999999999989</v>
      </c>
      <c r="BL109" s="129">
        <v>76.199999999999989</v>
      </c>
      <c r="BM109" s="129">
        <v>76.199999999999989</v>
      </c>
      <c r="BN109" s="129">
        <v>76.199999999999989</v>
      </c>
      <c r="BO109" s="129">
        <v>76.199999999999989</v>
      </c>
      <c r="BP109" s="129">
        <v>10.4</v>
      </c>
      <c r="BR109" s="129">
        <v>76.199999999999989</v>
      </c>
      <c r="BS109" s="129">
        <v>76.199999999999989</v>
      </c>
      <c r="BT109" s="129">
        <v>76.199999999999989</v>
      </c>
      <c r="BU109" s="129">
        <v>76.199999999999989</v>
      </c>
      <c r="BV109" s="129">
        <v>76.199999999999989</v>
      </c>
      <c r="BW109" s="129">
        <v>76.199999999999989</v>
      </c>
      <c r="BX109" s="129">
        <v>76.199999999999989</v>
      </c>
      <c r="BY109" s="129">
        <v>76.199999999999989</v>
      </c>
      <c r="BZ109" s="129">
        <v>76.199999999999989</v>
      </c>
      <c r="CA109" s="129">
        <v>10.4</v>
      </c>
      <c r="CC109" s="129">
        <v>18.200000000000003</v>
      </c>
      <c r="CD109" s="129">
        <v>18.200000000000003</v>
      </c>
      <c r="CE109" s="129">
        <v>18.200000000000003</v>
      </c>
      <c r="CF109" s="129">
        <v>18.200000000000003</v>
      </c>
      <c r="CG109" s="129">
        <v>18.200000000000003</v>
      </c>
      <c r="CH109" s="129">
        <v>18.200000000000003</v>
      </c>
      <c r="CI109" s="129">
        <v>18.200000000000003</v>
      </c>
      <c r="CJ109" s="129">
        <v>18.200000000000003</v>
      </c>
      <c r="CK109" s="129">
        <v>18.200000000000003</v>
      </c>
      <c r="CL109" s="129">
        <v>10.4</v>
      </c>
      <c r="CN109" s="129">
        <v>22.200000000000003</v>
      </c>
      <c r="CO109" s="129">
        <v>22.200000000000003</v>
      </c>
      <c r="CP109" s="129">
        <v>22.200000000000003</v>
      </c>
      <c r="CQ109" s="129">
        <v>22.200000000000003</v>
      </c>
      <c r="CR109" s="129">
        <v>22.200000000000003</v>
      </c>
      <c r="CS109" s="129">
        <v>22.200000000000003</v>
      </c>
      <c r="CT109" s="129">
        <v>22.200000000000003</v>
      </c>
      <c r="CU109" s="129">
        <v>22.200000000000003</v>
      </c>
      <c r="CV109" s="129">
        <v>22.200000000000003</v>
      </c>
      <c r="CW109" s="129">
        <v>10.4</v>
      </c>
      <c r="CY109" s="129">
        <v>29.799999999999997</v>
      </c>
      <c r="CZ109" s="129">
        <v>29.799999999999997</v>
      </c>
      <c r="DA109" s="129">
        <v>29.799999999999997</v>
      </c>
      <c r="DB109" s="129">
        <v>29.799999999999997</v>
      </c>
      <c r="DC109" s="129">
        <v>29.799999999999997</v>
      </c>
      <c r="DD109" s="129">
        <v>29.799999999999997</v>
      </c>
      <c r="DE109" s="129">
        <v>29.799999999999997</v>
      </c>
      <c r="DF109" s="129">
        <v>29.799999999999997</v>
      </c>
      <c r="DG109" s="129">
        <v>29.799999999999997</v>
      </c>
      <c r="DH109" s="129">
        <v>10.4</v>
      </c>
      <c r="DJ109" s="129">
        <v>29.799999999999997</v>
      </c>
      <c r="DK109" s="129">
        <v>29.799999999999997</v>
      </c>
      <c r="DL109" s="129">
        <v>29.799999999999997</v>
      </c>
      <c r="DM109" s="129">
        <v>29.799999999999997</v>
      </c>
      <c r="DN109" s="129">
        <v>29.799999999999997</v>
      </c>
      <c r="DO109" s="129">
        <v>29.799999999999997</v>
      </c>
      <c r="DP109" s="129">
        <v>29.799999999999997</v>
      </c>
      <c r="DQ109" s="129">
        <v>29.799999999999997</v>
      </c>
      <c r="DR109" s="129">
        <v>29.799999999999997</v>
      </c>
      <c r="DS109" s="129">
        <v>10.4</v>
      </c>
      <c r="DW109" s="27">
        <v>19.200000000000003</v>
      </c>
      <c r="DX109" s="27">
        <v>19.200000000000003</v>
      </c>
      <c r="DY109" s="27">
        <v>19.200000000000003</v>
      </c>
      <c r="DZ109" s="27">
        <v>19.200000000000003</v>
      </c>
      <c r="EA109" s="27">
        <v>19.200000000000003</v>
      </c>
      <c r="EB109" s="27">
        <v>19.200000000000003</v>
      </c>
      <c r="EC109" s="27">
        <v>19.200000000000003</v>
      </c>
      <c r="ED109" s="27">
        <v>19.200000000000003</v>
      </c>
      <c r="EE109" s="27">
        <v>19.200000000000003</v>
      </c>
      <c r="EF109" s="129">
        <v>12.4</v>
      </c>
      <c r="EH109" s="27">
        <v>32.800000000000011</v>
      </c>
      <c r="EI109" s="27">
        <v>32.800000000000011</v>
      </c>
      <c r="EJ109" s="27">
        <v>32.800000000000011</v>
      </c>
      <c r="EK109" s="27">
        <v>32.800000000000011</v>
      </c>
      <c r="EL109" s="27">
        <v>32.800000000000011</v>
      </c>
      <c r="EM109" s="27">
        <v>32.800000000000011</v>
      </c>
      <c r="EN109" s="27">
        <v>32.800000000000011</v>
      </c>
      <c r="EO109" s="27">
        <v>32.800000000000011</v>
      </c>
      <c r="EP109" s="27">
        <v>32.800000000000011</v>
      </c>
      <c r="EQ109" s="129">
        <v>12.4</v>
      </c>
      <c r="ES109" s="27">
        <v>39.800000000000011</v>
      </c>
      <c r="ET109" s="27">
        <v>39.800000000000011</v>
      </c>
      <c r="EU109" s="27">
        <v>39.800000000000011</v>
      </c>
      <c r="EV109" s="27">
        <v>39.800000000000011</v>
      </c>
      <c r="EW109" s="27">
        <v>39.800000000000011</v>
      </c>
      <c r="EX109" s="27">
        <v>39.800000000000011</v>
      </c>
      <c r="EY109" s="27">
        <v>39.800000000000011</v>
      </c>
      <c r="EZ109" s="27">
        <v>39.800000000000011</v>
      </c>
      <c r="FA109" s="27">
        <v>39.800000000000011</v>
      </c>
      <c r="FB109" s="129">
        <v>12.4</v>
      </c>
      <c r="FD109" s="27">
        <v>40.800000000000011</v>
      </c>
      <c r="FE109" s="27">
        <v>40.800000000000011</v>
      </c>
      <c r="FF109" s="27">
        <v>40.800000000000011</v>
      </c>
      <c r="FG109" s="27">
        <v>40.800000000000011</v>
      </c>
      <c r="FH109" s="27">
        <v>40.800000000000011</v>
      </c>
      <c r="FI109" s="27">
        <v>40.800000000000011</v>
      </c>
      <c r="FJ109" s="27">
        <v>40.800000000000011</v>
      </c>
      <c r="FK109" s="27">
        <v>40.800000000000011</v>
      </c>
      <c r="FL109" s="27">
        <v>40.800000000000011</v>
      </c>
      <c r="FM109" s="129">
        <v>12.4</v>
      </c>
      <c r="FO109" s="27">
        <v>64</v>
      </c>
      <c r="FP109" s="27">
        <v>64</v>
      </c>
      <c r="FQ109" s="27">
        <v>64</v>
      </c>
      <c r="FR109" s="27">
        <v>64</v>
      </c>
      <c r="FS109" s="27">
        <v>64</v>
      </c>
      <c r="FT109" s="27">
        <v>64</v>
      </c>
      <c r="FU109" s="27">
        <v>64</v>
      </c>
      <c r="FV109" s="27">
        <v>64</v>
      </c>
      <c r="FW109" s="27">
        <v>64</v>
      </c>
      <c r="FX109" s="129">
        <v>12.4</v>
      </c>
      <c r="FZ109" s="27">
        <v>64</v>
      </c>
      <c r="GA109" s="27">
        <v>64</v>
      </c>
      <c r="GB109" s="27">
        <v>64</v>
      </c>
      <c r="GC109" s="27">
        <v>64</v>
      </c>
      <c r="GD109" s="27">
        <v>64</v>
      </c>
      <c r="GE109" s="27">
        <v>64</v>
      </c>
      <c r="GF109" s="27">
        <v>64</v>
      </c>
      <c r="GG109" s="27">
        <v>64</v>
      </c>
      <c r="GH109" s="27">
        <v>64</v>
      </c>
      <c r="GI109" s="129">
        <v>12.4</v>
      </c>
      <c r="GJ109" s="27"/>
      <c r="GK109" s="27">
        <v>15.200000000000003</v>
      </c>
      <c r="GL109" s="27">
        <v>15.200000000000003</v>
      </c>
      <c r="GM109" s="27">
        <v>15.200000000000003</v>
      </c>
      <c r="GN109" s="27">
        <v>15.200000000000003</v>
      </c>
      <c r="GO109" s="27">
        <v>15.200000000000003</v>
      </c>
      <c r="GP109" s="27">
        <v>15.200000000000003</v>
      </c>
      <c r="GQ109" s="27">
        <v>15.200000000000003</v>
      </c>
      <c r="GR109" s="27">
        <v>15.200000000000003</v>
      </c>
      <c r="GS109" s="27">
        <v>15.200000000000003</v>
      </c>
      <c r="GT109" s="129">
        <v>12.4</v>
      </c>
      <c r="GV109" s="27">
        <v>18.200000000000003</v>
      </c>
      <c r="GW109" s="27">
        <v>18.200000000000003</v>
      </c>
      <c r="GX109" s="27">
        <v>18.200000000000003</v>
      </c>
      <c r="GY109" s="27">
        <v>18.200000000000003</v>
      </c>
      <c r="GZ109" s="27">
        <v>18.200000000000003</v>
      </c>
      <c r="HA109" s="27">
        <v>18.200000000000003</v>
      </c>
      <c r="HB109" s="27">
        <v>18.200000000000003</v>
      </c>
      <c r="HC109" s="27">
        <v>18.200000000000003</v>
      </c>
      <c r="HD109" s="27">
        <v>18.200000000000003</v>
      </c>
      <c r="HE109" s="129">
        <v>12.4</v>
      </c>
      <c r="HG109" s="27">
        <v>25.200000000000003</v>
      </c>
      <c r="HH109" s="27">
        <v>25.200000000000003</v>
      </c>
      <c r="HI109" s="27">
        <v>25.200000000000003</v>
      </c>
      <c r="HJ109" s="27">
        <v>25.200000000000003</v>
      </c>
      <c r="HK109" s="27">
        <v>25.200000000000003</v>
      </c>
      <c r="HL109" s="27">
        <v>25.200000000000003</v>
      </c>
      <c r="HM109" s="27">
        <v>25.200000000000003</v>
      </c>
      <c r="HN109" s="27">
        <v>25.200000000000003</v>
      </c>
      <c r="HO109" s="27">
        <v>25.200000000000003</v>
      </c>
      <c r="HP109" s="129">
        <v>12.4</v>
      </c>
      <c r="HR109" s="27">
        <v>25.200000000000003</v>
      </c>
      <c r="HS109" s="27">
        <v>25.200000000000003</v>
      </c>
      <c r="HT109" s="27">
        <v>25.200000000000003</v>
      </c>
      <c r="HU109" s="27">
        <v>25.200000000000003</v>
      </c>
      <c r="HV109" s="27">
        <v>25.200000000000003</v>
      </c>
      <c r="HW109" s="27">
        <v>25.200000000000003</v>
      </c>
      <c r="HX109" s="27">
        <v>25.200000000000003</v>
      </c>
      <c r="HY109" s="27">
        <v>25.200000000000003</v>
      </c>
      <c r="HZ109" s="27">
        <v>25.200000000000003</v>
      </c>
      <c r="IA109" s="129">
        <v>12.4</v>
      </c>
    </row>
    <row r="110" spans="15:235" ht="3" customHeight="1">
      <c r="O110" s="129">
        <v>15.000000000000002</v>
      </c>
      <c r="P110" s="129">
        <v>15.000000000000002</v>
      </c>
      <c r="Q110" s="129">
        <v>15.000000000000002</v>
      </c>
      <c r="R110" s="129">
        <v>15.000000000000002</v>
      </c>
      <c r="S110" s="129">
        <v>15.000000000000002</v>
      </c>
      <c r="T110" s="129">
        <v>15.000000000000002</v>
      </c>
      <c r="U110" s="129">
        <v>15.000000000000002</v>
      </c>
      <c r="V110" s="129">
        <v>15.000000000000002</v>
      </c>
      <c r="W110" s="129">
        <v>15.000000000000002</v>
      </c>
      <c r="X110" s="129">
        <v>10.5</v>
      </c>
      <c r="Y110" s="27"/>
      <c r="Z110" s="129">
        <v>30.500000000000007</v>
      </c>
      <c r="AA110" s="129">
        <v>30.500000000000007</v>
      </c>
      <c r="AB110" s="129">
        <v>30.500000000000007</v>
      </c>
      <c r="AC110" s="129">
        <v>30.500000000000007</v>
      </c>
      <c r="AD110" s="129">
        <v>30.500000000000007</v>
      </c>
      <c r="AE110" s="129">
        <v>30.500000000000007</v>
      </c>
      <c r="AF110" s="129">
        <v>30.500000000000007</v>
      </c>
      <c r="AG110" s="129">
        <v>30.500000000000007</v>
      </c>
      <c r="AH110" s="129">
        <v>30.500000000000007</v>
      </c>
      <c r="AI110" s="129">
        <v>10.5</v>
      </c>
      <c r="AK110" s="129">
        <v>46.5</v>
      </c>
      <c r="AL110" s="129">
        <v>46.5</v>
      </c>
      <c r="AM110" s="129">
        <v>46.5</v>
      </c>
      <c r="AN110" s="129">
        <v>46.5</v>
      </c>
      <c r="AO110" s="129">
        <v>46.5</v>
      </c>
      <c r="AP110" s="129">
        <v>46.5</v>
      </c>
      <c r="AQ110" s="129">
        <v>46.5</v>
      </c>
      <c r="AR110" s="129">
        <v>46.5</v>
      </c>
      <c r="AS110" s="129">
        <v>46.5</v>
      </c>
      <c r="AT110" s="129">
        <v>10.5</v>
      </c>
      <c r="AV110" s="129">
        <v>48.5</v>
      </c>
      <c r="AW110" s="129">
        <v>48.5</v>
      </c>
      <c r="AX110" s="129">
        <v>48.5</v>
      </c>
      <c r="AY110" s="129">
        <v>48.5</v>
      </c>
      <c r="AZ110" s="129">
        <v>48.5</v>
      </c>
      <c r="BA110" s="129">
        <v>48.5</v>
      </c>
      <c r="BB110" s="129">
        <v>48.5</v>
      </c>
      <c r="BC110" s="129">
        <v>48.5</v>
      </c>
      <c r="BD110" s="129">
        <v>48.5</v>
      </c>
      <c r="BE110" s="129">
        <v>10.5</v>
      </c>
      <c r="BG110" s="129">
        <v>75.499999999999986</v>
      </c>
      <c r="BH110" s="129">
        <v>75.499999999999986</v>
      </c>
      <c r="BI110" s="129">
        <v>75.499999999999986</v>
      </c>
      <c r="BJ110" s="129">
        <v>75.499999999999986</v>
      </c>
      <c r="BK110" s="129">
        <v>75.499999999999986</v>
      </c>
      <c r="BL110" s="129">
        <v>75.499999999999986</v>
      </c>
      <c r="BM110" s="129">
        <v>75.499999999999986</v>
      </c>
      <c r="BN110" s="129">
        <v>75.499999999999986</v>
      </c>
      <c r="BO110" s="129">
        <v>75.499999999999986</v>
      </c>
      <c r="BP110" s="129">
        <v>10.5</v>
      </c>
      <c r="BR110" s="129">
        <v>75.499999999999986</v>
      </c>
      <c r="BS110" s="129">
        <v>75.499999999999986</v>
      </c>
      <c r="BT110" s="129">
        <v>75.499999999999986</v>
      </c>
      <c r="BU110" s="129">
        <v>75.499999999999986</v>
      </c>
      <c r="BV110" s="129">
        <v>75.499999999999986</v>
      </c>
      <c r="BW110" s="129">
        <v>75.499999999999986</v>
      </c>
      <c r="BX110" s="129">
        <v>75.499999999999986</v>
      </c>
      <c r="BY110" s="129">
        <v>75.499999999999986</v>
      </c>
      <c r="BZ110" s="129">
        <v>75.499999999999986</v>
      </c>
      <c r="CA110" s="129">
        <v>10.5</v>
      </c>
      <c r="CC110" s="129">
        <v>18.000000000000004</v>
      </c>
      <c r="CD110" s="129">
        <v>18.000000000000004</v>
      </c>
      <c r="CE110" s="129">
        <v>18.000000000000004</v>
      </c>
      <c r="CF110" s="129">
        <v>18.000000000000004</v>
      </c>
      <c r="CG110" s="129">
        <v>18.000000000000004</v>
      </c>
      <c r="CH110" s="129">
        <v>18.000000000000004</v>
      </c>
      <c r="CI110" s="129">
        <v>18.000000000000004</v>
      </c>
      <c r="CJ110" s="129">
        <v>18.000000000000004</v>
      </c>
      <c r="CK110" s="129">
        <v>18.000000000000004</v>
      </c>
      <c r="CL110" s="129">
        <v>10.5</v>
      </c>
      <c r="CN110" s="129">
        <v>22.000000000000004</v>
      </c>
      <c r="CO110" s="129">
        <v>22.000000000000004</v>
      </c>
      <c r="CP110" s="129">
        <v>22.000000000000004</v>
      </c>
      <c r="CQ110" s="129">
        <v>22.000000000000004</v>
      </c>
      <c r="CR110" s="129">
        <v>22.000000000000004</v>
      </c>
      <c r="CS110" s="129">
        <v>22.000000000000004</v>
      </c>
      <c r="CT110" s="129">
        <v>22.000000000000004</v>
      </c>
      <c r="CU110" s="129">
        <v>22.000000000000004</v>
      </c>
      <c r="CV110" s="129">
        <v>22.000000000000004</v>
      </c>
      <c r="CW110" s="129">
        <v>10.5</v>
      </c>
      <c r="CY110" s="129">
        <v>29.499999999999996</v>
      </c>
      <c r="CZ110" s="129">
        <v>29.499999999999996</v>
      </c>
      <c r="DA110" s="129">
        <v>29.499999999999996</v>
      </c>
      <c r="DB110" s="129">
        <v>29.499999999999996</v>
      </c>
      <c r="DC110" s="129">
        <v>29.499999999999996</v>
      </c>
      <c r="DD110" s="129">
        <v>29.499999999999996</v>
      </c>
      <c r="DE110" s="129">
        <v>29.499999999999996</v>
      </c>
      <c r="DF110" s="129">
        <v>29.499999999999996</v>
      </c>
      <c r="DG110" s="129">
        <v>29.499999999999996</v>
      </c>
      <c r="DH110" s="129">
        <v>10.5</v>
      </c>
      <c r="DJ110" s="129">
        <v>29.499999999999996</v>
      </c>
      <c r="DK110" s="129">
        <v>29.499999999999996</v>
      </c>
      <c r="DL110" s="129">
        <v>29.499999999999996</v>
      </c>
      <c r="DM110" s="129">
        <v>29.499999999999996</v>
      </c>
      <c r="DN110" s="129">
        <v>29.499999999999996</v>
      </c>
      <c r="DO110" s="129">
        <v>29.499999999999996</v>
      </c>
      <c r="DP110" s="129">
        <v>29.499999999999996</v>
      </c>
      <c r="DQ110" s="129">
        <v>29.499999999999996</v>
      </c>
      <c r="DR110" s="129">
        <v>29.499999999999996</v>
      </c>
      <c r="DS110" s="129">
        <v>10.5</v>
      </c>
      <c r="DW110" s="27">
        <v>19.000000000000004</v>
      </c>
      <c r="DX110" s="27">
        <v>19.000000000000004</v>
      </c>
      <c r="DY110" s="27">
        <v>19.000000000000004</v>
      </c>
      <c r="DZ110" s="27">
        <v>19.000000000000004</v>
      </c>
      <c r="EA110" s="27">
        <v>19.000000000000004</v>
      </c>
      <c r="EB110" s="27">
        <v>19.000000000000004</v>
      </c>
      <c r="EC110" s="27">
        <v>19.000000000000004</v>
      </c>
      <c r="ED110" s="27">
        <v>19.000000000000004</v>
      </c>
      <c r="EE110" s="27">
        <v>19.000000000000004</v>
      </c>
      <c r="EF110" s="129">
        <v>12.5</v>
      </c>
      <c r="EH110" s="27">
        <v>32.500000000000014</v>
      </c>
      <c r="EI110" s="27">
        <v>32.500000000000014</v>
      </c>
      <c r="EJ110" s="27">
        <v>32.500000000000014</v>
      </c>
      <c r="EK110" s="27">
        <v>32.500000000000014</v>
      </c>
      <c r="EL110" s="27">
        <v>32.500000000000014</v>
      </c>
      <c r="EM110" s="27">
        <v>32.500000000000014</v>
      </c>
      <c r="EN110" s="27">
        <v>32.500000000000014</v>
      </c>
      <c r="EO110" s="27">
        <v>32.500000000000014</v>
      </c>
      <c r="EP110" s="27">
        <v>32.500000000000014</v>
      </c>
      <c r="EQ110" s="129">
        <v>12.5</v>
      </c>
      <c r="ES110" s="27">
        <v>39.500000000000014</v>
      </c>
      <c r="ET110" s="27">
        <v>39.500000000000014</v>
      </c>
      <c r="EU110" s="27">
        <v>39.500000000000014</v>
      </c>
      <c r="EV110" s="27">
        <v>39.500000000000014</v>
      </c>
      <c r="EW110" s="27">
        <v>39.500000000000014</v>
      </c>
      <c r="EX110" s="27">
        <v>39.500000000000014</v>
      </c>
      <c r="EY110" s="27">
        <v>39.500000000000014</v>
      </c>
      <c r="EZ110" s="27">
        <v>39.500000000000014</v>
      </c>
      <c r="FA110" s="27">
        <v>39.500000000000014</v>
      </c>
      <c r="FB110" s="129">
        <v>12.5</v>
      </c>
      <c r="FD110" s="27">
        <v>40.500000000000014</v>
      </c>
      <c r="FE110" s="27">
        <v>40.500000000000014</v>
      </c>
      <c r="FF110" s="27">
        <v>40.500000000000014</v>
      </c>
      <c r="FG110" s="27">
        <v>40.500000000000014</v>
      </c>
      <c r="FH110" s="27">
        <v>40.500000000000014</v>
      </c>
      <c r="FI110" s="27">
        <v>40.500000000000014</v>
      </c>
      <c r="FJ110" s="27">
        <v>40.500000000000014</v>
      </c>
      <c r="FK110" s="27">
        <v>40.500000000000014</v>
      </c>
      <c r="FL110" s="27">
        <v>40.500000000000014</v>
      </c>
      <c r="FM110" s="129">
        <v>12.5</v>
      </c>
      <c r="FO110" s="27">
        <v>63.5</v>
      </c>
      <c r="FP110" s="27">
        <v>63.5</v>
      </c>
      <c r="FQ110" s="27">
        <v>63.5</v>
      </c>
      <c r="FR110" s="27">
        <v>63.5</v>
      </c>
      <c r="FS110" s="27">
        <v>63.5</v>
      </c>
      <c r="FT110" s="27">
        <v>63.5</v>
      </c>
      <c r="FU110" s="27">
        <v>63.5</v>
      </c>
      <c r="FV110" s="27">
        <v>63.5</v>
      </c>
      <c r="FW110" s="27">
        <v>63.5</v>
      </c>
      <c r="FX110" s="129">
        <v>12.5</v>
      </c>
      <c r="FZ110" s="27">
        <v>63.5</v>
      </c>
      <c r="GA110" s="27">
        <v>63.5</v>
      </c>
      <c r="GB110" s="27">
        <v>63.5</v>
      </c>
      <c r="GC110" s="27">
        <v>63.5</v>
      </c>
      <c r="GD110" s="27">
        <v>63.5</v>
      </c>
      <c r="GE110" s="27">
        <v>63.5</v>
      </c>
      <c r="GF110" s="27">
        <v>63.5</v>
      </c>
      <c r="GG110" s="27">
        <v>63.5</v>
      </c>
      <c r="GH110" s="27">
        <v>63.5</v>
      </c>
      <c r="GI110" s="129">
        <v>12.5</v>
      </c>
      <c r="GJ110" s="27"/>
      <c r="GK110" s="27">
        <v>15.000000000000004</v>
      </c>
      <c r="GL110" s="27">
        <v>15.000000000000004</v>
      </c>
      <c r="GM110" s="27">
        <v>15.000000000000004</v>
      </c>
      <c r="GN110" s="27">
        <v>15.000000000000004</v>
      </c>
      <c r="GO110" s="27">
        <v>15.000000000000004</v>
      </c>
      <c r="GP110" s="27">
        <v>15.000000000000004</v>
      </c>
      <c r="GQ110" s="27">
        <v>15.000000000000004</v>
      </c>
      <c r="GR110" s="27">
        <v>15.000000000000004</v>
      </c>
      <c r="GS110" s="27">
        <v>15.000000000000004</v>
      </c>
      <c r="GT110" s="129">
        <v>12.5</v>
      </c>
      <c r="GV110" s="27">
        <v>18.000000000000004</v>
      </c>
      <c r="GW110" s="27">
        <v>18.000000000000004</v>
      </c>
      <c r="GX110" s="27">
        <v>18.000000000000004</v>
      </c>
      <c r="GY110" s="27">
        <v>18.000000000000004</v>
      </c>
      <c r="GZ110" s="27">
        <v>18.000000000000004</v>
      </c>
      <c r="HA110" s="27">
        <v>18.000000000000004</v>
      </c>
      <c r="HB110" s="27">
        <v>18.000000000000004</v>
      </c>
      <c r="HC110" s="27">
        <v>18.000000000000004</v>
      </c>
      <c r="HD110" s="27">
        <v>18.000000000000004</v>
      </c>
      <c r="HE110" s="129">
        <v>12.5</v>
      </c>
      <c r="HG110" s="27">
        <v>25.000000000000004</v>
      </c>
      <c r="HH110" s="27">
        <v>25.000000000000004</v>
      </c>
      <c r="HI110" s="27">
        <v>25.000000000000004</v>
      </c>
      <c r="HJ110" s="27">
        <v>25.000000000000004</v>
      </c>
      <c r="HK110" s="27">
        <v>25.000000000000004</v>
      </c>
      <c r="HL110" s="27">
        <v>25.000000000000004</v>
      </c>
      <c r="HM110" s="27">
        <v>25.000000000000004</v>
      </c>
      <c r="HN110" s="27">
        <v>25.000000000000004</v>
      </c>
      <c r="HO110" s="27">
        <v>25.000000000000004</v>
      </c>
      <c r="HP110" s="129">
        <v>12.5</v>
      </c>
      <c r="HR110" s="27">
        <v>25.000000000000004</v>
      </c>
      <c r="HS110" s="27">
        <v>25.000000000000004</v>
      </c>
      <c r="HT110" s="27">
        <v>25.000000000000004</v>
      </c>
      <c r="HU110" s="27">
        <v>25.000000000000004</v>
      </c>
      <c r="HV110" s="27">
        <v>25.000000000000004</v>
      </c>
      <c r="HW110" s="27">
        <v>25.000000000000004</v>
      </c>
      <c r="HX110" s="27">
        <v>25.000000000000004</v>
      </c>
      <c r="HY110" s="27">
        <v>25.000000000000004</v>
      </c>
      <c r="HZ110" s="27">
        <v>25.000000000000004</v>
      </c>
      <c r="IA110" s="129">
        <v>12.5</v>
      </c>
    </row>
    <row r="111" spans="15:235" ht="3" customHeight="1">
      <c r="O111" s="129">
        <v>14.600000000000001</v>
      </c>
      <c r="P111" s="129">
        <v>14.600000000000001</v>
      </c>
      <c r="Q111" s="129">
        <v>14.600000000000001</v>
      </c>
      <c r="R111" s="129">
        <v>14.600000000000001</v>
      </c>
      <c r="S111" s="129">
        <v>14.600000000000001</v>
      </c>
      <c r="T111" s="129">
        <v>14.600000000000001</v>
      </c>
      <c r="U111" s="129">
        <v>14.600000000000001</v>
      </c>
      <c r="V111" s="129">
        <v>14.600000000000001</v>
      </c>
      <c r="W111" s="129">
        <v>14.600000000000001</v>
      </c>
      <c r="X111" s="129">
        <v>10.6</v>
      </c>
      <c r="Y111" s="27"/>
      <c r="Z111" s="129">
        <v>29.600000000000009</v>
      </c>
      <c r="AA111" s="129">
        <v>29.600000000000009</v>
      </c>
      <c r="AB111" s="129">
        <v>29.600000000000009</v>
      </c>
      <c r="AC111" s="129">
        <v>29.600000000000009</v>
      </c>
      <c r="AD111" s="129">
        <v>29.600000000000009</v>
      </c>
      <c r="AE111" s="129">
        <v>29.600000000000009</v>
      </c>
      <c r="AF111" s="129">
        <v>29.600000000000009</v>
      </c>
      <c r="AG111" s="129">
        <v>29.600000000000009</v>
      </c>
      <c r="AH111" s="129">
        <v>29.600000000000009</v>
      </c>
      <c r="AI111" s="129">
        <v>10.6</v>
      </c>
      <c r="AK111" s="129">
        <v>46</v>
      </c>
      <c r="AL111" s="129">
        <v>46</v>
      </c>
      <c r="AM111" s="129">
        <v>46</v>
      </c>
      <c r="AN111" s="129">
        <v>46</v>
      </c>
      <c r="AO111" s="129">
        <v>46</v>
      </c>
      <c r="AP111" s="129">
        <v>46</v>
      </c>
      <c r="AQ111" s="129">
        <v>46</v>
      </c>
      <c r="AR111" s="129">
        <v>46</v>
      </c>
      <c r="AS111" s="129">
        <v>46</v>
      </c>
      <c r="AT111" s="129">
        <v>10.6</v>
      </c>
      <c r="AV111" s="129">
        <v>48</v>
      </c>
      <c r="AW111" s="129">
        <v>48</v>
      </c>
      <c r="AX111" s="129">
        <v>48</v>
      </c>
      <c r="AY111" s="129">
        <v>48</v>
      </c>
      <c r="AZ111" s="129">
        <v>48</v>
      </c>
      <c r="BA111" s="129">
        <v>48</v>
      </c>
      <c r="BB111" s="129">
        <v>48</v>
      </c>
      <c r="BC111" s="129">
        <v>48</v>
      </c>
      <c r="BD111" s="129">
        <v>48</v>
      </c>
      <c r="BE111" s="129">
        <v>10.6</v>
      </c>
      <c r="BG111" s="129">
        <v>74.799999999999983</v>
      </c>
      <c r="BH111" s="129">
        <v>74.799999999999983</v>
      </c>
      <c r="BI111" s="129">
        <v>74.799999999999983</v>
      </c>
      <c r="BJ111" s="129">
        <v>74.799999999999983</v>
      </c>
      <c r="BK111" s="129">
        <v>74.799999999999983</v>
      </c>
      <c r="BL111" s="129">
        <v>74.799999999999983</v>
      </c>
      <c r="BM111" s="129">
        <v>74.799999999999983</v>
      </c>
      <c r="BN111" s="129">
        <v>74.799999999999983</v>
      </c>
      <c r="BO111" s="129">
        <v>74.799999999999983</v>
      </c>
      <c r="BP111" s="129">
        <v>10.6</v>
      </c>
      <c r="BR111" s="129">
        <v>74.799999999999983</v>
      </c>
      <c r="BS111" s="129">
        <v>74.799999999999983</v>
      </c>
      <c r="BT111" s="129">
        <v>74.799999999999983</v>
      </c>
      <c r="BU111" s="129">
        <v>74.799999999999983</v>
      </c>
      <c r="BV111" s="129">
        <v>74.799999999999983</v>
      </c>
      <c r="BW111" s="129">
        <v>74.799999999999983</v>
      </c>
      <c r="BX111" s="129">
        <v>74.799999999999983</v>
      </c>
      <c r="BY111" s="129">
        <v>74.799999999999983</v>
      </c>
      <c r="BZ111" s="129">
        <v>74.799999999999983</v>
      </c>
      <c r="CA111" s="129">
        <v>10.6</v>
      </c>
      <c r="CC111" s="129">
        <v>17.800000000000004</v>
      </c>
      <c r="CD111" s="129">
        <v>17.800000000000004</v>
      </c>
      <c r="CE111" s="129">
        <v>17.800000000000004</v>
      </c>
      <c r="CF111" s="129">
        <v>17.800000000000004</v>
      </c>
      <c r="CG111" s="129">
        <v>17.800000000000004</v>
      </c>
      <c r="CH111" s="129">
        <v>17.800000000000004</v>
      </c>
      <c r="CI111" s="129">
        <v>17.800000000000004</v>
      </c>
      <c r="CJ111" s="129">
        <v>17.800000000000004</v>
      </c>
      <c r="CK111" s="129">
        <v>17.800000000000004</v>
      </c>
      <c r="CL111" s="129">
        <v>10.6</v>
      </c>
      <c r="CN111" s="129">
        <v>21.800000000000004</v>
      </c>
      <c r="CO111" s="129">
        <v>21.800000000000004</v>
      </c>
      <c r="CP111" s="129">
        <v>21.800000000000004</v>
      </c>
      <c r="CQ111" s="129">
        <v>21.800000000000004</v>
      </c>
      <c r="CR111" s="129">
        <v>21.800000000000004</v>
      </c>
      <c r="CS111" s="129">
        <v>21.800000000000004</v>
      </c>
      <c r="CT111" s="129">
        <v>21.800000000000004</v>
      </c>
      <c r="CU111" s="129">
        <v>21.800000000000004</v>
      </c>
      <c r="CV111" s="129">
        <v>21.800000000000004</v>
      </c>
      <c r="CW111" s="129">
        <v>10.6</v>
      </c>
      <c r="CY111" s="129">
        <v>29.199999999999996</v>
      </c>
      <c r="CZ111" s="129">
        <v>29.199999999999996</v>
      </c>
      <c r="DA111" s="129">
        <v>29.199999999999996</v>
      </c>
      <c r="DB111" s="129">
        <v>29.199999999999996</v>
      </c>
      <c r="DC111" s="129">
        <v>29.199999999999996</v>
      </c>
      <c r="DD111" s="129">
        <v>29.199999999999996</v>
      </c>
      <c r="DE111" s="129">
        <v>29.199999999999996</v>
      </c>
      <c r="DF111" s="129">
        <v>29.199999999999996</v>
      </c>
      <c r="DG111" s="129">
        <v>29.199999999999996</v>
      </c>
      <c r="DH111" s="129">
        <v>10.6</v>
      </c>
      <c r="DJ111" s="129">
        <v>29.199999999999996</v>
      </c>
      <c r="DK111" s="129">
        <v>29.199999999999996</v>
      </c>
      <c r="DL111" s="129">
        <v>29.199999999999996</v>
      </c>
      <c r="DM111" s="129">
        <v>29.199999999999996</v>
      </c>
      <c r="DN111" s="129">
        <v>29.199999999999996</v>
      </c>
      <c r="DO111" s="129">
        <v>29.199999999999996</v>
      </c>
      <c r="DP111" s="129">
        <v>29.199999999999996</v>
      </c>
      <c r="DQ111" s="129">
        <v>29.199999999999996</v>
      </c>
      <c r="DR111" s="129">
        <v>29.199999999999996</v>
      </c>
      <c r="DS111" s="129">
        <v>10.6</v>
      </c>
      <c r="DW111" s="27">
        <v>18.800000000000004</v>
      </c>
      <c r="DX111" s="27">
        <v>18.800000000000004</v>
      </c>
      <c r="DY111" s="27">
        <v>18.800000000000004</v>
      </c>
      <c r="DZ111" s="27">
        <v>18.800000000000004</v>
      </c>
      <c r="EA111" s="27">
        <v>18.800000000000004</v>
      </c>
      <c r="EB111" s="27">
        <v>18.800000000000004</v>
      </c>
      <c r="EC111" s="27">
        <v>18.800000000000004</v>
      </c>
      <c r="ED111" s="27">
        <v>18.800000000000004</v>
      </c>
      <c r="EE111" s="27">
        <v>18.800000000000004</v>
      </c>
      <c r="EF111" s="129">
        <v>12.6</v>
      </c>
      <c r="EH111" s="27">
        <v>32.200000000000017</v>
      </c>
      <c r="EI111" s="27">
        <v>32.200000000000017</v>
      </c>
      <c r="EJ111" s="27">
        <v>32.200000000000017</v>
      </c>
      <c r="EK111" s="27">
        <v>32.200000000000017</v>
      </c>
      <c r="EL111" s="27">
        <v>32.200000000000017</v>
      </c>
      <c r="EM111" s="27">
        <v>32.200000000000017</v>
      </c>
      <c r="EN111" s="27">
        <v>32.200000000000017</v>
      </c>
      <c r="EO111" s="27">
        <v>32.200000000000017</v>
      </c>
      <c r="EP111" s="27">
        <v>32.200000000000017</v>
      </c>
      <c r="EQ111" s="129">
        <v>12.6</v>
      </c>
      <c r="ES111" s="27">
        <v>39.200000000000017</v>
      </c>
      <c r="ET111" s="27">
        <v>39.200000000000017</v>
      </c>
      <c r="EU111" s="27">
        <v>39.200000000000017</v>
      </c>
      <c r="EV111" s="27">
        <v>39.200000000000017</v>
      </c>
      <c r="EW111" s="27">
        <v>39.200000000000017</v>
      </c>
      <c r="EX111" s="27">
        <v>39.200000000000017</v>
      </c>
      <c r="EY111" s="27">
        <v>39.200000000000017</v>
      </c>
      <c r="EZ111" s="27">
        <v>39.200000000000017</v>
      </c>
      <c r="FA111" s="27">
        <v>39.200000000000017</v>
      </c>
      <c r="FB111" s="129">
        <v>12.6</v>
      </c>
      <c r="FD111" s="27">
        <v>40.200000000000017</v>
      </c>
      <c r="FE111" s="27">
        <v>40.200000000000017</v>
      </c>
      <c r="FF111" s="27">
        <v>40.200000000000017</v>
      </c>
      <c r="FG111" s="27">
        <v>40.200000000000017</v>
      </c>
      <c r="FH111" s="27">
        <v>40.200000000000017</v>
      </c>
      <c r="FI111" s="27">
        <v>40.200000000000017</v>
      </c>
      <c r="FJ111" s="27">
        <v>40.200000000000017</v>
      </c>
      <c r="FK111" s="27">
        <v>40.200000000000017</v>
      </c>
      <c r="FL111" s="27">
        <v>40.200000000000017</v>
      </c>
      <c r="FM111" s="129">
        <v>12.6</v>
      </c>
      <c r="FO111" s="27">
        <v>63</v>
      </c>
      <c r="FP111" s="27">
        <v>63</v>
      </c>
      <c r="FQ111" s="27">
        <v>63</v>
      </c>
      <c r="FR111" s="27">
        <v>63</v>
      </c>
      <c r="FS111" s="27">
        <v>63</v>
      </c>
      <c r="FT111" s="27">
        <v>63</v>
      </c>
      <c r="FU111" s="27">
        <v>63</v>
      </c>
      <c r="FV111" s="27">
        <v>63</v>
      </c>
      <c r="FW111" s="27">
        <v>63</v>
      </c>
      <c r="FX111" s="129">
        <v>12.6</v>
      </c>
      <c r="FZ111" s="27">
        <v>63</v>
      </c>
      <c r="GA111" s="27">
        <v>63</v>
      </c>
      <c r="GB111" s="27">
        <v>63</v>
      </c>
      <c r="GC111" s="27">
        <v>63</v>
      </c>
      <c r="GD111" s="27">
        <v>63</v>
      </c>
      <c r="GE111" s="27">
        <v>63</v>
      </c>
      <c r="GF111" s="27">
        <v>63</v>
      </c>
      <c r="GG111" s="27">
        <v>63</v>
      </c>
      <c r="GH111" s="27">
        <v>63</v>
      </c>
      <c r="GI111" s="129">
        <v>12.6</v>
      </c>
      <c r="GJ111" s="27"/>
      <c r="GK111" s="27">
        <v>14.800000000000004</v>
      </c>
      <c r="GL111" s="27">
        <v>14.800000000000004</v>
      </c>
      <c r="GM111" s="27">
        <v>14.800000000000004</v>
      </c>
      <c r="GN111" s="27">
        <v>14.800000000000004</v>
      </c>
      <c r="GO111" s="27">
        <v>14.800000000000004</v>
      </c>
      <c r="GP111" s="27">
        <v>14.800000000000004</v>
      </c>
      <c r="GQ111" s="27">
        <v>14.800000000000004</v>
      </c>
      <c r="GR111" s="27">
        <v>14.800000000000004</v>
      </c>
      <c r="GS111" s="27">
        <v>14.800000000000004</v>
      </c>
      <c r="GT111" s="129">
        <v>12.6</v>
      </c>
      <c r="GV111" s="27">
        <v>17.800000000000004</v>
      </c>
      <c r="GW111" s="27">
        <v>17.800000000000004</v>
      </c>
      <c r="GX111" s="27">
        <v>17.800000000000004</v>
      </c>
      <c r="GY111" s="27">
        <v>17.800000000000004</v>
      </c>
      <c r="GZ111" s="27">
        <v>17.800000000000004</v>
      </c>
      <c r="HA111" s="27">
        <v>17.800000000000004</v>
      </c>
      <c r="HB111" s="27">
        <v>17.800000000000004</v>
      </c>
      <c r="HC111" s="27">
        <v>17.800000000000004</v>
      </c>
      <c r="HD111" s="27">
        <v>17.800000000000004</v>
      </c>
      <c r="HE111" s="129">
        <v>12.6</v>
      </c>
      <c r="HG111" s="27">
        <v>24.800000000000004</v>
      </c>
      <c r="HH111" s="27">
        <v>24.800000000000004</v>
      </c>
      <c r="HI111" s="27">
        <v>24.800000000000004</v>
      </c>
      <c r="HJ111" s="27">
        <v>24.800000000000004</v>
      </c>
      <c r="HK111" s="27">
        <v>24.800000000000004</v>
      </c>
      <c r="HL111" s="27">
        <v>24.800000000000004</v>
      </c>
      <c r="HM111" s="27">
        <v>24.800000000000004</v>
      </c>
      <c r="HN111" s="27">
        <v>24.800000000000004</v>
      </c>
      <c r="HO111" s="27">
        <v>24.800000000000004</v>
      </c>
      <c r="HP111" s="129">
        <v>12.6</v>
      </c>
      <c r="HR111" s="27">
        <v>24.800000000000004</v>
      </c>
      <c r="HS111" s="27">
        <v>24.800000000000004</v>
      </c>
      <c r="HT111" s="27">
        <v>24.800000000000004</v>
      </c>
      <c r="HU111" s="27">
        <v>24.800000000000004</v>
      </c>
      <c r="HV111" s="27">
        <v>24.800000000000004</v>
      </c>
      <c r="HW111" s="27">
        <v>24.800000000000004</v>
      </c>
      <c r="HX111" s="27">
        <v>24.800000000000004</v>
      </c>
      <c r="HY111" s="27">
        <v>24.800000000000004</v>
      </c>
      <c r="HZ111" s="27">
        <v>24.800000000000004</v>
      </c>
      <c r="IA111" s="129">
        <v>12.6</v>
      </c>
    </row>
    <row r="112" spans="15:235" ht="3" customHeight="1">
      <c r="O112" s="129">
        <v>14.200000000000001</v>
      </c>
      <c r="P112" s="129">
        <v>14.200000000000001</v>
      </c>
      <c r="Q112" s="129">
        <v>14.200000000000001</v>
      </c>
      <c r="R112" s="129">
        <v>14.200000000000001</v>
      </c>
      <c r="S112" s="129">
        <v>14.200000000000001</v>
      </c>
      <c r="T112" s="129">
        <v>14.200000000000001</v>
      </c>
      <c r="U112" s="129">
        <v>14.200000000000001</v>
      </c>
      <c r="V112" s="129">
        <v>14.200000000000001</v>
      </c>
      <c r="W112" s="129">
        <v>14.200000000000001</v>
      </c>
      <c r="X112" s="129">
        <v>10.7</v>
      </c>
      <c r="Y112" s="27"/>
      <c r="Z112" s="129">
        <v>28.70000000000001</v>
      </c>
      <c r="AA112" s="129">
        <v>28.70000000000001</v>
      </c>
      <c r="AB112" s="129">
        <v>28.70000000000001</v>
      </c>
      <c r="AC112" s="129">
        <v>28.70000000000001</v>
      </c>
      <c r="AD112" s="129">
        <v>28.70000000000001</v>
      </c>
      <c r="AE112" s="129">
        <v>28.70000000000001</v>
      </c>
      <c r="AF112" s="129">
        <v>28.70000000000001</v>
      </c>
      <c r="AG112" s="129">
        <v>28.70000000000001</v>
      </c>
      <c r="AH112" s="129">
        <v>28.70000000000001</v>
      </c>
      <c r="AI112" s="129">
        <v>10.7</v>
      </c>
      <c r="AK112" s="129">
        <v>45.5</v>
      </c>
      <c r="AL112" s="129">
        <v>45.5</v>
      </c>
      <c r="AM112" s="129">
        <v>45.5</v>
      </c>
      <c r="AN112" s="129">
        <v>45.5</v>
      </c>
      <c r="AO112" s="129">
        <v>45.5</v>
      </c>
      <c r="AP112" s="129">
        <v>45.5</v>
      </c>
      <c r="AQ112" s="129">
        <v>45.5</v>
      </c>
      <c r="AR112" s="129">
        <v>45.5</v>
      </c>
      <c r="AS112" s="129">
        <v>45.5</v>
      </c>
      <c r="AT112" s="129">
        <v>10.7</v>
      </c>
      <c r="AV112" s="129">
        <v>47.5</v>
      </c>
      <c r="AW112" s="129">
        <v>47.5</v>
      </c>
      <c r="AX112" s="129">
        <v>47.5</v>
      </c>
      <c r="AY112" s="129">
        <v>47.5</v>
      </c>
      <c r="AZ112" s="129">
        <v>47.5</v>
      </c>
      <c r="BA112" s="129">
        <v>47.5</v>
      </c>
      <c r="BB112" s="129">
        <v>47.5</v>
      </c>
      <c r="BC112" s="129">
        <v>47.5</v>
      </c>
      <c r="BD112" s="129">
        <v>47.5</v>
      </c>
      <c r="BE112" s="129">
        <v>10.7</v>
      </c>
      <c r="BG112" s="129">
        <v>74.09999999999998</v>
      </c>
      <c r="BH112" s="129">
        <v>74.09999999999998</v>
      </c>
      <c r="BI112" s="129">
        <v>74.09999999999998</v>
      </c>
      <c r="BJ112" s="129">
        <v>74.09999999999998</v>
      </c>
      <c r="BK112" s="129">
        <v>74.09999999999998</v>
      </c>
      <c r="BL112" s="129">
        <v>74.09999999999998</v>
      </c>
      <c r="BM112" s="129">
        <v>74.09999999999998</v>
      </c>
      <c r="BN112" s="129">
        <v>74.09999999999998</v>
      </c>
      <c r="BO112" s="129">
        <v>74.09999999999998</v>
      </c>
      <c r="BP112" s="129">
        <v>10.7</v>
      </c>
      <c r="BR112" s="129">
        <v>74.09999999999998</v>
      </c>
      <c r="BS112" s="129">
        <v>74.09999999999998</v>
      </c>
      <c r="BT112" s="129">
        <v>74.09999999999998</v>
      </c>
      <c r="BU112" s="129">
        <v>74.09999999999998</v>
      </c>
      <c r="BV112" s="129">
        <v>74.09999999999998</v>
      </c>
      <c r="BW112" s="129">
        <v>74.09999999999998</v>
      </c>
      <c r="BX112" s="129">
        <v>74.09999999999998</v>
      </c>
      <c r="BY112" s="129">
        <v>74.09999999999998</v>
      </c>
      <c r="BZ112" s="129">
        <v>74.09999999999998</v>
      </c>
      <c r="CA112" s="129">
        <v>10.7</v>
      </c>
      <c r="CC112" s="129">
        <v>17.600000000000005</v>
      </c>
      <c r="CD112" s="129">
        <v>17.600000000000005</v>
      </c>
      <c r="CE112" s="129">
        <v>17.600000000000005</v>
      </c>
      <c r="CF112" s="129">
        <v>17.600000000000005</v>
      </c>
      <c r="CG112" s="129">
        <v>17.600000000000005</v>
      </c>
      <c r="CH112" s="129">
        <v>17.600000000000005</v>
      </c>
      <c r="CI112" s="129">
        <v>17.600000000000005</v>
      </c>
      <c r="CJ112" s="129">
        <v>17.600000000000005</v>
      </c>
      <c r="CK112" s="129">
        <v>17.600000000000005</v>
      </c>
      <c r="CL112" s="129">
        <v>10.7</v>
      </c>
      <c r="CN112" s="129">
        <v>21.600000000000005</v>
      </c>
      <c r="CO112" s="129">
        <v>21.600000000000005</v>
      </c>
      <c r="CP112" s="129">
        <v>21.600000000000005</v>
      </c>
      <c r="CQ112" s="129">
        <v>21.600000000000005</v>
      </c>
      <c r="CR112" s="129">
        <v>21.600000000000005</v>
      </c>
      <c r="CS112" s="129">
        <v>21.600000000000005</v>
      </c>
      <c r="CT112" s="129">
        <v>21.600000000000005</v>
      </c>
      <c r="CU112" s="129">
        <v>21.600000000000005</v>
      </c>
      <c r="CV112" s="129">
        <v>21.600000000000005</v>
      </c>
      <c r="CW112" s="129">
        <v>10.7</v>
      </c>
      <c r="CY112" s="129">
        <v>28.899999999999995</v>
      </c>
      <c r="CZ112" s="129">
        <v>28.899999999999995</v>
      </c>
      <c r="DA112" s="129">
        <v>28.899999999999995</v>
      </c>
      <c r="DB112" s="129">
        <v>28.899999999999995</v>
      </c>
      <c r="DC112" s="129">
        <v>28.899999999999995</v>
      </c>
      <c r="DD112" s="129">
        <v>28.899999999999995</v>
      </c>
      <c r="DE112" s="129">
        <v>28.899999999999995</v>
      </c>
      <c r="DF112" s="129">
        <v>28.899999999999995</v>
      </c>
      <c r="DG112" s="129">
        <v>28.899999999999995</v>
      </c>
      <c r="DH112" s="129">
        <v>10.7</v>
      </c>
      <c r="DJ112" s="129">
        <v>28.899999999999995</v>
      </c>
      <c r="DK112" s="129">
        <v>28.899999999999995</v>
      </c>
      <c r="DL112" s="129">
        <v>28.899999999999995</v>
      </c>
      <c r="DM112" s="129">
        <v>28.899999999999995</v>
      </c>
      <c r="DN112" s="129">
        <v>28.899999999999995</v>
      </c>
      <c r="DO112" s="129">
        <v>28.899999999999995</v>
      </c>
      <c r="DP112" s="129">
        <v>28.899999999999995</v>
      </c>
      <c r="DQ112" s="129">
        <v>28.899999999999995</v>
      </c>
      <c r="DR112" s="129">
        <v>28.899999999999995</v>
      </c>
      <c r="DS112" s="129">
        <v>10.7</v>
      </c>
      <c r="DW112" s="27">
        <v>18.600000000000005</v>
      </c>
      <c r="DX112" s="27">
        <v>18.600000000000005</v>
      </c>
      <c r="DY112" s="27">
        <v>18.600000000000005</v>
      </c>
      <c r="DZ112" s="27">
        <v>18.600000000000005</v>
      </c>
      <c r="EA112" s="27">
        <v>18.600000000000005</v>
      </c>
      <c r="EB112" s="27">
        <v>18.600000000000005</v>
      </c>
      <c r="EC112" s="27">
        <v>18.600000000000005</v>
      </c>
      <c r="ED112" s="27">
        <v>18.600000000000005</v>
      </c>
      <c r="EE112" s="27">
        <v>18.600000000000005</v>
      </c>
      <c r="EF112" s="129">
        <v>12.7</v>
      </c>
      <c r="EH112" s="27">
        <v>31.900000000000016</v>
      </c>
      <c r="EI112" s="27">
        <v>31.900000000000016</v>
      </c>
      <c r="EJ112" s="27">
        <v>31.900000000000016</v>
      </c>
      <c r="EK112" s="27">
        <v>31.900000000000016</v>
      </c>
      <c r="EL112" s="27">
        <v>31.900000000000016</v>
      </c>
      <c r="EM112" s="27">
        <v>31.900000000000016</v>
      </c>
      <c r="EN112" s="27">
        <v>31.900000000000016</v>
      </c>
      <c r="EO112" s="27">
        <v>31.900000000000016</v>
      </c>
      <c r="EP112" s="27">
        <v>31.900000000000016</v>
      </c>
      <c r="EQ112" s="129">
        <v>12.7</v>
      </c>
      <c r="ES112" s="27">
        <v>38.90000000000002</v>
      </c>
      <c r="ET112" s="27">
        <v>38.90000000000002</v>
      </c>
      <c r="EU112" s="27">
        <v>38.90000000000002</v>
      </c>
      <c r="EV112" s="27">
        <v>38.90000000000002</v>
      </c>
      <c r="EW112" s="27">
        <v>38.90000000000002</v>
      </c>
      <c r="EX112" s="27">
        <v>38.90000000000002</v>
      </c>
      <c r="EY112" s="27">
        <v>38.90000000000002</v>
      </c>
      <c r="EZ112" s="27">
        <v>38.90000000000002</v>
      </c>
      <c r="FA112" s="27">
        <v>38.90000000000002</v>
      </c>
      <c r="FB112" s="129">
        <v>12.7</v>
      </c>
      <c r="FD112" s="27">
        <v>39.90000000000002</v>
      </c>
      <c r="FE112" s="27">
        <v>39.90000000000002</v>
      </c>
      <c r="FF112" s="27">
        <v>39.90000000000002</v>
      </c>
      <c r="FG112" s="27">
        <v>39.90000000000002</v>
      </c>
      <c r="FH112" s="27">
        <v>39.90000000000002</v>
      </c>
      <c r="FI112" s="27">
        <v>39.90000000000002</v>
      </c>
      <c r="FJ112" s="27">
        <v>39.90000000000002</v>
      </c>
      <c r="FK112" s="27">
        <v>39.90000000000002</v>
      </c>
      <c r="FL112" s="27">
        <v>39.90000000000002</v>
      </c>
      <c r="FM112" s="129">
        <v>12.7</v>
      </c>
      <c r="FO112" s="27">
        <v>62.5</v>
      </c>
      <c r="FP112" s="27">
        <v>62.5</v>
      </c>
      <c r="FQ112" s="27">
        <v>62.5</v>
      </c>
      <c r="FR112" s="27">
        <v>62.5</v>
      </c>
      <c r="FS112" s="27">
        <v>62.5</v>
      </c>
      <c r="FT112" s="27">
        <v>62.5</v>
      </c>
      <c r="FU112" s="27">
        <v>62.5</v>
      </c>
      <c r="FV112" s="27">
        <v>62.5</v>
      </c>
      <c r="FW112" s="27">
        <v>62.5</v>
      </c>
      <c r="FX112" s="129">
        <v>12.7</v>
      </c>
      <c r="FZ112" s="27">
        <v>62.5</v>
      </c>
      <c r="GA112" s="27">
        <v>62.5</v>
      </c>
      <c r="GB112" s="27">
        <v>62.5</v>
      </c>
      <c r="GC112" s="27">
        <v>62.5</v>
      </c>
      <c r="GD112" s="27">
        <v>62.5</v>
      </c>
      <c r="GE112" s="27">
        <v>62.5</v>
      </c>
      <c r="GF112" s="27">
        <v>62.5</v>
      </c>
      <c r="GG112" s="27">
        <v>62.5</v>
      </c>
      <c r="GH112" s="27">
        <v>62.5</v>
      </c>
      <c r="GI112" s="129">
        <v>12.7</v>
      </c>
      <c r="GJ112" s="27"/>
      <c r="GK112" s="27">
        <v>14.600000000000005</v>
      </c>
      <c r="GL112" s="27">
        <v>14.600000000000005</v>
      </c>
      <c r="GM112" s="27">
        <v>14.600000000000005</v>
      </c>
      <c r="GN112" s="27">
        <v>14.600000000000005</v>
      </c>
      <c r="GO112" s="27">
        <v>14.600000000000005</v>
      </c>
      <c r="GP112" s="27">
        <v>14.600000000000005</v>
      </c>
      <c r="GQ112" s="27">
        <v>14.600000000000005</v>
      </c>
      <c r="GR112" s="27">
        <v>14.600000000000005</v>
      </c>
      <c r="GS112" s="27">
        <v>14.600000000000005</v>
      </c>
      <c r="GT112" s="129">
        <v>12.7</v>
      </c>
      <c r="GV112" s="27">
        <v>17.600000000000005</v>
      </c>
      <c r="GW112" s="27">
        <v>17.600000000000005</v>
      </c>
      <c r="GX112" s="27">
        <v>17.600000000000005</v>
      </c>
      <c r="GY112" s="27">
        <v>17.600000000000005</v>
      </c>
      <c r="GZ112" s="27">
        <v>17.600000000000005</v>
      </c>
      <c r="HA112" s="27">
        <v>17.600000000000005</v>
      </c>
      <c r="HB112" s="27">
        <v>17.600000000000005</v>
      </c>
      <c r="HC112" s="27">
        <v>17.600000000000005</v>
      </c>
      <c r="HD112" s="27">
        <v>17.600000000000005</v>
      </c>
      <c r="HE112" s="129">
        <v>12.7</v>
      </c>
      <c r="HG112" s="27">
        <v>24.600000000000005</v>
      </c>
      <c r="HH112" s="27">
        <v>24.600000000000005</v>
      </c>
      <c r="HI112" s="27">
        <v>24.600000000000005</v>
      </c>
      <c r="HJ112" s="27">
        <v>24.600000000000005</v>
      </c>
      <c r="HK112" s="27">
        <v>24.600000000000005</v>
      </c>
      <c r="HL112" s="27">
        <v>24.600000000000005</v>
      </c>
      <c r="HM112" s="27">
        <v>24.600000000000005</v>
      </c>
      <c r="HN112" s="27">
        <v>24.600000000000005</v>
      </c>
      <c r="HO112" s="27">
        <v>24.600000000000005</v>
      </c>
      <c r="HP112" s="129">
        <v>12.7</v>
      </c>
      <c r="HR112" s="27">
        <v>24.600000000000005</v>
      </c>
      <c r="HS112" s="27">
        <v>24.600000000000005</v>
      </c>
      <c r="HT112" s="27">
        <v>24.600000000000005</v>
      </c>
      <c r="HU112" s="27">
        <v>24.600000000000005</v>
      </c>
      <c r="HV112" s="27">
        <v>24.600000000000005</v>
      </c>
      <c r="HW112" s="27">
        <v>24.600000000000005</v>
      </c>
      <c r="HX112" s="27">
        <v>24.600000000000005</v>
      </c>
      <c r="HY112" s="27">
        <v>24.600000000000005</v>
      </c>
      <c r="HZ112" s="27">
        <v>24.600000000000005</v>
      </c>
      <c r="IA112" s="129">
        <v>12.7</v>
      </c>
    </row>
    <row r="113" spans="15:235" ht="3" customHeight="1">
      <c r="O113" s="129">
        <v>13.8</v>
      </c>
      <c r="P113" s="129">
        <v>13.8</v>
      </c>
      <c r="Q113" s="129">
        <v>13.8</v>
      </c>
      <c r="R113" s="129">
        <v>13.8</v>
      </c>
      <c r="S113" s="129">
        <v>13.8</v>
      </c>
      <c r="T113" s="129">
        <v>13.8</v>
      </c>
      <c r="U113" s="129">
        <v>13.8</v>
      </c>
      <c r="V113" s="129">
        <v>13.8</v>
      </c>
      <c r="W113" s="129">
        <v>13.8</v>
      </c>
      <c r="X113" s="129">
        <v>10.8</v>
      </c>
      <c r="Y113" s="27"/>
      <c r="Z113" s="129">
        <v>27.800000000000011</v>
      </c>
      <c r="AA113" s="129">
        <v>27.800000000000011</v>
      </c>
      <c r="AB113" s="129">
        <v>27.800000000000011</v>
      </c>
      <c r="AC113" s="129">
        <v>27.800000000000011</v>
      </c>
      <c r="AD113" s="129">
        <v>27.800000000000011</v>
      </c>
      <c r="AE113" s="129">
        <v>27.800000000000011</v>
      </c>
      <c r="AF113" s="129">
        <v>27.800000000000011</v>
      </c>
      <c r="AG113" s="129">
        <v>27.800000000000011</v>
      </c>
      <c r="AH113" s="129">
        <v>27.800000000000011</v>
      </c>
      <c r="AI113" s="129">
        <v>10.8</v>
      </c>
      <c r="AK113" s="129">
        <v>45</v>
      </c>
      <c r="AL113" s="129">
        <v>45</v>
      </c>
      <c r="AM113" s="129">
        <v>45</v>
      </c>
      <c r="AN113" s="129">
        <v>45</v>
      </c>
      <c r="AO113" s="129">
        <v>45</v>
      </c>
      <c r="AP113" s="129">
        <v>45</v>
      </c>
      <c r="AQ113" s="129">
        <v>45</v>
      </c>
      <c r="AR113" s="129">
        <v>45</v>
      </c>
      <c r="AS113" s="129">
        <v>45</v>
      </c>
      <c r="AT113" s="129">
        <v>10.8</v>
      </c>
      <c r="AV113" s="129">
        <v>47</v>
      </c>
      <c r="AW113" s="129">
        <v>47</v>
      </c>
      <c r="AX113" s="129">
        <v>47</v>
      </c>
      <c r="AY113" s="129">
        <v>47</v>
      </c>
      <c r="AZ113" s="129">
        <v>47</v>
      </c>
      <c r="BA113" s="129">
        <v>47</v>
      </c>
      <c r="BB113" s="129">
        <v>47</v>
      </c>
      <c r="BC113" s="129">
        <v>47</v>
      </c>
      <c r="BD113" s="129">
        <v>47</v>
      </c>
      <c r="BE113" s="129">
        <v>10.8</v>
      </c>
      <c r="BG113" s="129">
        <v>73.399999999999977</v>
      </c>
      <c r="BH113" s="129">
        <v>73.399999999999977</v>
      </c>
      <c r="BI113" s="129">
        <v>73.399999999999977</v>
      </c>
      <c r="BJ113" s="129">
        <v>73.399999999999977</v>
      </c>
      <c r="BK113" s="129">
        <v>73.399999999999977</v>
      </c>
      <c r="BL113" s="129">
        <v>73.399999999999977</v>
      </c>
      <c r="BM113" s="129">
        <v>73.399999999999977</v>
      </c>
      <c r="BN113" s="129">
        <v>73.399999999999977</v>
      </c>
      <c r="BO113" s="129">
        <v>73.399999999999977</v>
      </c>
      <c r="BP113" s="129">
        <v>10.8</v>
      </c>
      <c r="BR113" s="129">
        <v>73.399999999999977</v>
      </c>
      <c r="BS113" s="129">
        <v>73.399999999999977</v>
      </c>
      <c r="BT113" s="129">
        <v>73.399999999999977</v>
      </c>
      <c r="BU113" s="129">
        <v>73.399999999999977</v>
      </c>
      <c r="BV113" s="129">
        <v>73.399999999999977</v>
      </c>
      <c r="BW113" s="129">
        <v>73.399999999999977</v>
      </c>
      <c r="BX113" s="129">
        <v>73.399999999999977</v>
      </c>
      <c r="BY113" s="129">
        <v>73.399999999999977</v>
      </c>
      <c r="BZ113" s="129">
        <v>73.399999999999977</v>
      </c>
      <c r="CA113" s="129">
        <v>10.8</v>
      </c>
      <c r="CC113" s="129">
        <v>17.400000000000006</v>
      </c>
      <c r="CD113" s="129">
        <v>17.400000000000006</v>
      </c>
      <c r="CE113" s="129">
        <v>17.400000000000006</v>
      </c>
      <c r="CF113" s="129">
        <v>17.400000000000006</v>
      </c>
      <c r="CG113" s="129">
        <v>17.400000000000006</v>
      </c>
      <c r="CH113" s="129">
        <v>17.400000000000006</v>
      </c>
      <c r="CI113" s="129">
        <v>17.400000000000006</v>
      </c>
      <c r="CJ113" s="129">
        <v>17.400000000000006</v>
      </c>
      <c r="CK113" s="129">
        <v>17.400000000000006</v>
      </c>
      <c r="CL113" s="129">
        <v>10.8</v>
      </c>
      <c r="CN113" s="129">
        <v>21.400000000000006</v>
      </c>
      <c r="CO113" s="129">
        <v>21.400000000000006</v>
      </c>
      <c r="CP113" s="129">
        <v>21.400000000000006</v>
      </c>
      <c r="CQ113" s="129">
        <v>21.400000000000006</v>
      </c>
      <c r="CR113" s="129">
        <v>21.400000000000006</v>
      </c>
      <c r="CS113" s="129">
        <v>21.400000000000006</v>
      </c>
      <c r="CT113" s="129">
        <v>21.400000000000006</v>
      </c>
      <c r="CU113" s="129">
        <v>21.400000000000006</v>
      </c>
      <c r="CV113" s="129">
        <v>21.400000000000006</v>
      </c>
      <c r="CW113" s="129">
        <v>10.8</v>
      </c>
      <c r="CY113" s="129">
        <v>28.599999999999994</v>
      </c>
      <c r="CZ113" s="129">
        <v>28.599999999999994</v>
      </c>
      <c r="DA113" s="129">
        <v>28.599999999999994</v>
      </c>
      <c r="DB113" s="129">
        <v>28.599999999999994</v>
      </c>
      <c r="DC113" s="129">
        <v>28.599999999999994</v>
      </c>
      <c r="DD113" s="129">
        <v>28.599999999999994</v>
      </c>
      <c r="DE113" s="129">
        <v>28.599999999999994</v>
      </c>
      <c r="DF113" s="129">
        <v>28.599999999999994</v>
      </c>
      <c r="DG113" s="129">
        <v>28.599999999999994</v>
      </c>
      <c r="DH113" s="129">
        <v>10.8</v>
      </c>
      <c r="DJ113" s="129">
        <v>28.599999999999994</v>
      </c>
      <c r="DK113" s="129">
        <v>28.599999999999994</v>
      </c>
      <c r="DL113" s="129">
        <v>28.599999999999994</v>
      </c>
      <c r="DM113" s="129">
        <v>28.599999999999994</v>
      </c>
      <c r="DN113" s="129">
        <v>28.599999999999994</v>
      </c>
      <c r="DO113" s="129">
        <v>28.599999999999994</v>
      </c>
      <c r="DP113" s="129">
        <v>28.599999999999994</v>
      </c>
      <c r="DQ113" s="129">
        <v>28.599999999999994</v>
      </c>
      <c r="DR113" s="129">
        <v>28.599999999999994</v>
      </c>
      <c r="DS113" s="129">
        <v>10.8</v>
      </c>
      <c r="DW113" s="27">
        <v>18.400000000000006</v>
      </c>
      <c r="DX113" s="27">
        <v>18.400000000000006</v>
      </c>
      <c r="DY113" s="27">
        <v>18.400000000000006</v>
      </c>
      <c r="DZ113" s="27">
        <v>18.400000000000006</v>
      </c>
      <c r="EA113" s="27">
        <v>18.400000000000006</v>
      </c>
      <c r="EB113" s="27">
        <v>18.400000000000006</v>
      </c>
      <c r="EC113" s="27">
        <v>18.400000000000006</v>
      </c>
      <c r="ED113" s="27">
        <v>18.400000000000006</v>
      </c>
      <c r="EE113" s="27">
        <v>18.400000000000006</v>
      </c>
      <c r="EF113" s="129">
        <v>12.8</v>
      </c>
      <c r="EH113" s="27">
        <v>31.600000000000016</v>
      </c>
      <c r="EI113" s="27">
        <v>31.600000000000016</v>
      </c>
      <c r="EJ113" s="27">
        <v>31.600000000000016</v>
      </c>
      <c r="EK113" s="27">
        <v>31.600000000000016</v>
      </c>
      <c r="EL113" s="27">
        <v>31.600000000000016</v>
      </c>
      <c r="EM113" s="27">
        <v>31.600000000000016</v>
      </c>
      <c r="EN113" s="27">
        <v>31.600000000000016</v>
      </c>
      <c r="EO113" s="27">
        <v>31.600000000000016</v>
      </c>
      <c r="EP113" s="27">
        <v>31.600000000000016</v>
      </c>
      <c r="EQ113" s="129">
        <v>12.8</v>
      </c>
      <c r="ES113" s="27">
        <v>38.600000000000023</v>
      </c>
      <c r="ET113" s="27">
        <v>38.600000000000023</v>
      </c>
      <c r="EU113" s="27">
        <v>38.600000000000023</v>
      </c>
      <c r="EV113" s="27">
        <v>38.600000000000023</v>
      </c>
      <c r="EW113" s="27">
        <v>38.600000000000023</v>
      </c>
      <c r="EX113" s="27">
        <v>38.600000000000023</v>
      </c>
      <c r="EY113" s="27">
        <v>38.600000000000023</v>
      </c>
      <c r="EZ113" s="27">
        <v>38.600000000000023</v>
      </c>
      <c r="FA113" s="27">
        <v>38.600000000000023</v>
      </c>
      <c r="FB113" s="129">
        <v>12.8</v>
      </c>
      <c r="FD113" s="27">
        <v>39.600000000000023</v>
      </c>
      <c r="FE113" s="27">
        <v>39.600000000000023</v>
      </c>
      <c r="FF113" s="27">
        <v>39.600000000000023</v>
      </c>
      <c r="FG113" s="27">
        <v>39.600000000000023</v>
      </c>
      <c r="FH113" s="27">
        <v>39.600000000000023</v>
      </c>
      <c r="FI113" s="27">
        <v>39.600000000000023</v>
      </c>
      <c r="FJ113" s="27">
        <v>39.600000000000023</v>
      </c>
      <c r="FK113" s="27">
        <v>39.600000000000023</v>
      </c>
      <c r="FL113" s="27">
        <v>39.600000000000023</v>
      </c>
      <c r="FM113" s="129">
        <v>12.8</v>
      </c>
      <c r="FO113" s="27">
        <v>62</v>
      </c>
      <c r="FP113" s="27">
        <v>62</v>
      </c>
      <c r="FQ113" s="27">
        <v>62</v>
      </c>
      <c r="FR113" s="27">
        <v>62</v>
      </c>
      <c r="FS113" s="27">
        <v>62</v>
      </c>
      <c r="FT113" s="27">
        <v>62</v>
      </c>
      <c r="FU113" s="27">
        <v>62</v>
      </c>
      <c r="FV113" s="27">
        <v>62</v>
      </c>
      <c r="FW113" s="27">
        <v>62</v>
      </c>
      <c r="FX113" s="129">
        <v>12.8</v>
      </c>
      <c r="FZ113" s="27">
        <v>62</v>
      </c>
      <c r="GA113" s="27">
        <v>62</v>
      </c>
      <c r="GB113" s="27">
        <v>62</v>
      </c>
      <c r="GC113" s="27">
        <v>62</v>
      </c>
      <c r="GD113" s="27">
        <v>62</v>
      </c>
      <c r="GE113" s="27">
        <v>62</v>
      </c>
      <c r="GF113" s="27">
        <v>62</v>
      </c>
      <c r="GG113" s="27">
        <v>62</v>
      </c>
      <c r="GH113" s="27">
        <v>62</v>
      </c>
      <c r="GI113" s="129">
        <v>12.8</v>
      </c>
      <c r="GJ113" s="27"/>
      <c r="GK113" s="27">
        <v>14.400000000000006</v>
      </c>
      <c r="GL113" s="27">
        <v>14.400000000000006</v>
      </c>
      <c r="GM113" s="27">
        <v>14.400000000000006</v>
      </c>
      <c r="GN113" s="27">
        <v>14.400000000000006</v>
      </c>
      <c r="GO113" s="27">
        <v>14.400000000000006</v>
      </c>
      <c r="GP113" s="27">
        <v>14.400000000000006</v>
      </c>
      <c r="GQ113" s="27">
        <v>14.400000000000006</v>
      </c>
      <c r="GR113" s="27">
        <v>14.400000000000006</v>
      </c>
      <c r="GS113" s="27">
        <v>14.400000000000006</v>
      </c>
      <c r="GT113" s="129">
        <v>12.8</v>
      </c>
      <c r="GV113" s="27">
        <v>17.400000000000006</v>
      </c>
      <c r="GW113" s="27">
        <v>17.400000000000006</v>
      </c>
      <c r="GX113" s="27">
        <v>17.400000000000006</v>
      </c>
      <c r="GY113" s="27">
        <v>17.400000000000006</v>
      </c>
      <c r="GZ113" s="27">
        <v>17.400000000000006</v>
      </c>
      <c r="HA113" s="27">
        <v>17.400000000000006</v>
      </c>
      <c r="HB113" s="27">
        <v>17.400000000000006</v>
      </c>
      <c r="HC113" s="27">
        <v>17.400000000000006</v>
      </c>
      <c r="HD113" s="27">
        <v>17.400000000000006</v>
      </c>
      <c r="HE113" s="129">
        <v>12.8</v>
      </c>
      <c r="HG113" s="27">
        <v>24.400000000000006</v>
      </c>
      <c r="HH113" s="27">
        <v>24.400000000000006</v>
      </c>
      <c r="HI113" s="27">
        <v>24.400000000000006</v>
      </c>
      <c r="HJ113" s="27">
        <v>24.400000000000006</v>
      </c>
      <c r="HK113" s="27">
        <v>24.400000000000006</v>
      </c>
      <c r="HL113" s="27">
        <v>24.400000000000006</v>
      </c>
      <c r="HM113" s="27">
        <v>24.400000000000006</v>
      </c>
      <c r="HN113" s="27">
        <v>24.400000000000006</v>
      </c>
      <c r="HO113" s="27">
        <v>24.400000000000006</v>
      </c>
      <c r="HP113" s="129">
        <v>12.8</v>
      </c>
      <c r="HR113" s="27">
        <v>24.400000000000006</v>
      </c>
      <c r="HS113" s="27">
        <v>24.400000000000006</v>
      </c>
      <c r="HT113" s="27">
        <v>24.400000000000006</v>
      </c>
      <c r="HU113" s="27">
        <v>24.400000000000006</v>
      </c>
      <c r="HV113" s="27">
        <v>24.400000000000006</v>
      </c>
      <c r="HW113" s="27">
        <v>24.400000000000006</v>
      </c>
      <c r="HX113" s="27">
        <v>24.400000000000006</v>
      </c>
      <c r="HY113" s="27">
        <v>24.400000000000006</v>
      </c>
      <c r="HZ113" s="27">
        <v>24.400000000000006</v>
      </c>
      <c r="IA113" s="129">
        <v>12.8</v>
      </c>
    </row>
    <row r="114" spans="15:235" ht="3" customHeight="1">
      <c r="O114" s="129">
        <v>13.4</v>
      </c>
      <c r="P114" s="129">
        <v>13.4</v>
      </c>
      <c r="Q114" s="129">
        <v>13.4</v>
      </c>
      <c r="R114" s="129">
        <v>13.4</v>
      </c>
      <c r="S114" s="129">
        <v>13.4</v>
      </c>
      <c r="T114" s="129">
        <v>13.4</v>
      </c>
      <c r="U114" s="129">
        <v>13.4</v>
      </c>
      <c r="V114" s="129">
        <v>13.4</v>
      </c>
      <c r="W114" s="129">
        <v>13.4</v>
      </c>
      <c r="X114" s="129">
        <v>10.9</v>
      </c>
      <c r="Y114" s="27"/>
      <c r="Z114" s="129">
        <v>26.900000000000013</v>
      </c>
      <c r="AA114" s="129">
        <v>26.900000000000013</v>
      </c>
      <c r="AB114" s="129">
        <v>26.900000000000013</v>
      </c>
      <c r="AC114" s="129">
        <v>26.900000000000013</v>
      </c>
      <c r="AD114" s="129">
        <v>26.900000000000013</v>
      </c>
      <c r="AE114" s="129">
        <v>26.900000000000013</v>
      </c>
      <c r="AF114" s="129">
        <v>26.900000000000013</v>
      </c>
      <c r="AG114" s="129">
        <v>26.900000000000013</v>
      </c>
      <c r="AH114" s="129">
        <v>26.900000000000013</v>
      </c>
      <c r="AI114" s="129">
        <v>10.9</v>
      </c>
      <c r="AK114" s="129">
        <v>44.5</v>
      </c>
      <c r="AL114" s="129">
        <v>44.5</v>
      </c>
      <c r="AM114" s="129">
        <v>44.5</v>
      </c>
      <c r="AN114" s="129">
        <v>44.5</v>
      </c>
      <c r="AO114" s="129">
        <v>44.5</v>
      </c>
      <c r="AP114" s="129">
        <v>44.5</v>
      </c>
      <c r="AQ114" s="129">
        <v>44.5</v>
      </c>
      <c r="AR114" s="129">
        <v>44.5</v>
      </c>
      <c r="AS114" s="129">
        <v>44.5</v>
      </c>
      <c r="AT114" s="129">
        <v>10.9</v>
      </c>
      <c r="AV114" s="129">
        <v>46.5</v>
      </c>
      <c r="AW114" s="129">
        <v>46.5</v>
      </c>
      <c r="AX114" s="129">
        <v>46.5</v>
      </c>
      <c r="AY114" s="129">
        <v>46.5</v>
      </c>
      <c r="AZ114" s="129">
        <v>46.5</v>
      </c>
      <c r="BA114" s="129">
        <v>46.5</v>
      </c>
      <c r="BB114" s="129">
        <v>46.5</v>
      </c>
      <c r="BC114" s="129">
        <v>46.5</v>
      </c>
      <c r="BD114" s="129">
        <v>46.5</v>
      </c>
      <c r="BE114" s="129">
        <v>10.9</v>
      </c>
      <c r="BG114" s="129">
        <v>72.699999999999974</v>
      </c>
      <c r="BH114" s="129">
        <v>72.699999999999974</v>
      </c>
      <c r="BI114" s="129">
        <v>72.699999999999974</v>
      </c>
      <c r="BJ114" s="129">
        <v>72.699999999999974</v>
      </c>
      <c r="BK114" s="129">
        <v>72.699999999999974</v>
      </c>
      <c r="BL114" s="129">
        <v>72.699999999999974</v>
      </c>
      <c r="BM114" s="129">
        <v>72.699999999999974</v>
      </c>
      <c r="BN114" s="129">
        <v>72.699999999999974</v>
      </c>
      <c r="BO114" s="129">
        <v>72.699999999999974</v>
      </c>
      <c r="BP114" s="129">
        <v>10.9</v>
      </c>
      <c r="BR114" s="129">
        <v>72.699999999999974</v>
      </c>
      <c r="BS114" s="129">
        <v>72.699999999999974</v>
      </c>
      <c r="BT114" s="129">
        <v>72.699999999999974</v>
      </c>
      <c r="BU114" s="129">
        <v>72.699999999999974</v>
      </c>
      <c r="BV114" s="129">
        <v>72.699999999999974</v>
      </c>
      <c r="BW114" s="129">
        <v>72.699999999999974</v>
      </c>
      <c r="BX114" s="129">
        <v>72.699999999999974</v>
      </c>
      <c r="BY114" s="129">
        <v>72.699999999999974</v>
      </c>
      <c r="BZ114" s="129">
        <v>72.699999999999974</v>
      </c>
      <c r="CA114" s="129">
        <v>10.9</v>
      </c>
      <c r="CC114" s="129">
        <v>17.200000000000006</v>
      </c>
      <c r="CD114" s="129">
        <v>17.200000000000006</v>
      </c>
      <c r="CE114" s="129">
        <v>17.200000000000006</v>
      </c>
      <c r="CF114" s="129">
        <v>17.200000000000006</v>
      </c>
      <c r="CG114" s="129">
        <v>17.200000000000006</v>
      </c>
      <c r="CH114" s="129">
        <v>17.200000000000006</v>
      </c>
      <c r="CI114" s="129">
        <v>17.200000000000006</v>
      </c>
      <c r="CJ114" s="129">
        <v>17.200000000000006</v>
      </c>
      <c r="CK114" s="129">
        <v>17.200000000000006</v>
      </c>
      <c r="CL114" s="129">
        <v>10.9</v>
      </c>
      <c r="CN114" s="129">
        <v>21.200000000000006</v>
      </c>
      <c r="CO114" s="129">
        <v>21.200000000000006</v>
      </c>
      <c r="CP114" s="129">
        <v>21.200000000000006</v>
      </c>
      <c r="CQ114" s="129">
        <v>21.200000000000006</v>
      </c>
      <c r="CR114" s="129">
        <v>21.200000000000006</v>
      </c>
      <c r="CS114" s="129">
        <v>21.200000000000006</v>
      </c>
      <c r="CT114" s="129">
        <v>21.200000000000006</v>
      </c>
      <c r="CU114" s="129">
        <v>21.200000000000006</v>
      </c>
      <c r="CV114" s="129">
        <v>21.200000000000006</v>
      </c>
      <c r="CW114" s="129">
        <v>10.9</v>
      </c>
      <c r="CY114" s="129">
        <v>28.299999999999994</v>
      </c>
      <c r="CZ114" s="129">
        <v>28.299999999999994</v>
      </c>
      <c r="DA114" s="129">
        <v>28.299999999999994</v>
      </c>
      <c r="DB114" s="129">
        <v>28.299999999999994</v>
      </c>
      <c r="DC114" s="129">
        <v>28.299999999999994</v>
      </c>
      <c r="DD114" s="129">
        <v>28.299999999999994</v>
      </c>
      <c r="DE114" s="129">
        <v>28.299999999999994</v>
      </c>
      <c r="DF114" s="129">
        <v>28.299999999999994</v>
      </c>
      <c r="DG114" s="129">
        <v>28.299999999999994</v>
      </c>
      <c r="DH114" s="129">
        <v>10.9</v>
      </c>
      <c r="DJ114" s="129">
        <v>28.299999999999994</v>
      </c>
      <c r="DK114" s="129">
        <v>28.299999999999994</v>
      </c>
      <c r="DL114" s="129">
        <v>28.299999999999994</v>
      </c>
      <c r="DM114" s="129">
        <v>28.299999999999994</v>
      </c>
      <c r="DN114" s="129">
        <v>28.299999999999994</v>
      </c>
      <c r="DO114" s="129">
        <v>28.299999999999994</v>
      </c>
      <c r="DP114" s="129">
        <v>28.299999999999994</v>
      </c>
      <c r="DQ114" s="129">
        <v>28.299999999999994</v>
      </c>
      <c r="DR114" s="129">
        <v>28.299999999999994</v>
      </c>
      <c r="DS114" s="129">
        <v>10.9</v>
      </c>
      <c r="DW114" s="27">
        <v>18.200000000000006</v>
      </c>
      <c r="DX114" s="27">
        <v>18.200000000000006</v>
      </c>
      <c r="DY114" s="27">
        <v>18.200000000000006</v>
      </c>
      <c r="DZ114" s="27">
        <v>18.200000000000006</v>
      </c>
      <c r="EA114" s="27">
        <v>18.200000000000006</v>
      </c>
      <c r="EB114" s="27">
        <v>18.200000000000006</v>
      </c>
      <c r="EC114" s="27">
        <v>18.200000000000006</v>
      </c>
      <c r="ED114" s="27">
        <v>18.200000000000006</v>
      </c>
      <c r="EE114" s="27">
        <v>18.200000000000006</v>
      </c>
      <c r="EF114" s="129">
        <v>12.9</v>
      </c>
      <c r="EH114" s="27">
        <v>31.300000000000015</v>
      </c>
      <c r="EI114" s="27">
        <v>31.300000000000015</v>
      </c>
      <c r="EJ114" s="27">
        <v>31.300000000000015</v>
      </c>
      <c r="EK114" s="27">
        <v>31.300000000000015</v>
      </c>
      <c r="EL114" s="27">
        <v>31.300000000000015</v>
      </c>
      <c r="EM114" s="27">
        <v>31.300000000000015</v>
      </c>
      <c r="EN114" s="27">
        <v>31.300000000000015</v>
      </c>
      <c r="EO114" s="27">
        <v>31.300000000000015</v>
      </c>
      <c r="EP114" s="27">
        <v>31.300000000000015</v>
      </c>
      <c r="EQ114" s="129">
        <v>12.9</v>
      </c>
      <c r="ES114" s="27">
        <v>38.300000000000026</v>
      </c>
      <c r="ET114" s="27">
        <v>38.300000000000026</v>
      </c>
      <c r="EU114" s="27">
        <v>38.300000000000026</v>
      </c>
      <c r="EV114" s="27">
        <v>38.300000000000026</v>
      </c>
      <c r="EW114" s="27">
        <v>38.300000000000026</v>
      </c>
      <c r="EX114" s="27">
        <v>38.300000000000026</v>
      </c>
      <c r="EY114" s="27">
        <v>38.300000000000026</v>
      </c>
      <c r="EZ114" s="27">
        <v>38.300000000000026</v>
      </c>
      <c r="FA114" s="27">
        <v>38.300000000000026</v>
      </c>
      <c r="FB114" s="129">
        <v>12.9</v>
      </c>
      <c r="FD114" s="27">
        <v>39.300000000000026</v>
      </c>
      <c r="FE114" s="27">
        <v>39.300000000000026</v>
      </c>
      <c r="FF114" s="27">
        <v>39.300000000000026</v>
      </c>
      <c r="FG114" s="27">
        <v>39.300000000000026</v>
      </c>
      <c r="FH114" s="27">
        <v>39.300000000000026</v>
      </c>
      <c r="FI114" s="27">
        <v>39.300000000000026</v>
      </c>
      <c r="FJ114" s="27">
        <v>39.300000000000026</v>
      </c>
      <c r="FK114" s="27">
        <v>39.300000000000026</v>
      </c>
      <c r="FL114" s="27">
        <v>39.300000000000026</v>
      </c>
      <c r="FM114" s="129">
        <v>12.9</v>
      </c>
      <c r="FO114" s="27">
        <v>61.5</v>
      </c>
      <c r="FP114" s="27">
        <v>61.5</v>
      </c>
      <c r="FQ114" s="27">
        <v>61.5</v>
      </c>
      <c r="FR114" s="27">
        <v>61.5</v>
      </c>
      <c r="FS114" s="27">
        <v>61.5</v>
      </c>
      <c r="FT114" s="27">
        <v>61.5</v>
      </c>
      <c r="FU114" s="27">
        <v>61.5</v>
      </c>
      <c r="FV114" s="27">
        <v>61.5</v>
      </c>
      <c r="FW114" s="27">
        <v>61.5</v>
      </c>
      <c r="FX114" s="129">
        <v>12.9</v>
      </c>
      <c r="FZ114" s="27">
        <v>61.5</v>
      </c>
      <c r="GA114" s="27">
        <v>61.5</v>
      </c>
      <c r="GB114" s="27">
        <v>61.5</v>
      </c>
      <c r="GC114" s="27">
        <v>61.5</v>
      </c>
      <c r="GD114" s="27">
        <v>61.5</v>
      </c>
      <c r="GE114" s="27">
        <v>61.5</v>
      </c>
      <c r="GF114" s="27">
        <v>61.5</v>
      </c>
      <c r="GG114" s="27">
        <v>61.5</v>
      </c>
      <c r="GH114" s="27">
        <v>61.5</v>
      </c>
      <c r="GI114" s="129">
        <v>12.9</v>
      </c>
      <c r="GJ114" s="27"/>
      <c r="GK114" s="27">
        <v>14.200000000000006</v>
      </c>
      <c r="GL114" s="27">
        <v>14.200000000000006</v>
      </c>
      <c r="GM114" s="27">
        <v>14.200000000000006</v>
      </c>
      <c r="GN114" s="27">
        <v>14.200000000000006</v>
      </c>
      <c r="GO114" s="27">
        <v>14.200000000000006</v>
      </c>
      <c r="GP114" s="27">
        <v>14.200000000000006</v>
      </c>
      <c r="GQ114" s="27">
        <v>14.200000000000006</v>
      </c>
      <c r="GR114" s="27">
        <v>14.200000000000006</v>
      </c>
      <c r="GS114" s="27">
        <v>14.200000000000006</v>
      </c>
      <c r="GT114" s="129">
        <v>12.9</v>
      </c>
      <c r="GV114" s="27">
        <v>17.200000000000006</v>
      </c>
      <c r="GW114" s="27">
        <v>17.200000000000006</v>
      </c>
      <c r="GX114" s="27">
        <v>17.200000000000006</v>
      </c>
      <c r="GY114" s="27">
        <v>17.200000000000006</v>
      </c>
      <c r="GZ114" s="27">
        <v>17.200000000000006</v>
      </c>
      <c r="HA114" s="27">
        <v>17.200000000000006</v>
      </c>
      <c r="HB114" s="27">
        <v>17.200000000000006</v>
      </c>
      <c r="HC114" s="27">
        <v>17.200000000000006</v>
      </c>
      <c r="HD114" s="27">
        <v>17.200000000000006</v>
      </c>
      <c r="HE114" s="129">
        <v>12.9</v>
      </c>
      <c r="HG114" s="27">
        <v>24.200000000000006</v>
      </c>
      <c r="HH114" s="27">
        <v>24.200000000000006</v>
      </c>
      <c r="HI114" s="27">
        <v>24.200000000000006</v>
      </c>
      <c r="HJ114" s="27">
        <v>24.200000000000006</v>
      </c>
      <c r="HK114" s="27">
        <v>24.200000000000006</v>
      </c>
      <c r="HL114" s="27">
        <v>24.200000000000006</v>
      </c>
      <c r="HM114" s="27">
        <v>24.200000000000006</v>
      </c>
      <c r="HN114" s="27">
        <v>24.200000000000006</v>
      </c>
      <c r="HO114" s="27">
        <v>24.200000000000006</v>
      </c>
      <c r="HP114" s="129">
        <v>12.9</v>
      </c>
      <c r="HR114" s="27">
        <v>24.200000000000006</v>
      </c>
      <c r="HS114" s="27">
        <v>24.200000000000006</v>
      </c>
      <c r="HT114" s="27">
        <v>24.200000000000006</v>
      </c>
      <c r="HU114" s="27">
        <v>24.200000000000006</v>
      </c>
      <c r="HV114" s="27">
        <v>24.200000000000006</v>
      </c>
      <c r="HW114" s="27">
        <v>24.200000000000006</v>
      </c>
      <c r="HX114" s="27">
        <v>24.200000000000006</v>
      </c>
      <c r="HY114" s="27">
        <v>24.200000000000006</v>
      </c>
      <c r="HZ114" s="27">
        <v>24.200000000000006</v>
      </c>
      <c r="IA114" s="129">
        <v>12.9</v>
      </c>
    </row>
    <row r="115" spans="15:235" ht="3" customHeight="1">
      <c r="O115" s="129">
        <v>13</v>
      </c>
      <c r="P115" s="129">
        <v>13</v>
      </c>
      <c r="Q115" s="129">
        <v>13</v>
      </c>
      <c r="R115" s="129">
        <v>13</v>
      </c>
      <c r="S115" s="129">
        <v>13</v>
      </c>
      <c r="T115" s="129">
        <v>13</v>
      </c>
      <c r="U115" s="129">
        <v>13</v>
      </c>
      <c r="V115" s="129">
        <v>13</v>
      </c>
      <c r="W115" s="129">
        <v>13</v>
      </c>
      <c r="X115" s="129">
        <v>11</v>
      </c>
      <c r="Y115" s="27"/>
      <c r="Z115" s="129">
        <v>26</v>
      </c>
      <c r="AA115" s="129">
        <v>26</v>
      </c>
      <c r="AB115" s="129">
        <v>26</v>
      </c>
      <c r="AC115" s="129">
        <v>26</v>
      </c>
      <c r="AD115" s="129">
        <v>26</v>
      </c>
      <c r="AE115" s="129">
        <v>26</v>
      </c>
      <c r="AF115" s="129">
        <v>26</v>
      </c>
      <c r="AG115" s="129">
        <v>26</v>
      </c>
      <c r="AH115" s="129">
        <v>26</v>
      </c>
      <c r="AI115" s="129">
        <v>11</v>
      </c>
      <c r="AK115" s="129">
        <v>44</v>
      </c>
      <c r="AL115" s="129">
        <v>44</v>
      </c>
      <c r="AM115" s="129">
        <v>44</v>
      </c>
      <c r="AN115" s="129">
        <v>44</v>
      </c>
      <c r="AO115" s="129">
        <v>44</v>
      </c>
      <c r="AP115" s="129">
        <v>44</v>
      </c>
      <c r="AQ115" s="129">
        <v>44</v>
      </c>
      <c r="AR115" s="129">
        <v>44</v>
      </c>
      <c r="AS115" s="129">
        <v>44</v>
      </c>
      <c r="AT115" s="129">
        <v>11</v>
      </c>
      <c r="AV115" s="129">
        <v>46</v>
      </c>
      <c r="AW115" s="129">
        <v>46</v>
      </c>
      <c r="AX115" s="129">
        <v>46</v>
      </c>
      <c r="AY115" s="129">
        <v>46</v>
      </c>
      <c r="AZ115" s="129">
        <v>46</v>
      </c>
      <c r="BA115" s="129">
        <v>46</v>
      </c>
      <c r="BB115" s="129">
        <v>46</v>
      </c>
      <c r="BC115" s="129">
        <v>46</v>
      </c>
      <c r="BD115" s="129">
        <v>46</v>
      </c>
      <c r="BE115" s="129">
        <v>11</v>
      </c>
      <c r="BG115" s="129">
        <v>72</v>
      </c>
      <c r="BH115" s="129">
        <v>72</v>
      </c>
      <c r="BI115" s="129">
        <v>72</v>
      </c>
      <c r="BJ115" s="129">
        <v>72</v>
      </c>
      <c r="BK115" s="129">
        <v>72</v>
      </c>
      <c r="BL115" s="129">
        <v>72</v>
      </c>
      <c r="BM115" s="129">
        <v>72</v>
      </c>
      <c r="BN115" s="129">
        <v>72</v>
      </c>
      <c r="BO115" s="129">
        <v>72</v>
      </c>
      <c r="BP115" s="129">
        <v>11</v>
      </c>
      <c r="BR115" s="129">
        <v>72</v>
      </c>
      <c r="BS115" s="129">
        <v>72</v>
      </c>
      <c r="BT115" s="129">
        <v>72</v>
      </c>
      <c r="BU115" s="129">
        <v>72</v>
      </c>
      <c r="BV115" s="129">
        <v>72</v>
      </c>
      <c r="BW115" s="129">
        <v>72</v>
      </c>
      <c r="BX115" s="129">
        <v>72</v>
      </c>
      <c r="BY115" s="129">
        <v>72</v>
      </c>
      <c r="BZ115" s="129">
        <v>72</v>
      </c>
      <c r="CA115" s="129">
        <v>11</v>
      </c>
      <c r="CC115" s="129">
        <v>17</v>
      </c>
      <c r="CD115" s="129">
        <v>17</v>
      </c>
      <c r="CE115" s="129">
        <v>17</v>
      </c>
      <c r="CF115" s="129">
        <v>17</v>
      </c>
      <c r="CG115" s="129">
        <v>17</v>
      </c>
      <c r="CH115" s="129">
        <v>17</v>
      </c>
      <c r="CI115" s="129">
        <v>17</v>
      </c>
      <c r="CJ115" s="129">
        <v>17</v>
      </c>
      <c r="CK115" s="129">
        <v>17</v>
      </c>
      <c r="CL115" s="129">
        <v>11</v>
      </c>
      <c r="CN115" s="129">
        <v>21</v>
      </c>
      <c r="CO115" s="129">
        <v>21</v>
      </c>
      <c r="CP115" s="129">
        <v>21</v>
      </c>
      <c r="CQ115" s="129">
        <v>21</v>
      </c>
      <c r="CR115" s="129">
        <v>21</v>
      </c>
      <c r="CS115" s="129">
        <v>21</v>
      </c>
      <c r="CT115" s="129">
        <v>21</v>
      </c>
      <c r="CU115" s="129">
        <v>21</v>
      </c>
      <c r="CV115" s="129">
        <v>21</v>
      </c>
      <c r="CW115" s="129">
        <v>11</v>
      </c>
      <c r="CY115" s="129">
        <v>28</v>
      </c>
      <c r="CZ115" s="129">
        <v>28</v>
      </c>
      <c r="DA115" s="129">
        <v>28</v>
      </c>
      <c r="DB115" s="129">
        <v>28</v>
      </c>
      <c r="DC115" s="129">
        <v>28</v>
      </c>
      <c r="DD115" s="129">
        <v>28</v>
      </c>
      <c r="DE115" s="129">
        <v>28</v>
      </c>
      <c r="DF115" s="129">
        <v>28</v>
      </c>
      <c r="DG115" s="129">
        <v>28</v>
      </c>
      <c r="DH115" s="129">
        <v>11</v>
      </c>
      <c r="DJ115" s="129">
        <v>28</v>
      </c>
      <c r="DK115" s="129">
        <v>28</v>
      </c>
      <c r="DL115" s="129">
        <v>28</v>
      </c>
      <c r="DM115" s="129">
        <v>28</v>
      </c>
      <c r="DN115" s="129">
        <v>28</v>
      </c>
      <c r="DO115" s="129">
        <v>28</v>
      </c>
      <c r="DP115" s="129">
        <v>28</v>
      </c>
      <c r="DQ115" s="129">
        <v>28</v>
      </c>
      <c r="DR115" s="129">
        <v>28</v>
      </c>
      <c r="DS115" s="129">
        <v>11</v>
      </c>
      <c r="DW115" s="27">
        <v>18</v>
      </c>
      <c r="DX115" s="27">
        <v>18</v>
      </c>
      <c r="DY115" s="27">
        <v>18</v>
      </c>
      <c r="DZ115" s="27">
        <v>18</v>
      </c>
      <c r="EA115" s="27">
        <v>18</v>
      </c>
      <c r="EB115" s="27">
        <v>18</v>
      </c>
      <c r="EC115" s="27">
        <v>18</v>
      </c>
      <c r="ED115" s="27">
        <v>18</v>
      </c>
      <c r="EE115" s="27">
        <v>18</v>
      </c>
      <c r="EF115" s="129">
        <v>13</v>
      </c>
      <c r="EH115" s="27">
        <v>31</v>
      </c>
      <c r="EI115" s="27">
        <v>31</v>
      </c>
      <c r="EJ115" s="27">
        <v>31</v>
      </c>
      <c r="EK115" s="27">
        <v>31</v>
      </c>
      <c r="EL115" s="27">
        <v>31</v>
      </c>
      <c r="EM115" s="27">
        <v>31</v>
      </c>
      <c r="EN115" s="27">
        <v>31</v>
      </c>
      <c r="EO115" s="27">
        <v>31</v>
      </c>
      <c r="EP115" s="27">
        <v>31</v>
      </c>
      <c r="EQ115" s="129">
        <v>13</v>
      </c>
      <c r="ES115" s="27">
        <v>38</v>
      </c>
      <c r="ET115" s="27">
        <v>38</v>
      </c>
      <c r="EU115" s="27">
        <v>38</v>
      </c>
      <c r="EV115" s="27">
        <v>38</v>
      </c>
      <c r="EW115" s="27">
        <v>38</v>
      </c>
      <c r="EX115" s="27">
        <v>38</v>
      </c>
      <c r="EY115" s="27">
        <v>38</v>
      </c>
      <c r="EZ115" s="27">
        <v>38</v>
      </c>
      <c r="FA115" s="27">
        <v>38</v>
      </c>
      <c r="FB115" s="129">
        <v>13</v>
      </c>
      <c r="FD115" s="27">
        <v>39</v>
      </c>
      <c r="FE115" s="27">
        <v>39</v>
      </c>
      <c r="FF115" s="27">
        <v>39</v>
      </c>
      <c r="FG115" s="27">
        <v>39</v>
      </c>
      <c r="FH115" s="27">
        <v>39</v>
      </c>
      <c r="FI115" s="27">
        <v>39</v>
      </c>
      <c r="FJ115" s="27">
        <v>39</v>
      </c>
      <c r="FK115" s="27">
        <v>39</v>
      </c>
      <c r="FL115" s="27">
        <v>39</v>
      </c>
      <c r="FM115" s="129">
        <v>13</v>
      </c>
      <c r="FO115" s="27">
        <v>61</v>
      </c>
      <c r="FP115" s="27">
        <v>61</v>
      </c>
      <c r="FQ115" s="27">
        <v>61</v>
      </c>
      <c r="FR115" s="27">
        <v>61</v>
      </c>
      <c r="FS115" s="27">
        <v>61</v>
      </c>
      <c r="FT115" s="27">
        <v>61</v>
      </c>
      <c r="FU115" s="27">
        <v>61</v>
      </c>
      <c r="FV115" s="27">
        <v>61</v>
      </c>
      <c r="FW115" s="27">
        <v>61</v>
      </c>
      <c r="FX115" s="129">
        <v>13</v>
      </c>
      <c r="FZ115" s="27">
        <v>61</v>
      </c>
      <c r="GA115" s="27">
        <v>61</v>
      </c>
      <c r="GB115" s="27">
        <v>61</v>
      </c>
      <c r="GC115" s="27">
        <v>61</v>
      </c>
      <c r="GD115" s="27">
        <v>61</v>
      </c>
      <c r="GE115" s="27">
        <v>61</v>
      </c>
      <c r="GF115" s="27">
        <v>61</v>
      </c>
      <c r="GG115" s="27">
        <v>61</v>
      </c>
      <c r="GH115" s="27">
        <v>61</v>
      </c>
      <c r="GI115" s="129">
        <v>13</v>
      </c>
      <c r="GJ115" s="27"/>
      <c r="GK115" s="27">
        <v>14</v>
      </c>
      <c r="GL115" s="27">
        <v>14</v>
      </c>
      <c r="GM115" s="27">
        <v>14</v>
      </c>
      <c r="GN115" s="27">
        <v>14</v>
      </c>
      <c r="GO115" s="27">
        <v>14</v>
      </c>
      <c r="GP115" s="27">
        <v>14</v>
      </c>
      <c r="GQ115" s="27">
        <v>14</v>
      </c>
      <c r="GR115" s="27">
        <v>14</v>
      </c>
      <c r="GS115" s="27">
        <v>14</v>
      </c>
      <c r="GT115" s="129">
        <v>13</v>
      </c>
      <c r="GV115" s="27">
        <v>17</v>
      </c>
      <c r="GW115" s="27">
        <v>17</v>
      </c>
      <c r="GX115" s="27">
        <v>17</v>
      </c>
      <c r="GY115" s="27">
        <v>17</v>
      </c>
      <c r="GZ115" s="27">
        <v>17</v>
      </c>
      <c r="HA115" s="27">
        <v>17</v>
      </c>
      <c r="HB115" s="27">
        <v>17</v>
      </c>
      <c r="HC115" s="27">
        <v>17</v>
      </c>
      <c r="HD115" s="27">
        <v>17</v>
      </c>
      <c r="HE115" s="129">
        <v>13</v>
      </c>
      <c r="HG115" s="27">
        <v>24</v>
      </c>
      <c r="HH115" s="27">
        <v>24</v>
      </c>
      <c r="HI115" s="27">
        <v>24</v>
      </c>
      <c r="HJ115" s="27">
        <v>24</v>
      </c>
      <c r="HK115" s="27">
        <v>24</v>
      </c>
      <c r="HL115" s="27">
        <v>24</v>
      </c>
      <c r="HM115" s="27">
        <v>24</v>
      </c>
      <c r="HN115" s="27">
        <v>24</v>
      </c>
      <c r="HO115" s="27">
        <v>24</v>
      </c>
      <c r="HP115" s="129">
        <v>13</v>
      </c>
      <c r="HR115" s="27">
        <v>24</v>
      </c>
      <c r="HS115" s="27">
        <v>24</v>
      </c>
      <c r="HT115" s="27">
        <v>24</v>
      </c>
      <c r="HU115" s="27">
        <v>24</v>
      </c>
      <c r="HV115" s="27">
        <v>24</v>
      </c>
      <c r="HW115" s="27">
        <v>24</v>
      </c>
      <c r="HX115" s="27">
        <v>24</v>
      </c>
      <c r="HY115" s="27">
        <v>24</v>
      </c>
      <c r="HZ115" s="27">
        <v>24</v>
      </c>
      <c r="IA115" s="129">
        <v>13</v>
      </c>
    </row>
    <row r="116" spans="15:235">
      <c r="O116" s="129">
        <v>12.7</v>
      </c>
      <c r="P116" s="129">
        <v>12.7</v>
      </c>
      <c r="Q116" s="129">
        <v>12.7</v>
      </c>
      <c r="R116" s="129">
        <v>12.7</v>
      </c>
      <c r="S116" s="129">
        <v>12.7</v>
      </c>
      <c r="T116" s="129">
        <v>12.7</v>
      </c>
      <c r="U116" s="129">
        <v>12.7</v>
      </c>
      <c r="V116" s="129">
        <v>12.7</v>
      </c>
      <c r="W116" s="129">
        <v>12.7</v>
      </c>
      <c r="X116" s="129">
        <v>11.1</v>
      </c>
      <c r="Y116" s="27"/>
      <c r="Z116" s="129">
        <v>25.4</v>
      </c>
      <c r="AA116" s="129">
        <v>25.4</v>
      </c>
      <c r="AB116" s="129">
        <v>25.4</v>
      </c>
      <c r="AC116" s="129">
        <v>25.4</v>
      </c>
      <c r="AD116" s="129">
        <v>25.4</v>
      </c>
      <c r="AE116" s="129">
        <v>25.4</v>
      </c>
      <c r="AF116" s="129">
        <v>25.4</v>
      </c>
      <c r="AG116" s="129">
        <v>25.4</v>
      </c>
      <c r="AH116" s="129">
        <v>25.4</v>
      </c>
      <c r="AI116" s="129">
        <v>11.1</v>
      </c>
      <c r="AK116" s="129">
        <v>43.7</v>
      </c>
      <c r="AL116" s="129">
        <v>43.7</v>
      </c>
      <c r="AM116" s="129">
        <v>43.7</v>
      </c>
      <c r="AN116" s="129">
        <v>43.7</v>
      </c>
      <c r="AO116" s="129">
        <v>43.7</v>
      </c>
      <c r="AP116" s="129">
        <v>43.7</v>
      </c>
      <c r="AQ116" s="129">
        <v>43.7</v>
      </c>
      <c r="AR116" s="129">
        <v>43.7</v>
      </c>
      <c r="AS116" s="129">
        <v>43.7</v>
      </c>
      <c r="AT116" s="129">
        <v>11.1</v>
      </c>
      <c r="AV116" s="129">
        <v>45.6</v>
      </c>
      <c r="AW116" s="129">
        <v>45.6</v>
      </c>
      <c r="AX116" s="129">
        <v>45.6</v>
      </c>
      <c r="AY116" s="129">
        <v>45.6</v>
      </c>
      <c r="AZ116" s="129">
        <v>45.6</v>
      </c>
      <c r="BA116" s="129">
        <v>45.6</v>
      </c>
      <c r="BB116" s="129">
        <v>45.6</v>
      </c>
      <c r="BC116" s="129">
        <v>45.6</v>
      </c>
      <c r="BD116" s="129">
        <v>45.6</v>
      </c>
      <c r="BE116" s="129">
        <v>11.1</v>
      </c>
      <c r="BG116" s="129">
        <v>71.400000000000006</v>
      </c>
      <c r="BH116" s="129">
        <v>71.400000000000006</v>
      </c>
      <c r="BI116" s="129">
        <v>71.400000000000006</v>
      </c>
      <c r="BJ116" s="129">
        <v>71.400000000000006</v>
      </c>
      <c r="BK116" s="129">
        <v>71.400000000000006</v>
      </c>
      <c r="BL116" s="129">
        <v>71.400000000000006</v>
      </c>
      <c r="BM116" s="129">
        <v>71.400000000000006</v>
      </c>
      <c r="BN116" s="129">
        <v>71.400000000000006</v>
      </c>
      <c r="BO116" s="129">
        <v>71.400000000000006</v>
      </c>
      <c r="BP116" s="129">
        <v>11.1</v>
      </c>
      <c r="BR116" s="129">
        <v>71.400000000000006</v>
      </c>
      <c r="BS116" s="129">
        <v>71.400000000000006</v>
      </c>
      <c r="BT116" s="129">
        <v>71.400000000000006</v>
      </c>
      <c r="BU116" s="129">
        <v>71.400000000000006</v>
      </c>
      <c r="BV116" s="129">
        <v>71.400000000000006</v>
      </c>
      <c r="BW116" s="129">
        <v>71.400000000000006</v>
      </c>
      <c r="BX116" s="129">
        <v>71.400000000000006</v>
      </c>
      <c r="BY116" s="129">
        <v>71.400000000000006</v>
      </c>
      <c r="BZ116" s="129">
        <v>71.400000000000006</v>
      </c>
      <c r="CA116" s="129">
        <v>11.1</v>
      </c>
      <c r="CC116" s="129">
        <v>16.899999999999999</v>
      </c>
      <c r="CD116" s="129">
        <v>16.899999999999999</v>
      </c>
      <c r="CE116" s="129">
        <v>16.899999999999999</v>
      </c>
      <c r="CF116" s="129">
        <v>16.899999999999999</v>
      </c>
      <c r="CG116" s="129">
        <v>16.899999999999999</v>
      </c>
      <c r="CH116" s="129">
        <v>16.899999999999999</v>
      </c>
      <c r="CI116" s="129">
        <v>16.899999999999999</v>
      </c>
      <c r="CJ116" s="129">
        <v>16.899999999999999</v>
      </c>
      <c r="CK116" s="129">
        <v>16.899999999999999</v>
      </c>
      <c r="CL116" s="129">
        <v>11.1</v>
      </c>
      <c r="CN116" s="129">
        <v>20.8</v>
      </c>
      <c r="CO116" s="129">
        <v>20.8</v>
      </c>
      <c r="CP116" s="129">
        <v>20.8</v>
      </c>
      <c r="CQ116" s="129">
        <v>20.8</v>
      </c>
      <c r="CR116" s="129">
        <v>20.8</v>
      </c>
      <c r="CS116" s="129">
        <v>20.8</v>
      </c>
      <c r="CT116" s="129">
        <v>20.8</v>
      </c>
      <c r="CU116" s="129">
        <v>20.8</v>
      </c>
      <c r="CV116" s="129">
        <v>20.8</v>
      </c>
      <c r="CW116" s="129">
        <v>11.1</v>
      </c>
      <c r="CY116" s="129">
        <v>27.8</v>
      </c>
      <c r="CZ116" s="129">
        <v>27.8</v>
      </c>
      <c r="DA116" s="129">
        <v>27.8</v>
      </c>
      <c r="DB116" s="129">
        <v>27.8</v>
      </c>
      <c r="DC116" s="129">
        <v>27.8</v>
      </c>
      <c r="DD116" s="129">
        <v>27.8</v>
      </c>
      <c r="DE116" s="129">
        <v>27.8</v>
      </c>
      <c r="DF116" s="129">
        <v>27.8</v>
      </c>
      <c r="DG116" s="129">
        <v>27.8</v>
      </c>
      <c r="DH116" s="129">
        <v>11.1</v>
      </c>
      <c r="DJ116" s="129">
        <v>27.8</v>
      </c>
      <c r="DK116" s="129">
        <v>27.8</v>
      </c>
      <c r="DL116" s="129">
        <v>27.8</v>
      </c>
      <c r="DM116" s="129">
        <v>27.8</v>
      </c>
      <c r="DN116" s="129">
        <v>27.8</v>
      </c>
      <c r="DO116" s="129">
        <v>27.8</v>
      </c>
      <c r="DP116" s="129">
        <v>27.8</v>
      </c>
      <c r="DQ116" s="129">
        <v>27.8</v>
      </c>
      <c r="DR116" s="129">
        <v>27.8</v>
      </c>
      <c r="DS116" s="129">
        <v>11.1</v>
      </c>
      <c r="DW116" s="27">
        <v>17.7</v>
      </c>
      <c r="DX116" s="27">
        <v>17.7</v>
      </c>
      <c r="DY116" s="27">
        <v>17.7</v>
      </c>
      <c r="DZ116" s="27">
        <v>17.7</v>
      </c>
      <c r="EA116" s="27">
        <v>17.7</v>
      </c>
      <c r="EB116" s="27">
        <v>17.7</v>
      </c>
      <c r="EC116" s="27">
        <v>17.7</v>
      </c>
      <c r="ED116" s="27">
        <v>17.7</v>
      </c>
      <c r="EE116" s="27">
        <v>17.7</v>
      </c>
      <c r="EF116" s="129">
        <v>13.1</v>
      </c>
      <c r="EH116" s="27">
        <v>30.8</v>
      </c>
      <c r="EI116" s="27">
        <v>30.8</v>
      </c>
      <c r="EJ116" s="27">
        <v>30.8</v>
      </c>
      <c r="EK116" s="27">
        <v>30.8</v>
      </c>
      <c r="EL116" s="27">
        <v>30.8</v>
      </c>
      <c r="EM116" s="27">
        <v>30.8</v>
      </c>
      <c r="EN116" s="27">
        <v>30.8</v>
      </c>
      <c r="EO116" s="27">
        <v>30.8</v>
      </c>
      <c r="EP116" s="27">
        <v>30.8</v>
      </c>
      <c r="EQ116" s="129">
        <v>13.1</v>
      </c>
      <c r="ES116" s="27">
        <v>37.700000000000003</v>
      </c>
      <c r="ET116" s="27">
        <v>37.700000000000003</v>
      </c>
      <c r="EU116" s="27">
        <v>37.700000000000003</v>
      </c>
      <c r="EV116" s="27">
        <v>37.700000000000003</v>
      </c>
      <c r="EW116" s="27">
        <v>37.700000000000003</v>
      </c>
      <c r="EX116" s="27">
        <v>37.700000000000003</v>
      </c>
      <c r="EY116" s="27">
        <v>37.700000000000003</v>
      </c>
      <c r="EZ116" s="27">
        <v>37.700000000000003</v>
      </c>
      <c r="FA116" s="27">
        <v>37.700000000000003</v>
      </c>
      <c r="FB116" s="129">
        <v>13.1</v>
      </c>
      <c r="FD116" s="27">
        <v>38.700000000000003</v>
      </c>
      <c r="FE116" s="27">
        <v>38.700000000000003</v>
      </c>
      <c r="FF116" s="27">
        <v>38.700000000000003</v>
      </c>
      <c r="FG116" s="27">
        <v>38.700000000000003</v>
      </c>
      <c r="FH116" s="27">
        <v>38.700000000000003</v>
      </c>
      <c r="FI116" s="27">
        <v>38.700000000000003</v>
      </c>
      <c r="FJ116" s="27">
        <v>38.700000000000003</v>
      </c>
      <c r="FK116" s="27">
        <v>38.700000000000003</v>
      </c>
      <c r="FL116" s="27">
        <v>38.700000000000003</v>
      </c>
      <c r="FM116" s="129">
        <v>13.1</v>
      </c>
      <c r="FO116" s="27">
        <v>60.5</v>
      </c>
      <c r="FP116" s="27">
        <v>60.5</v>
      </c>
      <c r="FQ116" s="27">
        <v>60.5</v>
      </c>
      <c r="FR116" s="27">
        <v>60.5</v>
      </c>
      <c r="FS116" s="27">
        <v>60.5</v>
      </c>
      <c r="FT116" s="27">
        <v>60.5</v>
      </c>
      <c r="FU116" s="27">
        <v>60.5</v>
      </c>
      <c r="FV116" s="27">
        <v>60.5</v>
      </c>
      <c r="FW116" s="27">
        <v>60.5</v>
      </c>
      <c r="FX116" s="129">
        <v>13.1</v>
      </c>
      <c r="FZ116" s="27">
        <v>60.5</v>
      </c>
      <c r="GA116" s="27">
        <v>60.5</v>
      </c>
      <c r="GB116" s="27">
        <v>60.5</v>
      </c>
      <c r="GC116" s="27">
        <v>60.5</v>
      </c>
      <c r="GD116" s="27">
        <v>60.5</v>
      </c>
      <c r="GE116" s="27">
        <v>60.5</v>
      </c>
      <c r="GF116" s="27">
        <v>60.5</v>
      </c>
      <c r="GG116" s="27">
        <v>60.5</v>
      </c>
      <c r="GH116" s="27">
        <v>60.5</v>
      </c>
      <c r="GI116" s="129">
        <v>13.1</v>
      </c>
      <c r="GJ116" s="27"/>
      <c r="GK116" s="27">
        <v>13.9</v>
      </c>
      <c r="GL116" s="27">
        <v>13.9</v>
      </c>
      <c r="GM116" s="27">
        <v>13.9</v>
      </c>
      <c r="GN116" s="27">
        <v>13.9</v>
      </c>
      <c r="GO116" s="27">
        <v>13.9</v>
      </c>
      <c r="GP116" s="27">
        <v>13.9</v>
      </c>
      <c r="GQ116" s="27">
        <v>13.9</v>
      </c>
      <c r="GR116" s="27">
        <v>13.9</v>
      </c>
      <c r="GS116" s="27">
        <v>13.9</v>
      </c>
      <c r="GT116" s="129">
        <v>13.1</v>
      </c>
      <c r="GV116" s="27">
        <v>16.899999999999999</v>
      </c>
      <c r="GW116" s="27">
        <v>16.899999999999999</v>
      </c>
      <c r="GX116" s="27">
        <v>16.899999999999999</v>
      </c>
      <c r="GY116" s="27">
        <v>16.899999999999999</v>
      </c>
      <c r="GZ116" s="27">
        <v>16.899999999999999</v>
      </c>
      <c r="HA116" s="27">
        <v>16.899999999999999</v>
      </c>
      <c r="HB116" s="27">
        <v>16.899999999999999</v>
      </c>
      <c r="HC116" s="27">
        <v>16.899999999999999</v>
      </c>
      <c r="HD116" s="27">
        <v>16.899999999999999</v>
      </c>
      <c r="HE116" s="129">
        <v>13.1</v>
      </c>
      <c r="HG116" s="27">
        <v>23.8</v>
      </c>
      <c r="HH116" s="27">
        <v>23.8</v>
      </c>
      <c r="HI116" s="27">
        <v>23.8</v>
      </c>
      <c r="HJ116" s="27">
        <v>23.8</v>
      </c>
      <c r="HK116" s="27">
        <v>23.8</v>
      </c>
      <c r="HL116" s="27">
        <v>23.8</v>
      </c>
      <c r="HM116" s="27">
        <v>23.8</v>
      </c>
      <c r="HN116" s="27">
        <v>23.8</v>
      </c>
      <c r="HO116" s="27">
        <v>23.8</v>
      </c>
      <c r="HP116" s="129">
        <v>13.1</v>
      </c>
      <c r="HR116" s="27">
        <v>23.8</v>
      </c>
      <c r="HS116" s="27">
        <v>23.8</v>
      </c>
      <c r="HT116" s="27">
        <v>23.8</v>
      </c>
      <c r="HU116" s="27">
        <v>23.8</v>
      </c>
      <c r="HV116" s="27">
        <v>23.8</v>
      </c>
      <c r="HW116" s="27">
        <v>23.8</v>
      </c>
      <c r="HX116" s="27">
        <v>23.8</v>
      </c>
      <c r="HY116" s="27">
        <v>23.8</v>
      </c>
      <c r="HZ116" s="27">
        <v>23.8</v>
      </c>
      <c r="IA116" s="129">
        <v>13.1</v>
      </c>
    </row>
    <row r="117" spans="15:235" ht="3" customHeight="1">
      <c r="O117" s="129">
        <v>12.399999999999999</v>
      </c>
      <c r="P117" s="129">
        <v>12.399999999999999</v>
      </c>
      <c r="Q117" s="129">
        <v>12.399999999999999</v>
      </c>
      <c r="R117" s="129">
        <v>12.399999999999999</v>
      </c>
      <c r="S117" s="129">
        <v>12.399999999999999</v>
      </c>
      <c r="T117" s="129">
        <v>12.399999999999999</v>
      </c>
      <c r="U117" s="129">
        <v>12.399999999999999</v>
      </c>
      <c r="V117" s="129">
        <v>12.399999999999999</v>
      </c>
      <c r="W117" s="129">
        <v>12.399999999999999</v>
      </c>
      <c r="X117" s="129">
        <v>11.2</v>
      </c>
      <c r="Y117" s="27"/>
      <c r="Z117" s="129">
        <v>24.799999999999997</v>
      </c>
      <c r="AA117" s="129">
        <v>24.799999999999997</v>
      </c>
      <c r="AB117" s="129">
        <v>24.799999999999997</v>
      </c>
      <c r="AC117" s="129">
        <v>24.799999999999997</v>
      </c>
      <c r="AD117" s="129">
        <v>24.799999999999997</v>
      </c>
      <c r="AE117" s="129">
        <v>24.799999999999997</v>
      </c>
      <c r="AF117" s="129">
        <v>24.799999999999997</v>
      </c>
      <c r="AG117" s="129">
        <v>24.799999999999997</v>
      </c>
      <c r="AH117" s="129">
        <v>24.799999999999997</v>
      </c>
      <c r="AI117" s="129">
        <v>11.2</v>
      </c>
      <c r="AK117" s="129">
        <v>43.400000000000006</v>
      </c>
      <c r="AL117" s="129">
        <v>43.400000000000006</v>
      </c>
      <c r="AM117" s="129">
        <v>43.400000000000006</v>
      </c>
      <c r="AN117" s="129">
        <v>43.400000000000006</v>
      </c>
      <c r="AO117" s="129">
        <v>43.400000000000006</v>
      </c>
      <c r="AP117" s="129">
        <v>43.400000000000006</v>
      </c>
      <c r="AQ117" s="129">
        <v>43.400000000000006</v>
      </c>
      <c r="AR117" s="129">
        <v>43.400000000000006</v>
      </c>
      <c r="AS117" s="129">
        <v>43.400000000000006</v>
      </c>
      <c r="AT117" s="129">
        <v>11.2</v>
      </c>
      <c r="AV117" s="129">
        <v>45.2</v>
      </c>
      <c r="AW117" s="129">
        <v>45.2</v>
      </c>
      <c r="AX117" s="129">
        <v>45.2</v>
      </c>
      <c r="AY117" s="129">
        <v>45.2</v>
      </c>
      <c r="AZ117" s="129">
        <v>45.2</v>
      </c>
      <c r="BA117" s="129">
        <v>45.2</v>
      </c>
      <c r="BB117" s="129">
        <v>45.2</v>
      </c>
      <c r="BC117" s="129">
        <v>45.2</v>
      </c>
      <c r="BD117" s="129">
        <v>45.2</v>
      </c>
      <c r="BE117" s="129">
        <v>11.2</v>
      </c>
      <c r="BG117" s="129">
        <v>70.800000000000011</v>
      </c>
      <c r="BH117" s="129">
        <v>70.800000000000011</v>
      </c>
      <c r="BI117" s="129">
        <v>70.800000000000011</v>
      </c>
      <c r="BJ117" s="129">
        <v>70.800000000000011</v>
      </c>
      <c r="BK117" s="129">
        <v>70.800000000000011</v>
      </c>
      <c r="BL117" s="129">
        <v>70.800000000000011</v>
      </c>
      <c r="BM117" s="129">
        <v>70.800000000000011</v>
      </c>
      <c r="BN117" s="129">
        <v>70.800000000000011</v>
      </c>
      <c r="BO117" s="129">
        <v>70.800000000000011</v>
      </c>
      <c r="BP117" s="129">
        <v>11.2</v>
      </c>
      <c r="BR117" s="129">
        <v>70.800000000000011</v>
      </c>
      <c r="BS117" s="129">
        <v>70.800000000000011</v>
      </c>
      <c r="BT117" s="129">
        <v>70.800000000000011</v>
      </c>
      <c r="BU117" s="129">
        <v>70.800000000000011</v>
      </c>
      <c r="BV117" s="129">
        <v>70.800000000000011</v>
      </c>
      <c r="BW117" s="129">
        <v>70.800000000000011</v>
      </c>
      <c r="BX117" s="129">
        <v>70.800000000000011</v>
      </c>
      <c r="BY117" s="129">
        <v>70.800000000000011</v>
      </c>
      <c r="BZ117" s="129">
        <v>70.800000000000011</v>
      </c>
      <c r="CA117" s="129">
        <v>11.2</v>
      </c>
      <c r="CC117" s="129">
        <v>16.799999999999997</v>
      </c>
      <c r="CD117" s="129">
        <v>16.799999999999997</v>
      </c>
      <c r="CE117" s="129">
        <v>16.799999999999997</v>
      </c>
      <c r="CF117" s="129">
        <v>16.799999999999997</v>
      </c>
      <c r="CG117" s="129">
        <v>16.799999999999997</v>
      </c>
      <c r="CH117" s="129">
        <v>16.799999999999997</v>
      </c>
      <c r="CI117" s="129">
        <v>16.799999999999997</v>
      </c>
      <c r="CJ117" s="129">
        <v>16.799999999999997</v>
      </c>
      <c r="CK117" s="129">
        <v>16.799999999999997</v>
      </c>
      <c r="CL117" s="129">
        <v>11.2</v>
      </c>
      <c r="CN117" s="129">
        <v>20.6</v>
      </c>
      <c r="CO117" s="129">
        <v>20.6</v>
      </c>
      <c r="CP117" s="129">
        <v>20.6</v>
      </c>
      <c r="CQ117" s="129">
        <v>20.6</v>
      </c>
      <c r="CR117" s="129">
        <v>20.6</v>
      </c>
      <c r="CS117" s="129">
        <v>20.6</v>
      </c>
      <c r="CT117" s="129">
        <v>20.6</v>
      </c>
      <c r="CU117" s="129">
        <v>20.6</v>
      </c>
      <c r="CV117" s="129">
        <v>20.6</v>
      </c>
      <c r="CW117" s="129">
        <v>11.2</v>
      </c>
      <c r="CY117" s="129">
        <v>27.6</v>
      </c>
      <c r="CZ117" s="129">
        <v>27.6</v>
      </c>
      <c r="DA117" s="129">
        <v>27.6</v>
      </c>
      <c r="DB117" s="129">
        <v>27.6</v>
      </c>
      <c r="DC117" s="129">
        <v>27.6</v>
      </c>
      <c r="DD117" s="129">
        <v>27.6</v>
      </c>
      <c r="DE117" s="129">
        <v>27.6</v>
      </c>
      <c r="DF117" s="129">
        <v>27.6</v>
      </c>
      <c r="DG117" s="129">
        <v>27.6</v>
      </c>
      <c r="DH117" s="129">
        <v>11.2</v>
      </c>
      <c r="DJ117" s="129">
        <v>27.6</v>
      </c>
      <c r="DK117" s="129">
        <v>27.6</v>
      </c>
      <c r="DL117" s="129">
        <v>27.6</v>
      </c>
      <c r="DM117" s="129">
        <v>27.6</v>
      </c>
      <c r="DN117" s="129">
        <v>27.6</v>
      </c>
      <c r="DO117" s="129">
        <v>27.6</v>
      </c>
      <c r="DP117" s="129">
        <v>27.6</v>
      </c>
      <c r="DQ117" s="129">
        <v>27.6</v>
      </c>
      <c r="DR117" s="129">
        <v>27.6</v>
      </c>
      <c r="DS117" s="129">
        <v>11.2</v>
      </c>
      <c r="DW117" s="27">
        <v>17.399999999999999</v>
      </c>
      <c r="DX117" s="27">
        <v>17.399999999999999</v>
      </c>
      <c r="DY117" s="27">
        <v>17.399999999999999</v>
      </c>
      <c r="DZ117" s="27">
        <v>17.399999999999999</v>
      </c>
      <c r="EA117" s="27">
        <v>17.399999999999999</v>
      </c>
      <c r="EB117" s="27">
        <v>17.399999999999999</v>
      </c>
      <c r="EC117" s="27">
        <v>17.399999999999999</v>
      </c>
      <c r="ED117" s="27">
        <v>17.399999999999999</v>
      </c>
      <c r="EE117" s="27">
        <v>17.399999999999999</v>
      </c>
      <c r="EF117" s="129">
        <v>13.2</v>
      </c>
      <c r="EH117" s="27">
        <v>30.6</v>
      </c>
      <c r="EI117" s="27">
        <v>30.6</v>
      </c>
      <c r="EJ117" s="27">
        <v>30.6</v>
      </c>
      <c r="EK117" s="27">
        <v>30.6</v>
      </c>
      <c r="EL117" s="27">
        <v>30.6</v>
      </c>
      <c r="EM117" s="27">
        <v>30.6</v>
      </c>
      <c r="EN117" s="27">
        <v>30.6</v>
      </c>
      <c r="EO117" s="27">
        <v>30.6</v>
      </c>
      <c r="EP117" s="27">
        <v>30.6</v>
      </c>
      <c r="EQ117" s="129">
        <v>13.2</v>
      </c>
      <c r="ES117" s="27">
        <v>37.400000000000006</v>
      </c>
      <c r="ET117" s="27">
        <v>37.400000000000006</v>
      </c>
      <c r="EU117" s="27">
        <v>37.400000000000006</v>
      </c>
      <c r="EV117" s="27">
        <v>37.400000000000006</v>
      </c>
      <c r="EW117" s="27">
        <v>37.400000000000006</v>
      </c>
      <c r="EX117" s="27">
        <v>37.400000000000006</v>
      </c>
      <c r="EY117" s="27">
        <v>37.400000000000006</v>
      </c>
      <c r="EZ117" s="27">
        <v>37.400000000000006</v>
      </c>
      <c r="FA117" s="27">
        <v>37.400000000000006</v>
      </c>
      <c r="FB117" s="129">
        <v>13.2</v>
      </c>
      <c r="FD117" s="27">
        <v>38.400000000000006</v>
      </c>
      <c r="FE117" s="27">
        <v>38.400000000000006</v>
      </c>
      <c r="FF117" s="27">
        <v>38.400000000000006</v>
      </c>
      <c r="FG117" s="27">
        <v>38.400000000000006</v>
      </c>
      <c r="FH117" s="27">
        <v>38.400000000000006</v>
      </c>
      <c r="FI117" s="27">
        <v>38.400000000000006</v>
      </c>
      <c r="FJ117" s="27">
        <v>38.400000000000006</v>
      </c>
      <c r="FK117" s="27">
        <v>38.400000000000006</v>
      </c>
      <c r="FL117" s="27">
        <v>38.400000000000006</v>
      </c>
      <c r="FM117" s="129">
        <v>13.2</v>
      </c>
      <c r="FO117" s="27">
        <v>60</v>
      </c>
      <c r="FP117" s="27">
        <v>60</v>
      </c>
      <c r="FQ117" s="27">
        <v>60</v>
      </c>
      <c r="FR117" s="27">
        <v>60</v>
      </c>
      <c r="FS117" s="27">
        <v>60</v>
      </c>
      <c r="FT117" s="27">
        <v>60</v>
      </c>
      <c r="FU117" s="27">
        <v>60</v>
      </c>
      <c r="FV117" s="27">
        <v>60</v>
      </c>
      <c r="FW117" s="27">
        <v>60</v>
      </c>
      <c r="FX117" s="129">
        <v>13.2</v>
      </c>
      <c r="FZ117" s="27">
        <v>60</v>
      </c>
      <c r="GA117" s="27">
        <v>60</v>
      </c>
      <c r="GB117" s="27">
        <v>60</v>
      </c>
      <c r="GC117" s="27">
        <v>60</v>
      </c>
      <c r="GD117" s="27">
        <v>60</v>
      </c>
      <c r="GE117" s="27">
        <v>60</v>
      </c>
      <c r="GF117" s="27">
        <v>60</v>
      </c>
      <c r="GG117" s="27">
        <v>60</v>
      </c>
      <c r="GH117" s="27">
        <v>60</v>
      </c>
      <c r="GI117" s="129">
        <v>13.2</v>
      </c>
      <c r="GJ117" s="27"/>
      <c r="GK117" s="27">
        <v>13.8</v>
      </c>
      <c r="GL117" s="27">
        <v>13.8</v>
      </c>
      <c r="GM117" s="27">
        <v>13.8</v>
      </c>
      <c r="GN117" s="27">
        <v>13.8</v>
      </c>
      <c r="GO117" s="27">
        <v>13.8</v>
      </c>
      <c r="GP117" s="27">
        <v>13.8</v>
      </c>
      <c r="GQ117" s="27">
        <v>13.8</v>
      </c>
      <c r="GR117" s="27">
        <v>13.8</v>
      </c>
      <c r="GS117" s="27">
        <v>13.8</v>
      </c>
      <c r="GT117" s="129">
        <v>13.2</v>
      </c>
      <c r="GV117" s="27">
        <v>16.799999999999997</v>
      </c>
      <c r="GW117" s="27">
        <v>16.799999999999997</v>
      </c>
      <c r="GX117" s="27">
        <v>16.799999999999997</v>
      </c>
      <c r="GY117" s="27">
        <v>16.799999999999997</v>
      </c>
      <c r="GZ117" s="27">
        <v>16.799999999999997</v>
      </c>
      <c r="HA117" s="27">
        <v>16.799999999999997</v>
      </c>
      <c r="HB117" s="27">
        <v>16.799999999999997</v>
      </c>
      <c r="HC117" s="27">
        <v>16.799999999999997</v>
      </c>
      <c r="HD117" s="27">
        <v>16.799999999999997</v>
      </c>
      <c r="HE117" s="129">
        <v>13.2</v>
      </c>
      <c r="HG117" s="27">
        <v>23.6</v>
      </c>
      <c r="HH117" s="27">
        <v>23.6</v>
      </c>
      <c r="HI117" s="27">
        <v>23.6</v>
      </c>
      <c r="HJ117" s="27">
        <v>23.6</v>
      </c>
      <c r="HK117" s="27">
        <v>23.6</v>
      </c>
      <c r="HL117" s="27">
        <v>23.6</v>
      </c>
      <c r="HM117" s="27">
        <v>23.6</v>
      </c>
      <c r="HN117" s="27">
        <v>23.6</v>
      </c>
      <c r="HO117" s="27">
        <v>23.6</v>
      </c>
      <c r="HP117" s="129">
        <v>13.2</v>
      </c>
      <c r="HR117" s="27">
        <v>23.6</v>
      </c>
      <c r="HS117" s="27">
        <v>23.6</v>
      </c>
      <c r="HT117" s="27">
        <v>23.6</v>
      </c>
      <c r="HU117" s="27">
        <v>23.6</v>
      </c>
      <c r="HV117" s="27">
        <v>23.6</v>
      </c>
      <c r="HW117" s="27">
        <v>23.6</v>
      </c>
      <c r="HX117" s="27">
        <v>23.6</v>
      </c>
      <c r="HY117" s="27">
        <v>23.6</v>
      </c>
      <c r="HZ117" s="27">
        <v>23.6</v>
      </c>
      <c r="IA117" s="129">
        <v>13.2</v>
      </c>
    </row>
    <row r="118" spans="15:235" ht="3" customHeight="1">
      <c r="O118" s="129">
        <v>12.099999999999998</v>
      </c>
      <c r="P118" s="129">
        <v>12.099999999999998</v>
      </c>
      <c r="Q118" s="129">
        <v>12.099999999999998</v>
      </c>
      <c r="R118" s="129">
        <v>12.099999999999998</v>
      </c>
      <c r="S118" s="129">
        <v>12.099999999999998</v>
      </c>
      <c r="T118" s="129">
        <v>12.099999999999998</v>
      </c>
      <c r="U118" s="129">
        <v>12.099999999999998</v>
      </c>
      <c r="V118" s="129">
        <v>12.099999999999998</v>
      </c>
      <c r="W118" s="129">
        <v>12.099999999999998</v>
      </c>
      <c r="X118" s="129">
        <v>11.3</v>
      </c>
      <c r="Y118" s="27"/>
      <c r="Z118" s="129">
        <v>24.199999999999996</v>
      </c>
      <c r="AA118" s="129">
        <v>24.199999999999996</v>
      </c>
      <c r="AB118" s="129">
        <v>24.199999999999996</v>
      </c>
      <c r="AC118" s="129">
        <v>24.199999999999996</v>
      </c>
      <c r="AD118" s="129">
        <v>24.199999999999996</v>
      </c>
      <c r="AE118" s="129">
        <v>24.199999999999996</v>
      </c>
      <c r="AF118" s="129">
        <v>24.199999999999996</v>
      </c>
      <c r="AG118" s="129">
        <v>24.199999999999996</v>
      </c>
      <c r="AH118" s="129">
        <v>24.199999999999996</v>
      </c>
      <c r="AI118" s="129">
        <v>11.3</v>
      </c>
      <c r="AK118" s="129">
        <v>43.100000000000009</v>
      </c>
      <c r="AL118" s="129">
        <v>43.100000000000009</v>
      </c>
      <c r="AM118" s="129">
        <v>43.100000000000009</v>
      </c>
      <c r="AN118" s="129">
        <v>43.100000000000009</v>
      </c>
      <c r="AO118" s="129">
        <v>43.100000000000009</v>
      </c>
      <c r="AP118" s="129">
        <v>43.100000000000009</v>
      </c>
      <c r="AQ118" s="129">
        <v>43.100000000000009</v>
      </c>
      <c r="AR118" s="129">
        <v>43.100000000000009</v>
      </c>
      <c r="AS118" s="129">
        <v>43.100000000000009</v>
      </c>
      <c r="AT118" s="129">
        <v>11.3</v>
      </c>
      <c r="AV118" s="129">
        <v>44.800000000000004</v>
      </c>
      <c r="AW118" s="129">
        <v>44.800000000000004</v>
      </c>
      <c r="AX118" s="129">
        <v>44.800000000000004</v>
      </c>
      <c r="AY118" s="129">
        <v>44.800000000000004</v>
      </c>
      <c r="AZ118" s="129">
        <v>44.800000000000004</v>
      </c>
      <c r="BA118" s="129">
        <v>44.800000000000004</v>
      </c>
      <c r="BB118" s="129">
        <v>44.800000000000004</v>
      </c>
      <c r="BC118" s="129">
        <v>44.800000000000004</v>
      </c>
      <c r="BD118" s="129">
        <v>44.800000000000004</v>
      </c>
      <c r="BE118" s="129">
        <v>11.3</v>
      </c>
      <c r="BG118" s="129">
        <v>70.200000000000017</v>
      </c>
      <c r="BH118" s="129">
        <v>70.200000000000017</v>
      </c>
      <c r="BI118" s="129">
        <v>70.200000000000017</v>
      </c>
      <c r="BJ118" s="129">
        <v>70.200000000000017</v>
      </c>
      <c r="BK118" s="129">
        <v>70.200000000000017</v>
      </c>
      <c r="BL118" s="129">
        <v>70.200000000000017</v>
      </c>
      <c r="BM118" s="129">
        <v>70.200000000000017</v>
      </c>
      <c r="BN118" s="129">
        <v>70.200000000000017</v>
      </c>
      <c r="BO118" s="129">
        <v>70.200000000000017</v>
      </c>
      <c r="BP118" s="129">
        <v>11.3</v>
      </c>
      <c r="BR118" s="129">
        <v>70.200000000000017</v>
      </c>
      <c r="BS118" s="129">
        <v>70.200000000000017</v>
      </c>
      <c r="BT118" s="129">
        <v>70.200000000000017</v>
      </c>
      <c r="BU118" s="129">
        <v>70.200000000000017</v>
      </c>
      <c r="BV118" s="129">
        <v>70.200000000000017</v>
      </c>
      <c r="BW118" s="129">
        <v>70.200000000000017</v>
      </c>
      <c r="BX118" s="129">
        <v>70.200000000000017</v>
      </c>
      <c r="BY118" s="129">
        <v>70.200000000000017</v>
      </c>
      <c r="BZ118" s="129">
        <v>70.200000000000017</v>
      </c>
      <c r="CA118" s="129">
        <v>11.3</v>
      </c>
      <c r="CC118" s="129">
        <v>16.699999999999996</v>
      </c>
      <c r="CD118" s="129">
        <v>16.699999999999996</v>
      </c>
      <c r="CE118" s="129">
        <v>16.699999999999996</v>
      </c>
      <c r="CF118" s="129">
        <v>16.699999999999996</v>
      </c>
      <c r="CG118" s="129">
        <v>16.699999999999996</v>
      </c>
      <c r="CH118" s="129">
        <v>16.699999999999996</v>
      </c>
      <c r="CI118" s="129">
        <v>16.699999999999996</v>
      </c>
      <c r="CJ118" s="129">
        <v>16.699999999999996</v>
      </c>
      <c r="CK118" s="129">
        <v>16.699999999999996</v>
      </c>
      <c r="CL118" s="129">
        <v>11.3</v>
      </c>
      <c r="CN118" s="129">
        <v>20.400000000000002</v>
      </c>
      <c r="CO118" s="129">
        <v>20.400000000000002</v>
      </c>
      <c r="CP118" s="129">
        <v>20.400000000000002</v>
      </c>
      <c r="CQ118" s="129">
        <v>20.400000000000002</v>
      </c>
      <c r="CR118" s="129">
        <v>20.400000000000002</v>
      </c>
      <c r="CS118" s="129">
        <v>20.400000000000002</v>
      </c>
      <c r="CT118" s="129">
        <v>20.400000000000002</v>
      </c>
      <c r="CU118" s="129">
        <v>20.400000000000002</v>
      </c>
      <c r="CV118" s="129">
        <v>20.400000000000002</v>
      </c>
      <c r="CW118" s="129">
        <v>11.3</v>
      </c>
      <c r="CY118" s="129">
        <v>27.400000000000002</v>
      </c>
      <c r="CZ118" s="129">
        <v>27.400000000000002</v>
      </c>
      <c r="DA118" s="129">
        <v>27.400000000000002</v>
      </c>
      <c r="DB118" s="129">
        <v>27.400000000000002</v>
      </c>
      <c r="DC118" s="129">
        <v>27.400000000000002</v>
      </c>
      <c r="DD118" s="129">
        <v>27.400000000000002</v>
      </c>
      <c r="DE118" s="129">
        <v>27.400000000000002</v>
      </c>
      <c r="DF118" s="129">
        <v>27.400000000000002</v>
      </c>
      <c r="DG118" s="129">
        <v>27.400000000000002</v>
      </c>
      <c r="DH118" s="129">
        <v>11.3</v>
      </c>
      <c r="DJ118" s="129">
        <v>27.400000000000002</v>
      </c>
      <c r="DK118" s="129">
        <v>27.400000000000002</v>
      </c>
      <c r="DL118" s="129">
        <v>27.400000000000002</v>
      </c>
      <c r="DM118" s="129">
        <v>27.400000000000002</v>
      </c>
      <c r="DN118" s="129">
        <v>27.400000000000002</v>
      </c>
      <c r="DO118" s="129">
        <v>27.400000000000002</v>
      </c>
      <c r="DP118" s="129">
        <v>27.400000000000002</v>
      </c>
      <c r="DQ118" s="129">
        <v>27.400000000000002</v>
      </c>
      <c r="DR118" s="129">
        <v>27.400000000000002</v>
      </c>
      <c r="DS118" s="129">
        <v>11.3</v>
      </c>
      <c r="DW118" s="27">
        <v>17.099999999999998</v>
      </c>
      <c r="DX118" s="27">
        <v>17.099999999999998</v>
      </c>
      <c r="DY118" s="27">
        <v>17.099999999999998</v>
      </c>
      <c r="DZ118" s="27">
        <v>17.099999999999998</v>
      </c>
      <c r="EA118" s="27">
        <v>17.099999999999998</v>
      </c>
      <c r="EB118" s="27">
        <v>17.099999999999998</v>
      </c>
      <c r="EC118" s="27">
        <v>17.099999999999998</v>
      </c>
      <c r="ED118" s="27">
        <v>17.099999999999998</v>
      </c>
      <c r="EE118" s="27">
        <v>17.099999999999998</v>
      </c>
      <c r="EF118" s="129">
        <v>13.3</v>
      </c>
      <c r="EH118" s="27">
        <v>30.400000000000002</v>
      </c>
      <c r="EI118" s="27">
        <v>30.400000000000002</v>
      </c>
      <c r="EJ118" s="27">
        <v>30.400000000000002</v>
      </c>
      <c r="EK118" s="27">
        <v>30.400000000000002</v>
      </c>
      <c r="EL118" s="27">
        <v>30.400000000000002</v>
      </c>
      <c r="EM118" s="27">
        <v>30.400000000000002</v>
      </c>
      <c r="EN118" s="27">
        <v>30.400000000000002</v>
      </c>
      <c r="EO118" s="27">
        <v>30.400000000000002</v>
      </c>
      <c r="EP118" s="27">
        <v>30.400000000000002</v>
      </c>
      <c r="EQ118" s="129">
        <v>13.3</v>
      </c>
      <c r="ES118" s="27">
        <v>37.100000000000009</v>
      </c>
      <c r="ET118" s="27">
        <v>37.100000000000009</v>
      </c>
      <c r="EU118" s="27">
        <v>37.100000000000009</v>
      </c>
      <c r="EV118" s="27">
        <v>37.100000000000009</v>
      </c>
      <c r="EW118" s="27">
        <v>37.100000000000009</v>
      </c>
      <c r="EX118" s="27">
        <v>37.100000000000009</v>
      </c>
      <c r="EY118" s="27">
        <v>37.100000000000009</v>
      </c>
      <c r="EZ118" s="27">
        <v>37.100000000000009</v>
      </c>
      <c r="FA118" s="27">
        <v>37.100000000000009</v>
      </c>
      <c r="FB118" s="129">
        <v>13.3</v>
      </c>
      <c r="FD118" s="27">
        <v>38.100000000000009</v>
      </c>
      <c r="FE118" s="27">
        <v>38.100000000000009</v>
      </c>
      <c r="FF118" s="27">
        <v>38.100000000000009</v>
      </c>
      <c r="FG118" s="27">
        <v>38.100000000000009</v>
      </c>
      <c r="FH118" s="27">
        <v>38.100000000000009</v>
      </c>
      <c r="FI118" s="27">
        <v>38.100000000000009</v>
      </c>
      <c r="FJ118" s="27">
        <v>38.100000000000009</v>
      </c>
      <c r="FK118" s="27">
        <v>38.100000000000009</v>
      </c>
      <c r="FL118" s="27">
        <v>38.100000000000009</v>
      </c>
      <c r="FM118" s="129">
        <v>13.3</v>
      </c>
      <c r="FO118" s="27">
        <v>59.5</v>
      </c>
      <c r="FP118" s="27">
        <v>59.5</v>
      </c>
      <c r="FQ118" s="27">
        <v>59.5</v>
      </c>
      <c r="FR118" s="27">
        <v>59.5</v>
      </c>
      <c r="FS118" s="27">
        <v>59.5</v>
      </c>
      <c r="FT118" s="27">
        <v>59.5</v>
      </c>
      <c r="FU118" s="27">
        <v>59.5</v>
      </c>
      <c r="FV118" s="27">
        <v>59.5</v>
      </c>
      <c r="FW118" s="27">
        <v>59.5</v>
      </c>
      <c r="FX118" s="129">
        <v>13.3</v>
      </c>
      <c r="FZ118" s="27">
        <v>59.5</v>
      </c>
      <c r="GA118" s="27">
        <v>59.5</v>
      </c>
      <c r="GB118" s="27">
        <v>59.5</v>
      </c>
      <c r="GC118" s="27">
        <v>59.5</v>
      </c>
      <c r="GD118" s="27">
        <v>59.5</v>
      </c>
      <c r="GE118" s="27">
        <v>59.5</v>
      </c>
      <c r="GF118" s="27">
        <v>59.5</v>
      </c>
      <c r="GG118" s="27">
        <v>59.5</v>
      </c>
      <c r="GH118" s="27">
        <v>59.5</v>
      </c>
      <c r="GI118" s="129">
        <v>13.3</v>
      </c>
      <c r="GJ118" s="27"/>
      <c r="GK118" s="27">
        <v>13.700000000000001</v>
      </c>
      <c r="GL118" s="27">
        <v>13.700000000000001</v>
      </c>
      <c r="GM118" s="27">
        <v>13.700000000000001</v>
      </c>
      <c r="GN118" s="27">
        <v>13.700000000000001</v>
      </c>
      <c r="GO118" s="27">
        <v>13.700000000000001</v>
      </c>
      <c r="GP118" s="27">
        <v>13.700000000000001</v>
      </c>
      <c r="GQ118" s="27">
        <v>13.700000000000001</v>
      </c>
      <c r="GR118" s="27">
        <v>13.700000000000001</v>
      </c>
      <c r="GS118" s="27">
        <v>13.700000000000001</v>
      </c>
      <c r="GT118" s="129">
        <v>13.3</v>
      </c>
      <c r="GV118" s="27">
        <v>16.699999999999996</v>
      </c>
      <c r="GW118" s="27">
        <v>16.699999999999996</v>
      </c>
      <c r="GX118" s="27">
        <v>16.699999999999996</v>
      </c>
      <c r="GY118" s="27">
        <v>16.699999999999996</v>
      </c>
      <c r="GZ118" s="27">
        <v>16.699999999999996</v>
      </c>
      <c r="HA118" s="27">
        <v>16.699999999999996</v>
      </c>
      <c r="HB118" s="27">
        <v>16.699999999999996</v>
      </c>
      <c r="HC118" s="27">
        <v>16.699999999999996</v>
      </c>
      <c r="HD118" s="27">
        <v>16.699999999999996</v>
      </c>
      <c r="HE118" s="129">
        <v>13.3</v>
      </c>
      <c r="HG118" s="27">
        <v>23.400000000000002</v>
      </c>
      <c r="HH118" s="27">
        <v>23.400000000000002</v>
      </c>
      <c r="HI118" s="27">
        <v>23.400000000000002</v>
      </c>
      <c r="HJ118" s="27">
        <v>23.400000000000002</v>
      </c>
      <c r="HK118" s="27">
        <v>23.400000000000002</v>
      </c>
      <c r="HL118" s="27">
        <v>23.400000000000002</v>
      </c>
      <c r="HM118" s="27">
        <v>23.400000000000002</v>
      </c>
      <c r="HN118" s="27">
        <v>23.400000000000002</v>
      </c>
      <c r="HO118" s="27">
        <v>23.400000000000002</v>
      </c>
      <c r="HP118" s="129">
        <v>13.3</v>
      </c>
      <c r="HR118" s="27">
        <v>23.400000000000002</v>
      </c>
      <c r="HS118" s="27">
        <v>23.400000000000002</v>
      </c>
      <c r="HT118" s="27">
        <v>23.400000000000002</v>
      </c>
      <c r="HU118" s="27">
        <v>23.400000000000002</v>
      </c>
      <c r="HV118" s="27">
        <v>23.400000000000002</v>
      </c>
      <c r="HW118" s="27">
        <v>23.400000000000002</v>
      </c>
      <c r="HX118" s="27">
        <v>23.400000000000002</v>
      </c>
      <c r="HY118" s="27">
        <v>23.400000000000002</v>
      </c>
      <c r="HZ118" s="27">
        <v>23.400000000000002</v>
      </c>
      <c r="IA118" s="129">
        <v>13.3</v>
      </c>
    </row>
    <row r="119" spans="15:235" ht="3" customHeight="1">
      <c r="O119" s="129">
        <v>11.799999999999997</v>
      </c>
      <c r="P119" s="129">
        <v>11.799999999999997</v>
      </c>
      <c r="Q119" s="129">
        <v>11.799999999999997</v>
      </c>
      <c r="R119" s="129">
        <v>11.799999999999997</v>
      </c>
      <c r="S119" s="129">
        <v>11.799999999999997</v>
      </c>
      <c r="T119" s="129">
        <v>11.799999999999997</v>
      </c>
      <c r="U119" s="129">
        <v>11.799999999999997</v>
      </c>
      <c r="V119" s="129">
        <v>11.799999999999997</v>
      </c>
      <c r="W119" s="129">
        <v>11.799999999999997</v>
      </c>
      <c r="X119" s="129">
        <v>11.4</v>
      </c>
      <c r="Y119" s="27"/>
      <c r="Z119" s="129">
        <v>23.599999999999994</v>
      </c>
      <c r="AA119" s="129">
        <v>23.599999999999994</v>
      </c>
      <c r="AB119" s="129">
        <v>23.599999999999994</v>
      </c>
      <c r="AC119" s="129">
        <v>23.599999999999994</v>
      </c>
      <c r="AD119" s="129">
        <v>23.599999999999994</v>
      </c>
      <c r="AE119" s="129">
        <v>23.599999999999994</v>
      </c>
      <c r="AF119" s="129">
        <v>23.599999999999994</v>
      </c>
      <c r="AG119" s="129">
        <v>23.599999999999994</v>
      </c>
      <c r="AH119" s="129">
        <v>23.599999999999994</v>
      </c>
      <c r="AI119" s="129">
        <v>11.4</v>
      </c>
      <c r="AK119" s="129">
        <v>42.800000000000011</v>
      </c>
      <c r="AL119" s="129">
        <v>42.800000000000011</v>
      </c>
      <c r="AM119" s="129">
        <v>42.800000000000011</v>
      </c>
      <c r="AN119" s="129">
        <v>42.800000000000011</v>
      </c>
      <c r="AO119" s="129">
        <v>42.800000000000011</v>
      </c>
      <c r="AP119" s="129">
        <v>42.800000000000011</v>
      </c>
      <c r="AQ119" s="129">
        <v>42.800000000000011</v>
      </c>
      <c r="AR119" s="129">
        <v>42.800000000000011</v>
      </c>
      <c r="AS119" s="129">
        <v>42.800000000000011</v>
      </c>
      <c r="AT119" s="129">
        <v>11.4</v>
      </c>
      <c r="AV119" s="129">
        <v>44.400000000000006</v>
      </c>
      <c r="AW119" s="129">
        <v>44.400000000000006</v>
      </c>
      <c r="AX119" s="129">
        <v>44.400000000000006</v>
      </c>
      <c r="AY119" s="129">
        <v>44.400000000000006</v>
      </c>
      <c r="AZ119" s="129">
        <v>44.400000000000006</v>
      </c>
      <c r="BA119" s="129">
        <v>44.400000000000006</v>
      </c>
      <c r="BB119" s="129">
        <v>44.400000000000006</v>
      </c>
      <c r="BC119" s="129">
        <v>44.400000000000006</v>
      </c>
      <c r="BD119" s="129">
        <v>44.400000000000006</v>
      </c>
      <c r="BE119" s="129">
        <v>11.4</v>
      </c>
      <c r="BG119" s="129">
        <v>69.600000000000023</v>
      </c>
      <c r="BH119" s="129">
        <v>69.600000000000023</v>
      </c>
      <c r="BI119" s="129">
        <v>69.600000000000023</v>
      </c>
      <c r="BJ119" s="129">
        <v>69.600000000000023</v>
      </c>
      <c r="BK119" s="129">
        <v>69.600000000000023</v>
      </c>
      <c r="BL119" s="129">
        <v>69.600000000000023</v>
      </c>
      <c r="BM119" s="129">
        <v>69.600000000000023</v>
      </c>
      <c r="BN119" s="129">
        <v>69.600000000000023</v>
      </c>
      <c r="BO119" s="129">
        <v>69.600000000000023</v>
      </c>
      <c r="BP119" s="129">
        <v>11.4</v>
      </c>
      <c r="BR119" s="129">
        <v>69.600000000000023</v>
      </c>
      <c r="BS119" s="129">
        <v>69.600000000000023</v>
      </c>
      <c r="BT119" s="129">
        <v>69.600000000000023</v>
      </c>
      <c r="BU119" s="129">
        <v>69.600000000000023</v>
      </c>
      <c r="BV119" s="129">
        <v>69.600000000000023</v>
      </c>
      <c r="BW119" s="129">
        <v>69.600000000000023</v>
      </c>
      <c r="BX119" s="129">
        <v>69.600000000000023</v>
      </c>
      <c r="BY119" s="129">
        <v>69.600000000000023</v>
      </c>
      <c r="BZ119" s="129">
        <v>69.600000000000023</v>
      </c>
      <c r="CA119" s="129">
        <v>11.4</v>
      </c>
      <c r="CC119" s="129">
        <v>16.599999999999994</v>
      </c>
      <c r="CD119" s="129">
        <v>16.599999999999994</v>
      </c>
      <c r="CE119" s="129">
        <v>16.599999999999994</v>
      </c>
      <c r="CF119" s="129">
        <v>16.599999999999994</v>
      </c>
      <c r="CG119" s="129">
        <v>16.599999999999994</v>
      </c>
      <c r="CH119" s="129">
        <v>16.599999999999994</v>
      </c>
      <c r="CI119" s="129">
        <v>16.599999999999994</v>
      </c>
      <c r="CJ119" s="129">
        <v>16.599999999999994</v>
      </c>
      <c r="CK119" s="129">
        <v>16.599999999999994</v>
      </c>
      <c r="CL119" s="129">
        <v>11.4</v>
      </c>
      <c r="CN119" s="129">
        <v>20.200000000000003</v>
      </c>
      <c r="CO119" s="129">
        <v>20.200000000000003</v>
      </c>
      <c r="CP119" s="129">
        <v>20.200000000000003</v>
      </c>
      <c r="CQ119" s="129">
        <v>20.200000000000003</v>
      </c>
      <c r="CR119" s="129">
        <v>20.200000000000003</v>
      </c>
      <c r="CS119" s="129">
        <v>20.200000000000003</v>
      </c>
      <c r="CT119" s="129">
        <v>20.200000000000003</v>
      </c>
      <c r="CU119" s="129">
        <v>20.200000000000003</v>
      </c>
      <c r="CV119" s="129">
        <v>20.200000000000003</v>
      </c>
      <c r="CW119" s="129">
        <v>11.4</v>
      </c>
      <c r="CY119" s="129">
        <v>27.200000000000003</v>
      </c>
      <c r="CZ119" s="129">
        <v>27.200000000000003</v>
      </c>
      <c r="DA119" s="129">
        <v>27.200000000000003</v>
      </c>
      <c r="DB119" s="129">
        <v>27.200000000000003</v>
      </c>
      <c r="DC119" s="129">
        <v>27.200000000000003</v>
      </c>
      <c r="DD119" s="129">
        <v>27.200000000000003</v>
      </c>
      <c r="DE119" s="129">
        <v>27.200000000000003</v>
      </c>
      <c r="DF119" s="129">
        <v>27.200000000000003</v>
      </c>
      <c r="DG119" s="129">
        <v>27.200000000000003</v>
      </c>
      <c r="DH119" s="129">
        <v>11.4</v>
      </c>
      <c r="DJ119" s="129">
        <v>27.200000000000003</v>
      </c>
      <c r="DK119" s="129">
        <v>27.200000000000003</v>
      </c>
      <c r="DL119" s="129">
        <v>27.200000000000003</v>
      </c>
      <c r="DM119" s="129">
        <v>27.200000000000003</v>
      </c>
      <c r="DN119" s="129">
        <v>27.200000000000003</v>
      </c>
      <c r="DO119" s="129">
        <v>27.200000000000003</v>
      </c>
      <c r="DP119" s="129">
        <v>27.200000000000003</v>
      </c>
      <c r="DQ119" s="129">
        <v>27.200000000000003</v>
      </c>
      <c r="DR119" s="129">
        <v>27.200000000000003</v>
      </c>
      <c r="DS119" s="129">
        <v>11.4</v>
      </c>
      <c r="DW119" s="27">
        <v>16.799999999999997</v>
      </c>
      <c r="DX119" s="27">
        <v>16.799999999999997</v>
      </c>
      <c r="DY119" s="27">
        <v>16.799999999999997</v>
      </c>
      <c r="DZ119" s="27">
        <v>16.799999999999997</v>
      </c>
      <c r="EA119" s="27">
        <v>16.799999999999997</v>
      </c>
      <c r="EB119" s="27">
        <v>16.799999999999997</v>
      </c>
      <c r="EC119" s="27">
        <v>16.799999999999997</v>
      </c>
      <c r="ED119" s="27">
        <v>16.799999999999997</v>
      </c>
      <c r="EE119" s="27">
        <v>16.799999999999997</v>
      </c>
      <c r="EF119" s="129">
        <v>13.4</v>
      </c>
      <c r="EH119" s="27">
        <v>30.200000000000003</v>
      </c>
      <c r="EI119" s="27">
        <v>30.200000000000003</v>
      </c>
      <c r="EJ119" s="27">
        <v>30.200000000000003</v>
      </c>
      <c r="EK119" s="27">
        <v>30.200000000000003</v>
      </c>
      <c r="EL119" s="27">
        <v>30.200000000000003</v>
      </c>
      <c r="EM119" s="27">
        <v>30.200000000000003</v>
      </c>
      <c r="EN119" s="27">
        <v>30.200000000000003</v>
      </c>
      <c r="EO119" s="27">
        <v>30.200000000000003</v>
      </c>
      <c r="EP119" s="27">
        <v>30.200000000000003</v>
      </c>
      <c r="EQ119" s="129">
        <v>13.4</v>
      </c>
      <c r="ES119" s="27">
        <v>36.800000000000011</v>
      </c>
      <c r="ET119" s="27">
        <v>36.800000000000011</v>
      </c>
      <c r="EU119" s="27">
        <v>36.800000000000011</v>
      </c>
      <c r="EV119" s="27">
        <v>36.800000000000011</v>
      </c>
      <c r="EW119" s="27">
        <v>36.800000000000011</v>
      </c>
      <c r="EX119" s="27">
        <v>36.800000000000011</v>
      </c>
      <c r="EY119" s="27">
        <v>36.800000000000011</v>
      </c>
      <c r="EZ119" s="27">
        <v>36.800000000000011</v>
      </c>
      <c r="FA119" s="27">
        <v>36.800000000000011</v>
      </c>
      <c r="FB119" s="129">
        <v>13.4</v>
      </c>
      <c r="FD119" s="27">
        <v>37.800000000000011</v>
      </c>
      <c r="FE119" s="27">
        <v>37.800000000000011</v>
      </c>
      <c r="FF119" s="27">
        <v>37.800000000000011</v>
      </c>
      <c r="FG119" s="27">
        <v>37.800000000000011</v>
      </c>
      <c r="FH119" s="27">
        <v>37.800000000000011</v>
      </c>
      <c r="FI119" s="27">
        <v>37.800000000000011</v>
      </c>
      <c r="FJ119" s="27">
        <v>37.800000000000011</v>
      </c>
      <c r="FK119" s="27">
        <v>37.800000000000011</v>
      </c>
      <c r="FL119" s="27">
        <v>37.800000000000011</v>
      </c>
      <c r="FM119" s="129">
        <v>13.4</v>
      </c>
      <c r="FO119" s="27">
        <v>59</v>
      </c>
      <c r="FP119" s="27">
        <v>59</v>
      </c>
      <c r="FQ119" s="27">
        <v>59</v>
      </c>
      <c r="FR119" s="27">
        <v>59</v>
      </c>
      <c r="FS119" s="27">
        <v>59</v>
      </c>
      <c r="FT119" s="27">
        <v>59</v>
      </c>
      <c r="FU119" s="27">
        <v>59</v>
      </c>
      <c r="FV119" s="27">
        <v>59</v>
      </c>
      <c r="FW119" s="27">
        <v>59</v>
      </c>
      <c r="FX119" s="129">
        <v>13.4</v>
      </c>
      <c r="FZ119" s="27">
        <v>59</v>
      </c>
      <c r="GA119" s="27">
        <v>59</v>
      </c>
      <c r="GB119" s="27">
        <v>59</v>
      </c>
      <c r="GC119" s="27">
        <v>59</v>
      </c>
      <c r="GD119" s="27">
        <v>59</v>
      </c>
      <c r="GE119" s="27">
        <v>59</v>
      </c>
      <c r="GF119" s="27">
        <v>59</v>
      </c>
      <c r="GG119" s="27">
        <v>59</v>
      </c>
      <c r="GH119" s="27">
        <v>59</v>
      </c>
      <c r="GI119" s="129">
        <v>13.4</v>
      </c>
      <c r="GJ119" s="27"/>
      <c r="GK119" s="27">
        <v>13.600000000000001</v>
      </c>
      <c r="GL119" s="27">
        <v>13.600000000000001</v>
      </c>
      <c r="GM119" s="27">
        <v>13.600000000000001</v>
      </c>
      <c r="GN119" s="27">
        <v>13.600000000000001</v>
      </c>
      <c r="GO119" s="27">
        <v>13.600000000000001</v>
      </c>
      <c r="GP119" s="27">
        <v>13.600000000000001</v>
      </c>
      <c r="GQ119" s="27">
        <v>13.600000000000001</v>
      </c>
      <c r="GR119" s="27">
        <v>13.600000000000001</v>
      </c>
      <c r="GS119" s="27">
        <v>13.600000000000001</v>
      </c>
      <c r="GT119" s="129">
        <v>13.4</v>
      </c>
      <c r="GV119" s="27">
        <v>16.599999999999994</v>
      </c>
      <c r="GW119" s="27">
        <v>16.599999999999994</v>
      </c>
      <c r="GX119" s="27">
        <v>16.599999999999994</v>
      </c>
      <c r="GY119" s="27">
        <v>16.599999999999994</v>
      </c>
      <c r="GZ119" s="27">
        <v>16.599999999999994</v>
      </c>
      <c r="HA119" s="27">
        <v>16.599999999999994</v>
      </c>
      <c r="HB119" s="27">
        <v>16.599999999999994</v>
      </c>
      <c r="HC119" s="27">
        <v>16.599999999999994</v>
      </c>
      <c r="HD119" s="27">
        <v>16.599999999999994</v>
      </c>
      <c r="HE119" s="129">
        <v>13.4</v>
      </c>
      <c r="HG119" s="27">
        <v>23.200000000000003</v>
      </c>
      <c r="HH119" s="27">
        <v>23.200000000000003</v>
      </c>
      <c r="HI119" s="27">
        <v>23.200000000000003</v>
      </c>
      <c r="HJ119" s="27">
        <v>23.200000000000003</v>
      </c>
      <c r="HK119" s="27">
        <v>23.200000000000003</v>
      </c>
      <c r="HL119" s="27">
        <v>23.200000000000003</v>
      </c>
      <c r="HM119" s="27">
        <v>23.200000000000003</v>
      </c>
      <c r="HN119" s="27">
        <v>23.200000000000003</v>
      </c>
      <c r="HO119" s="27">
        <v>23.200000000000003</v>
      </c>
      <c r="HP119" s="129">
        <v>13.4</v>
      </c>
      <c r="HR119" s="27">
        <v>23.200000000000003</v>
      </c>
      <c r="HS119" s="27">
        <v>23.200000000000003</v>
      </c>
      <c r="HT119" s="27">
        <v>23.200000000000003</v>
      </c>
      <c r="HU119" s="27">
        <v>23.200000000000003</v>
      </c>
      <c r="HV119" s="27">
        <v>23.200000000000003</v>
      </c>
      <c r="HW119" s="27">
        <v>23.200000000000003</v>
      </c>
      <c r="HX119" s="27">
        <v>23.200000000000003</v>
      </c>
      <c r="HY119" s="27">
        <v>23.200000000000003</v>
      </c>
      <c r="HZ119" s="27">
        <v>23.200000000000003</v>
      </c>
      <c r="IA119" s="129">
        <v>13.4</v>
      </c>
    </row>
    <row r="120" spans="15:235" ht="3" customHeight="1">
      <c r="O120" s="129">
        <v>11.499999999999996</v>
      </c>
      <c r="P120" s="129">
        <v>11.499999999999996</v>
      </c>
      <c r="Q120" s="129">
        <v>11.499999999999996</v>
      </c>
      <c r="R120" s="129">
        <v>11.499999999999996</v>
      </c>
      <c r="S120" s="129">
        <v>11.499999999999996</v>
      </c>
      <c r="T120" s="129">
        <v>11.499999999999996</v>
      </c>
      <c r="U120" s="129">
        <v>11.499999999999996</v>
      </c>
      <c r="V120" s="129">
        <v>11.499999999999996</v>
      </c>
      <c r="W120" s="129">
        <v>11.499999999999996</v>
      </c>
      <c r="X120" s="129">
        <v>11.5</v>
      </c>
      <c r="Y120" s="27"/>
      <c r="Z120" s="129">
        <v>22.999999999999993</v>
      </c>
      <c r="AA120" s="129">
        <v>22.999999999999993</v>
      </c>
      <c r="AB120" s="129">
        <v>22.999999999999993</v>
      </c>
      <c r="AC120" s="129">
        <v>22.999999999999993</v>
      </c>
      <c r="AD120" s="129">
        <v>22.999999999999993</v>
      </c>
      <c r="AE120" s="129">
        <v>22.999999999999993</v>
      </c>
      <c r="AF120" s="129">
        <v>22.999999999999993</v>
      </c>
      <c r="AG120" s="129">
        <v>22.999999999999993</v>
      </c>
      <c r="AH120" s="129">
        <v>22.999999999999993</v>
      </c>
      <c r="AI120" s="129">
        <v>11.5</v>
      </c>
      <c r="AK120" s="129">
        <v>42.500000000000014</v>
      </c>
      <c r="AL120" s="129">
        <v>42.500000000000014</v>
      </c>
      <c r="AM120" s="129">
        <v>42.500000000000014</v>
      </c>
      <c r="AN120" s="129">
        <v>42.500000000000014</v>
      </c>
      <c r="AO120" s="129">
        <v>42.500000000000014</v>
      </c>
      <c r="AP120" s="129">
        <v>42.500000000000014</v>
      </c>
      <c r="AQ120" s="129">
        <v>42.500000000000014</v>
      </c>
      <c r="AR120" s="129">
        <v>42.500000000000014</v>
      </c>
      <c r="AS120" s="129">
        <v>42.500000000000014</v>
      </c>
      <c r="AT120" s="129">
        <v>11.5</v>
      </c>
      <c r="AV120" s="129">
        <v>44.000000000000007</v>
      </c>
      <c r="AW120" s="129">
        <v>44.000000000000007</v>
      </c>
      <c r="AX120" s="129">
        <v>44.000000000000007</v>
      </c>
      <c r="AY120" s="129">
        <v>44.000000000000007</v>
      </c>
      <c r="AZ120" s="129">
        <v>44.000000000000007</v>
      </c>
      <c r="BA120" s="129">
        <v>44.000000000000007</v>
      </c>
      <c r="BB120" s="129">
        <v>44.000000000000007</v>
      </c>
      <c r="BC120" s="129">
        <v>44.000000000000007</v>
      </c>
      <c r="BD120" s="129">
        <v>44.000000000000007</v>
      </c>
      <c r="BE120" s="129">
        <v>11.5</v>
      </c>
      <c r="BG120" s="129">
        <v>69.000000000000028</v>
      </c>
      <c r="BH120" s="129">
        <v>69.000000000000028</v>
      </c>
      <c r="BI120" s="129">
        <v>69.000000000000028</v>
      </c>
      <c r="BJ120" s="129">
        <v>69.000000000000028</v>
      </c>
      <c r="BK120" s="129">
        <v>69.000000000000028</v>
      </c>
      <c r="BL120" s="129">
        <v>69.000000000000028</v>
      </c>
      <c r="BM120" s="129">
        <v>69.000000000000028</v>
      </c>
      <c r="BN120" s="129">
        <v>69.000000000000028</v>
      </c>
      <c r="BO120" s="129">
        <v>69.000000000000028</v>
      </c>
      <c r="BP120" s="129">
        <v>11.5</v>
      </c>
      <c r="BR120" s="129">
        <v>69.000000000000028</v>
      </c>
      <c r="BS120" s="129">
        <v>69.000000000000028</v>
      </c>
      <c r="BT120" s="129">
        <v>69.000000000000028</v>
      </c>
      <c r="BU120" s="129">
        <v>69.000000000000028</v>
      </c>
      <c r="BV120" s="129">
        <v>69.000000000000028</v>
      </c>
      <c r="BW120" s="129">
        <v>69.000000000000028</v>
      </c>
      <c r="BX120" s="129">
        <v>69.000000000000028</v>
      </c>
      <c r="BY120" s="129">
        <v>69.000000000000028</v>
      </c>
      <c r="BZ120" s="129">
        <v>69.000000000000028</v>
      </c>
      <c r="CA120" s="129">
        <v>11.5</v>
      </c>
      <c r="CC120" s="129">
        <v>16.499999999999993</v>
      </c>
      <c r="CD120" s="129">
        <v>16.499999999999993</v>
      </c>
      <c r="CE120" s="129">
        <v>16.499999999999993</v>
      </c>
      <c r="CF120" s="129">
        <v>16.499999999999993</v>
      </c>
      <c r="CG120" s="129">
        <v>16.499999999999993</v>
      </c>
      <c r="CH120" s="129">
        <v>16.499999999999993</v>
      </c>
      <c r="CI120" s="129">
        <v>16.499999999999993</v>
      </c>
      <c r="CJ120" s="129">
        <v>16.499999999999993</v>
      </c>
      <c r="CK120" s="129">
        <v>16.499999999999993</v>
      </c>
      <c r="CL120" s="129">
        <v>11.5</v>
      </c>
      <c r="CN120" s="129">
        <v>20.000000000000004</v>
      </c>
      <c r="CO120" s="129">
        <v>20.000000000000004</v>
      </c>
      <c r="CP120" s="129">
        <v>20.000000000000004</v>
      </c>
      <c r="CQ120" s="129">
        <v>20.000000000000004</v>
      </c>
      <c r="CR120" s="129">
        <v>20.000000000000004</v>
      </c>
      <c r="CS120" s="129">
        <v>20.000000000000004</v>
      </c>
      <c r="CT120" s="129">
        <v>20.000000000000004</v>
      </c>
      <c r="CU120" s="129">
        <v>20.000000000000004</v>
      </c>
      <c r="CV120" s="129">
        <v>20.000000000000004</v>
      </c>
      <c r="CW120" s="129">
        <v>11.5</v>
      </c>
      <c r="CY120" s="129">
        <v>27.000000000000004</v>
      </c>
      <c r="CZ120" s="129">
        <v>27.000000000000004</v>
      </c>
      <c r="DA120" s="129">
        <v>27.000000000000004</v>
      </c>
      <c r="DB120" s="129">
        <v>27.000000000000004</v>
      </c>
      <c r="DC120" s="129">
        <v>27.000000000000004</v>
      </c>
      <c r="DD120" s="129">
        <v>27.000000000000004</v>
      </c>
      <c r="DE120" s="129">
        <v>27.000000000000004</v>
      </c>
      <c r="DF120" s="129">
        <v>27.000000000000004</v>
      </c>
      <c r="DG120" s="129">
        <v>27.000000000000004</v>
      </c>
      <c r="DH120" s="129">
        <v>11.5</v>
      </c>
      <c r="DJ120" s="129">
        <v>27.000000000000004</v>
      </c>
      <c r="DK120" s="129">
        <v>27.000000000000004</v>
      </c>
      <c r="DL120" s="129">
        <v>27.000000000000004</v>
      </c>
      <c r="DM120" s="129">
        <v>27.000000000000004</v>
      </c>
      <c r="DN120" s="129">
        <v>27.000000000000004</v>
      </c>
      <c r="DO120" s="129">
        <v>27.000000000000004</v>
      </c>
      <c r="DP120" s="129">
        <v>27.000000000000004</v>
      </c>
      <c r="DQ120" s="129">
        <v>27.000000000000004</v>
      </c>
      <c r="DR120" s="129">
        <v>27.000000000000004</v>
      </c>
      <c r="DS120" s="129">
        <v>11.5</v>
      </c>
      <c r="DW120" s="27">
        <v>16.499999999999996</v>
      </c>
      <c r="DX120" s="27">
        <v>16.499999999999996</v>
      </c>
      <c r="DY120" s="27">
        <v>16.499999999999996</v>
      </c>
      <c r="DZ120" s="27">
        <v>16.499999999999996</v>
      </c>
      <c r="EA120" s="27">
        <v>16.499999999999996</v>
      </c>
      <c r="EB120" s="27">
        <v>16.499999999999996</v>
      </c>
      <c r="EC120" s="27">
        <v>16.499999999999996</v>
      </c>
      <c r="ED120" s="27">
        <v>16.499999999999996</v>
      </c>
      <c r="EE120" s="27">
        <v>16.499999999999996</v>
      </c>
      <c r="EF120" s="129">
        <v>13.5</v>
      </c>
      <c r="EH120" s="27">
        <v>30.000000000000004</v>
      </c>
      <c r="EI120" s="27">
        <v>30.000000000000004</v>
      </c>
      <c r="EJ120" s="27">
        <v>30.000000000000004</v>
      </c>
      <c r="EK120" s="27">
        <v>30.000000000000004</v>
      </c>
      <c r="EL120" s="27">
        <v>30.000000000000004</v>
      </c>
      <c r="EM120" s="27">
        <v>30.000000000000004</v>
      </c>
      <c r="EN120" s="27">
        <v>30.000000000000004</v>
      </c>
      <c r="EO120" s="27">
        <v>30.000000000000004</v>
      </c>
      <c r="EP120" s="27">
        <v>30.000000000000004</v>
      </c>
      <c r="EQ120" s="129">
        <v>13.5</v>
      </c>
      <c r="ES120" s="27">
        <v>36.500000000000014</v>
      </c>
      <c r="ET120" s="27">
        <v>36.500000000000014</v>
      </c>
      <c r="EU120" s="27">
        <v>36.500000000000014</v>
      </c>
      <c r="EV120" s="27">
        <v>36.500000000000014</v>
      </c>
      <c r="EW120" s="27">
        <v>36.500000000000014</v>
      </c>
      <c r="EX120" s="27">
        <v>36.500000000000014</v>
      </c>
      <c r="EY120" s="27">
        <v>36.500000000000014</v>
      </c>
      <c r="EZ120" s="27">
        <v>36.500000000000014</v>
      </c>
      <c r="FA120" s="27">
        <v>36.500000000000014</v>
      </c>
      <c r="FB120" s="129">
        <v>13.5</v>
      </c>
      <c r="FD120" s="27">
        <v>37.500000000000014</v>
      </c>
      <c r="FE120" s="27">
        <v>37.500000000000014</v>
      </c>
      <c r="FF120" s="27">
        <v>37.500000000000014</v>
      </c>
      <c r="FG120" s="27">
        <v>37.500000000000014</v>
      </c>
      <c r="FH120" s="27">
        <v>37.500000000000014</v>
      </c>
      <c r="FI120" s="27">
        <v>37.500000000000014</v>
      </c>
      <c r="FJ120" s="27">
        <v>37.500000000000014</v>
      </c>
      <c r="FK120" s="27">
        <v>37.500000000000014</v>
      </c>
      <c r="FL120" s="27">
        <v>37.500000000000014</v>
      </c>
      <c r="FM120" s="129">
        <v>13.5</v>
      </c>
      <c r="FO120" s="27">
        <v>58.5</v>
      </c>
      <c r="FP120" s="27">
        <v>58.5</v>
      </c>
      <c r="FQ120" s="27">
        <v>58.5</v>
      </c>
      <c r="FR120" s="27">
        <v>58.5</v>
      </c>
      <c r="FS120" s="27">
        <v>58.5</v>
      </c>
      <c r="FT120" s="27">
        <v>58.5</v>
      </c>
      <c r="FU120" s="27">
        <v>58.5</v>
      </c>
      <c r="FV120" s="27">
        <v>58.5</v>
      </c>
      <c r="FW120" s="27">
        <v>58.5</v>
      </c>
      <c r="FX120" s="129">
        <v>13.5</v>
      </c>
      <c r="FZ120" s="27">
        <v>58.5</v>
      </c>
      <c r="GA120" s="27">
        <v>58.5</v>
      </c>
      <c r="GB120" s="27">
        <v>58.5</v>
      </c>
      <c r="GC120" s="27">
        <v>58.5</v>
      </c>
      <c r="GD120" s="27">
        <v>58.5</v>
      </c>
      <c r="GE120" s="27">
        <v>58.5</v>
      </c>
      <c r="GF120" s="27">
        <v>58.5</v>
      </c>
      <c r="GG120" s="27">
        <v>58.5</v>
      </c>
      <c r="GH120" s="27">
        <v>58.5</v>
      </c>
      <c r="GI120" s="129">
        <v>13.5</v>
      </c>
      <c r="GJ120" s="27"/>
      <c r="GK120" s="27">
        <v>13.500000000000002</v>
      </c>
      <c r="GL120" s="27">
        <v>13.500000000000002</v>
      </c>
      <c r="GM120" s="27">
        <v>13.500000000000002</v>
      </c>
      <c r="GN120" s="27">
        <v>13.500000000000002</v>
      </c>
      <c r="GO120" s="27">
        <v>13.500000000000002</v>
      </c>
      <c r="GP120" s="27">
        <v>13.500000000000002</v>
      </c>
      <c r="GQ120" s="27">
        <v>13.500000000000002</v>
      </c>
      <c r="GR120" s="27">
        <v>13.500000000000002</v>
      </c>
      <c r="GS120" s="27">
        <v>13.500000000000002</v>
      </c>
      <c r="GT120" s="129">
        <v>13.5</v>
      </c>
      <c r="GV120" s="27">
        <v>16.499999999999993</v>
      </c>
      <c r="GW120" s="27">
        <v>16.499999999999993</v>
      </c>
      <c r="GX120" s="27">
        <v>16.499999999999993</v>
      </c>
      <c r="GY120" s="27">
        <v>16.499999999999993</v>
      </c>
      <c r="GZ120" s="27">
        <v>16.499999999999993</v>
      </c>
      <c r="HA120" s="27">
        <v>16.499999999999993</v>
      </c>
      <c r="HB120" s="27">
        <v>16.499999999999993</v>
      </c>
      <c r="HC120" s="27">
        <v>16.499999999999993</v>
      </c>
      <c r="HD120" s="27">
        <v>16.499999999999993</v>
      </c>
      <c r="HE120" s="129">
        <v>13.5</v>
      </c>
      <c r="HG120" s="27">
        <v>23.000000000000004</v>
      </c>
      <c r="HH120" s="27">
        <v>23.000000000000004</v>
      </c>
      <c r="HI120" s="27">
        <v>23.000000000000004</v>
      </c>
      <c r="HJ120" s="27">
        <v>23.000000000000004</v>
      </c>
      <c r="HK120" s="27">
        <v>23.000000000000004</v>
      </c>
      <c r="HL120" s="27">
        <v>23.000000000000004</v>
      </c>
      <c r="HM120" s="27">
        <v>23.000000000000004</v>
      </c>
      <c r="HN120" s="27">
        <v>23.000000000000004</v>
      </c>
      <c r="HO120" s="27">
        <v>23.000000000000004</v>
      </c>
      <c r="HP120" s="129">
        <v>13.5</v>
      </c>
      <c r="HR120" s="27">
        <v>23.000000000000004</v>
      </c>
      <c r="HS120" s="27">
        <v>23.000000000000004</v>
      </c>
      <c r="HT120" s="27">
        <v>23.000000000000004</v>
      </c>
      <c r="HU120" s="27">
        <v>23.000000000000004</v>
      </c>
      <c r="HV120" s="27">
        <v>23.000000000000004</v>
      </c>
      <c r="HW120" s="27">
        <v>23.000000000000004</v>
      </c>
      <c r="HX120" s="27">
        <v>23.000000000000004</v>
      </c>
      <c r="HY120" s="27">
        <v>23.000000000000004</v>
      </c>
      <c r="HZ120" s="27">
        <v>23.000000000000004</v>
      </c>
      <c r="IA120" s="129">
        <v>13.5</v>
      </c>
    </row>
    <row r="121" spans="15:235" ht="3" customHeight="1">
      <c r="O121" s="129">
        <v>11.199999999999996</v>
      </c>
      <c r="P121" s="129">
        <v>11.199999999999996</v>
      </c>
      <c r="Q121" s="129">
        <v>11.199999999999996</v>
      </c>
      <c r="R121" s="129">
        <v>11.199999999999996</v>
      </c>
      <c r="S121" s="129">
        <v>11.199999999999996</v>
      </c>
      <c r="T121" s="129">
        <v>11.199999999999996</v>
      </c>
      <c r="U121" s="129">
        <v>11.199999999999996</v>
      </c>
      <c r="V121" s="129">
        <v>11.199999999999996</v>
      </c>
      <c r="W121" s="129">
        <v>11.199999999999996</v>
      </c>
      <c r="X121" s="129">
        <v>11.6</v>
      </c>
      <c r="Y121" s="27"/>
      <c r="Z121" s="129">
        <v>22.399999999999991</v>
      </c>
      <c r="AA121" s="129">
        <v>22.399999999999991</v>
      </c>
      <c r="AB121" s="129">
        <v>22.399999999999991</v>
      </c>
      <c r="AC121" s="129">
        <v>22.399999999999991</v>
      </c>
      <c r="AD121" s="129">
        <v>22.399999999999991</v>
      </c>
      <c r="AE121" s="129">
        <v>22.399999999999991</v>
      </c>
      <c r="AF121" s="129">
        <v>22.399999999999991</v>
      </c>
      <c r="AG121" s="129">
        <v>22.399999999999991</v>
      </c>
      <c r="AH121" s="129">
        <v>22.399999999999991</v>
      </c>
      <c r="AI121" s="129">
        <v>11.6</v>
      </c>
      <c r="AK121" s="129">
        <v>42.200000000000017</v>
      </c>
      <c r="AL121" s="129">
        <v>42.200000000000017</v>
      </c>
      <c r="AM121" s="129">
        <v>42.200000000000017</v>
      </c>
      <c r="AN121" s="129">
        <v>42.200000000000017</v>
      </c>
      <c r="AO121" s="129">
        <v>42.200000000000017</v>
      </c>
      <c r="AP121" s="129">
        <v>42.200000000000017</v>
      </c>
      <c r="AQ121" s="129">
        <v>42.200000000000017</v>
      </c>
      <c r="AR121" s="129">
        <v>42.200000000000017</v>
      </c>
      <c r="AS121" s="129">
        <v>42.200000000000017</v>
      </c>
      <c r="AT121" s="129">
        <v>11.6</v>
      </c>
      <c r="AV121" s="129">
        <v>43.600000000000009</v>
      </c>
      <c r="AW121" s="129">
        <v>43.600000000000009</v>
      </c>
      <c r="AX121" s="129">
        <v>43.600000000000009</v>
      </c>
      <c r="AY121" s="129">
        <v>43.600000000000009</v>
      </c>
      <c r="AZ121" s="129">
        <v>43.600000000000009</v>
      </c>
      <c r="BA121" s="129">
        <v>43.600000000000009</v>
      </c>
      <c r="BB121" s="129">
        <v>43.600000000000009</v>
      </c>
      <c r="BC121" s="129">
        <v>43.600000000000009</v>
      </c>
      <c r="BD121" s="129">
        <v>43.600000000000009</v>
      </c>
      <c r="BE121" s="129">
        <v>11.6</v>
      </c>
      <c r="BG121" s="129">
        <v>68.400000000000034</v>
      </c>
      <c r="BH121" s="129">
        <v>68.400000000000034</v>
      </c>
      <c r="BI121" s="129">
        <v>68.400000000000034</v>
      </c>
      <c r="BJ121" s="129">
        <v>68.400000000000034</v>
      </c>
      <c r="BK121" s="129">
        <v>68.400000000000034</v>
      </c>
      <c r="BL121" s="129">
        <v>68.400000000000034</v>
      </c>
      <c r="BM121" s="129">
        <v>68.400000000000034</v>
      </c>
      <c r="BN121" s="129">
        <v>68.400000000000034</v>
      </c>
      <c r="BO121" s="129">
        <v>68.400000000000034</v>
      </c>
      <c r="BP121" s="129">
        <v>11.6</v>
      </c>
      <c r="BR121" s="129">
        <v>68.400000000000034</v>
      </c>
      <c r="BS121" s="129">
        <v>68.400000000000034</v>
      </c>
      <c r="BT121" s="129">
        <v>68.400000000000034</v>
      </c>
      <c r="BU121" s="129">
        <v>68.400000000000034</v>
      </c>
      <c r="BV121" s="129">
        <v>68.400000000000034</v>
      </c>
      <c r="BW121" s="129">
        <v>68.400000000000034</v>
      </c>
      <c r="BX121" s="129">
        <v>68.400000000000034</v>
      </c>
      <c r="BY121" s="129">
        <v>68.400000000000034</v>
      </c>
      <c r="BZ121" s="129">
        <v>68.400000000000034</v>
      </c>
      <c r="CA121" s="129">
        <v>11.6</v>
      </c>
      <c r="CC121" s="129">
        <v>16.399999999999991</v>
      </c>
      <c r="CD121" s="129">
        <v>16.399999999999991</v>
      </c>
      <c r="CE121" s="129">
        <v>16.399999999999991</v>
      </c>
      <c r="CF121" s="129">
        <v>16.399999999999991</v>
      </c>
      <c r="CG121" s="129">
        <v>16.399999999999991</v>
      </c>
      <c r="CH121" s="129">
        <v>16.399999999999991</v>
      </c>
      <c r="CI121" s="129">
        <v>16.399999999999991</v>
      </c>
      <c r="CJ121" s="129">
        <v>16.399999999999991</v>
      </c>
      <c r="CK121" s="129">
        <v>16.399999999999991</v>
      </c>
      <c r="CL121" s="129">
        <v>11.6</v>
      </c>
      <c r="CN121" s="129">
        <v>19.800000000000004</v>
      </c>
      <c r="CO121" s="129">
        <v>19.800000000000004</v>
      </c>
      <c r="CP121" s="129">
        <v>19.800000000000004</v>
      </c>
      <c r="CQ121" s="129">
        <v>19.800000000000004</v>
      </c>
      <c r="CR121" s="129">
        <v>19.800000000000004</v>
      </c>
      <c r="CS121" s="129">
        <v>19.800000000000004</v>
      </c>
      <c r="CT121" s="129">
        <v>19.800000000000004</v>
      </c>
      <c r="CU121" s="129">
        <v>19.800000000000004</v>
      </c>
      <c r="CV121" s="129">
        <v>19.800000000000004</v>
      </c>
      <c r="CW121" s="129">
        <v>11.6</v>
      </c>
      <c r="CY121" s="129">
        <v>26.800000000000004</v>
      </c>
      <c r="CZ121" s="129">
        <v>26.800000000000004</v>
      </c>
      <c r="DA121" s="129">
        <v>26.800000000000004</v>
      </c>
      <c r="DB121" s="129">
        <v>26.800000000000004</v>
      </c>
      <c r="DC121" s="129">
        <v>26.800000000000004</v>
      </c>
      <c r="DD121" s="129">
        <v>26.800000000000004</v>
      </c>
      <c r="DE121" s="129">
        <v>26.800000000000004</v>
      </c>
      <c r="DF121" s="129">
        <v>26.800000000000004</v>
      </c>
      <c r="DG121" s="129">
        <v>26.800000000000004</v>
      </c>
      <c r="DH121" s="129">
        <v>11.6</v>
      </c>
      <c r="DJ121" s="129">
        <v>26.800000000000004</v>
      </c>
      <c r="DK121" s="129">
        <v>26.800000000000004</v>
      </c>
      <c r="DL121" s="129">
        <v>26.800000000000004</v>
      </c>
      <c r="DM121" s="129">
        <v>26.800000000000004</v>
      </c>
      <c r="DN121" s="129">
        <v>26.800000000000004</v>
      </c>
      <c r="DO121" s="129">
        <v>26.800000000000004</v>
      </c>
      <c r="DP121" s="129">
        <v>26.800000000000004</v>
      </c>
      <c r="DQ121" s="129">
        <v>26.800000000000004</v>
      </c>
      <c r="DR121" s="129">
        <v>26.800000000000004</v>
      </c>
      <c r="DS121" s="129">
        <v>11.6</v>
      </c>
      <c r="DW121" s="27">
        <v>16.199999999999996</v>
      </c>
      <c r="DX121" s="27">
        <v>16.199999999999996</v>
      </c>
      <c r="DY121" s="27">
        <v>16.199999999999996</v>
      </c>
      <c r="DZ121" s="27">
        <v>16.199999999999996</v>
      </c>
      <c r="EA121" s="27">
        <v>16.199999999999996</v>
      </c>
      <c r="EB121" s="27">
        <v>16.199999999999996</v>
      </c>
      <c r="EC121" s="27">
        <v>16.199999999999996</v>
      </c>
      <c r="ED121" s="27">
        <v>16.199999999999996</v>
      </c>
      <c r="EE121" s="27">
        <v>16.199999999999996</v>
      </c>
      <c r="EF121" s="129">
        <v>13.6</v>
      </c>
      <c r="EH121" s="27">
        <v>29.800000000000004</v>
      </c>
      <c r="EI121" s="27">
        <v>29.800000000000004</v>
      </c>
      <c r="EJ121" s="27">
        <v>29.800000000000004</v>
      </c>
      <c r="EK121" s="27">
        <v>29.800000000000004</v>
      </c>
      <c r="EL121" s="27">
        <v>29.800000000000004</v>
      </c>
      <c r="EM121" s="27">
        <v>29.800000000000004</v>
      </c>
      <c r="EN121" s="27">
        <v>29.800000000000004</v>
      </c>
      <c r="EO121" s="27">
        <v>29.800000000000004</v>
      </c>
      <c r="EP121" s="27">
        <v>29.800000000000004</v>
      </c>
      <c r="EQ121" s="129">
        <v>13.6</v>
      </c>
      <c r="ES121" s="27">
        <v>36.200000000000017</v>
      </c>
      <c r="ET121" s="27">
        <v>36.200000000000017</v>
      </c>
      <c r="EU121" s="27">
        <v>36.200000000000017</v>
      </c>
      <c r="EV121" s="27">
        <v>36.200000000000017</v>
      </c>
      <c r="EW121" s="27">
        <v>36.200000000000017</v>
      </c>
      <c r="EX121" s="27">
        <v>36.200000000000017</v>
      </c>
      <c r="EY121" s="27">
        <v>36.200000000000017</v>
      </c>
      <c r="EZ121" s="27">
        <v>36.200000000000017</v>
      </c>
      <c r="FA121" s="27">
        <v>36.200000000000017</v>
      </c>
      <c r="FB121" s="129">
        <v>13.6</v>
      </c>
      <c r="FD121" s="27">
        <v>37.200000000000017</v>
      </c>
      <c r="FE121" s="27">
        <v>37.200000000000017</v>
      </c>
      <c r="FF121" s="27">
        <v>37.200000000000017</v>
      </c>
      <c r="FG121" s="27">
        <v>37.200000000000017</v>
      </c>
      <c r="FH121" s="27">
        <v>37.200000000000017</v>
      </c>
      <c r="FI121" s="27">
        <v>37.200000000000017</v>
      </c>
      <c r="FJ121" s="27">
        <v>37.200000000000017</v>
      </c>
      <c r="FK121" s="27">
        <v>37.200000000000017</v>
      </c>
      <c r="FL121" s="27">
        <v>37.200000000000017</v>
      </c>
      <c r="FM121" s="129">
        <v>13.6</v>
      </c>
      <c r="FO121" s="27">
        <v>58</v>
      </c>
      <c r="FP121" s="27">
        <v>58</v>
      </c>
      <c r="FQ121" s="27">
        <v>58</v>
      </c>
      <c r="FR121" s="27">
        <v>58</v>
      </c>
      <c r="FS121" s="27">
        <v>58</v>
      </c>
      <c r="FT121" s="27">
        <v>58</v>
      </c>
      <c r="FU121" s="27">
        <v>58</v>
      </c>
      <c r="FV121" s="27">
        <v>58</v>
      </c>
      <c r="FW121" s="27">
        <v>58</v>
      </c>
      <c r="FX121" s="129">
        <v>13.6</v>
      </c>
      <c r="FZ121" s="27">
        <v>58</v>
      </c>
      <c r="GA121" s="27">
        <v>58</v>
      </c>
      <c r="GB121" s="27">
        <v>58</v>
      </c>
      <c r="GC121" s="27">
        <v>58</v>
      </c>
      <c r="GD121" s="27">
        <v>58</v>
      </c>
      <c r="GE121" s="27">
        <v>58</v>
      </c>
      <c r="GF121" s="27">
        <v>58</v>
      </c>
      <c r="GG121" s="27">
        <v>58</v>
      </c>
      <c r="GH121" s="27">
        <v>58</v>
      </c>
      <c r="GI121" s="129">
        <v>13.6</v>
      </c>
      <c r="GJ121" s="27"/>
      <c r="GK121" s="27">
        <v>13.400000000000002</v>
      </c>
      <c r="GL121" s="27">
        <v>13.400000000000002</v>
      </c>
      <c r="GM121" s="27">
        <v>13.400000000000002</v>
      </c>
      <c r="GN121" s="27">
        <v>13.400000000000002</v>
      </c>
      <c r="GO121" s="27">
        <v>13.400000000000002</v>
      </c>
      <c r="GP121" s="27">
        <v>13.400000000000002</v>
      </c>
      <c r="GQ121" s="27">
        <v>13.400000000000002</v>
      </c>
      <c r="GR121" s="27">
        <v>13.400000000000002</v>
      </c>
      <c r="GS121" s="27">
        <v>13.400000000000002</v>
      </c>
      <c r="GT121" s="129">
        <v>13.6</v>
      </c>
      <c r="GV121" s="27">
        <v>16.399999999999991</v>
      </c>
      <c r="GW121" s="27">
        <v>16.399999999999991</v>
      </c>
      <c r="GX121" s="27">
        <v>16.399999999999991</v>
      </c>
      <c r="GY121" s="27">
        <v>16.399999999999991</v>
      </c>
      <c r="GZ121" s="27">
        <v>16.399999999999991</v>
      </c>
      <c r="HA121" s="27">
        <v>16.399999999999991</v>
      </c>
      <c r="HB121" s="27">
        <v>16.399999999999991</v>
      </c>
      <c r="HC121" s="27">
        <v>16.399999999999991</v>
      </c>
      <c r="HD121" s="27">
        <v>16.399999999999991</v>
      </c>
      <c r="HE121" s="129">
        <v>13.6</v>
      </c>
      <c r="HG121" s="27">
        <v>22.800000000000004</v>
      </c>
      <c r="HH121" s="27">
        <v>22.800000000000004</v>
      </c>
      <c r="HI121" s="27">
        <v>22.800000000000004</v>
      </c>
      <c r="HJ121" s="27">
        <v>22.800000000000004</v>
      </c>
      <c r="HK121" s="27">
        <v>22.800000000000004</v>
      </c>
      <c r="HL121" s="27">
        <v>22.800000000000004</v>
      </c>
      <c r="HM121" s="27">
        <v>22.800000000000004</v>
      </c>
      <c r="HN121" s="27">
        <v>22.800000000000004</v>
      </c>
      <c r="HO121" s="27">
        <v>22.800000000000004</v>
      </c>
      <c r="HP121" s="129">
        <v>13.6</v>
      </c>
      <c r="HR121" s="27">
        <v>22.800000000000004</v>
      </c>
      <c r="HS121" s="27">
        <v>22.800000000000004</v>
      </c>
      <c r="HT121" s="27">
        <v>22.800000000000004</v>
      </c>
      <c r="HU121" s="27">
        <v>22.800000000000004</v>
      </c>
      <c r="HV121" s="27">
        <v>22.800000000000004</v>
      </c>
      <c r="HW121" s="27">
        <v>22.800000000000004</v>
      </c>
      <c r="HX121" s="27">
        <v>22.800000000000004</v>
      </c>
      <c r="HY121" s="27">
        <v>22.800000000000004</v>
      </c>
      <c r="HZ121" s="27">
        <v>22.800000000000004</v>
      </c>
      <c r="IA121" s="129">
        <v>13.6</v>
      </c>
    </row>
    <row r="122" spans="15:235" ht="3" customHeight="1">
      <c r="O122" s="129">
        <v>10.899999999999995</v>
      </c>
      <c r="P122" s="129">
        <v>10.899999999999995</v>
      </c>
      <c r="Q122" s="129">
        <v>10.899999999999995</v>
      </c>
      <c r="R122" s="129">
        <v>10.899999999999995</v>
      </c>
      <c r="S122" s="129">
        <v>10.899999999999995</v>
      </c>
      <c r="T122" s="129">
        <v>10.899999999999995</v>
      </c>
      <c r="U122" s="129">
        <v>10.899999999999995</v>
      </c>
      <c r="V122" s="129">
        <v>10.899999999999995</v>
      </c>
      <c r="W122" s="129">
        <v>10.899999999999995</v>
      </c>
      <c r="X122" s="129">
        <v>11.7</v>
      </c>
      <c r="Y122" s="27"/>
      <c r="Z122" s="129">
        <v>21.79999999999999</v>
      </c>
      <c r="AA122" s="129">
        <v>21.79999999999999</v>
      </c>
      <c r="AB122" s="129">
        <v>21.79999999999999</v>
      </c>
      <c r="AC122" s="129">
        <v>21.79999999999999</v>
      </c>
      <c r="AD122" s="129">
        <v>21.79999999999999</v>
      </c>
      <c r="AE122" s="129">
        <v>21.79999999999999</v>
      </c>
      <c r="AF122" s="129">
        <v>21.79999999999999</v>
      </c>
      <c r="AG122" s="129">
        <v>21.79999999999999</v>
      </c>
      <c r="AH122" s="129">
        <v>21.79999999999999</v>
      </c>
      <c r="AI122" s="129">
        <v>11.7</v>
      </c>
      <c r="AK122" s="129">
        <v>41.90000000000002</v>
      </c>
      <c r="AL122" s="129">
        <v>41.90000000000002</v>
      </c>
      <c r="AM122" s="129">
        <v>41.90000000000002</v>
      </c>
      <c r="AN122" s="129">
        <v>41.90000000000002</v>
      </c>
      <c r="AO122" s="129">
        <v>41.90000000000002</v>
      </c>
      <c r="AP122" s="129">
        <v>41.90000000000002</v>
      </c>
      <c r="AQ122" s="129">
        <v>41.90000000000002</v>
      </c>
      <c r="AR122" s="129">
        <v>41.90000000000002</v>
      </c>
      <c r="AS122" s="129">
        <v>41.90000000000002</v>
      </c>
      <c r="AT122" s="129">
        <v>11.7</v>
      </c>
      <c r="AV122" s="129">
        <v>43.20000000000001</v>
      </c>
      <c r="AW122" s="129">
        <v>43.20000000000001</v>
      </c>
      <c r="AX122" s="129">
        <v>43.20000000000001</v>
      </c>
      <c r="AY122" s="129">
        <v>43.20000000000001</v>
      </c>
      <c r="AZ122" s="129">
        <v>43.20000000000001</v>
      </c>
      <c r="BA122" s="129">
        <v>43.20000000000001</v>
      </c>
      <c r="BB122" s="129">
        <v>43.20000000000001</v>
      </c>
      <c r="BC122" s="129">
        <v>43.20000000000001</v>
      </c>
      <c r="BD122" s="129">
        <v>43.20000000000001</v>
      </c>
      <c r="BE122" s="129">
        <v>11.7</v>
      </c>
      <c r="BG122" s="129">
        <v>67.80000000000004</v>
      </c>
      <c r="BH122" s="129">
        <v>67.80000000000004</v>
      </c>
      <c r="BI122" s="129">
        <v>67.80000000000004</v>
      </c>
      <c r="BJ122" s="129">
        <v>67.80000000000004</v>
      </c>
      <c r="BK122" s="129">
        <v>67.80000000000004</v>
      </c>
      <c r="BL122" s="129">
        <v>67.80000000000004</v>
      </c>
      <c r="BM122" s="129">
        <v>67.80000000000004</v>
      </c>
      <c r="BN122" s="129">
        <v>67.80000000000004</v>
      </c>
      <c r="BO122" s="129">
        <v>67.80000000000004</v>
      </c>
      <c r="BP122" s="129">
        <v>11.7</v>
      </c>
      <c r="BR122" s="129">
        <v>67.80000000000004</v>
      </c>
      <c r="BS122" s="129">
        <v>67.80000000000004</v>
      </c>
      <c r="BT122" s="129">
        <v>67.80000000000004</v>
      </c>
      <c r="BU122" s="129">
        <v>67.80000000000004</v>
      </c>
      <c r="BV122" s="129">
        <v>67.80000000000004</v>
      </c>
      <c r="BW122" s="129">
        <v>67.80000000000004</v>
      </c>
      <c r="BX122" s="129">
        <v>67.80000000000004</v>
      </c>
      <c r="BY122" s="129">
        <v>67.80000000000004</v>
      </c>
      <c r="BZ122" s="129">
        <v>67.80000000000004</v>
      </c>
      <c r="CA122" s="129">
        <v>11.7</v>
      </c>
      <c r="CC122" s="129">
        <v>16.29999999999999</v>
      </c>
      <c r="CD122" s="129">
        <v>16.29999999999999</v>
      </c>
      <c r="CE122" s="129">
        <v>16.29999999999999</v>
      </c>
      <c r="CF122" s="129">
        <v>16.29999999999999</v>
      </c>
      <c r="CG122" s="129">
        <v>16.29999999999999</v>
      </c>
      <c r="CH122" s="129">
        <v>16.29999999999999</v>
      </c>
      <c r="CI122" s="129">
        <v>16.29999999999999</v>
      </c>
      <c r="CJ122" s="129">
        <v>16.29999999999999</v>
      </c>
      <c r="CK122" s="129">
        <v>16.29999999999999</v>
      </c>
      <c r="CL122" s="129">
        <v>11.7</v>
      </c>
      <c r="CN122" s="129">
        <v>19.600000000000005</v>
      </c>
      <c r="CO122" s="129">
        <v>19.600000000000005</v>
      </c>
      <c r="CP122" s="129">
        <v>19.600000000000005</v>
      </c>
      <c r="CQ122" s="129">
        <v>19.600000000000005</v>
      </c>
      <c r="CR122" s="129">
        <v>19.600000000000005</v>
      </c>
      <c r="CS122" s="129">
        <v>19.600000000000005</v>
      </c>
      <c r="CT122" s="129">
        <v>19.600000000000005</v>
      </c>
      <c r="CU122" s="129">
        <v>19.600000000000005</v>
      </c>
      <c r="CV122" s="129">
        <v>19.600000000000005</v>
      </c>
      <c r="CW122" s="129">
        <v>11.7</v>
      </c>
      <c r="CY122" s="129">
        <v>26.600000000000005</v>
      </c>
      <c r="CZ122" s="129">
        <v>26.600000000000005</v>
      </c>
      <c r="DA122" s="129">
        <v>26.600000000000005</v>
      </c>
      <c r="DB122" s="129">
        <v>26.600000000000005</v>
      </c>
      <c r="DC122" s="129">
        <v>26.600000000000005</v>
      </c>
      <c r="DD122" s="129">
        <v>26.600000000000005</v>
      </c>
      <c r="DE122" s="129">
        <v>26.600000000000005</v>
      </c>
      <c r="DF122" s="129">
        <v>26.600000000000005</v>
      </c>
      <c r="DG122" s="129">
        <v>26.600000000000005</v>
      </c>
      <c r="DH122" s="129">
        <v>11.7</v>
      </c>
      <c r="DJ122" s="129">
        <v>26.600000000000005</v>
      </c>
      <c r="DK122" s="129">
        <v>26.600000000000005</v>
      </c>
      <c r="DL122" s="129">
        <v>26.600000000000005</v>
      </c>
      <c r="DM122" s="129">
        <v>26.600000000000005</v>
      </c>
      <c r="DN122" s="129">
        <v>26.600000000000005</v>
      </c>
      <c r="DO122" s="129">
        <v>26.600000000000005</v>
      </c>
      <c r="DP122" s="129">
        <v>26.600000000000005</v>
      </c>
      <c r="DQ122" s="129">
        <v>26.600000000000005</v>
      </c>
      <c r="DR122" s="129">
        <v>26.600000000000005</v>
      </c>
      <c r="DS122" s="129">
        <v>11.7</v>
      </c>
      <c r="DW122" s="27">
        <v>15.899999999999995</v>
      </c>
      <c r="DX122" s="27">
        <v>15.899999999999995</v>
      </c>
      <c r="DY122" s="27">
        <v>15.899999999999995</v>
      </c>
      <c r="DZ122" s="27">
        <v>15.899999999999995</v>
      </c>
      <c r="EA122" s="27">
        <v>15.899999999999995</v>
      </c>
      <c r="EB122" s="27">
        <v>15.899999999999995</v>
      </c>
      <c r="EC122" s="27">
        <v>15.899999999999995</v>
      </c>
      <c r="ED122" s="27">
        <v>15.899999999999995</v>
      </c>
      <c r="EE122" s="27">
        <v>15.899999999999995</v>
      </c>
      <c r="EF122" s="129">
        <v>13.7</v>
      </c>
      <c r="EH122" s="27">
        <v>29.600000000000005</v>
      </c>
      <c r="EI122" s="27">
        <v>29.600000000000005</v>
      </c>
      <c r="EJ122" s="27">
        <v>29.600000000000005</v>
      </c>
      <c r="EK122" s="27">
        <v>29.600000000000005</v>
      </c>
      <c r="EL122" s="27">
        <v>29.600000000000005</v>
      </c>
      <c r="EM122" s="27">
        <v>29.600000000000005</v>
      </c>
      <c r="EN122" s="27">
        <v>29.600000000000005</v>
      </c>
      <c r="EO122" s="27">
        <v>29.600000000000005</v>
      </c>
      <c r="EP122" s="27">
        <v>29.600000000000005</v>
      </c>
      <c r="EQ122" s="129">
        <v>13.7</v>
      </c>
      <c r="ES122" s="27">
        <v>35.90000000000002</v>
      </c>
      <c r="ET122" s="27">
        <v>35.90000000000002</v>
      </c>
      <c r="EU122" s="27">
        <v>35.90000000000002</v>
      </c>
      <c r="EV122" s="27">
        <v>35.90000000000002</v>
      </c>
      <c r="EW122" s="27">
        <v>35.90000000000002</v>
      </c>
      <c r="EX122" s="27">
        <v>35.90000000000002</v>
      </c>
      <c r="EY122" s="27">
        <v>35.90000000000002</v>
      </c>
      <c r="EZ122" s="27">
        <v>35.90000000000002</v>
      </c>
      <c r="FA122" s="27">
        <v>35.90000000000002</v>
      </c>
      <c r="FB122" s="129">
        <v>13.7</v>
      </c>
      <c r="FD122" s="27">
        <v>36.90000000000002</v>
      </c>
      <c r="FE122" s="27">
        <v>36.90000000000002</v>
      </c>
      <c r="FF122" s="27">
        <v>36.90000000000002</v>
      </c>
      <c r="FG122" s="27">
        <v>36.90000000000002</v>
      </c>
      <c r="FH122" s="27">
        <v>36.90000000000002</v>
      </c>
      <c r="FI122" s="27">
        <v>36.90000000000002</v>
      </c>
      <c r="FJ122" s="27">
        <v>36.90000000000002</v>
      </c>
      <c r="FK122" s="27">
        <v>36.90000000000002</v>
      </c>
      <c r="FL122" s="27">
        <v>36.90000000000002</v>
      </c>
      <c r="FM122" s="129">
        <v>13.7</v>
      </c>
      <c r="FO122" s="27">
        <v>57.5</v>
      </c>
      <c r="FP122" s="27">
        <v>57.5</v>
      </c>
      <c r="FQ122" s="27">
        <v>57.5</v>
      </c>
      <c r="FR122" s="27">
        <v>57.5</v>
      </c>
      <c r="FS122" s="27">
        <v>57.5</v>
      </c>
      <c r="FT122" s="27">
        <v>57.5</v>
      </c>
      <c r="FU122" s="27">
        <v>57.5</v>
      </c>
      <c r="FV122" s="27">
        <v>57.5</v>
      </c>
      <c r="FW122" s="27">
        <v>57.5</v>
      </c>
      <c r="FX122" s="129">
        <v>13.7</v>
      </c>
      <c r="FZ122" s="27">
        <v>57.5</v>
      </c>
      <c r="GA122" s="27">
        <v>57.5</v>
      </c>
      <c r="GB122" s="27">
        <v>57.5</v>
      </c>
      <c r="GC122" s="27">
        <v>57.5</v>
      </c>
      <c r="GD122" s="27">
        <v>57.5</v>
      </c>
      <c r="GE122" s="27">
        <v>57.5</v>
      </c>
      <c r="GF122" s="27">
        <v>57.5</v>
      </c>
      <c r="GG122" s="27">
        <v>57.5</v>
      </c>
      <c r="GH122" s="27">
        <v>57.5</v>
      </c>
      <c r="GI122" s="129">
        <v>13.7</v>
      </c>
      <c r="GJ122" s="27"/>
      <c r="GK122" s="27">
        <v>13.300000000000002</v>
      </c>
      <c r="GL122" s="27">
        <v>13.300000000000002</v>
      </c>
      <c r="GM122" s="27">
        <v>13.300000000000002</v>
      </c>
      <c r="GN122" s="27">
        <v>13.300000000000002</v>
      </c>
      <c r="GO122" s="27">
        <v>13.300000000000002</v>
      </c>
      <c r="GP122" s="27">
        <v>13.300000000000002</v>
      </c>
      <c r="GQ122" s="27">
        <v>13.300000000000002</v>
      </c>
      <c r="GR122" s="27">
        <v>13.300000000000002</v>
      </c>
      <c r="GS122" s="27">
        <v>13.300000000000002</v>
      </c>
      <c r="GT122" s="129">
        <v>13.7</v>
      </c>
      <c r="GV122" s="27">
        <v>16.29999999999999</v>
      </c>
      <c r="GW122" s="27">
        <v>16.29999999999999</v>
      </c>
      <c r="GX122" s="27">
        <v>16.29999999999999</v>
      </c>
      <c r="GY122" s="27">
        <v>16.29999999999999</v>
      </c>
      <c r="GZ122" s="27">
        <v>16.29999999999999</v>
      </c>
      <c r="HA122" s="27">
        <v>16.29999999999999</v>
      </c>
      <c r="HB122" s="27">
        <v>16.29999999999999</v>
      </c>
      <c r="HC122" s="27">
        <v>16.29999999999999</v>
      </c>
      <c r="HD122" s="27">
        <v>16.29999999999999</v>
      </c>
      <c r="HE122" s="129">
        <v>13.7</v>
      </c>
      <c r="HG122" s="27">
        <v>22.600000000000005</v>
      </c>
      <c r="HH122" s="27">
        <v>22.600000000000005</v>
      </c>
      <c r="HI122" s="27">
        <v>22.600000000000005</v>
      </c>
      <c r="HJ122" s="27">
        <v>22.600000000000005</v>
      </c>
      <c r="HK122" s="27">
        <v>22.600000000000005</v>
      </c>
      <c r="HL122" s="27">
        <v>22.600000000000005</v>
      </c>
      <c r="HM122" s="27">
        <v>22.600000000000005</v>
      </c>
      <c r="HN122" s="27">
        <v>22.600000000000005</v>
      </c>
      <c r="HO122" s="27">
        <v>22.600000000000005</v>
      </c>
      <c r="HP122" s="129">
        <v>13.7</v>
      </c>
      <c r="HR122" s="27">
        <v>22.600000000000005</v>
      </c>
      <c r="HS122" s="27">
        <v>22.600000000000005</v>
      </c>
      <c r="HT122" s="27">
        <v>22.600000000000005</v>
      </c>
      <c r="HU122" s="27">
        <v>22.600000000000005</v>
      </c>
      <c r="HV122" s="27">
        <v>22.600000000000005</v>
      </c>
      <c r="HW122" s="27">
        <v>22.600000000000005</v>
      </c>
      <c r="HX122" s="27">
        <v>22.600000000000005</v>
      </c>
      <c r="HY122" s="27">
        <v>22.600000000000005</v>
      </c>
      <c r="HZ122" s="27">
        <v>22.600000000000005</v>
      </c>
      <c r="IA122" s="129">
        <v>13.7</v>
      </c>
    </row>
    <row r="123" spans="15:235" ht="3" customHeight="1">
      <c r="O123" s="129">
        <v>10.599999999999994</v>
      </c>
      <c r="P123" s="129">
        <v>10.599999999999994</v>
      </c>
      <c r="Q123" s="129">
        <v>10.599999999999994</v>
      </c>
      <c r="R123" s="129">
        <v>10.599999999999994</v>
      </c>
      <c r="S123" s="129">
        <v>10.599999999999994</v>
      </c>
      <c r="T123" s="129">
        <v>10.599999999999994</v>
      </c>
      <c r="U123" s="129">
        <v>10.599999999999994</v>
      </c>
      <c r="V123" s="129">
        <v>10.599999999999994</v>
      </c>
      <c r="W123" s="129">
        <v>10.599999999999994</v>
      </c>
      <c r="X123" s="129">
        <v>11.8</v>
      </c>
      <c r="Y123" s="27"/>
      <c r="Z123" s="129">
        <v>21.199999999999989</v>
      </c>
      <c r="AA123" s="129">
        <v>21.199999999999989</v>
      </c>
      <c r="AB123" s="129">
        <v>21.199999999999989</v>
      </c>
      <c r="AC123" s="129">
        <v>21.199999999999989</v>
      </c>
      <c r="AD123" s="129">
        <v>21.199999999999989</v>
      </c>
      <c r="AE123" s="129">
        <v>21.199999999999989</v>
      </c>
      <c r="AF123" s="129">
        <v>21.199999999999989</v>
      </c>
      <c r="AG123" s="129">
        <v>21.199999999999989</v>
      </c>
      <c r="AH123" s="129">
        <v>21.199999999999989</v>
      </c>
      <c r="AI123" s="129">
        <v>11.8</v>
      </c>
      <c r="AK123" s="129">
        <v>41.600000000000023</v>
      </c>
      <c r="AL123" s="129">
        <v>41.600000000000023</v>
      </c>
      <c r="AM123" s="129">
        <v>41.600000000000023</v>
      </c>
      <c r="AN123" s="129">
        <v>41.600000000000023</v>
      </c>
      <c r="AO123" s="129">
        <v>41.600000000000023</v>
      </c>
      <c r="AP123" s="129">
        <v>41.600000000000023</v>
      </c>
      <c r="AQ123" s="129">
        <v>41.600000000000023</v>
      </c>
      <c r="AR123" s="129">
        <v>41.600000000000023</v>
      </c>
      <c r="AS123" s="129">
        <v>41.600000000000023</v>
      </c>
      <c r="AT123" s="129">
        <v>11.8</v>
      </c>
      <c r="AV123" s="129">
        <v>42.800000000000011</v>
      </c>
      <c r="AW123" s="129">
        <v>42.800000000000011</v>
      </c>
      <c r="AX123" s="129">
        <v>42.800000000000011</v>
      </c>
      <c r="AY123" s="129">
        <v>42.800000000000011</v>
      </c>
      <c r="AZ123" s="129">
        <v>42.800000000000011</v>
      </c>
      <c r="BA123" s="129">
        <v>42.800000000000011</v>
      </c>
      <c r="BB123" s="129">
        <v>42.800000000000011</v>
      </c>
      <c r="BC123" s="129">
        <v>42.800000000000011</v>
      </c>
      <c r="BD123" s="129">
        <v>42.800000000000011</v>
      </c>
      <c r="BE123" s="129">
        <v>11.8</v>
      </c>
      <c r="BG123" s="129">
        <v>67.200000000000045</v>
      </c>
      <c r="BH123" s="129">
        <v>67.200000000000045</v>
      </c>
      <c r="BI123" s="129">
        <v>67.200000000000045</v>
      </c>
      <c r="BJ123" s="129">
        <v>67.200000000000045</v>
      </c>
      <c r="BK123" s="129">
        <v>67.200000000000045</v>
      </c>
      <c r="BL123" s="129">
        <v>67.200000000000045</v>
      </c>
      <c r="BM123" s="129">
        <v>67.200000000000045</v>
      </c>
      <c r="BN123" s="129">
        <v>67.200000000000045</v>
      </c>
      <c r="BO123" s="129">
        <v>67.200000000000045</v>
      </c>
      <c r="BP123" s="129">
        <v>11.8</v>
      </c>
      <c r="BR123" s="129">
        <v>67.200000000000045</v>
      </c>
      <c r="BS123" s="129">
        <v>67.200000000000045</v>
      </c>
      <c r="BT123" s="129">
        <v>67.200000000000045</v>
      </c>
      <c r="BU123" s="129">
        <v>67.200000000000045</v>
      </c>
      <c r="BV123" s="129">
        <v>67.200000000000045</v>
      </c>
      <c r="BW123" s="129">
        <v>67.200000000000045</v>
      </c>
      <c r="BX123" s="129">
        <v>67.200000000000045</v>
      </c>
      <c r="BY123" s="129">
        <v>67.200000000000045</v>
      </c>
      <c r="BZ123" s="129">
        <v>67.200000000000045</v>
      </c>
      <c r="CA123" s="129">
        <v>11.8</v>
      </c>
      <c r="CC123" s="129">
        <v>16.199999999999989</v>
      </c>
      <c r="CD123" s="129">
        <v>16.199999999999989</v>
      </c>
      <c r="CE123" s="129">
        <v>16.199999999999989</v>
      </c>
      <c r="CF123" s="129">
        <v>16.199999999999989</v>
      </c>
      <c r="CG123" s="129">
        <v>16.199999999999989</v>
      </c>
      <c r="CH123" s="129">
        <v>16.199999999999989</v>
      </c>
      <c r="CI123" s="129">
        <v>16.199999999999989</v>
      </c>
      <c r="CJ123" s="129">
        <v>16.199999999999989</v>
      </c>
      <c r="CK123" s="129">
        <v>16.199999999999989</v>
      </c>
      <c r="CL123" s="129">
        <v>11.8</v>
      </c>
      <c r="CN123" s="129">
        <v>19.400000000000006</v>
      </c>
      <c r="CO123" s="129">
        <v>19.400000000000006</v>
      </c>
      <c r="CP123" s="129">
        <v>19.400000000000006</v>
      </c>
      <c r="CQ123" s="129">
        <v>19.400000000000006</v>
      </c>
      <c r="CR123" s="129">
        <v>19.400000000000006</v>
      </c>
      <c r="CS123" s="129">
        <v>19.400000000000006</v>
      </c>
      <c r="CT123" s="129">
        <v>19.400000000000006</v>
      </c>
      <c r="CU123" s="129">
        <v>19.400000000000006</v>
      </c>
      <c r="CV123" s="129">
        <v>19.400000000000006</v>
      </c>
      <c r="CW123" s="129">
        <v>11.8</v>
      </c>
      <c r="CY123" s="129">
        <v>26.400000000000006</v>
      </c>
      <c r="CZ123" s="129">
        <v>26.400000000000006</v>
      </c>
      <c r="DA123" s="129">
        <v>26.400000000000006</v>
      </c>
      <c r="DB123" s="129">
        <v>26.400000000000006</v>
      </c>
      <c r="DC123" s="129">
        <v>26.400000000000006</v>
      </c>
      <c r="DD123" s="129">
        <v>26.400000000000006</v>
      </c>
      <c r="DE123" s="129">
        <v>26.400000000000006</v>
      </c>
      <c r="DF123" s="129">
        <v>26.400000000000006</v>
      </c>
      <c r="DG123" s="129">
        <v>26.400000000000006</v>
      </c>
      <c r="DH123" s="129">
        <v>11.8</v>
      </c>
      <c r="DJ123" s="129">
        <v>26.400000000000006</v>
      </c>
      <c r="DK123" s="129">
        <v>26.400000000000006</v>
      </c>
      <c r="DL123" s="129">
        <v>26.400000000000006</v>
      </c>
      <c r="DM123" s="129">
        <v>26.400000000000006</v>
      </c>
      <c r="DN123" s="129">
        <v>26.400000000000006</v>
      </c>
      <c r="DO123" s="129">
        <v>26.400000000000006</v>
      </c>
      <c r="DP123" s="129">
        <v>26.400000000000006</v>
      </c>
      <c r="DQ123" s="129">
        <v>26.400000000000006</v>
      </c>
      <c r="DR123" s="129">
        <v>26.400000000000006</v>
      </c>
      <c r="DS123" s="129">
        <v>11.8</v>
      </c>
      <c r="DW123" s="27">
        <v>15.599999999999994</v>
      </c>
      <c r="DX123" s="27">
        <v>15.599999999999994</v>
      </c>
      <c r="DY123" s="27">
        <v>15.599999999999994</v>
      </c>
      <c r="DZ123" s="27">
        <v>15.599999999999994</v>
      </c>
      <c r="EA123" s="27">
        <v>15.599999999999994</v>
      </c>
      <c r="EB123" s="27">
        <v>15.599999999999994</v>
      </c>
      <c r="EC123" s="27">
        <v>15.599999999999994</v>
      </c>
      <c r="ED123" s="27">
        <v>15.599999999999994</v>
      </c>
      <c r="EE123" s="27">
        <v>15.599999999999994</v>
      </c>
      <c r="EF123" s="129">
        <v>13.8</v>
      </c>
      <c r="EH123" s="27">
        <v>29.400000000000006</v>
      </c>
      <c r="EI123" s="27">
        <v>29.400000000000006</v>
      </c>
      <c r="EJ123" s="27">
        <v>29.400000000000006</v>
      </c>
      <c r="EK123" s="27">
        <v>29.400000000000006</v>
      </c>
      <c r="EL123" s="27">
        <v>29.400000000000006</v>
      </c>
      <c r="EM123" s="27">
        <v>29.400000000000006</v>
      </c>
      <c r="EN123" s="27">
        <v>29.400000000000006</v>
      </c>
      <c r="EO123" s="27">
        <v>29.400000000000006</v>
      </c>
      <c r="EP123" s="27">
        <v>29.400000000000006</v>
      </c>
      <c r="EQ123" s="129">
        <v>13.8</v>
      </c>
      <c r="ES123" s="27">
        <v>35.600000000000023</v>
      </c>
      <c r="ET123" s="27">
        <v>35.600000000000023</v>
      </c>
      <c r="EU123" s="27">
        <v>35.600000000000023</v>
      </c>
      <c r="EV123" s="27">
        <v>35.600000000000023</v>
      </c>
      <c r="EW123" s="27">
        <v>35.600000000000023</v>
      </c>
      <c r="EX123" s="27">
        <v>35.600000000000023</v>
      </c>
      <c r="EY123" s="27">
        <v>35.600000000000023</v>
      </c>
      <c r="EZ123" s="27">
        <v>35.600000000000023</v>
      </c>
      <c r="FA123" s="27">
        <v>35.600000000000023</v>
      </c>
      <c r="FB123" s="129">
        <v>13.8</v>
      </c>
      <c r="FD123" s="27">
        <v>36.600000000000023</v>
      </c>
      <c r="FE123" s="27">
        <v>36.600000000000023</v>
      </c>
      <c r="FF123" s="27">
        <v>36.600000000000023</v>
      </c>
      <c r="FG123" s="27">
        <v>36.600000000000023</v>
      </c>
      <c r="FH123" s="27">
        <v>36.600000000000023</v>
      </c>
      <c r="FI123" s="27">
        <v>36.600000000000023</v>
      </c>
      <c r="FJ123" s="27">
        <v>36.600000000000023</v>
      </c>
      <c r="FK123" s="27">
        <v>36.600000000000023</v>
      </c>
      <c r="FL123" s="27">
        <v>36.600000000000023</v>
      </c>
      <c r="FM123" s="129">
        <v>13.8</v>
      </c>
      <c r="FO123" s="27">
        <v>57</v>
      </c>
      <c r="FP123" s="27">
        <v>57</v>
      </c>
      <c r="FQ123" s="27">
        <v>57</v>
      </c>
      <c r="FR123" s="27">
        <v>57</v>
      </c>
      <c r="FS123" s="27">
        <v>57</v>
      </c>
      <c r="FT123" s="27">
        <v>57</v>
      </c>
      <c r="FU123" s="27">
        <v>57</v>
      </c>
      <c r="FV123" s="27">
        <v>57</v>
      </c>
      <c r="FW123" s="27">
        <v>57</v>
      </c>
      <c r="FX123" s="129">
        <v>13.8</v>
      </c>
      <c r="FZ123" s="27">
        <v>57</v>
      </c>
      <c r="GA123" s="27">
        <v>57</v>
      </c>
      <c r="GB123" s="27">
        <v>57</v>
      </c>
      <c r="GC123" s="27">
        <v>57</v>
      </c>
      <c r="GD123" s="27">
        <v>57</v>
      </c>
      <c r="GE123" s="27">
        <v>57</v>
      </c>
      <c r="GF123" s="27">
        <v>57</v>
      </c>
      <c r="GG123" s="27">
        <v>57</v>
      </c>
      <c r="GH123" s="27">
        <v>57</v>
      </c>
      <c r="GI123" s="129">
        <v>13.8</v>
      </c>
      <c r="GJ123" s="27"/>
      <c r="GK123" s="27">
        <v>13.200000000000003</v>
      </c>
      <c r="GL123" s="27">
        <v>13.200000000000003</v>
      </c>
      <c r="GM123" s="27">
        <v>13.200000000000003</v>
      </c>
      <c r="GN123" s="27">
        <v>13.200000000000003</v>
      </c>
      <c r="GO123" s="27">
        <v>13.200000000000003</v>
      </c>
      <c r="GP123" s="27">
        <v>13.200000000000003</v>
      </c>
      <c r="GQ123" s="27">
        <v>13.200000000000003</v>
      </c>
      <c r="GR123" s="27">
        <v>13.200000000000003</v>
      </c>
      <c r="GS123" s="27">
        <v>13.200000000000003</v>
      </c>
      <c r="GT123" s="129">
        <v>13.8</v>
      </c>
      <c r="GV123" s="27">
        <v>16.199999999999989</v>
      </c>
      <c r="GW123" s="27">
        <v>16.199999999999989</v>
      </c>
      <c r="GX123" s="27">
        <v>16.199999999999989</v>
      </c>
      <c r="GY123" s="27">
        <v>16.199999999999989</v>
      </c>
      <c r="GZ123" s="27">
        <v>16.199999999999989</v>
      </c>
      <c r="HA123" s="27">
        <v>16.199999999999989</v>
      </c>
      <c r="HB123" s="27">
        <v>16.199999999999989</v>
      </c>
      <c r="HC123" s="27">
        <v>16.199999999999989</v>
      </c>
      <c r="HD123" s="27">
        <v>16.199999999999989</v>
      </c>
      <c r="HE123" s="129">
        <v>13.8</v>
      </c>
      <c r="HG123" s="27">
        <v>22.400000000000006</v>
      </c>
      <c r="HH123" s="27">
        <v>22.400000000000006</v>
      </c>
      <c r="HI123" s="27">
        <v>22.400000000000006</v>
      </c>
      <c r="HJ123" s="27">
        <v>22.400000000000006</v>
      </c>
      <c r="HK123" s="27">
        <v>22.400000000000006</v>
      </c>
      <c r="HL123" s="27">
        <v>22.400000000000006</v>
      </c>
      <c r="HM123" s="27">
        <v>22.400000000000006</v>
      </c>
      <c r="HN123" s="27">
        <v>22.400000000000006</v>
      </c>
      <c r="HO123" s="27">
        <v>22.400000000000006</v>
      </c>
      <c r="HP123" s="129">
        <v>13.8</v>
      </c>
      <c r="HR123" s="27">
        <v>22.400000000000006</v>
      </c>
      <c r="HS123" s="27">
        <v>22.400000000000006</v>
      </c>
      <c r="HT123" s="27">
        <v>22.400000000000006</v>
      </c>
      <c r="HU123" s="27">
        <v>22.400000000000006</v>
      </c>
      <c r="HV123" s="27">
        <v>22.400000000000006</v>
      </c>
      <c r="HW123" s="27">
        <v>22.400000000000006</v>
      </c>
      <c r="HX123" s="27">
        <v>22.400000000000006</v>
      </c>
      <c r="HY123" s="27">
        <v>22.400000000000006</v>
      </c>
      <c r="HZ123" s="27">
        <v>22.400000000000006</v>
      </c>
      <c r="IA123" s="129">
        <v>13.8</v>
      </c>
    </row>
    <row r="124" spans="15:235" ht="3" customHeight="1">
      <c r="O124" s="129">
        <v>10.299999999999994</v>
      </c>
      <c r="P124" s="129">
        <v>10.299999999999994</v>
      </c>
      <c r="Q124" s="129">
        <v>10.299999999999994</v>
      </c>
      <c r="R124" s="129">
        <v>10.299999999999994</v>
      </c>
      <c r="S124" s="129">
        <v>10.299999999999994</v>
      </c>
      <c r="T124" s="129">
        <v>10.299999999999994</v>
      </c>
      <c r="U124" s="129">
        <v>10.299999999999994</v>
      </c>
      <c r="V124" s="129">
        <v>10.299999999999994</v>
      </c>
      <c r="W124" s="129">
        <v>10.299999999999994</v>
      </c>
      <c r="X124" s="129">
        <v>11.9</v>
      </c>
      <c r="Y124" s="27"/>
      <c r="Z124" s="129">
        <v>20.599999999999987</v>
      </c>
      <c r="AA124" s="129">
        <v>20.599999999999987</v>
      </c>
      <c r="AB124" s="129">
        <v>20.599999999999987</v>
      </c>
      <c r="AC124" s="129">
        <v>20.599999999999987</v>
      </c>
      <c r="AD124" s="129">
        <v>20.599999999999987</v>
      </c>
      <c r="AE124" s="129">
        <v>20.599999999999987</v>
      </c>
      <c r="AF124" s="129">
        <v>20.599999999999987</v>
      </c>
      <c r="AG124" s="129">
        <v>20.599999999999987</v>
      </c>
      <c r="AH124" s="129">
        <v>20.599999999999987</v>
      </c>
      <c r="AI124" s="129">
        <v>11.9</v>
      </c>
      <c r="AK124" s="129">
        <v>41.300000000000026</v>
      </c>
      <c r="AL124" s="129">
        <v>41.300000000000026</v>
      </c>
      <c r="AM124" s="129">
        <v>41.300000000000026</v>
      </c>
      <c r="AN124" s="129">
        <v>41.300000000000026</v>
      </c>
      <c r="AO124" s="129">
        <v>41.300000000000026</v>
      </c>
      <c r="AP124" s="129">
        <v>41.300000000000026</v>
      </c>
      <c r="AQ124" s="129">
        <v>41.300000000000026</v>
      </c>
      <c r="AR124" s="129">
        <v>41.300000000000026</v>
      </c>
      <c r="AS124" s="129">
        <v>41.300000000000026</v>
      </c>
      <c r="AT124" s="129">
        <v>11.9</v>
      </c>
      <c r="AV124" s="129">
        <v>42.400000000000013</v>
      </c>
      <c r="AW124" s="129">
        <v>42.400000000000013</v>
      </c>
      <c r="AX124" s="129">
        <v>42.400000000000013</v>
      </c>
      <c r="AY124" s="129">
        <v>42.400000000000013</v>
      </c>
      <c r="AZ124" s="129">
        <v>42.400000000000013</v>
      </c>
      <c r="BA124" s="129">
        <v>42.400000000000013</v>
      </c>
      <c r="BB124" s="129">
        <v>42.400000000000013</v>
      </c>
      <c r="BC124" s="129">
        <v>42.400000000000013</v>
      </c>
      <c r="BD124" s="129">
        <v>42.400000000000013</v>
      </c>
      <c r="BE124" s="129">
        <v>11.9</v>
      </c>
      <c r="BG124" s="129">
        <v>66.600000000000051</v>
      </c>
      <c r="BH124" s="129">
        <v>66.600000000000051</v>
      </c>
      <c r="BI124" s="129">
        <v>66.600000000000051</v>
      </c>
      <c r="BJ124" s="129">
        <v>66.600000000000051</v>
      </c>
      <c r="BK124" s="129">
        <v>66.600000000000051</v>
      </c>
      <c r="BL124" s="129">
        <v>66.600000000000051</v>
      </c>
      <c r="BM124" s="129">
        <v>66.600000000000051</v>
      </c>
      <c r="BN124" s="129">
        <v>66.600000000000051</v>
      </c>
      <c r="BO124" s="129">
        <v>66.600000000000051</v>
      </c>
      <c r="BP124" s="129">
        <v>11.9</v>
      </c>
      <c r="BR124" s="129">
        <v>66.600000000000051</v>
      </c>
      <c r="BS124" s="129">
        <v>66.600000000000051</v>
      </c>
      <c r="BT124" s="129">
        <v>66.600000000000051</v>
      </c>
      <c r="BU124" s="129">
        <v>66.600000000000051</v>
      </c>
      <c r="BV124" s="129">
        <v>66.600000000000051</v>
      </c>
      <c r="BW124" s="129">
        <v>66.600000000000051</v>
      </c>
      <c r="BX124" s="129">
        <v>66.600000000000051</v>
      </c>
      <c r="BY124" s="129">
        <v>66.600000000000051</v>
      </c>
      <c r="BZ124" s="129">
        <v>66.600000000000051</v>
      </c>
      <c r="CA124" s="129">
        <v>11.9</v>
      </c>
      <c r="CC124" s="129">
        <v>16.099999999999987</v>
      </c>
      <c r="CD124" s="129">
        <v>16.099999999999987</v>
      </c>
      <c r="CE124" s="129">
        <v>16.099999999999987</v>
      </c>
      <c r="CF124" s="129">
        <v>16.099999999999987</v>
      </c>
      <c r="CG124" s="129">
        <v>16.099999999999987</v>
      </c>
      <c r="CH124" s="129">
        <v>16.099999999999987</v>
      </c>
      <c r="CI124" s="129">
        <v>16.099999999999987</v>
      </c>
      <c r="CJ124" s="129">
        <v>16.099999999999987</v>
      </c>
      <c r="CK124" s="129">
        <v>16.099999999999987</v>
      </c>
      <c r="CL124" s="129">
        <v>11.9</v>
      </c>
      <c r="CN124" s="129">
        <v>19.200000000000006</v>
      </c>
      <c r="CO124" s="129">
        <v>19.200000000000006</v>
      </c>
      <c r="CP124" s="129">
        <v>19.200000000000006</v>
      </c>
      <c r="CQ124" s="129">
        <v>19.200000000000006</v>
      </c>
      <c r="CR124" s="129">
        <v>19.200000000000006</v>
      </c>
      <c r="CS124" s="129">
        <v>19.200000000000006</v>
      </c>
      <c r="CT124" s="129">
        <v>19.200000000000006</v>
      </c>
      <c r="CU124" s="129">
        <v>19.200000000000006</v>
      </c>
      <c r="CV124" s="129">
        <v>19.200000000000006</v>
      </c>
      <c r="CW124" s="129">
        <v>11.9</v>
      </c>
      <c r="CY124" s="129">
        <v>26.200000000000006</v>
      </c>
      <c r="CZ124" s="129">
        <v>26.200000000000006</v>
      </c>
      <c r="DA124" s="129">
        <v>26.200000000000006</v>
      </c>
      <c r="DB124" s="129">
        <v>26.200000000000006</v>
      </c>
      <c r="DC124" s="129">
        <v>26.200000000000006</v>
      </c>
      <c r="DD124" s="129">
        <v>26.200000000000006</v>
      </c>
      <c r="DE124" s="129">
        <v>26.200000000000006</v>
      </c>
      <c r="DF124" s="129">
        <v>26.200000000000006</v>
      </c>
      <c r="DG124" s="129">
        <v>26.200000000000006</v>
      </c>
      <c r="DH124" s="129">
        <v>11.9</v>
      </c>
      <c r="DJ124" s="129">
        <v>26.200000000000006</v>
      </c>
      <c r="DK124" s="129">
        <v>26.200000000000006</v>
      </c>
      <c r="DL124" s="129">
        <v>26.200000000000006</v>
      </c>
      <c r="DM124" s="129">
        <v>26.200000000000006</v>
      </c>
      <c r="DN124" s="129">
        <v>26.200000000000006</v>
      </c>
      <c r="DO124" s="129">
        <v>26.200000000000006</v>
      </c>
      <c r="DP124" s="129">
        <v>26.200000000000006</v>
      </c>
      <c r="DQ124" s="129">
        <v>26.200000000000006</v>
      </c>
      <c r="DR124" s="129">
        <v>26.200000000000006</v>
      </c>
      <c r="DS124" s="129">
        <v>11.9</v>
      </c>
      <c r="DW124" s="27">
        <v>15.299999999999994</v>
      </c>
      <c r="DX124" s="27">
        <v>15.299999999999994</v>
      </c>
      <c r="DY124" s="27">
        <v>15.299999999999994</v>
      </c>
      <c r="DZ124" s="27">
        <v>15.299999999999994</v>
      </c>
      <c r="EA124" s="27">
        <v>15.299999999999994</v>
      </c>
      <c r="EB124" s="27">
        <v>15.299999999999994</v>
      </c>
      <c r="EC124" s="27">
        <v>15.299999999999994</v>
      </c>
      <c r="ED124" s="27">
        <v>15.299999999999994</v>
      </c>
      <c r="EE124" s="27">
        <v>15.299999999999994</v>
      </c>
      <c r="EF124" s="129">
        <v>13.9</v>
      </c>
      <c r="EH124" s="27">
        <v>29.200000000000006</v>
      </c>
      <c r="EI124" s="27">
        <v>29.200000000000006</v>
      </c>
      <c r="EJ124" s="27">
        <v>29.200000000000006</v>
      </c>
      <c r="EK124" s="27">
        <v>29.200000000000006</v>
      </c>
      <c r="EL124" s="27">
        <v>29.200000000000006</v>
      </c>
      <c r="EM124" s="27">
        <v>29.200000000000006</v>
      </c>
      <c r="EN124" s="27">
        <v>29.200000000000006</v>
      </c>
      <c r="EO124" s="27">
        <v>29.200000000000006</v>
      </c>
      <c r="EP124" s="27">
        <v>29.200000000000006</v>
      </c>
      <c r="EQ124" s="129">
        <v>13.9</v>
      </c>
      <c r="ES124" s="27">
        <v>35.300000000000026</v>
      </c>
      <c r="ET124" s="27">
        <v>35.300000000000026</v>
      </c>
      <c r="EU124" s="27">
        <v>35.300000000000026</v>
      </c>
      <c r="EV124" s="27">
        <v>35.300000000000026</v>
      </c>
      <c r="EW124" s="27">
        <v>35.300000000000026</v>
      </c>
      <c r="EX124" s="27">
        <v>35.300000000000026</v>
      </c>
      <c r="EY124" s="27">
        <v>35.300000000000026</v>
      </c>
      <c r="EZ124" s="27">
        <v>35.300000000000026</v>
      </c>
      <c r="FA124" s="27">
        <v>35.300000000000026</v>
      </c>
      <c r="FB124" s="129">
        <v>13.9</v>
      </c>
      <c r="FD124" s="27">
        <v>36.300000000000026</v>
      </c>
      <c r="FE124" s="27">
        <v>36.300000000000026</v>
      </c>
      <c r="FF124" s="27">
        <v>36.300000000000026</v>
      </c>
      <c r="FG124" s="27">
        <v>36.300000000000026</v>
      </c>
      <c r="FH124" s="27">
        <v>36.300000000000026</v>
      </c>
      <c r="FI124" s="27">
        <v>36.300000000000026</v>
      </c>
      <c r="FJ124" s="27">
        <v>36.300000000000026</v>
      </c>
      <c r="FK124" s="27">
        <v>36.300000000000026</v>
      </c>
      <c r="FL124" s="27">
        <v>36.300000000000026</v>
      </c>
      <c r="FM124" s="129">
        <v>13.9</v>
      </c>
      <c r="FO124" s="27">
        <v>56.5</v>
      </c>
      <c r="FP124" s="27">
        <v>56.5</v>
      </c>
      <c r="FQ124" s="27">
        <v>56.5</v>
      </c>
      <c r="FR124" s="27">
        <v>56.5</v>
      </c>
      <c r="FS124" s="27">
        <v>56.5</v>
      </c>
      <c r="FT124" s="27">
        <v>56.5</v>
      </c>
      <c r="FU124" s="27">
        <v>56.5</v>
      </c>
      <c r="FV124" s="27">
        <v>56.5</v>
      </c>
      <c r="FW124" s="27">
        <v>56.5</v>
      </c>
      <c r="FX124" s="129">
        <v>13.9</v>
      </c>
      <c r="FZ124" s="27">
        <v>56.5</v>
      </c>
      <c r="GA124" s="27">
        <v>56.5</v>
      </c>
      <c r="GB124" s="27">
        <v>56.5</v>
      </c>
      <c r="GC124" s="27">
        <v>56.5</v>
      </c>
      <c r="GD124" s="27">
        <v>56.5</v>
      </c>
      <c r="GE124" s="27">
        <v>56.5</v>
      </c>
      <c r="GF124" s="27">
        <v>56.5</v>
      </c>
      <c r="GG124" s="27">
        <v>56.5</v>
      </c>
      <c r="GH124" s="27">
        <v>56.5</v>
      </c>
      <c r="GI124" s="129">
        <v>13.9</v>
      </c>
      <c r="GJ124" s="27"/>
      <c r="GK124" s="27">
        <v>13.100000000000003</v>
      </c>
      <c r="GL124" s="27">
        <v>13.100000000000003</v>
      </c>
      <c r="GM124" s="27">
        <v>13.100000000000003</v>
      </c>
      <c r="GN124" s="27">
        <v>13.100000000000003</v>
      </c>
      <c r="GO124" s="27">
        <v>13.100000000000003</v>
      </c>
      <c r="GP124" s="27">
        <v>13.100000000000003</v>
      </c>
      <c r="GQ124" s="27">
        <v>13.100000000000003</v>
      </c>
      <c r="GR124" s="27">
        <v>13.100000000000003</v>
      </c>
      <c r="GS124" s="27">
        <v>13.100000000000003</v>
      </c>
      <c r="GT124" s="129">
        <v>13.9</v>
      </c>
      <c r="GV124" s="27">
        <v>16.099999999999987</v>
      </c>
      <c r="GW124" s="27">
        <v>16.099999999999987</v>
      </c>
      <c r="GX124" s="27">
        <v>16.099999999999987</v>
      </c>
      <c r="GY124" s="27">
        <v>16.099999999999987</v>
      </c>
      <c r="GZ124" s="27">
        <v>16.099999999999987</v>
      </c>
      <c r="HA124" s="27">
        <v>16.099999999999987</v>
      </c>
      <c r="HB124" s="27">
        <v>16.099999999999987</v>
      </c>
      <c r="HC124" s="27">
        <v>16.099999999999987</v>
      </c>
      <c r="HD124" s="27">
        <v>16.099999999999987</v>
      </c>
      <c r="HE124" s="129">
        <v>13.9</v>
      </c>
      <c r="HG124" s="27">
        <v>22.200000000000006</v>
      </c>
      <c r="HH124" s="27">
        <v>22.200000000000006</v>
      </c>
      <c r="HI124" s="27">
        <v>22.200000000000006</v>
      </c>
      <c r="HJ124" s="27">
        <v>22.200000000000006</v>
      </c>
      <c r="HK124" s="27">
        <v>22.200000000000006</v>
      </c>
      <c r="HL124" s="27">
        <v>22.200000000000006</v>
      </c>
      <c r="HM124" s="27">
        <v>22.200000000000006</v>
      </c>
      <c r="HN124" s="27">
        <v>22.200000000000006</v>
      </c>
      <c r="HO124" s="27">
        <v>22.200000000000006</v>
      </c>
      <c r="HP124" s="129">
        <v>13.9</v>
      </c>
      <c r="HR124" s="27">
        <v>22.200000000000006</v>
      </c>
      <c r="HS124" s="27">
        <v>22.200000000000006</v>
      </c>
      <c r="HT124" s="27">
        <v>22.200000000000006</v>
      </c>
      <c r="HU124" s="27">
        <v>22.200000000000006</v>
      </c>
      <c r="HV124" s="27">
        <v>22.200000000000006</v>
      </c>
      <c r="HW124" s="27">
        <v>22.200000000000006</v>
      </c>
      <c r="HX124" s="27">
        <v>22.200000000000006</v>
      </c>
      <c r="HY124" s="27">
        <v>22.200000000000006</v>
      </c>
      <c r="HZ124" s="27">
        <v>22.200000000000006</v>
      </c>
      <c r="IA124" s="129">
        <v>13.9</v>
      </c>
    </row>
    <row r="125" spans="15:235" ht="3" customHeight="1">
      <c r="O125" s="129">
        <v>10</v>
      </c>
      <c r="P125" s="129">
        <v>10</v>
      </c>
      <c r="Q125" s="129">
        <v>10</v>
      </c>
      <c r="R125" s="129">
        <v>10</v>
      </c>
      <c r="S125" s="129">
        <v>10</v>
      </c>
      <c r="T125" s="129">
        <v>10</v>
      </c>
      <c r="U125" s="129">
        <v>10</v>
      </c>
      <c r="V125" s="129">
        <v>10</v>
      </c>
      <c r="W125" s="129">
        <v>10</v>
      </c>
      <c r="X125" s="129">
        <v>12</v>
      </c>
      <c r="Y125" s="27"/>
      <c r="Z125" s="129">
        <v>20</v>
      </c>
      <c r="AA125" s="129">
        <v>20</v>
      </c>
      <c r="AB125" s="129">
        <v>20</v>
      </c>
      <c r="AC125" s="129">
        <v>20</v>
      </c>
      <c r="AD125" s="129">
        <v>20</v>
      </c>
      <c r="AE125" s="129">
        <v>20</v>
      </c>
      <c r="AF125" s="129">
        <v>20</v>
      </c>
      <c r="AG125" s="129">
        <v>20</v>
      </c>
      <c r="AH125" s="129">
        <v>20</v>
      </c>
      <c r="AI125" s="129">
        <v>12</v>
      </c>
      <c r="AK125" s="129">
        <v>41</v>
      </c>
      <c r="AL125" s="129">
        <v>41</v>
      </c>
      <c r="AM125" s="129">
        <v>41</v>
      </c>
      <c r="AN125" s="129">
        <v>41</v>
      </c>
      <c r="AO125" s="129">
        <v>41</v>
      </c>
      <c r="AP125" s="129">
        <v>41</v>
      </c>
      <c r="AQ125" s="129">
        <v>41</v>
      </c>
      <c r="AR125" s="129">
        <v>41</v>
      </c>
      <c r="AS125" s="129">
        <v>41</v>
      </c>
      <c r="AT125" s="129">
        <v>12</v>
      </c>
      <c r="AV125" s="129">
        <v>42</v>
      </c>
      <c r="AW125" s="129">
        <v>42</v>
      </c>
      <c r="AX125" s="129">
        <v>42</v>
      </c>
      <c r="AY125" s="129">
        <v>42</v>
      </c>
      <c r="AZ125" s="129">
        <v>42</v>
      </c>
      <c r="BA125" s="129">
        <v>42</v>
      </c>
      <c r="BB125" s="129">
        <v>42</v>
      </c>
      <c r="BC125" s="129">
        <v>42</v>
      </c>
      <c r="BD125" s="129">
        <v>42</v>
      </c>
      <c r="BE125" s="129">
        <v>12</v>
      </c>
      <c r="BG125" s="129">
        <v>66</v>
      </c>
      <c r="BH125" s="129">
        <v>66</v>
      </c>
      <c r="BI125" s="129">
        <v>66</v>
      </c>
      <c r="BJ125" s="129">
        <v>66</v>
      </c>
      <c r="BK125" s="129">
        <v>66</v>
      </c>
      <c r="BL125" s="129">
        <v>66</v>
      </c>
      <c r="BM125" s="129">
        <v>66</v>
      </c>
      <c r="BN125" s="129">
        <v>66</v>
      </c>
      <c r="BO125" s="129">
        <v>66</v>
      </c>
      <c r="BP125" s="129">
        <v>12</v>
      </c>
      <c r="BR125" s="129">
        <v>66</v>
      </c>
      <c r="BS125" s="129">
        <v>66</v>
      </c>
      <c r="BT125" s="129">
        <v>66</v>
      </c>
      <c r="BU125" s="129">
        <v>66</v>
      </c>
      <c r="BV125" s="129">
        <v>66</v>
      </c>
      <c r="BW125" s="129">
        <v>66</v>
      </c>
      <c r="BX125" s="129">
        <v>66</v>
      </c>
      <c r="BY125" s="129">
        <v>66</v>
      </c>
      <c r="BZ125" s="129">
        <v>66</v>
      </c>
      <c r="CA125" s="129">
        <v>12</v>
      </c>
      <c r="CC125" s="129">
        <v>16</v>
      </c>
      <c r="CD125" s="129">
        <v>16</v>
      </c>
      <c r="CE125" s="129">
        <v>16</v>
      </c>
      <c r="CF125" s="129">
        <v>16</v>
      </c>
      <c r="CG125" s="129">
        <v>16</v>
      </c>
      <c r="CH125" s="129">
        <v>16</v>
      </c>
      <c r="CI125" s="129">
        <v>16</v>
      </c>
      <c r="CJ125" s="129">
        <v>16</v>
      </c>
      <c r="CK125" s="129">
        <v>16</v>
      </c>
      <c r="CL125" s="129">
        <v>12</v>
      </c>
      <c r="CN125" s="129">
        <v>19</v>
      </c>
      <c r="CO125" s="129">
        <v>19</v>
      </c>
      <c r="CP125" s="129">
        <v>19</v>
      </c>
      <c r="CQ125" s="129">
        <v>19</v>
      </c>
      <c r="CR125" s="129">
        <v>19</v>
      </c>
      <c r="CS125" s="129">
        <v>19</v>
      </c>
      <c r="CT125" s="129">
        <v>19</v>
      </c>
      <c r="CU125" s="129">
        <v>19</v>
      </c>
      <c r="CV125" s="129">
        <v>19</v>
      </c>
      <c r="CW125" s="129">
        <v>12</v>
      </c>
      <c r="CY125" s="129">
        <v>26</v>
      </c>
      <c r="CZ125" s="129">
        <v>26</v>
      </c>
      <c r="DA125" s="129">
        <v>26</v>
      </c>
      <c r="DB125" s="129">
        <v>26</v>
      </c>
      <c r="DC125" s="129">
        <v>26</v>
      </c>
      <c r="DD125" s="129">
        <v>26</v>
      </c>
      <c r="DE125" s="129">
        <v>26</v>
      </c>
      <c r="DF125" s="129">
        <v>26</v>
      </c>
      <c r="DG125" s="129">
        <v>26</v>
      </c>
      <c r="DH125" s="129">
        <v>12</v>
      </c>
      <c r="DJ125" s="129">
        <v>26</v>
      </c>
      <c r="DK125" s="129">
        <v>26</v>
      </c>
      <c r="DL125" s="129">
        <v>26</v>
      </c>
      <c r="DM125" s="129">
        <v>26</v>
      </c>
      <c r="DN125" s="129">
        <v>26</v>
      </c>
      <c r="DO125" s="129">
        <v>26</v>
      </c>
      <c r="DP125" s="129">
        <v>26</v>
      </c>
      <c r="DQ125" s="129">
        <v>26</v>
      </c>
      <c r="DR125" s="129">
        <v>26</v>
      </c>
      <c r="DS125" s="129">
        <v>12</v>
      </c>
      <c r="DW125" s="27">
        <v>15</v>
      </c>
      <c r="DX125" s="27">
        <v>15</v>
      </c>
      <c r="DY125" s="27">
        <v>15</v>
      </c>
      <c r="DZ125" s="27">
        <v>15</v>
      </c>
      <c r="EA125" s="27">
        <v>15</v>
      </c>
      <c r="EB125" s="27">
        <v>15</v>
      </c>
      <c r="EC125" s="27">
        <v>15</v>
      </c>
      <c r="ED125" s="27">
        <v>15</v>
      </c>
      <c r="EE125" s="27">
        <v>15</v>
      </c>
      <c r="EF125" s="129">
        <v>14</v>
      </c>
      <c r="EH125" s="27">
        <v>29</v>
      </c>
      <c r="EI125" s="27">
        <v>29</v>
      </c>
      <c r="EJ125" s="27">
        <v>29</v>
      </c>
      <c r="EK125" s="27">
        <v>29</v>
      </c>
      <c r="EL125" s="27">
        <v>29</v>
      </c>
      <c r="EM125" s="27">
        <v>29</v>
      </c>
      <c r="EN125" s="27">
        <v>29</v>
      </c>
      <c r="EO125" s="27">
        <v>29</v>
      </c>
      <c r="EP125" s="27">
        <v>29</v>
      </c>
      <c r="EQ125" s="129">
        <v>14</v>
      </c>
      <c r="ES125" s="27">
        <v>35</v>
      </c>
      <c r="ET125" s="27">
        <v>35</v>
      </c>
      <c r="EU125" s="27">
        <v>35</v>
      </c>
      <c r="EV125" s="27">
        <v>35</v>
      </c>
      <c r="EW125" s="27">
        <v>35</v>
      </c>
      <c r="EX125" s="27">
        <v>35</v>
      </c>
      <c r="EY125" s="27">
        <v>35</v>
      </c>
      <c r="EZ125" s="27">
        <v>35</v>
      </c>
      <c r="FA125" s="27">
        <v>35</v>
      </c>
      <c r="FB125" s="129">
        <v>14</v>
      </c>
      <c r="FD125" s="27">
        <v>36</v>
      </c>
      <c r="FE125" s="27">
        <v>36</v>
      </c>
      <c r="FF125" s="27">
        <v>36</v>
      </c>
      <c r="FG125" s="27">
        <v>36</v>
      </c>
      <c r="FH125" s="27">
        <v>36</v>
      </c>
      <c r="FI125" s="27">
        <v>36</v>
      </c>
      <c r="FJ125" s="27">
        <v>36</v>
      </c>
      <c r="FK125" s="27">
        <v>36</v>
      </c>
      <c r="FL125" s="27">
        <v>36</v>
      </c>
      <c r="FM125" s="129">
        <v>14</v>
      </c>
      <c r="FO125" s="27">
        <v>56</v>
      </c>
      <c r="FP125" s="27">
        <v>56</v>
      </c>
      <c r="FQ125" s="27">
        <v>56</v>
      </c>
      <c r="FR125" s="27">
        <v>56</v>
      </c>
      <c r="FS125" s="27">
        <v>56</v>
      </c>
      <c r="FT125" s="27">
        <v>56</v>
      </c>
      <c r="FU125" s="27">
        <v>56</v>
      </c>
      <c r="FV125" s="27">
        <v>56</v>
      </c>
      <c r="FW125" s="27">
        <v>56</v>
      </c>
      <c r="FX125" s="129">
        <v>14</v>
      </c>
      <c r="FZ125" s="27">
        <v>56</v>
      </c>
      <c r="GA125" s="27">
        <v>56</v>
      </c>
      <c r="GB125" s="27">
        <v>56</v>
      </c>
      <c r="GC125" s="27">
        <v>56</v>
      </c>
      <c r="GD125" s="27">
        <v>56</v>
      </c>
      <c r="GE125" s="27">
        <v>56</v>
      </c>
      <c r="GF125" s="27">
        <v>56</v>
      </c>
      <c r="GG125" s="27">
        <v>56</v>
      </c>
      <c r="GH125" s="27">
        <v>56</v>
      </c>
      <c r="GI125" s="129">
        <v>14</v>
      </c>
      <c r="GJ125" s="27"/>
      <c r="GK125" s="27">
        <v>13</v>
      </c>
      <c r="GL125" s="27">
        <v>13</v>
      </c>
      <c r="GM125" s="27">
        <v>13</v>
      </c>
      <c r="GN125" s="27">
        <v>13</v>
      </c>
      <c r="GO125" s="27">
        <v>13</v>
      </c>
      <c r="GP125" s="27">
        <v>13</v>
      </c>
      <c r="GQ125" s="27">
        <v>13</v>
      </c>
      <c r="GR125" s="27">
        <v>13</v>
      </c>
      <c r="GS125" s="27">
        <v>13</v>
      </c>
      <c r="GT125" s="129">
        <v>14</v>
      </c>
      <c r="GV125" s="27">
        <v>16</v>
      </c>
      <c r="GW125" s="27">
        <v>16</v>
      </c>
      <c r="GX125" s="27">
        <v>16</v>
      </c>
      <c r="GY125" s="27">
        <v>16</v>
      </c>
      <c r="GZ125" s="27">
        <v>16</v>
      </c>
      <c r="HA125" s="27">
        <v>16</v>
      </c>
      <c r="HB125" s="27">
        <v>16</v>
      </c>
      <c r="HC125" s="27">
        <v>16</v>
      </c>
      <c r="HD125" s="27">
        <v>16</v>
      </c>
      <c r="HE125" s="129">
        <v>14</v>
      </c>
      <c r="HG125" s="27">
        <v>22</v>
      </c>
      <c r="HH125" s="27">
        <v>22</v>
      </c>
      <c r="HI125" s="27">
        <v>22</v>
      </c>
      <c r="HJ125" s="27">
        <v>22</v>
      </c>
      <c r="HK125" s="27">
        <v>22</v>
      </c>
      <c r="HL125" s="27">
        <v>22</v>
      </c>
      <c r="HM125" s="27">
        <v>22</v>
      </c>
      <c r="HN125" s="27">
        <v>22</v>
      </c>
      <c r="HO125" s="27">
        <v>22</v>
      </c>
      <c r="HP125" s="129">
        <v>14</v>
      </c>
      <c r="HR125" s="27">
        <v>22</v>
      </c>
      <c r="HS125" s="27">
        <v>22</v>
      </c>
      <c r="HT125" s="27">
        <v>22</v>
      </c>
      <c r="HU125" s="27">
        <v>22</v>
      </c>
      <c r="HV125" s="27">
        <v>22</v>
      </c>
      <c r="HW125" s="27">
        <v>22</v>
      </c>
      <c r="HX125" s="27">
        <v>22</v>
      </c>
      <c r="HY125" s="27">
        <v>22</v>
      </c>
      <c r="HZ125" s="27">
        <v>22</v>
      </c>
      <c r="IA125" s="129">
        <v>14</v>
      </c>
    </row>
    <row r="126" spans="15:235">
      <c r="O126" s="129">
        <v>9.8000000000000007</v>
      </c>
      <c r="P126" s="129">
        <v>9.8000000000000007</v>
      </c>
      <c r="Q126" s="129">
        <v>9.8000000000000007</v>
      </c>
      <c r="R126" s="129">
        <v>9.8000000000000007</v>
      </c>
      <c r="S126" s="129">
        <v>9.8000000000000007</v>
      </c>
      <c r="T126" s="129">
        <v>9.8000000000000007</v>
      </c>
      <c r="U126" s="129">
        <v>9.8000000000000007</v>
      </c>
      <c r="V126" s="129">
        <v>9.8000000000000007</v>
      </c>
      <c r="W126" s="129">
        <v>9.8000000000000007</v>
      </c>
      <c r="X126" s="129">
        <v>12.1</v>
      </c>
      <c r="Y126" s="27"/>
      <c r="Z126" s="129">
        <v>19.600000000000001</v>
      </c>
      <c r="AA126" s="129">
        <v>19.600000000000001</v>
      </c>
      <c r="AB126" s="129">
        <v>19.600000000000001</v>
      </c>
      <c r="AC126" s="129">
        <v>19.600000000000001</v>
      </c>
      <c r="AD126" s="129">
        <v>19.600000000000001</v>
      </c>
      <c r="AE126" s="129">
        <v>19.600000000000001</v>
      </c>
      <c r="AF126" s="129">
        <v>19.600000000000001</v>
      </c>
      <c r="AG126" s="129">
        <v>19.600000000000001</v>
      </c>
      <c r="AH126" s="129">
        <v>19.600000000000001</v>
      </c>
      <c r="AI126" s="129">
        <v>12.1</v>
      </c>
      <c r="AK126" s="129">
        <v>40.700000000000003</v>
      </c>
      <c r="AL126" s="129">
        <v>40.700000000000003</v>
      </c>
      <c r="AM126" s="129">
        <v>40.700000000000003</v>
      </c>
      <c r="AN126" s="129">
        <v>40.700000000000003</v>
      </c>
      <c r="AO126" s="129">
        <v>40.700000000000003</v>
      </c>
      <c r="AP126" s="129">
        <v>40.700000000000003</v>
      </c>
      <c r="AQ126" s="129">
        <v>40.700000000000003</v>
      </c>
      <c r="AR126" s="129">
        <v>40.700000000000003</v>
      </c>
      <c r="AS126" s="129">
        <v>40.700000000000003</v>
      </c>
      <c r="AT126" s="129">
        <v>12.1</v>
      </c>
      <c r="AV126" s="129">
        <v>41.7</v>
      </c>
      <c r="AW126" s="129">
        <v>41.7</v>
      </c>
      <c r="AX126" s="129">
        <v>41.7</v>
      </c>
      <c r="AY126" s="129">
        <v>41.7</v>
      </c>
      <c r="AZ126" s="129">
        <v>41.7</v>
      </c>
      <c r="BA126" s="129">
        <v>41.7</v>
      </c>
      <c r="BB126" s="129">
        <v>41.7</v>
      </c>
      <c r="BC126" s="129">
        <v>41.7</v>
      </c>
      <c r="BD126" s="129">
        <v>41.7</v>
      </c>
      <c r="BE126" s="129">
        <v>12.1</v>
      </c>
      <c r="BG126" s="129">
        <v>65.5</v>
      </c>
      <c r="BH126" s="129">
        <v>65.5</v>
      </c>
      <c r="BI126" s="129">
        <v>65.5</v>
      </c>
      <c r="BJ126" s="129">
        <v>65.5</v>
      </c>
      <c r="BK126" s="129">
        <v>65.5</v>
      </c>
      <c r="BL126" s="129">
        <v>65.5</v>
      </c>
      <c r="BM126" s="129">
        <v>65.5</v>
      </c>
      <c r="BN126" s="129">
        <v>65.5</v>
      </c>
      <c r="BO126" s="129">
        <v>65.5</v>
      </c>
      <c r="BP126" s="129">
        <v>12.1</v>
      </c>
      <c r="BR126" s="129">
        <v>65.5</v>
      </c>
      <c r="BS126" s="129">
        <v>65.5</v>
      </c>
      <c r="BT126" s="129">
        <v>65.5</v>
      </c>
      <c r="BU126" s="129">
        <v>65.5</v>
      </c>
      <c r="BV126" s="129">
        <v>65.5</v>
      </c>
      <c r="BW126" s="129">
        <v>65.5</v>
      </c>
      <c r="BX126" s="129">
        <v>65.5</v>
      </c>
      <c r="BY126" s="129">
        <v>65.5</v>
      </c>
      <c r="BZ126" s="129">
        <v>65.5</v>
      </c>
      <c r="CA126" s="129">
        <v>12.1</v>
      </c>
      <c r="CC126" s="129">
        <v>15.8</v>
      </c>
      <c r="CD126" s="129">
        <v>15.8</v>
      </c>
      <c r="CE126" s="129">
        <v>15.8</v>
      </c>
      <c r="CF126" s="129">
        <v>15.8</v>
      </c>
      <c r="CG126" s="129">
        <v>15.8</v>
      </c>
      <c r="CH126" s="129">
        <v>15.8</v>
      </c>
      <c r="CI126" s="129">
        <v>15.8</v>
      </c>
      <c r="CJ126" s="129">
        <v>15.8</v>
      </c>
      <c r="CK126" s="129">
        <v>15.8</v>
      </c>
      <c r="CL126" s="129">
        <v>12.1</v>
      </c>
      <c r="CN126" s="129">
        <v>18.8</v>
      </c>
      <c r="CO126" s="129">
        <v>18.8</v>
      </c>
      <c r="CP126" s="129">
        <v>18.8</v>
      </c>
      <c r="CQ126" s="129">
        <v>18.8</v>
      </c>
      <c r="CR126" s="129">
        <v>18.8</v>
      </c>
      <c r="CS126" s="129">
        <v>18.8</v>
      </c>
      <c r="CT126" s="129">
        <v>18.8</v>
      </c>
      <c r="CU126" s="129">
        <v>18.8</v>
      </c>
      <c r="CV126" s="129">
        <v>18.8</v>
      </c>
      <c r="CW126" s="129">
        <v>12.1</v>
      </c>
      <c r="CY126" s="129">
        <v>25.8</v>
      </c>
      <c r="CZ126" s="129">
        <v>25.8</v>
      </c>
      <c r="DA126" s="129">
        <v>25.8</v>
      </c>
      <c r="DB126" s="129">
        <v>25.8</v>
      </c>
      <c r="DC126" s="129">
        <v>25.8</v>
      </c>
      <c r="DD126" s="129">
        <v>25.8</v>
      </c>
      <c r="DE126" s="129">
        <v>25.8</v>
      </c>
      <c r="DF126" s="129">
        <v>25.8</v>
      </c>
      <c r="DG126" s="129">
        <v>25.8</v>
      </c>
      <c r="DH126" s="129">
        <v>12.1</v>
      </c>
      <c r="DJ126" s="129">
        <v>25.8</v>
      </c>
      <c r="DK126" s="129">
        <v>25.8</v>
      </c>
      <c r="DL126" s="129">
        <v>25.8</v>
      </c>
      <c r="DM126" s="129">
        <v>25.8</v>
      </c>
      <c r="DN126" s="129">
        <v>25.8</v>
      </c>
      <c r="DO126" s="129">
        <v>25.8</v>
      </c>
      <c r="DP126" s="129">
        <v>25.8</v>
      </c>
      <c r="DQ126" s="129">
        <v>25.8</v>
      </c>
      <c r="DR126" s="129">
        <v>25.8</v>
      </c>
      <c r="DS126" s="129">
        <v>12.1</v>
      </c>
      <c r="DW126" s="27">
        <v>14.7</v>
      </c>
      <c r="DX126" s="27">
        <v>14.7</v>
      </c>
      <c r="DY126" s="27">
        <v>14.7</v>
      </c>
      <c r="DZ126" s="27">
        <v>14.7</v>
      </c>
      <c r="EA126" s="27">
        <v>14.7</v>
      </c>
      <c r="EB126" s="27">
        <v>14.7</v>
      </c>
      <c r="EC126" s="27">
        <v>14.7</v>
      </c>
      <c r="ED126" s="27">
        <v>14.7</v>
      </c>
      <c r="EE126" s="27">
        <v>14.7</v>
      </c>
      <c r="EF126" s="129">
        <v>14.1</v>
      </c>
      <c r="EH126" s="27">
        <v>28.6</v>
      </c>
      <c r="EI126" s="27">
        <v>28.6</v>
      </c>
      <c r="EJ126" s="27">
        <v>28.6</v>
      </c>
      <c r="EK126" s="27">
        <v>28.6</v>
      </c>
      <c r="EL126" s="27">
        <v>28.6</v>
      </c>
      <c r="EM126" s="27">
        <v>28.6</v>
      </c>
      <c r="EN126" s="27">
        <v>28.6</v>
      </c>
      <c r="EO126" s="27">
        <v>28.6</v>
      </c>
      <c r="EP126" s="27">
        <v>28.6</v>
      </c>
      <c r="EQ126" s="129">
        <v>14.1</v>
      </c>
      <c r="ES126" s="27">
        <v>34.799999999999997</v>
      </c>
      <c r="ET126" s="27">
        <v>34.799999999999997</v>
      </c>
      <c r="EU126" s="27">
        <v>34.799999999999997</v>
      </c>
      <c r="EV126" s="27">
        <v>34.799999999999997</v>
      </c>
      <c r="EW126" s="27">
        <v>34.799999999999997</v>
      </c>
      <c r="EX126" s="27">
        <v>34.799999999999997</v>
      </c>
      <c r="EY126" s="27">
        <v>34.799999999999997</v>
      </c>
      <c r="EZ126" s="27">
        <v>34.799999999999997</v>
      </c>
      <c r="FA126" s="27">
        <v>34.799999999999997</v>
      </c>
      <c r="FB126" s="129">
        <v>14.1</v>
      </c>
      <c r="FD126" s="27">
        <v>35.799999999999997</v>
      </c>
      <c r="FE126" s="27">
        <v>35.799999999999997</v>
      </c>
      <c r="FF126" s="27">
        <v>35.799999999999997</v>
      </c>
      <c r="FG126" s="27">
        <v>35.799999999999997</v>
      </c>
      <c r="FH126" s="27">
        <v>35.799999999999997</v>
      </c>
      <c r="FI126" s="27">
        <v>35.799999999999997</v>
      </c>
      <c r="FJ126" s="27">
        <v>35.799999999999997</v>
      </c>
      <c r="FK126" s="27">
        <v>35.799999999999997</v>
      </c>
      <c r="FL126" s="27">
        <v>35.799999999999997</v>
      </c>
      <c r="FM126" s="129">
        <v>14.1</v>
      </c>
      <c r="FO126" s="27">
        <v>55.7</v>
      </c>
      <c r="FP126" s="27">
        <v>55.7</v>
      </c>
      <c r="FQ126" s="27">
        <v>55.7</v>
      </c>
      <c r="FR126" s="27">
        <v>55.7</v>
      </c>
      <c r="FS126" s="27">
        <v>55.7</v>
      </c>
      <c r="FT126" s="27">
        <v>55.7</v>
      </c>
      <c r="FU126" s="27">
        <v>55.7</v>
      </c>
      <c r="FV126" s="27">
        <v>55.7</v>
      </c>
      <c r="FW126" s="27">
        <v>55.7</v>
      </c>
      <c r="FX126" s="129">
        <v>14.1</v>
      </c>
      <c r="FZ126" s="27">
        <v>55.7</v>
      </c>
      <c r="GA126" s="27">
        <v>55.7</v>
      </c>
      <c r="GB126" s="27">
        <v>55.7</v>
      </c>
      <c r="GC126" s="27">
        <v>55.7</v>
      </c>
      <c r="GD126" s="27">
        <v>55.7</v>
      </c>
      <c r="GE126" s="27">
        <v>55.7</v>
      </c>
      <c r="GF126" s="27">
        <v>55.7</v>
      </c>
      <c r="GG126" s="27">
        <v>55.7</v>
      </c>
      <c r="GH126" s="27">
        <v>55.7</v>
      </c>
      <c r="GI126" s="129">
        <v>14.1</v>
      </c>
      <c r="GJ126" s="27"/>
      <c r="GK126" s="27">
        <v>13</v>
      </c>
      <c r="GL126" s="27">
        <v>13</v>
      </c>
      <c r="GM126" s="27">
        <v>13</v>
      </c>
      <c r="GN126" s="27">
        <v>13</v>
      </c>
      <c r="GO126" s="27">
        <v>13</v>
      </c>
      <c r="GP126" s="27">
        <v>13</v>
      </c>
      <c r="GQ126" s="27">
        <v>13</v>
      </c>
      <c r="GR126" s="27">
        <v>13</v>
      </c>
      <c r="GS126" s="27">
        <v>13</v>
      </c>
      <c r="GT126" s="129">
        <v>14.1</v>
      </c>
      <c r="GV126" s="27">
        <v>15.9</v>
      </c>
      <c r="GW126" s="27">
        <v>15.9</v>
      </c>
      <c r="GX126" s="27">
        <v>15.9</v>
      </c>
      <c r="GY126" s="27">
        <v>15.9</v>
      </c>
      <c r="GZ126" s="27">
        <v>15.9</v>
      </c>
      <c r="HA126" s="27">
        <v>15.9</v>
      </c>
      <c r="HB126" s="27">
        <v>15.9</v>
      </c>
      <c r="HC126" s="27">
        <v>15.9</v>
      </c>
      <c r="HD126" s="27">
        <v>15.9</v>
      </c>
      <c r="HE126" s="129">
        <v>14.1</v>
      </c>
      <c r="HG126" s="27">
        <v>21.9</v>
      </c>
      <c r="HH126" s="27">
        <v>21.9</v>
      </c>
      <c r="HI126" s="27">
        <v>21.9</v>
      </c>
      <c r="HJ126" s="27">
        <v>21.9</v>
      </c>
      <c r="HK126" s="27">
        <v>21.9</v>
      </c>
      <c r="HL126" s="27">
        <v>21.9</v>
      </c>
      <c r="HM126" s="27">
        <v>21.9</v>
      </c>
      <c r="HN126" s="27">
        <v>21.9</v>
      </c>
      <c r="HO126" s="27">
        <v>21.9</v>
      </c>
      <c r="HP126" s="129">
        <v>14.1</v>
      </c>
      <c r="HR126" s="27">
        <v>21.9</v>
      </c>
      <c r="HS126" s="27">
        <v>21.9</v>
      </c>
      <c r="HT126" s="27">
        <v>21.9</v>
      </c>
      <c r="HU126" s="27">
        <v>21.9</v>
      </c>
      <c r="HV126" s="27">
        <v>21.9</v>
      </c>
      <c r="HW126" s="27">
        <v>21.9</v>
      </c>
      <c r="HX126" s="27">
        <v>21.9</v>
      </c>
      <c r="HY126" s="27">
        <v>21.9</v>
      </c>
      <c r="HZ126" s="27">
        <v>21.9</v>
      </c>
      <c r="IA126" s="129">
        <v>14.1</v>
      </c>
    </row>
    <row r="127" spans="15:235" ht="3" customHeight="1">
      <c r="O127" s="129">
        <v>9.6000000000000014</v>
      </c>
      <c r="P127" s="129">
        <v>9.6000000000000014</v>
      </c>
      <c r="Q127" s="129">
        <v>9.6000000000000014</v>
      </c>
      <c r="R127" s="129">
        <v>9.6000000000000014</v>
      </c>
      <c r="S127" s="129">
        <v>9.6000000000000014</v>
      </c>
      <c r="T127" s="129">
        <v>9.6000000000000014</v>
      </c>
      <c r="U127" s="129">
        <v>9.6000000000000014</v>
      </c>
      <c r="V127" s="129">
        <v>9.6000000000000014</v>
      </c>
      <c r="W127" s="129">
        <v>9.6000000000000014</v>
      </c>
      <c r="X127" s="129">
        <v>12.2</v>
      </c>
      <c r="Y127" s="27"/>
      <c r="Z127" s="129">
        <v>19.200000000000003</v>
      </c>
      <c r="AA127" s="129">
        <v>19.200000000000003</v>
      </c>
      <c r="AB127" s="129">
        <v>19.200000000000003</v>
      </c>
      <c r="AC127" s="129">
        <v>19.200000000000003</v>
      </c>
      <c r="AD127" s="129">
        <v>19.200000000000003</v>
      </c>
      <c r="AE127" s="129">
        <v>19.200000000000003</v>
      </c>
      <c r="AF127" s="129">
        <v>19.200000000000003</v>
      </c>
      <c r="AG127" s="129">
        <v>19.200000000000003</v>
      </c>
      <c r="AH127" s="129">
        <v>19.200000000000003</v>
      </c>
      <c r="AI127" s="129">
        <v>12.2</v>
      </c>
      <c r="AK127" s="129">
        <v>40.400000000000006</v>
      </c>
      <c r="AL127" s="129">
        <v>40.400000000000006</v>
      </c>
      <c r="AM127" s="129">
        <v>40.400000000000006</v>
      </c>
      <c r="AN127" s="129">
        <v>40.400000000000006</v>
      </c>
      <c r="AO127" s="129">
        <v>40.400000000000006</v>
      </c>
      <c r="AP127" s="129">
        <v>40.400000000000006</v>
      </c>
      <c r="AQ127" s="129">
        <v>40.400000000000006</v>
      </c>
      <c r="AR127" s="129">
        <v>40.400000000000006</v>
      </c>
      <c r="AS127" s="129">
        <v>40.400000000000006</v>
      </c>
      <c r="AT127" s="129">
        <v>12.2</v>
      </c>
      <c r="AV127" s="129">
        <v>41.400000000000006</v>
      </c>
      <c r="AW127" s="129">
        <v>41.400000000000006</v>
      </c>
      <c r="AX127" s="129">
        <v>41.400000000000006</v>
      </c>
      <c r="AY127" s="129">
        <v>41.400000000000006</v>
      </c>
      <c r="AZ127" s="129">
        <v>41.400000000000006</v>
      </c>
      <c r="BA127" s="129">
        <v>41.400000000000006</v>
      </c>
      <c r="BB127" s="129">
        <v>41.400000000000006</v>
      </c>
      <c r="BC127" s="129">
        <v>41.400000000000006</v>
      </c>
      <c r="BD127" s="129">
        <v>41.400000000000006</v>
      </c>
      <c r="BE127" s="129">
        <v>12.2</v>
      </c>
      <c r="BG127" s="129">
        <v>65</v>
      </c>
      <c r="BH127" s="129">
        <v>65</v>
      </c>
      <c r="BI127" s="129">
        <v>65</v>
      </c>
      <c r="BJ127" s="129">
        <v>65</v>
      </c>
      <c r="BK127" s="129">
        <v>65</v>
      </c>
      <c r="BL127" s="129">
        <v>65</v>
      </c>
      <c r="BM127" s="129">
        <v>65</v>
      </c>
      <c r="BN127" s="129">
        <v>65</v>
      </c>
      <c r="BO127" s="129">
        <v>65</v>
      </c>
      <c r="BP127" s="129">
        <v>12.2</v>
      </c>
      <c r="BR127" s="129">
        <v>65</v>
      </c>
      <c r="BS127" s="129">
        <v>65</v>
      </c>
      <c r="BT127" s="129">
        <v>65</v>
      </c>
      <c r="BU127" s="129">
        <v>65</v>
      </c>
      <c r="BV127" s="129">
        <v>65</v>
      </c>
      <c r="BW127" s="129">
        <v>65</v>
      </c>
      <c r="BX127" s="129">
        <v>65</v>
      </c>
      <c r="BY127" s="129">
        <v>65</v>
      </c>
      <c r="BZ127" s="129">
        <v>65</v>
      </c>
      <c r="CA127" s="129">
        <v>12.2</v>
      </c>
      <c r="CC127" s="129">
        <v>15.600000000000001</v>
      </c>
      <c r="CD127" s="129">
        <v>15.600000000000001</v>
      </c>
      <c r="CE127" s="129">
        <v>15.600000000000001</v>
      </c>
      <c r="CF127" s="129">
        <v>15.600000000000001</v>
      </c>
      <c r="CG127" s="129">
        <v>15.600000000000001</v>
      </c>
      <c r="CH127" s="129">
        <v>15.600000000000001</v>
      </c>
      <c r="CI127" s="129">
        <v>15.600000000000001</v>
      </c>
      <c r="CJ127" s="129">
        <v>15.600000000000001</v>
      </c>
      <c r="CK127" s="129">
        <v>15.600000000000001</v>
      </c>
      <c r="CL127" s="129">
        <v>12.2</v>
      </c>
      <c r="CN127" s="129">
        <v>18.600000000000001</v>
      </c>
      <c r="CO127" s="129">
        <v>18.600000000000001</v>
      </c>
      <c r="CP127" s="129">
        <v>18.600000000000001</v>
      </c>
      <c r="CQ127" s="129">
        <v>18.600000000000001</v>
      </c>
      <c r="CR127" s="129">
        <v>18.600000000000001</v>
      </c>
      <c r="CS127" s="129">
        <v>18.600000000000001</v>
      </c>
      <c r="CT127" s="129">
        <v>18.600000000000001</v>
      </c>
      <c r="CU127" s="129">
        <v>18.600000000000001</v>
      </c>
      <c r="CV127" s="129">
        <v>18.600000000000001</v>
      </c>
      <c r="CW127" s="129">
        <v>12.2</v>
      </c>
      <c r="CY127" s="129">
        <v>25.6</v>
      </c>
      <c r="CZ127" s="129">
        <v>25.6</v>
      </c>
      <c r="DA127" s="129">
        <v>25.6</v>
      </c>
      <c r="DB127" s="129">
        <v>25.6</v>
      </c>
      <c r="DC127" s="129">
        <v>25.6</v>
      </c>
      <c r="DD127" s="129">
        <v>25.6</v>
      </c>
      <c r="DE127" s="129">
        <v>25.6</v>
      </c>
      <c r="DF127" s="129">
        <v>25.6</v>
      </c>
      <c r="DG127" s="129">
        <v>25.6</v>
      </c>
      <c r="DH127" s="129">
        <v>12.2</v>
      </c>
      <c r="DJ127" s="129">
        <v>25.6</v>
      </c>
      <c r="DK127" s="129">
        <v>25.6</v>
      </c>
      <c r="DL127" s="129">
        <v>25.6</v>
      </c>
      <c r="DM127" s="129">
        <v>25.6</v>
      </c>
      <c r="DN127" s="129">
        <v>25.6</v>
      </c>
      <c r="DO127" s="129">
        <v>25.6</v>
      </c>
      <c r="DP127" s="129">
        <v>25.6</v>
      </c>
      <c r="DQ127" s="129">
        <v>25.6</v>
      </c>
      <c r="DR127" s="129">
        <v>25.6</v>
      </c>
      <c r="DS127" s="129">
        <v>12.2</v>
      </c>
      <c r="DW127" s="27">
        <v>14.399999999999999</v>
      </c>
      <c r="DX127" s="27">
        <v>14.399999999999999</v>
      </c>
      <c r="DY127" s="27">
        <v>14.399999999999999</v>
      </c>
      <c r="DZ127" s="27">
        <v>14.399999999999999</v>
      </c>
      <c r="EA127" s="27">
        <v>14.399999999999999</v>
      </c>
      <c r="EB127" s="27">
        <v>14.399999999999999</v>
      </c>
      <c r="EC127" s="27">
        <v>14.399999999999999</v>
      </c>
      <c r="ED127" s="27">
        <v>14.399999999999999</v>
      </c>
      <c r="EE127" s="27">
        <v>14.399999999999999</v>
      </c>
      <c r="EF127" s="129">
        <v>14.2</v>
      </c>
      <c r="EH127" s="27">
        <v>28.200000000000003</v>
      </c>
      <c r="EI127" s="27">
        <v>28.200000000000003</v>
      </c>
      <c r="EJ127" s="27">
        <v>28.200000000000003</v>
      </c>
      <c r="EK127" s="27">
        <v>28.200000000000003</v>
      </c>
      <c r="EL127" s="27">
        <v>28.200000000000003</v>
      </c>
      <c r="EM127" s="27">
        <v>28.200000000000003</v>
      </c>
      <c r="EN127" s="27">
        <v>28.200000000000003</v>
      </c>
      <c r="EO127" s="27">
        <v>28.200000000000003</v>
      </c>
      <c r="EP127" s="27">
        <v>28.200000000000003</v>
      </c>
      <c r="EQ127" s="129">
        <v>14.2</v>
      </c>
      <c r="ES127" s="27">
        <v>34.599999999999994</v>
      </c>
      <c r="ET127" s="27">
        <v>34.599999999999994</v>
      </c>
      <c r="EU127" s="27">
        <v>34.599999999999994</v>
      </c>
      <c r="EV127" s="27">
        <v>34.599999999999994</v>
      </c>
      <c r="EW127" s="27">
        <v>34.599999999999994</v>
      </c>
      <c r="EX127" s="27">
        <v>34.599999999999994</v>
      </c>
      <c r="EY127" s="27">
        <v>34.599999999999994</v>
      </c>
      <c r="EZ127" s="27">
        <v>34.599999999999994</v>
      </c>
      <c r="FA127" s="27">
        <v>34.599999999999994</v>
      </c>
      <c r="FB127" s="129">
        <v>14.2</v>
      </c>
      <c r="FD127" s="27">
        <v>35.599999999999994</v>
      </c>
      <c r="FE127" s="27">
        <v>35.599999999999994</v>
      </c>
      <c r="FF127" s="27">
        <v>35.599999999999994</v>
      </c>
      <c r="FG127" s="27">
        <v>35.599999999999994</v>
      </c>
      <c r="FH127" s="27">
        <v>35.599999999999994</v>
      </c>
      <c r="FI127" s="27">
        <v>35.599999999999994</v>
      </c>
      <c r="FJ127" s="27">
        <v>35.599999999999994</v>
      </c>
      <c r="FK127" s="27">
        <v>35.599999999999994</v>
      </c>
      <c r="FL127" s="27">
        <v>35.599999999999994</v>
      </c>
      <c r="FM127" s="129">
        <v>14.2</v>
      </c>
      <c r="FO127" s="27">
        <v>55.400000000000006</v>
      </c>
      <c r="FP127" s="27">
        <v>55.400000000000006</v>
      </c>
      <c r="FQ127" s="27">
        <v>55.400000000000006</v>
      </c>
      <c r="FR127" s="27">
        <v>55.400000000000006</v>
      </c>
      <c r="FS127" s="27">
        <v>55.400000000000006</v>
      </c>
      <c r="FT127" s="27">
        <v>55.400000000000006</v>
      </c>
      <c r="FU127" s="27">
        <v>55.400000000000006</v>
      </c>
      <c r="FV127" s="27">
        <v>55.400000000000006</v>
      </c>
      <c r="FW127" s="27">
        <v>55.400000000000006</v>
      </c>
      <c r="FX127" s="129">
        <v>14.2</v>
      </c>
      <c r="FZ127" s="27">
        <v>55.400000000000006</v>
      </c>
      <c r="GA127" s="27">
        <v>55.400000000000006</v>
      </c>
      <c r="GB127" s="27">
        <v>55.400000000000006</v>
      </c>
      <c r="GC127" s="27">
        <v>55.400000000000006</v>
      </c>
      <c r="GD127" s="27">
        <v>55.400000000000006</v>
      </c>
      <c r="GE127" s="27">
        <v>55.400000000000006</v>
      </c>
      <c r="GF127" s="27">
        <v>55.400000000000006</v>
      </c>
      <c r="GG127" s="27">
        <v>55.400000000000006</v>
      </c>
      <c r="GH127" s="27">
        <v>55.400000000000006</v>
      </c>
      <c r="GI127" s="129">
        <v>14.2</v>
      </c>
      <c r="GJ127" s="27"/>
      <c r="GK127" s="27">
        <v>13</v>
      </c>
      <c r="GL127" s="27">
        <v>13</v>
      </c>
      <c r="GM127" s="27">
        <v>13</v>
      </c>
      <c r="GN127" s="27">
        <v>13</v>
      </c>
      <c r="GO127" s="27">
        <v>13</v>
      </c>
      <c r="GP127" s="27">
        <v>13</v>
      </c>
      <c r="GQ127" s="27">
        <v>13</v>
      </c>
      <c r="GR127" s="27">
        <v>13</v>
      </c>
      <c r="GS127" s="27">
        <v>13</v>
      </c>
      <c r="GT127" s="129">
        <v>14.2</v>
      </c>
      <c r="GV127" s="27">
        <v>15.8</v>
      </c>
      <c r="GW127" s="27">
        <v>15.8</v>
      </c>
      <c r="GX127" s="27">
        <v>15.8</v>
      </c>
      <c r="GY127" s="27">
        <v>15.8</v>
      </c>
      <c r="GZ127" s="27">
        <v>15.8</v>
      </c>
      <c r="HA127" s="27">
        <v>15.8</v>
      </c>
      <c r="HB127" s="27">
        <v>15.8</v>
      </c>
      <c r="HC127" s="27">
        <v>15.8</v>
      </c>
      <c r="HD127" s="27">
        <v>15.8</v>
      </c>
      <c r="HE127" s="129">
        <v>14.2</v>
      </c>
      <c r="HG127" s="27">
        <v>21.799999999999997</v>
      </c>
      <c r="HH127" s="27">
        <v>21.799999999999997</v>
      </c>
      <c r="HI127" s="27">
        <v>21.799999999999997</v>
      </c>
      <c r="HJ127" s="27">
        <v>21.799999999999997</v>
      </c>
      <c r="HK127" s="27">
        <v>21.799999999999997</v>
      </c>
      <c r="HL127" s="27">
        <v>21.799999999999997</v>
      </c>
      <c r="HM127" s="27">
        <v>21.799999999999997</v>
      </c>
      <c r="HN127" s="27">
        <v>21.799999999999997</v>
      </c>
      <c r="HO127" s="27">
        <v>21.799999999999997</v>
      </c>
      <c r="HP127" s="129">
        <v>14.2</v>
      </c>
      <c r="HR127" s="27">
        <v>21.799999999999997</v>
      </c>
      <c r="HS127" s="27">
        <v>21.799999999999997</v>
      </c>
      <c r="HT127" s="27">
        <v>21.799999999999997</v>
      </c>
      <c r="HU127" s="27">
        <v>21.799999999999997</v>
      </c>
      <c r="HV127" s="27">
        <v>21.799999999999997</v>
      </c>
      <c r="HW127" s="27">
        <v>21.799999999999997</v>
      </c>
      <c r="HX127" s="27">
        <v>21.799999999999997</v>
      </c>
      <c r="HY127" s="27">
        <v>21.799999999999997</v>
      </c>
      <c r="HZ127" s="27">
        <v>21.799999999999997</v>
      </c>
      <c r="IA127" s="129">
        <v>14.2</v>
      </c>
    </row>
    <row r="128" spans="15:235" ht="3" customHeight="1">
      <c r="O128" s="129">
        <v>9.4000000000000021</v>
      </c>
      <c r="P128" s="129">
        <v>9.4000000000000021</v>
      </c>
      <c r="Q128" s="129">
        <v>9.4000000000000021</v>
      </c>
      <c r="R128" s="129">
        <v>9.4000000000000021</v>
      </c>
      <c r="S128" s="129">
        <v>9.4000000000000021</v>
      </c>
      <c r="T128" s="129">
        <v>9.4000000000000021</v>
      </c>
      <c r="U128" s="129">
        <v>9.4000000000000021</v>
      </c>
      <c r="V128" s="129">
        <v>9.4000000000000021</v>
      </c>
      <c r="W128" s="129">
        <v>9.4000000000000021</v>
      </c>
      <c r="X128" s="129">
        <v>12.3</v>
      </c>
      <c r="Y128" s="27"/>
      <c r="Z128" s="129">
        <v>18.800000000000004</v>
      </c>
      <c r="AA128" s="129">
        <v>18.800000000000004</v>
      </c>
      <c r="AB128" s="129">
        <v>18.800000000000004</v>
      </c>
      <c r="AC128" s="129">
        <v>18.800000000000004</v>
      </c>
      <c r="AD128" s="129">
        <v>18.800000000000004</v>
      </c>
      <c r="AE128" s="129">
        <v>18.800000000000004</v>
      </c>
      <c r="AF128" s="129">
        <v>18.800000000000004</v>
      </c>
      <c r="AG128" s="129">
        <v>18.800000000000004</v>
      </c>
      <c r="AH128" s="129">
        <v>18.800000000000004</v>
      </c>
      <c r="AI128" s="129">
        <v>12.3</v>
      </c>
      <c r="AK128" s="129">
        <v>40.100000000000009</v>
      </c>
      <c r="AL128" s="129">
        <v>40.100000000000009</v>
      </c>
      <c r="AM128" s="129">
        <v>40.100000000000009</v>
      </c>
      <c r="AN128" s="129">
        <v>40.100000000000009</v>
      </c>
      <c r="AO128" s="129">
        <v>40.100000000000009</v>
      </c>
      <c r="AP128" s="129">
        <v>40.100000000000009</v>
      </c>
      <c r="AQ128" s="129">
        <v>40.100000000000009</v>
      </c>
      <c r="AR128" s="129">
        <v>40.100000000000009</v>
      </c>
      <c r="AS128" s="129">
        <v>40.100000000000009</v>
      </c>
      <c r="AT128" s="129">
        <v>12.3</v>
      </c>
      <c r="AV128" s="129">
        <v>41.100000000000009</v>
      </c>
      <c r="AW128" s="129">
        <v>41.100000000000009</v>
      </c>
      <c r="AX128" s="129">
        <v>41.100000000000009</v>
      </c>
      <c r="AY128" s="129">
        <v>41.100000000000009</v>
      </c>
      <c r="AZ128" s="129">
        <v>41.100000000000009</v>
      </c>
      <c r="BA128" s="129">
        <v>41.100000000000009</v>
      </c>
      <c r="BB128" s="129">
        <v>41.100000000000009</v>
      </c>
      <c r="BC128" s="129">
        <v>41.100000000000009</v>
      </c>
      <c r="BD128" s="129">
        <v>41.100000000000009</v>
      </c>
      <c r="BE128" s="129">
        <v>12.3</v>
      </c>
      <c r="BG128" s="129">
        <v>64.5</v>
      </c>
      <c r="BH128" s="129">
        <v>64.5</v>
      </c>
      <c r="BI128" s="129">
        <v>64.5</v>
      </c>
      <c r="BJ128" s="129">
        <v>64.5</v>
      </c>
      <c r="BK128" s="129">
        <v>64.5</v>
      </c>
      <c r="BL128" s="129">
        <v>64.5</v>
      </c>
      <c r="BM128" s="129">
        <v>64.5</v>
      </c>
      <c r="BN128" s="129">
        <v>64.5</v>
      </c>
      <c r="BO128" s="129">
        <v>64.5</v>
      </c>
      <c r="BP128" s="129">
        <v>12.3</v>
      </c>
      <c r="BR128" s="129">
        <v>64.5</v>
      </c>
      <c r="BS128" s="129">
        <v>64.5</v>
      </c>
      <c r="BT128" s="129">
        <v>64.5</v>
      </c>
      <c r="BU128" s="129">
        <v>64.5</v>
      </c>
      <c r="BV128" s="129">
        <v>64.5</v>
      </c>
      <c r="BW128" s="129">
        <v>64.5</v>
      </c>
      <c r="BX128" s="129">
        <v>64.5</v>
      </c>
      <c r="BY128" s="129">
        <v>64.5</v>
      </c>
      <c r="BZ128" s="129">
        <v>64.5</v>
      </c>
      <c r="CA128" s="129">
        <v>12.3</v>
      </c>
      <c r="CC128" s="129">
        <v>15.400000000000002</v>
      </c>
      <c r="CD128" s="129">
        <v>15.400000000000002</v>
      </c>
      <c r="CE128" s="129">
        <v>15.400000000000002</v>
      </c>
      <c r="CF128" s="129">
        <v>15.400000000000002</v>
      </c>
      <c r="CG128" s="129">
        <v>15.400000000000002</v>
      </c>
      <c r="CH128" s="129">
        <v>15.400000000000002</v>
      </c>
      <c r="CI128" s="129">
        <v>15.400000000000002</v>
      </c>
      <c r="CJ128" s="129">
        <v>15.400000000000002</v>
      </c>
      <c r="CK128" s="129">
        <v>15.400000000000002</v>
      </c>
      <c r="CL128" s="129">
        <v>12.3</v>
      </c>
      <c r="CN128" s="129">
        <v>18.400000000000002</v>
      </c>
      <c r="CO128" s="129">
        <v>18.400000000000002</v>
      </c>
      <c r="CP128" s="129">
        <v>18.400000000000002</v>
      </c>
      <c r="CQ128" s="129">
        <v>18.400000000000002</v>
      </c>
      <c r="CR128" s="129">
        <v>18.400000000000002</v>
      </c>
      <c r="CS128" s="129">
        <v>18.400000000000002</v>
      </c>
      <c r="CT128" s="129">
        <v>18.400000000000002</v>
      </c>
      <c r="CU128" s="129">
        <v>18.400000000000002</v>
      </c>
      <c r="CV128" s="129">
        <v>18.400000000000002</v>
      </c>
      <c r="CW128" s="129">
        <v>12.3</v>
      </c>
      <c r="CY128" s="129">
        <v>25.400000000000002</v>
      </c>
      <c r="CZ128" s="129">
        <v>25.400000000000002</v>
      </c>
      <c r="DA128" s="129">
        <v>25.400000000000002</v>
      </c>
      <c r="DB128" s="129">
        <v>25.400000000000002</v>
      </c>
      <c r="DC128" s="129">
        <v>25.400000000000002</v>
      </c>
      <c r="DD128" s="129">
        <v>25.400000000000002</v>
      </c>
      <c r="DE128" s="129">
        <v>25.400000000000002</v>
      </c>
      <c r="DF128" s="129">
        <v>25.400000000000002</v>
      </c>
      <c r="DG128" s="129">
        <v>25.400000000000002</v>
      </c>
      <c r="DH128" s="129">
        <v>12.3</v>
      </c>
      <c r="DJ128" s="129">
        <v>25.400000000000002</v>
      </c>
      <c r="DK128" s="129">
        <v>25.400000000000002</v>
      </c>
      <c r="DL128" s="129">
        <v>25.400000000000002</v>
      </c>
      <c r="DM128" s="129">
        <v>25.400000000000002</v>
      </c>
      <c r="DN128" s="129">
        <v>25.400000000000002</v>
      </c>
      <c r="DO128" s="129">
        <v>25.400000000000002</v>
      </c>
      <c r="DP128" s="129">
        <v>25.400000000000002</v>
      </c>
      <c r="DQ128" s="129">
        <v>25.400000000000002</v>
      </c>
      <c r="DR128" s="129">
        <v>25.400000000000002</v>
      </c>
      <c r="DS128" s="129">
        <v>12.3</v>
      </c>
      <c r="DW128" s="27">
        <v>14.099999999999998</v>
      </c>
      <c r="DX128" s="27">
        <v>14.099999999999998</v>
      </c>
      <c r="DY128" s="27">
        <v>14.099999999999998</v>
      </c>
      <c r="DZ128" s="27">
        <v>14.099999999999998</v>
      </c>
      <c r="EA128" s="27">
        <v>14.099999999999998</v>
      </c>
      <c r="EB128" s="27">
        <v>14.099999999999998</v>
      </c>
      <c r="EC128" s="27">
        <v>14.099999999999998</v>
      </c>
      <c r="ED128" s="27">
        <v>14.099999999999998</v>
      </c>
      <c r="EE128" s="27">
        <v>14.099999999999998</v>
      </c>
      <c r="EF128" s="129">
        <v>14.3</v>
      </c>
      <c r="EH128" s="27">
        <v>27.800000000000004</v>
      </c>
      <c r="EI128" s="27">
        <v>27.800000000000004</v>
      </c>
      <c r="EJ128" s="27">
        <v>27.800000000000004</v>
      </c>
      <c r="EK128" s="27">
        <v>27.800000000000004</v>
      </c>
      <c r="EL128" s="27">
        <v>27.800000000000004</v>
      </c>
      <c r="EM128" s="27">
        <v>27.800000000000004</v>
      </c>
      <c r="EN128" s="27">
        <v>27.800000000000004</v>
      </c>
      <c r="EO128" s="27">
        <v>27.800000000000004</v>
      </c>
      <c r="EP128" s="27">
        <v>27.800000000000004</v>
      </c>
      <c r="EQ128" s="129">
        <v>14.3</v>
      </c>
      <c r="ES128" s="27">
        <v>34.399999999999991</v>
      </c>
      <c r="ET128" s="27">
        <v>34.399999999999991</v>
      </c>
      <c r="EU128" s="27">
        <v>34.399999999999991</v>
      </c>
      <c r="EV128" s="27">
        <v>34.399999999999991</v>
      </c>
      <c r="EW128" s="27">
        <v>34.399999999999991</v>
      </c>
      <c r="EX128" s="27">
        <v>34.399999999999991</v>
      </c>
      <c r="EY128" s="27">
        <v>34.399999999999991</v>
      </c>
      <c r="EZ128" s="27">
        <v>34.399999999999991</v>
      </c>
      <c r="FA128" s="27">
        <v>34.399999999999991</v>
      </c>
      <c r="FB128" s="129">
        <v>14.3</v>
      </c>
      <c r="FD128" s="27">
        <v>35.399999999999991</v>
      </c>
      <c r="FE128" s="27">
        <v>35.399999999999991</v>
      </c>
      <c r="FF128" s="27">
        <v>35.399999999999991</v>
      </c>
      <c r="FG128" s="27">
        <v>35.399999999999991</v>
      </c>
      <c r="FH128" s="27">
        <v>35.399999999999991</v>
      </c>
      <c r="FI128" s="27">
        <v>35.399999999999991</v>
      </c>
      <c r="FJ128" s="27">
        <v>35.399999999999991</v>
      </c>
      <c r="FK128" s="27">
        <v>35.399999999999991</v>
      </c>
      <c r="FL128" s="27">
        <v>35.399999999999991</v>
      </c>
      <c r="FM128" s="129">
        <v>14.3</v>
      </c>
      <c r="FO128" s="27">
        <v>55.100000000000009</v>
      </c>
      <c r="FP128" s="27">
        <v>55.100000000000009</v>
      </c>
      <c r="FQ128" s="27">
        <v>55.100000000000009</v>
      </c>
      <c r="FR128" s="27">
        <v>55.100000000000009</v>
      </c>
      <c r="FS128" s="27">
        <v>55.100000000000009</v>
      </c>
      <c r="FT128" s="27">
        <v>55.100000000000009</v>
      </c>
      <c r="FU128" s="27">
        <v>55.100000000000009</v>
      </c>
      <c r="FV128" s="27">
        <v>55.100000000000009</v>
      </c>
      <c r="FW128" s="27">
        <v>55.100000000000009</v>
      </c>
      <c r="FX128" s="129">
        <v>14.3</v>
      </c>
      <c r="FZ128" s="27">
        <v>55.100000000000009</v>
      </c>
      <c r="GA128" s="27">
        <v>55.100000000000009</v>
      </c>
      <c r="GB128" s="27">
        <v>55.100000000000009</v>
      </c>
      <c r="GC128" s="27">
        <v>55.100000000000009</v>
      </c>
      <c r="GD128" s="27">
        <v>55.100000000000009</v>
      </c>
      <c r="GE128" s="27">
        <v>55.100000000000009</v>
      </c>
      <c r="GF128" s="27">
        <v>55.100000000000009</v>
      </c>
      <c r="GG128" s="27">
        <v>55.100000000000009</v>
      </c>
      <c r="GH128" s="27">
        <v>55.100000000000009</v>
      </c>
      <c r="GI128" s="129">
        <v>14.3</v>
      </c>
      <c r="GJ128" s="27"/>
      <c r="GK128" s="27">
        <v>13</v>
      </c>
      <c r="GL128" s="27">
        <v>13</v>
      </c>
      <c r="GM128" s="27">
        <v>13</v>
      </c>
      <c r="GN128" s="27">
        <v>13</v>
      </c>
      <c r="GO128" s="27">
        <v>13</v>
      </c>
      <c r="GP128" s="27">
        <v>13</v>
      </c>
      <c r="GQ128" s="27">
        <v>13</v>
      </c>
      <c r="GR128" s="27">
        <v>13</v>
      </c>
      <c r="GS128" s="27">
        <v>13</v>
      </c>
      <c r="GT128" s="129">
        <v>14.3</v>
      </c>
      <c r="GV128" s="27">
        <v>15.700000000000001</v>
      </c>
      <c r="GW128" s="27">
        <v>15.700000000000001</v>
      </c>
      <c r="GX128" s="27">
        <v>15.700000000000001</v>
      </c>
      <c r="GY128" s="27">
        <v>15.700000000000001</v>
      </c>
      <c r="GZ128" s="27">
        <v>15.700000000000001</v>
      </c>
      <c r="HA128" s="27">
        <v>15.700000000000001</v>
      </c>
      <c r="HB128" s="27">
        <v>15.700000000000001</v>
      </c>
      <c r="HC128" s="27">
        <v>15.700000000000001</v>
      </c>
      <c r="HD128" s="27">
        <v>15.700000000000001</v>
      </c>
      <c r="HE128" s="129">
        <v>14.3</v>
      </c>
      <c r="HG128" s="27">
        <v>21.699999999999996</v>
      </c>
      <c r="HH128" s="27">
        <v>21.699999999999996</v>
      </c>
      <c r="HI128" s="27">
        <v>21.699999999999996</v>
      </c>
      <c r="HJ128" s="27">
        <v>21.699999999999996</v>
      </c>
      <c r="HK128" s="27">
        <v>21.699999999999996</v>
      </c>
      <c r="HL128" s="27">
        <v>21.699999999999996</v>
      </c>
      <c r="HM128" s="27">
        <v>21.699999999999996</v>
      </c>
      <c r="HN128" s="27">
        <v>21.699999999999996</v>
      </c>
      <c r="HO128" s="27">
        <v>21.699999999999996</v>
      </c>
      <c r="HP128" s="129">
        <v>14.3</v>
      </c>
      <c r="HR128" s="27">
        <v>21.699999999999996</v>
      </c>
      <c r="HS128" s="27">
        <v>21.699999999999996</v>
      </c>
      <c r="HT128" s="27">
        <v>21.699999999999996</v>
      </c>
      <c r="HU128" s="27">
        <v>21.699999999999996</v>
      </c>
      <c r="HV128" s="27">
        <v>21.699999999999996</v>
      </c>
      <c r="HW128" s="27">
        <v>21.699999999999996</v>
      </c>
      <c r="HX128" s="27">
        <v>21.699999999999996</v>
      </c>
      <c r="HY128" s="27">
        <v>21.699999999999996</v>
      </c>
      <c r="HZ128" s="27">
        <v>21.699999999999996</v>
      </c>
      <c r="IA128" s="129">
        <v>14.3</v>
      </c>
    </row>
    <row r="129" spans="15:235" ht="3" customHeight="1">
      <c r="O129" s="129">
        <v>9.2000000000000028</v>
      </c>
      <c r="P129" s="129">
        <v>9.2000000000000028</v>
      </c>
      <c r="Q129" s="129">
        <v>9.2000000000000028</v>
      </c>
      <c r="R129" s="129">
        <v>9.2000000000000028</v>
      </c>
      <c r="S129" s="129">
        <v>9.2000000000000028</v>
      </c>
      <c r="T129" s="129">
        <v>9.2000000000000028</v>
      </c>
      <c r="U129" s="129">
        <v>9.2000000000000028</v>
      </c>
      <c r="V129" s="129">
        <v>9.2000000000000028</v>
      </c>
      <c r="W129" s="129">
        <v>9.2000000000000028</v>
      </c>
      <c r="X129" s="129">
        <v>12.4</v>
      </c>
      <c r="Y129" s="27"/>
      <c r="Z129" s="129">
        <v>18.400000000000006</v>
      </c>
      <c r="AA129" s="129">
        <v>18.400000000000006</v>
      </c>
      <c r="AB129" s="129">
        <v>18.400000000000006</v>
      </c>
      <c r="AC129" s="129">
        <v>18.400000000000006</v>
      </c>
      <c r="AD129" s="129">
        <v>18.400000000000006</v>
      </c>
      <c r="AE129" s="129">
        <v>18.400000000000006</v>
      </c>
      <c r="AF129" s="129">
        <v>18.400000000000006</v>
      </c>
      <c r="AG129" s="129">
        <v>18.400000000000006</v>
      </c>
      <c r="AH129" s="129">
        <v>18.400000000000006</v>
      </c>
      <c r="AI129" s="129">
        <v>12.4</v>
      </c>
      <c r="AK129" s="129">
        <v>39.800000000000011</v>
      </c>
      <c r="AL129" s="129">
        <v>39.800000000000011</v>
      </c>
      <c r="AM129" s="129">
        <v>39.800000000000011</v>
      </c>
      <c r="AN129" s="129">
        <v>39.800000000000011</v>
      </c>
      <c r="AO129" s="129">
        <v>39.800000000000011</v>
      </c>
      <c r="AP129" s="129">
        <v>39.800000000000011</v>
      </c>
      <c r="AQ129" s="129">
        <v>39.800000000000011</v>
      </c>
      <c r="AR129" s="129">
        <v>39.800000000000011</v>
      </c>
      <c r="AS129" s="129">
        <v>39.800000000000011</v>
      </c>
      <c r="AT129" s="129">
        <v>12.4</v>
      </c>
      <c r="AV129" s="129">
        <v>40.800000000000011</v>
      </c>
      <c r="AW129" s="129">
        <v>40.800000000000011</v>
      </c>
      <c r="AX129" s="129">
        <v>40.800000000000011</v>
      </c>
      <c r="AY129" s="129">
        <v>40.800000000000011</v>
      </c>
      <c r="AZ129" s="129">
        <v>40.800000000000011</v>
      </c>
      <c r="BA129" s="129">
        <v>40.800000000000011</v>
      </c>
      <c r="BB129" s="129">
        <v>40.800000000000011</v>
      </c>
      <c r="BC129" s="129">
        <v>40.800000000000011</v>
      </c>
      <c r="BD129" s="129">
        <v>40.800000000000011</v>
      </c>
      <c r="BE129" s="129">
        <v>12.4</v>
      </c>
      <c r="BG129" s="129">
        <v>64</v>
      </c>
      <c r="BH129" s="129">
        <v>64</v>
      </c>
      <c r="BI129" s="129">
        <v>64</v>
      </c>
      <c r="BJ129" s="129">
        <v>64</v>
      </c>
      <c r="BK129" s="129">
        <v>64</v>
      </c>
      <c r="BL129" s="129">
        <v>64</v>
      </c>
      <c r="BM129" s="129">
        <v>64</v>
      </c>
      <c r="BN129" s="129">
        <v>64</v>
      </c>
      <c r="BO129" s="129">
        <v>64</v>
      </c>
      <c r="BP129" s="129">
        <v>12.4</v>
      </c>
      <c r="BR129" s="129">
        <v>64</v>
      </c>
      <c r="BS129" s="129">
        <v>64</v>
      </c>
      <c r="BT129" s="129">
        <v>64</v>
      </c>
      <c r="BU129" s="129">
        <v>64</v>
      </c>
      <c r="BV129" s="129">
        <v>64</v>
      </c>
      <c r="BW129" s="129">
        <v>64</v>
      </c>
      <c r="BX129" s="129">
        <v>64</v>
      </c>
      <c r="BY129" s="129">
        <v>64</v>
      </c>
      <c r="BZ129" s="129">
        <v>64</v>
      </c>
      <c r="CA129" s="129">
        <v>12.4</v>
      </c>
      <c r="CC129" s="129">
        <v>15.200000000000003</v>
      </c>
      <c r="CD129" s="129">
        <v>15.200000000000003</v>
      </c>
      <c r="CE129" s="129">
        <v>15.200000000000003</v>
      </c>
      <c r="CF129" s="129">
        <v>15.200000000000003</v>
      </c>
      <c r="CG129" s="129">
        <v>15.200000000000003</v>
      </c>
      <c r="CH129" s="129">
        <v>15.200000000000003</v>
      </c>
      <c r="CI129" s="129">
        <v>15.200000000000003</v>
      </c>
      <c r="CJ129" s="129">
        <v>15.200000000000003</v>
      </c>
      <c r="CK129" s="129">
        <v>15.200000000000003</v>
      </c>
      <c r="CL129" s="129">
        <v>12.4</v>
      </c>
      <c r="CN129" s="129">
        <v>18.200000000000003</v>
      </c>
      <c r="CO129" s="129">
        <v>18.200000000000003</v>
      </c>
      <c r="CP129" s="129">
        <v>18.200000000000003</v>
      </c>
      <c r="CQ129" s="129">
        <v>18.200000000000003</v>
      </c>
      <c r="CR129" s="129">
        <v>18.200000000000003</v>
      </c>
      <c r="CS129" s="129">
        <v>18.200000000000003</v>
      </c>
      <c r="CT129" s="129">
        <v>18.200000000000003</v>
      </c>
      <c r="CU129" s="129">
        <v>18.200000000000003</v>
      </c>
      <c r="CV129" s="129">
        <v>18.200000000000003</v>
      </c>
      <c r="CW129" s="129">
        <v>12.4</v>
      </c>
      <c r="CY129" s="129">
        <v>25.200000000000003</v>
      </c>
      <c r="CZ129" s="129">
        <v>25.200000000000003</v>
      </c>
      <c r="DA129" s="129">
        <v>25.200000000000003</v>
      </c>
      <c r="DB129" s="129">
        <v>25.200000000000003</v>
      </c>
      <c r="DC129" s="129">
        <v>25.200000000000003</v>
      </c>
      <c r="DD129" s="129">
        <v>25.200000000000003</v>
      </c>
      <c r="DE129" s="129">
        <v>25.200000000000003</v>
      </c>
      <c r="DF129" s="129">
        <v>25.200000000000003</v>
      </c>
      <c r="DG129" s="129">
        <v>25.200000000000003</v>
      </c>
      <c r="DH129" s="129">
        <v>12.4</v>
      </c>
      <c r="DJ129" s="129">
        <v>25.200000000000003</v>
      </c>
      <c r="DK129" s="129">
        <v>25.200000000000003</v>
      </c>
      <c r="DL129" s="129">
        <v>25.200000000000003</v>
      </c>
      <c r="DM129" s="129">
        <v>25.200000000000003</v>
      </c>
      <c r="DN129" s="129">
        <v>25.200000000000003</v>
      </c>
      <c r="DO129" s="129">
        <v>25.200000000000003</v>
      </c>
      <c r="DP129" s="129">
        <v>25.200000000000003</v>
      </c>
      <c r="DQ129" s="129">
        <v>25.200000000000003</v>
      </c>
      <c r="DR129" s="129">
        <v>25.200000000000003</v>
      </c>
      <c r="DS129" s="129">
        <v>12.4</v>
      </c>
      <c r="DW129" s="27">
        <v>13.799999999999997</v>
      </c>
      <c r="DX129" s="27">
        <v>13.799999999999997</v>
      </c>
      <c r="DY129" s="27">
        <v>13.799999999999997</v>
      </c>
      <c r="DZ129" s="27">
        <v>13.799999999999997</v>
      </c>
      <c r="EA129" s="27">
        <v>13.799999999999997</v>
      </c>
      <c r="EB129" s="27">
        <v>13.799999999999997</v>
      </c>
      <c r="EC129" s="27">
        <v>13.799999999999997</v>
      </c>
      <c r="ED129" s="27">
        <v>13.799999999999997</v>
      </c>
      <c r="EE129" s="27">
        <v>13.799999999999997</v>
      </c>
      <c r="EF129" s="129">
        <v>14.4</v>
      </c>
      <c r="EH129" s="27">
        <v>27.400000000000006</v>
      </c>
      <c r="EI129" s="27">
        <v>27.400000000000006</v>
      </c>
      <c r="EJ129" s="27">
        <v>27.400000000000006</v>
      </c>
      <c r="EK129" s="27">
        <v>27.400000000000006</v>
      </c>
      <c r="EL129" s="27">
        <v>27.400000000000006</v>
      </c>
      <c r="EM129" s="27">
        <v>27.400000000000006</v>
      </c>
      <c r="EN129" s="27">
        <v>27.400000000000006</v>
      </c>
      <c r="EO129" s="27">
        <v>27.400000000000006</v>
      </c>
      <c r="EP129" s="27">
        <v>27.400000000000006</v>
      </c>
      <c r="EQ129" s="129">
        <v>14.4</v>
      </c>
      <c r="ES129" s="27">
        <v>34.199999999999989</v>
      </c>
      <c r="ET129" s="27">
        <v>34.199999999999989</v>
      </c>
      <c r="EU129" s="27">
        <v>34.199999999999989</v>
      </c>
      <c r="EV129" s="27">
        <v>34.199999999999989</v>
      </c>
      <c r="EW129" s="27">
        <v>34.199999999999989</v>
      </c>
      <c r="EX129" s="27">
        <v>34.199999999999989</v>
      </c>
      <c r="EY129" s="27">
        <v>34.199999999999989</v>
      </c>
      <c r="EZ129" s="27">
        <v>34.199999999999989</v>
      </c>
      <c r="FA129" s="27">
        <v>34.199999999999989</v>
      </c>
      <c r="FB129" s="129">
        <v>14.4</v>
      </c>
      <c r="FD129" s="27">
        <v>35.199999999999989</v>
      </c>
      <c r="FE129" s="27">
        <v>35.199999999999989</v>
      </c>
      <c r="FF129" s="27">
        <v>35.199999999999989</v>
      </c>
      <c r="FG129" s="27">
        <v>35.199999999999989</v>
      </c>
      <c r="FH129" s="27">
        <v>35.199999999999989</v>
      </c>
      <c r="FI129" s="27">
        <v>35.199999999999989</v>
      </c>
      <c r="FJ129" s="27">
        <v>35.199999999999989</v>
      </c>
      <c r="FK129" s="27">
        <v>35.199999999999989</v>
      </c>
      <c r="FL129" s="27">
        <v>35.199999999999989</v>
      </c>
      <c r="FM129" s="129">
        <v>14.4</v>
      </c>
      <c r="FO129" s="27">
        <v>54.800000000000011</v>
      </c>
      <c r="FP129" s="27">
        <v>54.800000000000011</v>
      </c>
      <c r="FQ129" s="27">
        <v>54.800000000000011</v>
      </c>
      <c r="FR129" s="27">
        <v>54.800000000000011</v>
      </c>
      <c r="FS129" s="27">
        <v>54.800000000000011</v>
      </c>
      <c r="FT129" s="27">
        <v>54.800000000000011</v>
      </c>
      <c r="FU129" s="27">
        <v>54.800000000000011</v>
      </c>
      <c r="FV129" s="27">
        <v>54.800000000000011</v>
      </c>
      <c r="FW129" s="27">
        <v>54.800000000000011</v>
      </c>
      <c r="FX129" s="129">
        <v>14.4</v>
      </c>
      <c r="FZ129" s="27">
        <v>54.800000000000011</v>
      </c>
      <c r="GA129" s="27">
        <v>54.800000000000011</v>
      </c>
      <c r="GB129" s="27">
        <v>54.800000000000011</v>
      </c>
      <c r="GC129" s="27">
        <v>54.800000000000011</v>
      </c>
      <c r="GD129" s="27">
        <v>54.800000000000011</v>
      </c>
      <c r="GE129" s="27">
        <v>54.800000000000011</v>
      </c>
      <c r="GF129" s="27">
        <v>54.800000000000011</v>
      </c>
      <c r="GG129" s="27">
        <v>54.800000000000011</v>
      </c>
      <c r="GH129" s="27">
        <v>54.800000000000011</v>
      </c>
      <c r="GI129" s="129">
        <v>14.4</v>
      </c>
      <c r="GJ129" s="27"/>
      <c r="GK129" s="27">
        <v>13</v>
      </c>
      <c r="GL129" s="27">
        <v>13</v>
      </c>
      <c r="GM129" s="27">
        <v>13</v>
      </c>
      <c r="GN129" s="27">
        <v>13</v>
      </c>
      <c r="GO129" s="27">
        <v>13</v>
      </c>
      <c r="GP129" s="27">
        <v>13</v>
      </c>
      <c r="GQ129" s="27">
        <v>13</v>
      </c>
      <c r="GR129" s="27">
        <v>13</v>
      </c>
      <c r="GS129" s="27">
        <v>13</v>
      </c>
      <c r="GT129" s="129">
        <v>14.4</v>
      </c>
      <c r="GV129" s="27">
        <v>15.600000000000001</v>
      </c>
      <c r="GW129" s="27">
        <v>15.600000000000001</v>
      </c>
      <c r="GX129" s="27">
        <v>15.600000000000001</v>
      </c>
      <c r="GY129" s="27">
        <v>15.600000000000001</v>
      </c>
      <c r="GZ129" s="27">
        <v>15.600000000000001</v>
      </c>
      <c r="HA129" s="27">
        <v>15.600000000000001</v>
      </c>
      <c r="HB129" s="27">
        <v>15.600000000000001</v>
      </c>
      <c r="HC129" s="27">
        <v>15.600000000000001</v>
      </c>
      <c r="HD129" s="27">
        <v>15.600000000000001</v>
      </c>
      <c r="HE129" s="129">
        <v>14.4</v>
      </c>
      <c r="HG129" s="27">
        <v>21.599999999999994</v>
      </c>
      <c r="HH129" s="27">
        <v>21.599999999999994</v>
      </c>
      <c r="HI129" s="27">
        <v>21.599999999999994</v>
      </c>
      <c r="HJ129" s="27">
        <v>21.599999999999994</v>
      </c>
      <c r="HK129" s="27">
        <v>21.599999999999994</v>
      </c>
      <c r="HL129" s="27">
        <v>21.599999999999994</v>
      </c>
      <c r="HM129" s="27">
        <v>21.599999999999994</v>
      </c>
      <c r="HN129" s="27">
        <v>21.599999999999994</v>
      </c>
      <c r="HO129" s="27">
        <v>21.599999999999994</v>
      </c>
      <c r="HP129" s="129">
        <v>14.4</v>
      </c>
      <c r="HR129" s="27">
        <v>21.599999999999994</v>
      </c>
      <c r="HS129" s="27">
        <v>21.599999999999994</v>
      </c>
      <c r="HT129" s="27">
        <v>21.599999999999994</v>
      </c>
      <c r="HU129" s="27">
        <v>21.599999999999994</v>
      </c>
      <c r="HV129" s="27">
        <v>21.599999999999994</v>
      </c>
      <c r="HW129" s="27">
        <v>21.599999999999994</v>
      </c>
      <c r="HX129" s="27">
        <v>21.599999999999994</v>
      </c>
      <c r="HY129" s="27">
        <v>21.599999999999994</v>
      </c>
      <c r="HZ129" s="27">
        <v>21.599999999999994</v>
      </c>
      <c r="IA129" s="129">
        <v>14.4</v>
      </c>
    </row>
    <row r="130" spans="15:235" ht="3" customHeight="1">
      <c r="O130" s="129">
        <v>9.0000000000000036</v>
      </c>
      <c r="P130" s="129">
        <v>9.0000000000000036</v>
      </c>
      <c r="Q130" s="129">
        <v>9.0000000000000036</v>
      </c>
      <c r="R130" s="129">
        <v>9.0000000000000036</v>
      </c>
      <c r="S130" s="129">
        <v>9.0000000000000036</v>
      </c>
      <c r="T130" s="129">
        <v>9.0000000000000036</v>
      </c>
      <c r="U130" s="129">
        <v>9.0000000000000036</v>
      </c>
      <c r="V130" s="129">
        <v>9.0000000000000036</v>
      </c>
      <c r="W130" s="129">
        <v>9.0000000000000036</v>
      </c>
      <c r="X130" s="129">
        <v>12.5</v>
      </c>
      <c r="Y130" s="27"/>
      <c r="Z130" s="129">
        <v>18.000000000000007</v>
      </c>
      <c r="AA130" s="129">
        <v>18.000000000000007</v>
      </c>
      <c r="AB130" s="129">
        <v>18.000000000000007</v>
      </c>
      <c r="AC130" s="129">
        <v>18.000000000000007</v>
      </c>
      <c r="AD130" s="129">
        <v>18.000000000000007</v>
      </c>
      <c r="AE130" s="129">
        <v>18.000000000000007</v>
      </c>
      <c r="AF130" s="129">
        <v>18.000000000000007</v>
      </c>
      <c r="AG130" s="129">
        <v>18.000000000000007</v>
      </c>
      <c r="AH130" s="129">
        <v>18.000000000000007</v>
      </c>
      <c r="AI130" s="129">
        <v>12.5</v>
      </c>
      <c r="AK130" s="129">
        <v>39.500000000000014</v>
      </c>
      <c r="AL130" s="129">
        <v>39.500000000000014</v>
      </c>
      <c r="AM130" s="129">
        <v>39.500000000000014</v>
      </c>
      <c r="AN130" s="129">
        <v>39.500000000000014</v>
      </c>
      <c r="AO130" s="129">
        <v>39.500000000000014</v>
      </c>
      <c r="AP130" s="129">
        <v>39.500000000000014</v>
      </c>
      <c r="AQ130" s="129">
        <v>39.500000000000014</v>
      </c>
      <c r="AR130" s="129">
        <v>39.500000000000014</v>
      </c>
      <c r="AS130" s="129">
        <v>39.500000000000014</v>
      </c>
      <c r="AT130" s="129">
        <v>12.5</v>
      </c>
      <c r="AV130" s="129">
        <v>40.500000000000014</v>
      </c>
      <c r="AW130" s="129">
        <v>40.500000000000014</v>
      </c>
      <c r="AX130" s="129">
        <v>40.500000000000014</v>
      </c>
      <c r="AY130" s="129">
        <v>40.500000000000014</v>
      </c>
      <c r="AZ130" s="129">
        <v>40.500000000000014</v>
      </c>
      <c r="BA130" s="129">
        <v>40.500000000000014</v>
      </c>
      <c r="BB130" s="129">
        <v>40.500000000000014</v>
      </c>
      <c r="BC130" s="129">
        <v>40.500000000000014</v>
      </c>
      <c r="BD130" s="129">
        <v>40.500000000000014</v>
      </c>
      <c r="BE130" s="129">
        <v>12.5</v>
      </c>
      <c r="BG130" s="129">
        <v>63.5</v>
      </c>
      <c r="BH130" s="129">
        <v>63.5</v>
      </c>
      <c r="BI130" s="129">
        <v>63.5</v>
      </c>
      <c r="BJ130" s="129">
        <v>63.5</v>
      </c>
      <c r="BK130" s="129">
        <v>63.5</v>
      </c>
      <c r="BL130" s="129">
        <v>63.5</v>
      </c>
      <c r="BM130" s="129">
        <v>63.5</v>
      </c>
      <c r="BN130" s="129">
        <v>63.5</v>
      </c>
      <c r="BO130" s="129">
        <v>63.5</v>
      </c>
      <c r="BP130" s="129">
        <v>12.5</v>
      </c>
      <c r="BR130" s="129">
        <v>63.5</v>
      </c>
      <c r="BS130" s="129">
        <v>63.5</v>
      </c>
      <c r="BT130" s="129">
        <v>63.5</v>
      </c>
      <c r="BU130" s="129">
        <v>63.5</v>
      </c>
      <c r="BV130" s="129">
        <v>63.5</v>
      </c>
      <c r="BW130" s="129">
        <v>63.5</v>
      </c>
      <c r="BX130" s="129">
        <v>63.5</v>
      </c>
      <c r="BY130" s="129">
        <v>63.5</v>
      </c>
      <c r="BZ130" s="129">
        <v>63.5</v>
      </c>
      <c r="CA130" s="129">
        <v>12.5</v>
      </c>
      <c r="CC130" s="129">
        <v>15.000000000000004</v>
      </c>
      <c r="CD130" s="129">
        <v>15.000000000000004</v>
      </c>
      <c r="CE130" s="129">
        <v>15.000000000000004</v>
      </c>
      <c r="CF130" s="129">
        <v>15.000000000000004</v>
      </c>
      <c r="CG130" s="129">
        <v>15.000000000000004</v>
      </c>
      <c r="CH130" s="129">
        <v>15.000000000000004</v>
      </c>
      <c r="CI130" s="129">
        <v>15.000000000000004</v>
      </c>
      <c r="CJ130" s="129">
        <v>15.000000000000004</v>
      </c>
      <c r="CK130" s="129">
        <v>15.000000000000004</v>
      </c>
      <c r="CL130" s="129">
        <v>12.5</v>
      </c>
      <c r="CN130" s="129">
        <v>18.000000000000004</v>
      </c>
      <c r="CO130" s="129">
        <v>18.000000000000004</v>
      </c>
      <c r="CP130" s="129">
        <v>18.000000000000004</v>
      </c>
      <c r="CQ130" s="129">
        <v>18.000000000000004</v>
      </c>
      <c r="CR130" s="129">
        <v>18.000000000000004</v>
      </c>
      <c r="CS130" s="129">
        <v>18.000000000000004</v>
      </c>
      <c r="CT130" s="129">
        <v>18.000000000000004</v>
      </c>
      <c r="CU130" s="129">
        <v>18.000000000000004</v>
      </c>
      <c r="CV130" s="129">
        <v>18.000000000000004</v>
      </c>
      <c r="CW130" s="129">
        <v>12.5</v>
      </c>
      <c r="CY130" s="129">
        <v>25.000000000000004</v>
      </c>
      <c r="CZ130" s="129">
        <v>25.000000000000004</v>
      </c>
      <c r="DA130" s="129">
        <v>25.000000000000004</v>
      </c>
      <c r="DB130" s="129">
        <v>25.000000000000004</v>
      </c>
      <c r="DC130" s="129">
        <v>25.000000000000004</v>
      </c>
      <c r="DD130" s="129">
        <v>25.000000000000004</v>
      </c>
      <c r="DE130" s="129">
        <v>25.000000000000004</v>
      </c>
      <c r="DF130" s="129">
        <v>25.000000000000004</v>
      </c>
      <c r="DG130" s="129">
        <v>25.000000000000004</v>
      </c>
      <c r="DH130" s="129">
        <v>12.5</v>
      </c>
      <c r="DJ130" s="129">
        <v>25.000000000000004</v>
      </c>
      <c r="DK130" s="129">
        <v>25.000000000000004</v>
      </c>
      <c r="DL130" s="129">
        <v>25.000000000000004</v>
      </c>
      <c r="DM130" s="129">
        <v>25.000000000000004</v>
      </c>
      <c r="DN130" s="129">
        <v>25.000000000000004</v>
      </c>
      <c r="DO130" s="129">
        <v>25.000000000000004</v>
      </c>
      <c r="DP130" s="129">
        <v>25.000000000000004</v>
      </c>
      <c r="DQ130" s="129">
        <v>25.000000000000004</v>
      </c>
      <c r="DR130" s="129">
        <v>25.000000000000004</v>
      </c>
      <c r="DS130" s="129">
        <v>12.5</v>
      </c>
      <c r="DW130" s="27">
        <v>13.499999999999996</v>
      </c>
      <c r="DX130" s="27">
        <v>13.499999999999996</v>
      </c>
      <c r="DY130" s="27">
        <v>13.499999999999996</v>
      </c>
      <c r="DZ130" s="27">
        <v>13.499999999999996</v>
      </c>
      <c r="EA130" s="27">
        <v>13.499999999999996</v>
      </c>
      <c r="EB130" s="27">
        <v>13.499999999999996</v>
      </c>
      <c r="EC130" s="27">
        <v>13.499999999999996</v>
      </c>
      <c r="ED130" s="27">
        <v>13.499999999999996</v>
      </c>
      <c r="EE130" s="27">
        <v>13.499999999999996</v>
      </c>
      <c r="EF130" s="129">
        <v>14.5</v>
      </c>
      <c r="EH130" s="27">
        <v>27.000000000000007</v>
      </c>
      <c r="EI130" s="27">
        <v>27.000000000000007</v>
      </c>
      <c r="EJ130" s="27">
        <v>27.000000000000007</v>
      </c>
      <c r="EK130" s="27">
        <v>27.000000000000007</v>
      </c>
      <c r="EL130" s="27">
        <v>27.000000000000007</v>
      </c>
      <c r="EM130" s="27">
        <v>27.000000000000007</v>
      </c>
      <c r="EN130" s="27">
        <v>27.000000000000007</v>
      </c>
      <c r="EO130" s="27">
        <v>27.000000000000007</v>
      </c>
      <c r="EP130" s="27">
        <v>27.000000000000007</v>
      </c>
      <c r="EQ130" s="129">
        <v>14.5</v>
      </c>
      <c r="ES130" s="27">
        <v>33.999999999999986</v>
      </c>
      <c r="ET130" s="27">
        <v>33.999999999999986</v>
      </c>
      <c r="EU130" s="27">
        <v>33.999999999999986</v>
      </c>
      <c r="EV130" s="27">
        <v>33.999999999999986</v>
      </c>
      <c r="EW130" s="27">
        <v>33.999999999999986</v>
      </c>
      <c r="EX130" s="27">
        <v>33.999999999999986</v>
      </c>
      <c r="EY130" s="27">
        <v>33.999999999999986</v>
      </c>
      <c r="EZ130" s="27">
        <v>33.999999999999986</v>
      </c>
      <c r="FA130" s="27">
        <v>33.999999999999986</v>
      </c>
      <c r="FB130" s="129">
        <v>14.5</v>
      </c>
      <c r="FD130" s="27">
        <v>34.999999999999986</v>
      </c>
      <c r="FE130" s="27">
        <v>34.999999999999986</v>
      </c>
      <c r="FF130" s="27">
        <v>34.999999999999986</v>
      </c>
      <c r="FG130" s="27">
        <v>34.999999999999986</v>
      </c>
      <c r="FH130" s="27">
        <v>34.999999999999986</v>
      </c>
      <c r="FI130" s="27">
        <v>34.999999999999986</v>
      </c>
      <c r="FJ130" s="27">
        <v>34.999999999999986</v>
      </c>
      <c r="FK130" s="27">
        <v>34.999999999999986</v>
      </c>
      <c r="FL130" s="27">
        <v>34.999999999999986</v>
      </c>
      <c r="FM130" s="129">
        <v>14.5</v>
      </c>
      <c r="FO130" s="27">
        <v>54.500000000000014</v>
      </c>
      <c r="FP130" s="27">
        <v>54.500000000000014</v>
      </c>
      <c r="FQ130" s="27">
        <v>54.500000000000014</v>
      </c>
      <c r="FR130" s="27">
        <v>54.500000000000014</v>
      </c>
      <c r="FS130" s="27">
        <v>54.500000000000014</v>
      </c>
      <c r="FT130" s="27">
        <v>54.500000000000014</v>
      </c>
      <c r="FU130" s="27">
        <v>54.500000000000014</v>
      </c>
      <c r="FV130" s="27">
        <v>54.500000000000014</v>
      </c>
      <c r="FW130" s="27">
        <v>54.500000000000014</v>
      </c>
      <c r="FX130" s="129">
        <v>14.5</v>
      </c>
      <c r="FZ130" s="27">
        <v>54.500000000000014</v>
      </c>
      <c r="GA130" s="27">
        <v>54.500000000000014</v>
      </c>
      <c r="GB130" s="27">
        <v>54.500000000000014</v>
      </c>
      <c r="GC130" s="27">
        <v>54.500000000000014</v>
      </c>
      <c r="GD130" s="27">
        <v>54.500000000000014</v>
      </c>
      <c r="GE130" s="27">
        <v>54.500000000000014</v>
      </c>
      <c r="GF130" s="27">
        <v>54.500000000000014</v>
      </c>
      <c r="GG130" s="27">
        <v>54.500000000000014</v>
      </c>
      <c r="GH130" s="27">
        <v>54.500000000000014</v>
      </c>
      <c r="GI130" s="129">
        <v>14.5</v>
      </c>
      <c r="GJ130" s="27"/>
      <c r="GK130" s="27">
        <v>13</v>
      </c>
      <c r="GL130" s="27">
        <v>13</v>
      </c>
      <c r="GM130" s="27">
        <v>13</v>
      </c>
      <c r="GN130" s="27">
        <v>13</v>
      </c>
      <c r="GO130" s="27">
        <v>13</v>
      </c>
      <c r="GP130" s="27">
        <v>13</v>
      </c>
      <c r="GQ130" s="27">
        <v>13</v>
      </c>
      <c r="GR130" s="27">
        <v>13</v>
      </c>
      <c r="GS130" s="27">
        <v>13</v>
      </c>
      <c r="GT130" s="129">
        <v>14.5</v>
      </c>
      <c r="GV130" s="27">
        <v>15.500000000000002</v>
      </c>
      <c r="GW130" s="27">
        <v>15.500000000000002</v>
      </c>
      <c r="GX130" s="27">
        <v>15.500000000000002</v>
      </c>
      <c r="GY130" s="27">
        <v>15.500000000000002</v>
      </c>
      <c r="GZ130" s="27">
        <v>15.500000000000002</v>
      </c>
      <c r="HA130" s="27">
        <v>15.500000000000002</v>
      </c>
      <c r="HB130" s="27">
        <v>15.500000000000002</v>
      </c>
      <c r="HC130" s="27">
        <v>15.500000000000002</v>
      </c>
      <c r="HD130" s="27">
        <v>15.500000000000002</v>
      </c>
      <c r="HE130" s="129">
        <v>14.5</v>
      </c>
      <c r="HG130" s="27">
        <v>21.499999999999993</v>
      </c>
      <c r="HH130" s="27">
        <v>21.499999999999993</v>
      </c>
      <c r="HI130" s="27">
        <v>21.499999999999993</v>
      </c>
      <c r="HJ130" s="27">
        <v>21.499999999999993</v>
      </c>
      <c r="HK130" s="27">
        <v>21.499999999999993</v>
      </c>
      <c r="HL130" s="27">
        <v>21.499999999999993</v>
      </c>
      <c r="HM130" s="27">
        <v>21.499999999999993</v>
      </c>
      <c r="HN130" s="27">
        <v>21.499999999999993</v>
      </c>
      <c r="HO130" s="27">
        <v>21.499999999999993</v>
      </c>
      <c r="HP130" s="129">
        <v>14.5</v>
      </c>
      <c r="HR130" s="27">
        <v>21.499999999999993</v>
      </c>
      <c r="HS130" s="27">
        <v>21.499999999999993</v>
      </c>
      <c r="HT130" s="27">
        <v>21.499999999999993</v>
      </c>
      <c r="HU130" s="27">
        <v>21.499999999999993</v>
      </c>
      <c r="HV130" s="27">
        <v>21.499999999999993</v>
      </c>
      <c r="HW130" s="27">
        <v>21.499999999999993</v>
      </c>
      <c r="HX130" s="27">
        <v>21.499999999999993</v>
      </c>
      <c r="HY130" s="27">
        <v>21.499999999999993</v>
      </c>
      <c r="HZ130" s="27">
        <v>21.499999999999993</v>
      </c>
      <c r="IA130" s="129">
        <v>14.5</v>
      </c>
    </row>
    <row r="131" spans="15:235" ht="3" customHeight="1">
      <c r="O131" s="129">
        <v>8.8000000000000043</v>
      </c>
      <c r="P131" s="129">
        <v>8.8000000000000043</v>
      </c>
      <c r="Q131" s="129">
        <v>8.8000000000000043</v>
      </c>
      <c r="R131" s="129">
        <v>8.8000000000000043</v>
      </c>
      <c r="S131" s="129">
        <v>8.8000000000000043</v>
      </c>
      <c r="T131" s="129">
        <v>8.8000000000000043</v>
      </c>
      <c r="U131" s="129">
        <v>8.8000000000000043</v>
      </c>
      <c r="V131" s="129">
        <v>8.8000000000000043</v>
      </c>
      <c r="W131" s="129">
        <v>8.8000000000000043</v>
      </c>
      <c r="X131" s="129">
        <v>12.6</v>
      </c>
      <c r="Y131" s="27"/>
      <c r="Z131" s="129">
        <v>17.600000000000009</v>
      </c>
      <c r="AA131" s="129">
        <v>17.600000000000009</v>
      </c>
      <c r="AB131" s="129">
        <v>17.600000000000009</v>
      </c>
      <c r="AC131" s="129">
        <v>17.600000000000009</v>
      </c>
      <c r="AD131" s="129">
        <v>17.600000000000009</v>
      </c>
      <c r="AE131" s="129">
        <v>17.600000000000009</v>
      </c>
      <c r="AF131" s="129">
        <v>17.600000000000009</v>
      </c>
      <c r="AG131" s="129">
        <v>17.600000000000009</v>
      </c>
      <c r="AH131" s="129">
        <v>17.600000000000009</v>
      </c>
      <c r="AI131" s="129">
        <v>12.6</v>
      </c>
      <c r="AK131" s="129">
        <v>39.200000000000017</v>
      </c>
      <c r="AL131" s="129">
        <v>39.200000000000017</v>
      </c>
      <c r="AM131" s="129">
        <v>39.200000000000017</v>
      </c>
      <c r="AN131" s="129">
        <v>39.200000000000017</v>
      </c>
      <c r="AO131" s="129">
        <v>39.200000000000017</v>
      </c>
      <c r="AP131" s="129">
        <v>39.200000000000017</v>
      </c>
      <c r="AQ131" s="129">
        <v>39.200000000000017</v>
      </c>
      <c r="AR131" s="129">
        <v>39.200000000000017</v>
      </c>
      <c r="AS131" s="129">
        <v>39.200000000000017</v>
      </c>
      <c r="AT131" s="129">
        <v>12.6</v>
      </c>
      <c r="AV131" s="129">
        <v>40.200000000000017</v>
      </c>
      <c r="AW131" s="129">
        <v>40.200000000000017</v>
      </c>
      <c r="AX131" s="129">
        <v>40.200000000000017</v>
      </c>
      <c r="AY131" s="129">
        <v>40.200000000000017</v>
      </c>
      <c r="AZ131" s="129">
        <v>40.200000000000017</v>
      </c>
      <c r="BA131" s="129">
        <v>40.200000000000017</v>
      </c>
      <c r="BB131" s="129">
        <v>40.200000000000017</v>
      </c>
      <c r="BC131" s="129">
        <v>40.200000000000017</v>
      </c>
      <c r="BD131" s="129">
        <v>40.200000000000017</v>
      </c>
      <c r="BE131" s="129">
        <v>12.6</v>
      </c>
      <c r="BG131" s="129">
        <v>63</v>
      </c>
      <c r="BH131" s="129">
        <v>63</v>
      </c>
      <c r="BI131" s="129">
        <v>63</v>
      </c>
      <c r="BJ131" s="129">
        <v>63</v>
      </c>
      <c r="BK131" s="129">
        <v>63</v>
      </c>
      <c r="BL131" s="129">
        <v>63</v>
      </c>
      <c r="BM131" s="129">
        <v>63</v>
      </c>
      <c r="BN131" s="129">
        <v>63</v>
      </c>
      <c r="BO131" s="129">
        <v>63</v>
      </c>
      <c r="BP131" s="129">
        <v>12.6</v>
      </c>
      <c r="BR131" s="129">
        <v>63</v>
      </c>
      <c r="BS131" s="129">
        <v>63</v>
      </c>
      <c r="BT131" s="129">
        <v>63</v>
      </c>
      <c r="BU131" s="129">
        <v>63</v>
      </c>
      <c r="BV131" s="129">
        <v>63</v>
      </c>
      <c r="BW131" s="129">
        <v>63</v>
      </c>
      <c r="BX131" s="129">
        <v>63</v>
      </c>
      <c r="BY131" s="129">
        <v>63</v>
      </c>
      <c r="BZ131" s="129">
        <v>63</v>
      </c>
      <c r="CA131" s="129">
        <v>12.6</v>
      </c>
      <c r="CC131" s="129">
        <v>14.800000000000004</v>
      </c>
      <c r="CD131" s="129">
        <v>14.800000000000004</v>
      </c>
      <c r="CE131" s="129">
        <v>14.800000000000004</v>
      </c>
      <c r="CF131" s="129">
        <v>14.800000000000004</v>
      </c>
      <c r="CG131" s="129">
        <v>14.800000000000004</v>
      </c>
      <c r="CH131" s="129">
        <v>14.800000000000004</v>
      </c>
      <c r="CI131" s="129">
        <v>14.800000000000004</v>
      </c>
      <c r="CJ131" s="129">
        <v>14.800000000000004</v>
      </c>
      <c r="CK131" s="129">
        <v>14.800000000000004</v>
      </c>
      <c r="CL131" s="129">
        <v>12.6</v>
      </c>
      <c r="CN131" s="129">
        <v>17.800000000000004</v>
      </c>
      <c r="CO131" s="129">
        <v>17.800000000000004</v>
      </c>
      <c r="CP131" s="129">
        <v>17.800000000000004</v>
      </c>
      <c r="CQ131" s="129">
        <v>17.800000000000004</v>
      </c>
      <c r="CR131" s="129">
        <v>17.800000000000004</v>
      </c>
      <c r="CS131" s="129">
        <v>17.800000000000004</v>
      </c>
      <c r="CT131" s="129">
        <v>17.800000000000004</v>
      </c>
      <c r="CU131" s="129">
        <v>17.800000000000004</v>
      </c>
      <c r="CV131" s="129">
        <v>17.800000000000004</v>
      </c>
      <c r="CW131" s="129">
        <v>12.6</v>
      </c>
      <c r="CY131" s="129">
        <v>24.800000000000004</v>
      </c>
      <c r="CZ131" s="129">
        <v>24.800000000000004</v>
      </c>
      <c r="DA131" s="129">
        <v>24.800000000000004</v>
      </c>
      <c r="DB131" s="129">
        <v>24.800000000000004</v>
      </c>
      <c r="DC131" s="129">
        <v>24.800000000000004</v>
      </c>
      <c r="DD131" s="129">
        <v>24.800000000000004</v>
      </c>
      <c r="DE131" s="129">
        <v>24.800000000000004</v>
      </c>
      <c r="DF131" s="129">
        <v>24.800000000000004</v>
      </c>
      <c r="DG131" s="129">
        <v>24.800000000000004</v>
      </c>
      <c r="DH131" s="129">
        <v>12.6</v>
      </c>
      <c r="DJ131" s="129">
        <v>24.800000000000004</v>
      </c>
      <c r="DK131" s="129">
        <v>24.800000000000004</v>
      </c>
      <c r="DL131" s="129">
        <v>24.800000000000004</v>
      </c>
      <c r="DM131" s="129">
        <v>24.800000000000004</v>
      </c>
      <c r="DN131" s="129">
        <v>24.800000000000004</v>
      </c>
      <c r="DO131" s="129">
        <v>24.800000000000004</v>
      </c>
      <c r="DP131" s="129">
        <v>24.800000000000004</v>
      </c>
      <c r="DQ131" s="129">
        <v>24.800000000000004</v>
      </c>
      <c r="DR131" s="129">
        <v>24.800000000000004</v>
      </c>
      <c r="DS131" s="129">
        <v>12.6</v>
      </c>
      <c r="DW131" s="27">
        <v>13.199999999999996</v>
      </c>
      <c r="DX131" s="27">
        <v>13.199999999999996</v>
      </c>
      <c r="DY131" s="27">
        <v>13.199999999999996</v>
      </c>
      <c r="DZ131" s="27">
        <v>13.199999999999996</v>
      </c>
      <c r="EA131" s="27">
        <v>13.199999999999996</v>
      </c>
      <c r="EB131" s="27">
        <v>13.199999999999996</v>
      </c>
      <c r="EC131" s="27">
        <v>13.199999999999996</v>
      </c>
      <c r="ED131" s="27">
        <v>13.199999999999996</v>
      </c>
      <c r="EE131" s="27">
        <v>13.199999999999996</v>
      </c>
      <c r="EF131" s="129">
        <v>14.6</v>
      </c>
      <c r="EH131" s="27">
        <v>26.600000000000009</v>
      </c>
      <c r="EI131" s="27">
        <v>26.600000000000009</v>
      </c>
      <c r="EJ131" s="27">
        <v>26.600000000000009</v>
      </c>
      <c r="EK131" s="27">
        <v>26.600000000000009</v>
      </c>
      <c r="EL131" s="27">
        <v>26.600000000000009</v>
      </c>
      <c r="EM131" s="27">
        <v>26.600000000000009</v>
      </c>
      <c r="EN131" s="27">
        <v>26.600000000000009</v>
      </c>
      <c r="EO131" s="27">
        <v>26.600000000000009</v>
      </c>
      <c r="EP131" s="27">
        <v>26.600000000000009</v>
      </c>
      <c r="EQ131" s="129">
        <v>14.6</v>
      </c>
      <c r="ES131" s="27">
        <v>33.799999999999983</v>
      </c>
      <c r="ET131" s="27">
        <v>33.799999999999983</v>
      </c>
      <c r="EU131" s="27">
        <v>33.799999999999983</v>
      </c>
      <c r="EV131" s="27">
        <v>33.799999999999983</v>
      </c>
      <c r="EW131" s="27">
        <v>33.799999999999983</v>
      </c>
      <c r="EX131" s="27">
        <v>33.799999999999983</v>
      </c>
      <c r="EY131" s="27">
        <v>33.799999999999983</v>
      </c>
      <c r="EZ131" s="27">
        <v>33.799999999999983</v>
      </c>
      <c r="FA131" s="27">
        <v>33.799999999999983</v>
      </c>
      <c r="FB131" s="129">
        <v>14.6</v>
      </c>
      <c r="FD131" s="27">
        <v>34.799999999999983</v>
      </c>
      <c r="FE131" s="27">
        <v>34.799999999999983</v>
      </c>
      <c r="FF131" s="27">
        <v>34.799999999999983</v>
      </c>
      <c r="FG131" s="27">
        <v>34.799999999999983</v>
      </c>
      <c r="FH131" s="27">
        <v>34.799999999999983</v>
      </c>
      <c r="FI131" s="27">
        <v>34.799999999999983</v>
      </c>
      <c r="FJ131" s="27">
        <v>34.799999999999983</v>
      </c>
      <c r="FK131" s="27">
        <v>34.799999999999983</v>
      </c>
      <c r="FL131" s="27">
        <v>34.799999999999983</v>
      </c>
      <c r="FM131" s="129">
        <v>14.6</v>
      </c>
      <c r="FO131" s="27">
        <v>54.200000000000017</v>
      </c>
      <c r="FP131" s="27">
        <v>54.200000000000017</v>
      </c>
      <c r="FQ131" s="27">
        <v>54.200000000000017</v>
      </c>
      <c r="FR131" s="27">
        <v>54.200000000000017</v>
      </c>
      <c r="FS131" s="27">
        <v>54.200000000000017</v>
      </c>
      <c r="FT131" s="27">
        <v>54.200000000000017</v>
      </c>
      <c r="FU131" s="27">
        <v>54.200000000000017</v>
      </c>
      <c r="FV131" s="27">
        <v>54.200000000000017</v>
      </c>
      <c r="FW131" s="27">
        <v>54.200000000000017</v>
      </c>
      <c r="FX131" s="129">
        <v>14.6</v>
      </c>
      <c r="FZ131" s="27">
        <v>54.200000000000017</v>
      </c>
      <c r="GA131" s="27">
        <v>54.200000000000017</v>
      </c>
      <c r="GB131" s="27">
        <v>54.200000000000017</v>
      </c>
      <c r="GC131" s="27">
        <v>54.200000000000017</v>
      </c>
      <c r="GD131" s="27">
        <v>54.200000000000017</v>
      </c>
      <c r="GE131" s="27">
        <v>54.200000000000017</v>
      </c>
      <c r="GF131" s="27">
        <v>54.200000000000017</v>
      </c>
      <c r="GG131" s="27">
        <v>54.200000000000017</v>
      </c>
      <c r="GH131" s="27">
        <v>54.200000000000017</v>
      </c>
      <c r="GI131" s="129">
        <v>14.6</v>
      </c>
      <c r="GJ131" s="27"/>
      <c r="GK131" s="27">
        <v>13</v>
      </c>
      <c r="GL131" s="27">
        <v>13</v>
      </c>
      <c r="GM131" s="27">
        <v>13</v>
      </c>
      <c r="GN131" s="27">
        <v>13</v>
      </c>
      <c r="GO131" s="27">
        <v>13</v>
      </c>
      <c r="GP131" s="27">
        <v>13</v>
      </c>
      <c r="GQ131" s="27">
        <v>13</v>
      </c>
      <c r="GR131" s="27">
        <v>13</v>
      </c>
      <c r="GS131" s="27">
        <v>13</v>
      </c>
      <c r="GT131" s="129">
        <v>14.6</v>
      </c>
      <c r="GV131" s="27">
        <v>15.400000000000002</v>
      </c>
      <c r="GW131" s="27">
        <v>15.400000000000002</v>
      </c>
      <c r="GX131" s="27">
        <v>15.400000000000002</v>
      </c>
      <c r="GY131" s="27">
        <v>15.400000000000002</v>
      </c>
      <c r="GZ131" s="27">
        <v>15.400000000000002</v>
      </c>
      <c r="HA131" s="27">
        <v>15.400000000000002</v>
      </c>
      <c r="HB131" s="27">
        <v>15.400000000000002</v>
      </c>
      <c r="HC131" s="27">
        <v>15.400000000000002</v>
      </c>
      <c r="HD131" s="27">
        <v>15.400000000000002</v>
      </c>
      <c r="HE131" s="129">
        <v>14.6</v>
      </c>
      <c r="HG131" s="27">
        <v>21.399999999999991</v>
      </c>
      <c r="HH131" s="27">
        <v>21.399999999999991</v>
      </c>
      <c r="HI131" s="27">
        <v>21.399999999999991</v>
      </c>
      <c r="HJ131" s="27">
        <v>21.399999999999991</v>
      </c>
      <c r="HK131" s="27">
        <v>21.399999999999991</v>
      </c>
      <c r="HL131" s="27">
        <v>21.399999999999991</v>
      </c>
      <c r="HM131" s="27">
        <v>21.399999999999991</v>
      </c>
      <c r="HN131" s="27">
        <v>21.399999999999991</v>
      </c>
      <c r="HO131" s="27">
        <v>21.399999999999991</v>
      </c>
      <c r="HP131" s="129">
        <v>14.6</v>
      </c>
      <c r="HR131" s="27">
        <v>21.399999999999991</v>
      </c>
      <c r="HS131" s="27">
        <v>21.399999999999991</v>
      </c>
      <c r="HT131" s="27">
        <v>21.399999999999991</v>
      </c>
      <c r="HU131" s="27">
        <v>21.399999999999991</v>
      </c>
      <c r="HV131" s="27">
        <v>21.399999999999991</v>
      </c>
      <c r="HW131" s="27">
        <v>21.399999999999991</v>
      </c>
      <c r="HX131" s="27">
        <v>21.399999999999991</v>
      </c>
      <c r="HY131" s="27">
        <v>21.399999999999991</v>
      </c>
      <c r="HZ131" s="27">
        <v>21.399999999999991</v>
      </c>
      <c r="IA131" s="129">
        <v>14.6</v>
      </c>
    </row>
    <row r="132" spans="15:235" ht="3" customHeight="1">
      <c r="O132" s="129">
        <v>8.600000000000005</v>
      </c>
      <c r="P132" s="129">
        <v>8.600000000000005</v>
      </c>
      <c r="Q132" s="129">
        <v>8.600000000000005</v>
      </c>
      <c r="R132" s="129">
        <v>8.600000000000005</v>
      </c>
      <c r="S132" s="129">
        <v>8.600000000000005</v>
      </c>
      <c r="T132" s="129">
        <v>8.600000000000005</v>
      </c>
      <c r="U132" s="129">
        <v>8.600000000000005</v>
      </c>
      <c r="V132" s="129">
        <v>8.600000000000005</v>
      </c>
      <c r="W132" s="129">
        <v>8.600000000000005</v>
      </c>
      <c r="X132" s="129">
        <v>12.7</v>
      </c>
      <c r="Y132" s="27"/>
      <c r="Z132" s="129">
        <v>17.20000000000001</v>
      </c>
      <c r="AA132" s="129">
        <v>17.20000000000001</v>
      </c>
      <c r="AB132" s="129">
        <v>17.20000000000001</v>
      </c>
      <c r="AC132" s="129">
        <v>17.20000000000001</v>
      </c>
      <c r="AD132" s="129">
        <v>17.20000000000001</v>
      </c>
      <c r="AE132" s="129">
        <v>17.20000000000001</v>
      </c>
      <c r="AF132" s="129">
        <v>17.20000000000001</v>
      </c>
      <c r="AG132" s="129">
        <v>17.20000000000001</v>
      </c>
      <c r="AH132" s="129">
        <v>17.20000000000001</v>
      </c>
      <c r="AI132" s="129">
        <v>12.7</v>
      </c>
      <c r="AK132" s="129">
        <v>38.90000000000002</v>
      </c>
      <c r="AL132" s="129">
        <v>38.90000000000002</v>
      </c>
      <c r="AM132" s="129">
        <v>38.90000000000002</v>
      </c>
      <c r="AN132" s="129">
        <v>38.90000000000002</v>
      </c>
      <c r="AO132" s="129">
        <v>38.90000000000002</v>
      </c>
      <c r="AP132" s="129">
        <v>38.90000000000002</v>
      </c>
      <c r="AQ132" s="129">
        <v>38.90000000000002</v>
      </c>
      <c r="AR132" s="129">
        <v>38.90000000000002</v>
      </c>
      <c r="AS132" s="129">
        <v>38.90000000000002</v>
      </c>
      <c r="AT132" s="129">
        <v>12.7</v>
      </c>
      <c r="AV132" s="129">
        <v>39.90000000000002</v>
      </c>
      <c r="AW132" s="129">
        <v>39.90000000000002</v>
      </c>
      <c r="AX132" s="129">
        <v>39.90000000000002</v>
      </c>
      <c r="AY132" s="129">
        <v>39.90000000000002</v>
      </c>
      <c r="AZ132" s="129">
        <v>39.90000000000002</v>
      </c>
      <c r="BA132" s="129">
        <v>39.90000000000002</v>
      </c>
      <c r="BB132" s="129">
        <v>39.90000000000002</v>
      </c>
      <c r="BC132" s="129">
        <v>39.90000000000002</v>
      </c>
      <c r="BD132" s="129">
        <v>39.90000000000002</v>
      </c>
      <c r="BE132" s="129">
        <v>12.7</v>
      </c>
      <c r="BG132" s="129">
        <v>62.5</v>
      </c>
      <c r="BH132" s="129">
        <v>62.5</v>
      </c>
      <c r="BI132" s="129">
        <v>62.5</v>
      </c>
      <c r="BJ132" s="129">
        <v>62.5</v>
      </c>
      <c r="BK132" s="129">
        <v>62.5</v>
      </c>
      <c r="BL132" s="129">
        <v>62.5</v>
      </c>
      <c r="BM132" s="129">
        <v>62.5</v>
      </c>
      <c r="BN132" s="129">
        <v>62.5</v>
      </c>
      <c r="BO132" s="129">
        <v>62.5</v>
      </c>
      <c r="BP132" s="129">
        <v>12.7</v>
      </c>
      <c r="BR132" s="129">
        <v>62.5</v>
      </c>
      <c r="BS132" s="129">
        <v>62.5</v>
      </c>
      <c r="BT132" s="129">
        <v>62.5</v>
      </c>
      <c r="BU132" s="129">
        <v>62.5</v>
      </c>
      <c r="BV132" s="129">
        <v>62.5</v>
      </c>
      <c r="BW132" s="129">
        <v>62.5</v>
      </c>
      <c r="BX132" s="129">
        <v>62.5</v>
      </c>
      <c r="BY132" s="129">
        <v>62.5</v>
      </c>
      <c r="BZ132" s="129">
        <v>62.5</v>
      </c>
      <c r="CA132" s="129">
        <v>12.7</v>
      </c>
      <c r="CC132" s="129">
        <v>14.600000000000005</v>
      </c>
      <c r="CD132" s="129">
        <v>14.600000000000005</v>
      </c>
      <c r="CE132" s="129">
        <v>14.600000000000005</v>
      </c>
      <c r="CF132" s="129">
        <v>14.600000000000005</v>
      </c>
      <c r="CG132" s="129">
        <v>14.600000000000005</v>
      </c>
      <c r="CH132" s="129">
        <v>14.600000000000005</v>
      </c>
      <c r="CI132" s="129">
        <v>14.600000000000005</v>
      </c>
      <c r="CJ132" s="129">
        <v>14.600000000000005</v>
      </c>
      <c r="CK132" s="129">
        <v>14.600000000000005</v>
      </c>
      <c r="CL132" s="129">
        <v>12.7</v>
      </c>
      <c r="CN132" s="129">
        <v>17.600000000000005</v>
      </c>
      <c r="CO132" s="129">
        <v>17.600000000000005</v>
      </c>
      <c r="CP132" s="129">
        <v>17.600000000000005</v>
      </c>
      <c r="CQ132" s="129">
        <v>17.600000000000005</v>
      </c>
      <c r="CR132" s="129">
        <v>17.600000000000005</v>
      </c>
      <c r="CS132" s="129">
        <v>17.600000000000005</v>
      </c>
      <c r="CT132" s="129">
        <v>17.600000000000005</v>
      </c>
      <c r="CU132" s="129">
        <v>17.600000000000005</v>
      </c>
      <c r="CV132" s="129">
        <v>17.600000000000005</v>
      </c>
      <c r="CW132" s="129">
        <v>12.7</v>
      </c>
      <c r="CY132" s="129">
        <v>24.600000000000005</v>
      </c>
      <c r="CZ132" s="129">
        <v>24.600000000000005</v>
      </c>
      <c r="DA132" s="129">
        <v>24.600000000000005</v>
      </c>
      <c r="DB132" s="129">
        <v>24.600000000000005</v>
      </c>
      <c r="DC132" s="129">
        <v>24.600000000000005</v>
      </c>
      <c r="DD132" s="129">
        <v>24.600000000000005</v>
      </c>
      <c r="DE132" s="129">
        <v>24.600000000000005</v>
      </c>
      <c r="DF132" s="129">
        <v>24.600000000000005</v>
      </c>
      <c r="DG132" s="129">
        <v>24.600000000000005</v>
      </c>
      <c r="DH132" s="129">
        <v>12.7</v>
      </c>
      <c r="DJ132" s="129">
        <v>24.600000000000005</v>
      </c>
      <c r="DK132" s="129">
        <v>24.600000000000005</v>
      </c>
      <c r="DL132" s="129">
        <v>24.600000000000005</v>
      </c>
      <c r="DM132" s="129">
        <v>24.600000000000005</v>
      </c>
      <c r="DN132" s="129">
        <v>24.600000000000005</v>
      </c>
      <c r="DO132" s="129">
        <v>24.600000000000005</v>
      </c>
      <c r="DP132" s="129">
        <v>24.600000000000005</v>
      </c>
      <c r="DQ132" s="129">
        <v>24.600000000000005</v>
      </c>
      <c r="DR132" s="129">
        <v>24.600000000000005</v>
      </c>
      <c r="DS132" s="129">
        <v>12.7</v>
      </c>
      <c r="DW132" s="27">
        <v>12.899999999999995</v>
      </c>
      <c r="DX132" s="27">
        <v>12.899999999999995</v>
      </c>
      <c r="DY132" s="27">
        <v>12.899999999999995</v>
      </c>
      <c r="DZ132" s="27">
        <v>12.899999999999995</v>
      </c>
      <c r="EA132" s="27">
        <v>12.899999999999995</v>
      </c>
      <c r="EB132" s="27">
        <v>12.899999999999995</v>
      </c>
      <c r="EC132" s="27">
        <v>12.899999999999995</v>
      </c>
      <c r="ED132" s="27">
        <v>12.899999999999995</v>
      </c>
      <c r="EE132" s="27">
        <v>12.899999999999995</v>
      </c>
      <c r="EF132" s="129">
        <v>14.7</v>
      </c>
      <c r="EH132" s="27">
        <v>26.20000000000001</v>
      </c>
      <c r="EI132" s="27">
        <v>26.20000000000001</v>
      </c>
      <c r="EJ132" s="27">
        <v>26.20000000000001</v>
      </c>
      <c r="EK132" s="27">
        <v>26.20000000000001</v>
      </c>
      <c r="EL132" s="27">
        <v>26.20000000000001</v>
      </c>
      <c r="EM132" s="27">
        <v>26.20000000000001</v>
      </c>
      <c r="EN132" s="27">
        <v>26.20000000000001</v>
      </c>
      <c r="EO132" s="27">
        <v>26.20000000000001</v>
      </c>
      <c r="EP132" s="27">
        <v>26.20000000000001</v>
      </c>
      <c r="EQ132" s="129">
        <v>14.7</v>
      </c>
      <c r="ES132" s="27">
        <v>33.59999999999998</v>
      </c>
      <c r="ET132" s="27">
        <v>33.59999999999998</v>
      </c>
      <c r="EU132" s="27">
        <v>33.59999999999998</v>
      </c>
      <c r="EV132" s="27">
        <v>33.59999999999998</v>
      </c>
      <c r="EW132" s="27">
        <v>33.59999999999998</v>
      </c>
      <c r="EX132" s="27">
        <v>33.59999999999998</v>
      </c>
      <c r="EY132" s="27">
        <v>33.59999999999998</v>
      </c>
      <c r="EZ132" s="27">
        <v>33.59999999999998</v>
      </c>
      <c r="FA132" s="27">
        <v>33.59999999999998</v>
      </c>
      <c r="FB132" s="129">
        <v>14.7</v>
      </c>
      <c r="FD132" s="27">
        <v>34.59999999999998</v>
      </c>
      <c r="FE132" s="27">
        <v>34.59999999999998</v>
      </c>
      <c r="FF132" s="27">
        <v>34.59999999999998</v>
      </c>
      <c r="FG132" s="27">
        <v>34.59999999999998</v>
      </c>
      <c r="FH132" s="27">
        <v>34.59999999999998</v>
      </c>
      <c r="FI132" s="27">
        <v>34.59999999999998</v>
      </c>
      <c r="FJ132" s="27">
        <v>34.59999999999998</v>
      </c>
      <c r="FK132" s="27">
        <v>34.59999999999998</v>
      </c>
      <c r="FL132" s="27">
        <v>34.59999999999998</v>
      </c>
      <c r="FM132" s="129">
        <v>14.7</v>
      </c>
      <c r="FO132" s="27">
        <v>53.90000000000002</v>
      </c>
      <c r="FP132" s="27">
        <v>53.90000000000002</v>
      </c>
      <c r="FQ132" s="27">
        <v>53.90000000000002</v>
      </c>
      <c r="FR132" s="27">
        <v>53.90000000000002</v>
      </c>
      <c r="FS132" s="27">
        <v>53.90000000000002</v>
      </c>
      <c r="FT132" s="27">
        <v>53.90000000000002</v>
      </c>
      <c r="FU132" s="27">
        <v>53.90000000000002</v>
      </c>
      <c r="FV132" s="27">
        <v>53.90000000000002</v>
      </c>
      <c r="FW132" s="27">
        <v>53.90000000000002</v>
      </c>
      <c r="FX132" s="129">
        <v>14.7</v>
      </c>
      <c r="FZ132" s="27">
        <v>53.90000000000002</v>
      </c>
      <c r="GA132" s="27">
        <v>53.90000000000002</v>
      </c>
      <c r="GB132" s="27">
        <v>53.90000000000002</v>
      </c>
      <c r="GC132" s="27">
        <v>53.90000000000002</v>
      </c>
      <c r="GD132" s="27">
        <v>53.90000000000002</v>
      </c>
      <c r="GE132" s="27">
        <v>53.90000000000002</v>
      </c>
      <c r="GF132" s="27">
        <v>53.90000000000002</v>
      </c>
      <c r="GG132" s="27">
        <v>53.90000000000002</v>
      </c>
      <c r="GH132" s="27">
        <v>53.90000000000002</v>
      </c>
      <c r="GI132" s="129">
        <v>14.7</v>
      </c>
      <c r="GJ132" s="27"/>
      <c r="GK132" s="27">
        <v>13</v>
      </c>
      <c r="GL132" s="27">
        <v>13</v>
      </c>
      <c r="GM132" s="27">
        <v>13</v>
      </c>
      <c r="GN132" s="27">
        <v>13</v>
      </c>
      <c r="GO132" s="27">
        <v>13</v>
      </c>
      <c r="GP132" s="27">
        <v>13</v>
      </c>
      <c r="GQ132" s="27">
        <v>13</v>
      </c>
      <c r="GR132" s="27">
        <v>13</v>
      </c>
      <c r="GS132" s="27">
        <v>13</v>
      </c>
      <c r="GT132" s="129">
        <v>14.7</v>
      </c>
      <c r="GV132" s="27">
        <v>15.300000000000002</v>
      </c>
      <c r="GW132" s="27">
        <v>15.300000000000002</v>
      </c>
      <c r="GX132" s="27">
        <v>15.300000000000002</v>
      </c>
      <c r="GY132" s="27">
        <v>15.300000000000002</v>
      </c>
      <c r="GZ132" s="27">
        <v>15.300000000000002</v>
      </c>
      <c r="HA132" s="27">
        <v>15.300000000000002</v>
      </c>
      <c r="HB132" s="27">
        <v>15.300000000000002</v>
      </c>
      <c r="HC132" s="27">
        <v>15.300000000000002</v>
      </c>
      <c r="HD132" s="27">
        <v>15.300000000000002</v>
      </c>
      <c r="HE132" s="129">
        <v>14.7</v>
      </c>
      <c r="HG132" s="27">
        <v>21.29999999999999</v>
      </c>
      <c r="HH132" s="27">
        <v>21.29999999999999</v>
      </c>
      <c r="HI132" s="27">
        <v>21.29999999999999</v>
      </c>
      <c r="HJ132" s="27">
        <v>21.29999999999999</v>
      </c>
      <c r="HK132" s="27">
        <v>21.29999999999999</v>
      </c>
      <c r="HL132" s="27">
        <v>21.29999999999999</v>
      </c>
      <c r="HM132" s="27">
        <v>21.29999999999999</v>
      </c>
      <c r="HN132" s="27">
        <v>21.29999999999999</v>
      </c>
      <c r="HO132" s="27">
        <v>21.29999999999999</v>
      </c>
      <c r="HP132" s="129">
        <v>14.7</v>
      </c>
      <c r="HR132" s="27">
        <v>21.29999999999999</v>
      </c>
      <c r="HS132" s="27">
        <v>21.29999999999999</v>
      </c>
      <c r="HT132" s="27">
        <v>21.29999999999999</v>
      </c>
      <c r="HU132" s="27">
        <v>21.29999999999999</v>
      </c>
      <c r="HV132" s="27">
        <v>21.29999999999999</v>
      </c>
      <c r="HW132" s="27">
        <v>21.29999999999999</v>
      </c>
      <c r="HX132" s="27">
        <v>21.29999999999999</v>
      </c>
      <c r="HY132" s="27">
        <v>21.29999999999999</v>
      </c>
      <c r="HZ132" s="27">
        <v>21.29999999999999</v>
      </c>
      <c r="IA132" s="129">
        <v>14.7</v>
      </c>
    </row>
    <row r="133" spans="15:235" ht="3" customHeight="1">
      <c r="O133" s="129">
        <v>8.4000000000000057</v>
      </c>
      <c r="P133" s="129">
        <v>8.4000000000000057</v>
      </c>
      <c r="Q133" s="129">
        <v>8.4000000000000057</v>
      </c>
      <c r="R133" s="129">
        <v>8.4000000000000057</v>
      </c>
      <c r="S133" s="129">
        <v>8.4000000000000057</v>
      </c>
      <c r="T133" s="129">
        <v>8.4000000000000057</v>
      </c>
      <c r="U133" s="129">
        <v>8.4000000000000057</v>
      </c>
      <c r="V133" s="129">
        <v>8.4000000000000057</v>
      </c>
      <c r="W133" s="129">
        <v>8.4000000000000057</v>
      </c>
      <c r="X133" s="129">
        <v>12.8</v>
      </c>
      <c r="Y133" s="27"/>
      <c r="Z133" s="129">
        <v>16.800000000000011</v>
      </c>
      <c r="AA133" s="129">
        <v>16.800000000000011</v>
      </c>
      <c r="AB133" s="129">
        <v>16.800000000000011</v>
      </c>
      <c r="AC133" s="129">
        <v>16.800000000000011</v>
      </c>
      <c r="AD133" s="129">
        <v>16.800000000000011</v>
      </c>
      <c r="AE133" s="129">
        <v>16.800000000000011</v>
      </c>
      <c r="AF133" s="129">
        <v>16.800000000000011</v>
      </c>
      <c r="AG133" s="129">
        <v>16.800000000000011</v>
      </c>
      <c r="AH133" s="129">
        <v>16.800000000000011</v>
      </c>
      <c r="AI133" s="129">
        <v>12.8</v>
      </c>
      <c r="AK133" s="129">
        <v>38.600000000000023</v>
      </c>
      <c r="AL133" s="129">
        <v>38.600000000000023</v>
      </c>
      <c r="AM133" s="129">
        <v>38.600000000000023</v>
      </c>
      <c r="AN133" s="129">
        <v>38.600000000000023</v>
      </c>
      <c r="AO133" s="129">
        <v>38.600000000000023</v>
      </c>
      <c r="AP133" s="129">
        <v>38.600000000000023</v>
      </c>
      <c r="AQ133" s="129">
        <v>38.600000000000023</v>
      </c>
      <c r="AR133" s="129">
        <v>38.600000000000023</v>
      </c>
      <c r="AS133" s="129">
        <v>38.600000000000023</v>
      </c>
      <c r="AT133" s="129">
        <v>12.8</v>
      </c>
      <c r="AV133" s="129">
        <v>39.600000000000023</v>
      </c>
      <c r="AW133" s="129">
        <v>39.600000000000023</v>
      </c>
      <c r="AX133" s="129">
        <v>39.600000000000023</v>
      </c>
      <c r="AY133" s="129">
        <v>39.600000000000023</v>
      </c>
      <c r="AZ133" s="129">
        <v>39.600000000000023</v>
      </c>
      <c r="BA133" s="129">
        <v>39.600000000000023</v>
      </c>
      <c r="BB133" s="129">
        <v>39.600000000000023</v>
      </c>
      <c r="BC133" s="129">
        <v>39.600000000000023</v>
      </c>
      <c r="BD133" s="129">
        <v>39.600000000000023</v>
      </c>
      <c r="BE133" s="129">
        <v>12.8</v>
      </c>
      <c r="BG133" s="129">
        <v>62</v>
      </c>
      <c r="BH133" s="129">
        <v>62</v>
      </c>
      <c r="BI133" s="129">
        <v>62</v>
      </c>
      <c r="BJ133" s="129">
        <v>62</v>
      </c>
      <c r="BK133" s="129">
        <v>62</v>
      </c>
      <c r="BL133" s="129">
        <v>62</v>
      </c>
      <c r="BM133" s="129">
        <v>62</v>
      </c>
      <c r="BN133" s="129">
        <v>62</v>
      </c>
      <c r="BO133" s="129">
        <v>62</v>
      </c>
      <c r="BP133" s="129">
        <v>12.8</v>
      </c>
      <c r="BR133" s="129">
        <v>62</v>
      </c>
      <c r="BS133" s="129">
        <v>62</v>
      </c>
      <c r="BT133" s="129">
        <v>62</v>
      </c>
      <c r="BU133" s="129">
        <v>62</v>
      </c>
      <c r="BV133" s="129">
        <v>62</v>
      </c>
      <c r="BW133" s="129">
        <v>62</v>
      </c>
      <c r="BX133" s="129">
        <v>62</v>
      </c>
      <c r="BY133" s="129">
        <v>62</v>
      </c>
      <c r="BZ133" s="129">
        <v>62</v>
      </c>
      <c r="CA133" s="129">
        <v>12.8</v>
      </c>
      <c r="CC133" s="129">
        <v>14.400000000000006</v>
      </c>
      <c r="CD133" s="129">
        <v>14.400000000000006</v>
      </c>
      <c r="CE133" s="129">
        <v>14.400000000000006</v>
      </c>
      <c r="CF133" s="129">
        <v>14.400000000000006</v>
      </c>
      <c r="CG133" s="129">
        <v>14.400000000000006</v>
      </c>
      <c r="CH133" s="129">
        <v>14.400000000000006</v>
      </c>
      <c r="CI133" s="129">
        <v>14.400000000000006</v>
      </c>
      <c r="CJ133" s="129">
        <v>14.400000000000006</v>
      </c>
      <c r="CK133" s="129">
        <v>14.400000000000006</v>
      </c>
      <c r="CL133" s="129">
        <v>12.8</v>
      </c>
      <c r="CN133" s="129">
        <v>17.400000000000006</v>
      </c>
      <c r="CO133" s="129">
        <v>17.400000000000006</v>
      </c>
      <c r="CP133" s="129">
        <v>17.400000000000006</v>
      </c>
      <c r="CQ133" s="129">
        <v>17.400000000000006</v>
      </c>
      <c r="CR133" s="129">
        <v>17.400000000000006</v>
      </c>
      <c r="CS133" s="129">
        <v>17.400000000000006</v>
      </c>
      <c r="CT133" s="129">
        <v>17.400000000000006</v>
      </c>
      <c r="CU133" s="129">
        <v>17.400000000000006</v>
      </c>
      <c r="CV133" s="129">
        <v>17.400000000000006</v>
      </c>
      <c r="CW133" s="129">
        <v>12.8</v>
      </c>
      <c r="CY133" s="129">
        <v>24.400000000000006</v>
      </c>
      <c r="CZ133" s="129">
        <v>24.400000000000006</v>
      </c>
      <c r="DA133" s="129">
        <v>24.400000000000006</v>
      </c>
      <c r="DB133" s="129">
        <v>24.400000000000006</v>
      </c>
      <c r="DC133" s="129">
        <v>24.400000000000006</v>
      </c>
      <c r="DD133" s="129">
        <v>24.400000000000006</v>
      </c>
      <c r="DE133" s="129">
        <v>24.400000000000006</v>
      </c>
      <c r="DF133" s="129">
        <v>24.400000000000006</v>
      </c>
      <c r="DG133" s="129">
        <v>24.400000000000006</v>
      </c>
      <c r="DH133" s="129">
        <v>12.8</v>
      </c>
      <c r="DJ133" s="129">
        <v>24.400000000000006</v>
      </c>
      <c r="DK133" s="129">
        <v>24.400000000000006</v>
      </c>
      <c r="DL133" s="129">
        <v>24.400000000000006</v>
      </c>
      <c r="DM133" s="129">
        <v>24.400000000000006</v>
      </c>
      <c r="DN133" s="129">
        <v>24.400000000000006</v>
      </c>
      <c r="DO133" s="129">
        <v>24.400000000000006</v>
      </c>
      <c r="DP133" s="129">
        <v>24.400000000000006</v>
      </c>
      <c r="DQ133" s="129">
        <v>24.400000000000006</v>
      </c>
      <c r="DR133" s="129">
        <v>24.400000000000006</v>
      </c>
      <c r="DS133" s="129">
        <v>12.8</v>
      </c>
      <c r="DW133" s="27">
        <v>12.599999999999994</v>
      </c>
      <c r="DX133" s="27">
        <v>12.599999999999994</v>
      </c>
      <c r="DY133" s="27">
        <v>12.599999999999994</v>
      </c>
      <c r="DZ133" s="27">
        <v>12.599999999999994</v>
      </c>
      <c r="EA133" s="27">
        <v>12.599999999999994</v>
      </c>
      <c r="EB133" s="27">
        <v>12.599999999999994</v>
      </c>
      <c r="EC133" s="27">
        <v>12.599999999999994</v>
      </c>
      <c r="ED133" s="27">
        <v>12.599999999999994</v>
      </c>
      <c r="EE133" s="27">
        <v>12.599999999999994</v>
      </c>
      <c r="EF133" s="129">
        <v>14.8</v>
      </c>
      <c r="EH133" s="27">
        <v>25.800000000000011</v>
      </c>
      <c r="EI133" s="27">
        <v>25.800000000000011</v>
      </c>
      <c r="EJ133" s="27">
        <v>25.800000000000011</v>
      </c>
      <c r="EK133" s="27">
        <v>25.800000000000011</v>
      </c>
      <c r="EL133" s="27">
        <v>25.800000000000011</v>
      </c>
      <c r="EM133" s="27">
        <v>25.800000000000011</v>
      </c>
      <c r="EN133" s="27">
        <v>25.800000000000011</v>
      </c>
      <c r="EO133" s="27">
        <v>25.800000000000011</v>
      </c>
      <c r="EP133" s="27">
        <v>25.800000000000011</v>
      </c>
      <c r="EQ133" s="129">
        <v>14.8</v>
      </c>
      <c r="ES133" s="27">
        <v>33.399999999999977</v>
      </c>
      <c r="ET133" s="27">
        <v>33.399999999999977</v>
      </c>
      <c r="EU133" s="27">
        <v>33.399999999999977</v>
      </c>
      <c r="EV133" s="27">
        <v>33.399999999999977</v>
      </c>
      <c r="EW133" s="27">
        <v>33.399999999999977</v>
      </c>
      <c r="EX133" s="27">
        <v>33.399999999999977</v>
      </c>
      <c r="EY133" s="27">
        <v>33.399999999999977</v>
      </c>
      <c r="EZ133" s="27">
        <v>33.399999999999977</v>
      </c>
      <c r="FA133" s="27">
        <v>33.399999999999977</v>
      </c>
      <c r="FB133" s="129">
        <v>14.8</v>
      </c>
      <c r="FD133" s="27">
        <v>34.399999999999977</v>
      </c>
      <c r="FE133" s="27">
        <v>34.399999999999977</v>
      </c>
      <c r="FF133" s="27">
        <v>34.399999999999977</v>
      </c>
      <c r="FG133" s="27">
        <v>34.399999999999977</v>
      </c>
      <c r="FH133" s="27">
        <v>34.399999999999977</v>
      </c>
      <c r="FI133" s="27">
        <v>34.399999999999977</v>
      </c>
      <c r="FJ133" s="27">
        <v>34.399999999999977</v>
      </c>
      <c r="FK133" s="27">
        <v>34.399999999999977</v>
      </c>
      <c r="FL133" s="27">
        <v>34.399999999999977</v>
      </c>
      <c r="FM133" s="129">
        <v>14.8</v>
      </c>
      <c r="FO133" s="27">
        <v>53.600000000000023</v>
      </c>
      <c r="FP133" s="27">
        <v>53.600000000000023</v>
      </c>
      <c r="FQ133" s="27">
        <v>53.600000000000023</v>
      </c>
      <c r="FR133" s="27">
        <v>53.600000000000023</v>
      </c>
      <c r="FS133" s="27">
        <v>53.600000000000023</v>
      </c>
      <c r="FT133" s="27">
        <v>53.600000000000023</v>
      </c>
      <c r="FU133" s="27">
        <v>53.600000000000023</v>
      </c>
      <c r="FV133" s="27">
        <v>53.600000000000023</v>
      </c>
      <c r="FW133" s="27">
        <v>53.600000000000023</v>
      </c>
      <c r="FX133" s="129">
        <v>14.8</v>
      </c>
      <c r="FZ133" s="27">
        <v>53.600000000000023</v>
      </c>
      <c r="GA133" s="27">
        <v>53.600000000000023</v>
      </c>
      <c r="GB133" s="27">
        <v>53.600000000000023</v>
      </c>
      <c r="GC133" s="27">
        <v>53.600000000000023</v>
      </c>
      <c r="GD133" s="27">
        <v>53.600000000000023</v>
      </c>
      <c r="GE133" s="27">
        <v>53.600000000000023</v>
      </c>
      <c r="GF133" s="27">
        <v>53.600000000000023</v>
      </c>
      <c r="GG133" s="27">
        <v>53.600000000000023</v>
      </c>
      <c r="GH133" s="27">
        <v>53.600000000000023</v>
      </c>
      <c r="GI133" s="129">
        <v>14.8</v>
      </c>
      <c r="GJ133" s="27"/>
      <c r="GK133" s="27">
        <v>13</v>
      </c>
      <c r="GL133" s="27">
        <v>13</v>
      </c>
      <c r="GM133" s="27">
        <v>13</v>
      </c>
      <c r="GN133" s="27">
        <v>13</v>
      </c>
      <c r="GO133" s="27">
        <v>13</v>
      </c>
      <c r="GP133" s="27">
        <v>13</v>
      </c>
      <c r="GQ133" s="27">
        <v>13</v>
      </c>
      <c r="GR133" s="27">
        <v>13</v>
      </c>
      <c r="GS133" s="27">
        <v>13</v>
      </c>
      <c r="GT133" s="129">
        <v>14.8</v>
      </c>
      <c r="GV133" s="27">
        <v>15.200000000000003</v>
      </c>
      <c r="GW133" s="27">
        <v>15.200000000000003</v>
      </c>
      <c r="GX133" s="27">
        <v>15.200000000000003</v>
      </c>
      <c r="GY133" s="27">
        <v>15.200000000000003</v>
      </c>
      <c r="GZ133" s="27">
        <v>15.200000000000003</v>
      </c>
      <c r="HA133" s="27">
        <v>15.200000000000003</v>
      </c>
      <c r="HB133" s="27">
        <v>15.200000000000003</v>
      </c>
      <c r="HC133" s="27">
        <v>15.200000000000003</v>
      </c>
      <c r="HD133" s="27">
        <v>15.200000000000003</v>
      </c>
      <c r="HE133" s="129">
        <v>14.8</v>
      </c>
      <c r="HG133" s="27">
        <v>21.199999999999989</v>
      </c>
      <c r="HH133" s="27">
        <v>21.199999999999989</v>
      </c>
      <c r="HI133" s="27">
        <v>21.199999999999989</v>
      </c>
      <c r="HJ133" s="27">
        <v>21.199999999999989</v>
      </c>
      <c r="HK133" s="27">
        <v>21.199999999999989</v>
      </c>
      <c r="HL133" s="27">
        <v>21.199999999999989</v>
      </c>
      <c r="HM133" s="27">
        <v>21.199999999999989</v>
      </c>
      <c r="HN133" s="27">
        <v>21.199999999999989</v>
      </c>
      <c r="HO133" s="27">
        <v>21.199999999999989</v>
      </c>
      <c r="HP133" s="129">
        <v>14.8</v>
      </c>
      <c r="HR133" s="27">
        <v>21.199999999999989</v>
      </c>
      <c r="HS133" s="27">
        <v>21.199999999999989</v>
      </c>
      <c r="HT133" s="27">
        <v>21.199999999999989</v>
      </c>
      <c r="HU133" s="27">
        <v>21.199999999999989</v>
      </c>
      <c r="HV133" s="27">
        <v>21.199999999999989</v>
      </c>
      <c r="HW133" s="27">
        <v>21.199999999999989</v>
      </c>
      <c r="HX133" s="27">
        <v>21.199999999999989</v>
      </c>
      <c r="HY133" s="27">
        <v>21.199999999999989</v>
      </c>
      <c r="HZ133" s="27">
        <v>21.199999999999989</v>
      </c>
      <c r="IA133" s="129">
        <v>14.8</v>
      </c>
    </row>
    <row r="134" spans="15:235" ht="3" customHeight="1">
      <c r="O134" s="129">
        <v>8.2000000000000064</v>
      </c>
      <c r="P134" s="129">
        <v>8.2000000000000064</v>
      </c>
      <c r="Q134" s="129">
        <v>8.2000000000000064</v>
      </c>
      <c r="R134" s="129">
        <v>8.2000000000000064</v>
      </c>
      <c r="S134" s="129">
        <v>8.2000000000000064</v>
      </c>
      <c r="T134" s="129">
        <v>8.2000000000000064</v>
      </c>
      <c r="U134" s="129">
        <v>8.2000000000000064</v>
      </c>
      <c r="V134" s="129">
        <v>8.2000000000000064</v>
      </c>
      <c r="W134" s="129">
        <v>8.2000000000000064</v>
      </c>
      <c r="X134" s="129">
        <v>12.9</v>
      </c>
      <c r="Y134" s="27"/>
      <c r="Z134" s="129">
        <v>16.400000000000013</v>
      </c>
      <c r="AA134" s="129">
        <v>16.400000000000013</v>
      </c>
      <c r="AB134" s="129">
        <v>16.400000000000013</v>
      </c>
      <c r="AC134" s="129">
        <v>16.400000000000013</v>
      </c>
      <c r="AD134" s="129">
        <v>16.400000000000013</v>
      </c>
      <c r="AE134" s="129">
        <v>16.400000000000013</v>
      </c>
      <c r="AF134" s="129">
        <v>16.400000000000013</v>
      </c>
      <c r="AG134" s="129">
        <v>16.400000000000013</v>
      </c>
      <c r="AH134" s="129">
        <v>16.400000000000013</v>
      </c>
      <c r="AI134" s="129">
        <v>12.9</v>
      </c>
      <c r="AK134" s="129">
        <v>38.300000000000026</v>
      </c>
      <c r="AL134" s="129">
        <v>38.300000000000026</v>
      </c>
      <c r="AM134" s="129">
        <v>38.300000000000026</v>
      </c>
      <c r="AN134" s="129">
        <v>38.300000000000026</v>
      </c>
      <c r="AO134" s="129">
        <v>38.300000000000026</v>
      </c>
      <c r="AP134" s="129">
        <v>38.300000000000026</v>
      </c>
      <c r="AQ134" s="129">
        <v>38.300000000000026</v>
      </c>
      <c r="AR134" s="129">
        <v>38.300000000000026</v>
      </c>
      <c r="AS134" s="129">
        <v>38.300000000000026</v>
      </c>
      <c r="AT134" s="129">
        <v>12.9</v>
      </c>
      <c r="AV134" s="129">
        <v>39.300000000000026</v>
      </c>
      <c r="AW134" s="129">
        <v>39.300000000000026</v>
      </c>
      <c r="AX134" s="129">
        <v>39.300000000000026</v>
      </c>
      <c r="AY134" s="129">
        <v>39.300000000000026</v>
      </c>
      <c r="AZ134" s="129">
        <v>39.300000000000026</v>
      </c>
      <c r="BA134" s="129">
        <v>39.300000000000026</v>
      </c>
      <c r="BB134" s="129">
        <v>39.300000000000026</v>
      </c>
      <c r="BC134" s="129">
        <v>39.300000000000026</v>
      </c>
      <c r="BD134" s="129">
        <v>39.300000000000026</v>
      </c>
      <c r="BE134" s="129">
        <v>12.9</v>
      </c>
      <c r="BG134" s="129">
        <v>61.5</v>
      </c>
      <c r="BH134" s="129">
        <v>61.5</v>
      </c>
      <c r="BI134" s="129">
        <v>61.5</v>
      </c>
      <c r="BJ134" s="129">
        <v>61.5</v>
      </c>
      <c r="BK134" s="129">
        <v>61.5</v>
      </c>
      <c r="BL134" s="129">
        <v>61.5</v>
      </c>
      <c r="BM134" s="129">
        <v>61.5</v>
      </c>
      <c r="BN134" s="129">
        <v>61.5</v>
      </c>
      <c r="BO134" s="129">
        <v>61.5</v>
      </c>
      <c r="BP134" s="129">
        <v>12.9</v>
      </c>
      <c r="BR134" s="129">
        <v>61.5</v>
      </c>
      <c r="BS134" s="129">
        <v>61.5</v>
      </c>
      <c r="BT134" s="129">
        <v>61.5</v>
      </c>
      <c r="BU134" s="129">
        <v>61.5</v>
      </c>
      <c r="BV134" s="129">
        <v>61.5</v>
      </c>
      <c r="BW134" s="129">
        <v>61.5</v>
      </c>
      <c r="BX134" s="129">
        <v>61.5</v>
      </c>
      <c r="BY134" s="129">
        <v>61.5</v>
      </c>
      <c r="BZ134" s="129">
        <v>61.5</v>
      </c>
      <c r="CA134" s="129">
        <v>12.9</v>
      </c>
      <c r="CC134" s="129">
        <v>14.200000000000006</v>
      </c>
      <c r="CD134" s="129">
        <v>14.200000000000006</v>
      </c>
      <c r="CE134" s="129">
        <v>14.200000000000006</v>
      </c>
      <c r="CF134" s="129">
        <v>14.200000000000006</v>
      </c>
      <c r="CG134" s="129">
        <v>14.200000000000006</v>
      </c>
      <c r="CH134" s="129">
        <v>14.200000000000006</v>
      </c>
      <c r="CI134" s="129">
        <v>14.200000000000006</v>
      </c>
      <c r="CJ134" s="129">
        <v>14.200000000000006</v>
      </c>
      <c r="CK134" s="129">
        <v>14.200000000000006</v>
      </c>
      <c r="CL134" s="129">
        <v>12.9</v>
      </c>
      <c r="CN134" s="129">
        <v>17.200000000000006</v>
      </c>
      <c r="CO134" s="129">
        <v>17.200000000000006</v>
      </c>
      <c r="CP134" s="129">
        <v>17.200000000000006</v>
      </c>
      <c r="CQ134" s="129">
        <v>17.200000000000006</v>
      </c>
      <c r="CR134" s="129">
        <v>17.200000000000006</v>
      </c>
      <c r="CS134" s="129">
        <v>17.200000000000006</v>
      </c>
      <c r="CT134" s="129">
        <v>17.200000000000006</v>
      </c>
      <c r="CU134" s="129">
        <v>17.200000000000006</v>
      </c>
      <c r="CV134" s="129">
        <v>17.200000000000006</v>
      </c>
      <c r="CW134" s="129">
        <v>12.9</v>
      </c>
      <c r="CY134" s="129">
        <v>24.200000000000006</v>
      </c>
      <c r="CZ134" s="129">
        <v>24.200000000000006</v>
      </c>
      <c r="DA134" s="129">
        <v>24.200000000000006</v>
      </c>
      <c r="DB134" s="129">
        <v>24.200000000000006</v>
      </c>
      <c r="DC134" s="129">
        <v>24.200000000000006</v>
      </c>
      <c r="DD134" s="129">
        <v>24.200000000000006</v>
      </c>
      <c r="DE134" s="129">
        <v>24.200000000000006</v>
      </c>
      <c r="DF134" s="129">
        <v>24.200000000000006</v>
      </c>
      <c r="DG134" s="129">
        <v>24.200000000000006</v>
      </c>
      <c r="DH134" s="129">
        <v>12.9</v>
      </c>
      <c r="DJ134" s="129">
        <v>24.200000000000006</v>
      </c>
      <c r="DK134" s="129">
        <v>24.200000000000006</v>
      </c>
      <c r="DL134" s="129">
        <v>24.200000000000006</v>
      </c>
      <c r="DM134" s="129">
        <v>24.200000000000006</v>
      </c>
      <c r="DN134" s="129">
        <v>24.200000000000006</v>
      </c>
      <c r="DO134" s="129">
        <v>24.200000000000006</v>
      </c>
      <c r="DP134" s="129">
        <v>24.200000000000006</v>
      </c>
      <c r="DQ134" s="129">
        <v>24.200000000000006</v>
      </c>
      <c r="DR134" s="129">
        <v>24.200000000000006</v>
      </c>
      <c r="DS134" s="129">
        <v>12.9</v>
      </c>
      <c r="DW134" s="27">
        <v>12.299999999999994</v>
      </c>
      <c r="DX134" s="27">
        <v>12.299999999999994</v>
      </c>
      <c r="DY134" s="27">
        <v>12.299999999999994</v>
      </c>
      <c r="DZ134" s="27">
        <v>12.299999999999994</v>
      </c>
      <c r="EA134" s="27">
        <v>12.299999999999994</v>
      </c>
      <c r="EB134" s="27">
        <v>12.299999999999994</v>
      </c>
      <c r="EC134" s="27">
        <v>12.299999999999994</v>
      </c>
      <c r="ED134" s="27">
        <v>12.299999999999994</v>
      </c>
      <c r="EE134" s="27">
        <v>12.299999999999994</v>
      </c>
      <c r="EF134" s="129">
        <v>14.9</v>
      </c>
      <c r="EH134" s="27">
        <v>25.400000000000013</v>
      </c>
      <c r="EI134" s="27">
        <v>25.400000000000013</v>
      </c>
      <c r="EJ134" s="27">
        <v>25.400000000000013</v>
      </c>
      <c r="EK134" s="27">
        <v>25.400000000000013</v>
      </c>
      <c r="EL134" s="27">
        <v>25.400000000000013</v>
      </c>
      <c r="EM134" s="27">
        <v>25.400000000000013</v>
      </c>
      <c r="EN134" s="27">
        <v>25.400000000000013</v>
      </c>
      <c r="EO134" s="27">
        <v>25.400000000000013</v>
      </c>
      <c r="EP134" s="27">
        <v>25.400000000000013</v>
      </c>
      <c r="EQ134" s="129">
        <v>14.9</v>
      </c>
      <c r="ES134" s="27">
        <v>33.199999999999974</v>
      </c>
      <c r="ET134" s="27">
        <v>33.199999999999974</v>
      </c>
      <c r="EU134" s="27">
        <v>33.199999999999974</v>
      </c>
      <c r="EV134" s="27">
        <v>33.199999999999974</v>
      </c>
      <c r="EW134" s="27">
        <v>33.199999999999974</v>
      </c>
      <c r="EX134" s="27">
        <v>33.199999999999974</v>
      </c>
      <c r="EY134" s="27">
        <v>33.199999999999974</v>
      </c>
      <c r="EZ134" s="27">
        <v>33.199999999999974</v>
      </c>
      <c r="FA134" s="27">
        <v>33.199999999999974</v>
      </c>
      <c r="FB134" s="129">
        <v>14.9</v>
      </c>
      <c r="FD134" s="27">
        <v>34.199999999999974</v>
      </c>
      <c r="FE134" s="27">
        <v>34.199999999999974</v>
      </c>
      <c r="FF134" s="27">
        <v>34.199999999999974</v>
      </c>
      <c r="FG134" s="27">
        <v>34.199999999999974</v>
      </c>
      <c r="FH134" s="27">
        <v>34.199999999999974</v>
      </c>
      <c r="FI134" s="27">
        <v>34.199999999999974</v>
      </c>
      <c r="FJ134" s="27">
        <v>34.199999999999974</v>
      </c>
      <c r="FK134" s="27">
        <v>34.199999999999974</v>
      </c>
      <c r="FL134" s="27">
        <v>34.199999999999974</v>
      </c>
      <c r="FM134" s="129">
        <v>14.9</v>
      </c>
      <c r="FO134" s="27">
        <v>53.300000000000026</v>
      </c>
      <c r="FP134" s="27">
        <v>53.300000000000026</v>
      </c>
      <c r="FQ134" s="27">
        <v>53.300000000000026</v>
      </c>
      <c r="FR134" s="27">
        <v>53.300000000000026</v>
      </c>
      <c r="FS134" s="27">
        <v>53.300000000000026</v>
      </c>
      <c r="FT134" s="27">
        <v>53.300000000000026</v>
      </c>
      <c r="FU134" s="27">
        <v>53.300000000000026</v>
      </c>
      <c r="FV134" s="27">
        <v>53.300000000000026</v>
      </c>
      <c r="FW134" s="27">
        <v>53.300000000000026</v>
      </c>
      <c r="FX134" s="129">
        <v>14.9</v>
      </c>
      <c r="FZ134" s="27">
        <v>53.300000000000026</v>
      </c>
      <c r="GA134" s="27">
        <v>53.300000000000026</v>
      </c>
      <c r="GB134" s="27">
        <v>53.300000000000026</v>
      </c>
      <c r="GC134" s="27">
        <v>53.300000000000026</v>
      </c>
      <c r="GD134" s="27">
        <v>53.300000000000026</v>
      </c>
      <c r="GE134" s="27">
        <v>53.300000000000026</v>
      </c>
      <c r="GF134" s="27">
        <v>53.300000000000026</v>
      </c>
      <c r="GG134" s="27">
        <v>53.300000000000026</v>
      </c>
      <c r="GH134" s="27">
        <v>53.300000000000026</v>
      </c>
      <c r="GI134" s="129">
        <v>14.9</v>
      </c>
      <c r="GJ134" s="27"/>
      <c r="GK134" s="27">
        <v>13</v>
      </c>
      <c r="GL134" s="27">
        <v>13</v>
      </c>
      <c r="GM134" s="27">
        <v>13</v>
      </c>
      <c r="GN134" s="27">
        <v>13</v>
      </c>
      <c r="GO134" s="27">
        <v>13</v>
      </c>
      <c r="GP134" s="27">
        <v>13</v>
      </c>
      <c r="GQ134" s="27">
        <v>13</v>
      </c>
      <c r="GR134" s="27">
        <v>13</v>
      </c>
      <c r="GS134" s="27">
        <v>13</v>
      </c>
      <c r="GT134" s="129">
        <v>14.9</v>
      </c>
      <c r="GV134" s="27">
        <v>15.100000000000003</v>
      </c>
      <c r="GW134" s="27">
        <v>15.100000000000003</v>
      </c>
      <c r="GX134" s="27">
        <v>15.100000000000003</v>
      </c>
      <c r="GY134" s="27">
        <v>15.100000000000003</v>
      </c>
      <c r="GZ134" s="27">
        <v>15.100000000000003</v>
      </c>
      <c r="HA134" s="27">
        <v>15.100000000000003</v>
      </c>
      <c r="HB134" s="27">
        <v>15.100000000000003</v>
      </c>
      <c r="HC134" s="27">
        <v>15.100000000000003</v>
      </c>
      <c r="HD134" s="27">
        <v>15.100000000000003</v>
      </c>
      <c r="HE134" s="129">
        <v>14.9</v>
      </c>
      <c r="HG134" s="27">
        <v>21.099999999999987</v>
      </c>
      <c r="HH134" s="27">
        <v>21.099999999999987</v>
      </c>
      <c r="HI134" s="27">
        <v>21.099999999999987</v>
      </c>
      <c r="HJ134" s="27">
        <v>21.099999999999987</v>
      </c>
      <c r="HK134" s="27">
        <v>21.099999999999987</v>
      </c>
      <c r="HL134" s="27">
        <v>21.099999999999987</v>
      </c>
      <c r="HM134" s="27">
        <v>21.099999999999987</v>
      </c>
      <c r="HN134" s="27">
        <v>21.099999999999987</v>
      </c>
      <c r="HO134" s="27">
        <v>21.099999999999987</v>
      </c>
      <c r="HP134" s="129">
        <v>14.9</v>
      </c>
      <c r="HR134" s="27">
        <v>21.099999999999987</v>
      </c>
      <c r="HS134" s="27">
        <v>21.099999999999987</v>
      </c>
      <c r="HT134" s="27">
        <v>21.099999999999987</v>
      </c>
      <c r="HU134" s="27">
        <v>21.099999999999987</v>
      </c>
      <c r="HV134" s="27">
        <v>21.099999999999987</v>
      </c>
      <c r="HW134" s="27">
        <v>21.099999999999987</v>
      </c>
      <c r="HX134" s="27">
        <v>21.099999999999987</v>
      </c>
      <c r="HY134" s="27">
        <v>21.099999999999987</v>
      </c>
      <c r="HZ134" s="27">
        <v>21.099999999999987</v>
      </c>
      <c r="IA134" s="129">
        <v>14.9</v>
      </c>
    </row>
    <row r="135" spans="15:235" ht="3" customHeight="1">
      <c r="O135" s="129">
        <v>8</v>
      </c>
      <c r="P135" s="129">
        <v>8</v>
      </c>
      <c r="Q135" s="129">
        <v>8</v>
      </c>
      <c r="R135" s="129">
        <v>8</v>
      </c>
      <c r="S135" s="129">
        <v>8</v>
      </c>
      <c r="T135" s="129">
        <v>8</v>
      </c>
      <c r="U135" s="129">
        <v>8</v>
      </c>
      <c r="V135" s="129">
        <v>8</v>
      </c>
      <c r="W135" s="129">
        <v>8</v>
      </c>
      <c r="X135" s="129">
        <v>13</v>
      </c>
      <c r="Y135" s="27"/>
      <c r="Z135" s="129">
        <v>16</v>
      </c>
      <c r="AA135" s="129">
        <v>16</v>
      </c>
      <c r="AB135" s="129">
        <v>16</v>
      </c>
      <c r="AC135" s="129">
        <v>16</v>
      </c>
      <c r="AD135" s="129">
        <v>16</v>
      </c>
      <c r="AE135" s="129">
        <v>16</v>
      </c>
      <c r="AF135" s="129">
        <v>16</v>
      </c>
      <c r="AG135" s="129">
        <v>16</v>
      </c>
      <c r="AH135" s="129">
        <v>16</v>
      </c>
      <c r="AI135" s="129">
        <v>13</v>
      </c>
      <c r="AK135" s="129">
        <v>38</v>
      </c>
      <c r="AL135" s="129">
        <v>38</v>
      </c>
      <c r="AM135" s="129">
        <v>38</v>
      </c>
      <c r="AN135" s="129">
        <v>38</v>
      </c>
      <c r="AO135" s="129">
        <v>38</v>
      </c>
      <c r="AP135" s="129">
        <v>38</v>
      </c>
      <c r="AQ135" s="129">
        <v>38</v>
      </c>
      <c r="AR135" s="129">
        <v>38</v>
      </c>
      <c r="AS135" s="129">
        <v>38</v>
      </c>
      <c r="AT135" s="129">
        <v>13</v>
      </c>
      <c r="AV135" s="129">
        <v>39</v>
      </c>
      <c r="AW135" s="129">
        <v>39</v>
      </c>
      <c r="AX135" s="129">
        <v>39</v>
      </c>
      <c r="AY135" s="129">
        <v>39</v>
      </c>
      <c r="AZ135" s="129">
        <v>39</v>
      </c>
      <c r="BA135" s="129">
        <v>39</v>
      </c>
      <c r="BB135" s="129">
        <v>39</v>
      </c>
      <c r="BC135" s="129">
        <v>39</v>
      </c>
      <c r="BD135" s="129">
        <v>39</v>
      </c>
      <c r="BE135" s="129">
        <v>13</v>
      </c>
      <c r="BG135" s="129">
        <v>61</v>
      </c>
      <c r="BH135" s="129">
        <v>61</v>
      </c>
      <c r="BI135" s="129">
        <v>61</v>
      </c>
      <c r="BJ135" s="129">
        <v>61</v>
      </c>
      <c r="BK135" s="129">
        <v>61</v>
      </c>
      <c r="BL135" s="129">
        <v>61</v>
      </c>
      <c r="BM135" s="129">
        <v>61</v>
      </c>
      <c r="BN135" s="129">
        <v>61</v>
      </c>
      <c r="BO135" s="129">
        <v>61</v>
      </c>
      <c r="BP135" s="129">
        <v>13</v>
      </c>
      <c r="BR135" s="129">
        <v>61</v>
      </c>
      <c r="BS135" s="129">
        <v>61</v>
      </c>
      <c r="BT135" s="129">
        <v>61</v>
      </c>
      <c r="BU135" s="129">
        <v>61</v>
      </c>
      <c r="BV135" s="129">
        <v>61</v>
      </c>
      <c r="BW135" s="129">
        <v>61</v>
      </c>
      <c r="BX135" s="129">
        <v>61</v>
      </c>
      <c r="BY135" s="129">
        <v>61</v>
      </c>
      <c r="BZ135" s="129">
        <v>61</v>
      </c>
      <c r="CA135" s="129">
        <v>13</v>
      </c>
      <c r="CC135" s="129">
        <v>14</v>
      </c>
      <c r="CD135" s="129">
        <v>14</v>
      </c>
      <c r="CE135" s="129">
        <v>14</v>
      </c>
      <c r="CF135" s="129">
        <v>14</v>
      </c>
      <c r="CG135" s="129">
        <v>14</v>
      </c>
      <c r="CH135" s="129">
        <v>14</v>
      </c>
      <c r="CI135" s="129">
        <v>14</v>
      </c>
      <c r="CJ135" s="129">
        <v>14</v>
      </c>
      <c r="CK135" s="129">
        <v>14</v>
      </c>
      <c r="CL135" s="129">
        <v>13</v>
      </c>
      <c r="CN135" s="129">
        <v>17</v>
      </c>
      <c r="CO135" s="129">
        <v>17</v>
      </c>
      <c r="CP135" s="129">
        <v>17</v>
      </c>
      <c r="CQ135" s="129">
        <v>17</v>
      </c>
      <c r="CR135" s="129">
        <v>17</v>
      </c>
      <c r="CS135" s="129">
        <v>17</v>
      </c>
      <c r="CT135" s="129">
        <v>17</v>
      </c>
      <c r="CU135" s="129">
        <v>17</v>
      </c>
      <c r="CV135" s="129">
        <v>17</v>
      </c>
      <c r="CW135" s="129">
        <v>13</v>
      </c>
      <c r="CY135" s="129">
        <v>24</v>
      </c>
      <c r="CZ135" s="129">
        <v>24</v>
      </c>
      <c r="DA135" s="129">
        <v>24</v>
      </c>
      <c r="DB135" s="129">
        <v>24</v>
      </c>
      <c r="DC135" s="129">
        <v>24</v>
      </c>
      <c r="DD135" s="129">
        <v>24</v>
      </c>
      <c r="DE135" s="129">
        <v>24</v>
      </c>
      <c r="DF135" s="129">
        <v>24</v>
      </c>
      <c r="DG135" s="129">
        <v>24</v>
      </c>
      <c r="DH135" s="129">
        <v>13</v>
      </c>
      <c r="DJ135" s="129">
        <v>24</v>
      </c>
      <c r="DK135" s="129">
        <v>24</v>
      </c>
      <c r="DL135" s="129">
        <v>24</v>
      </c>
      <c r="DM135" s="129">
        <v>24</v>
      </c>
      <c r="DN135" s="129">
        <v>24</v>
      </c>
      <c r="DO135" s="129">
        <v>24</v>
      </c>
      <c r="DP135" s="129">
        <v>24</v>
      </c>
      <c r="DQ135" s="129">
        <v>24</v>
      </c>
      <c r="DR135" s="129">
        <v>24</v>
      </c>
      <c r="DS135" s="129">
        <v>13</v>
      </c>
      <c r="DW135" s="27">
        <v>12</v>
      </c>
      <c r="DX135" s="27">
        <v>12</v>
      </c>
      <c r="DY135" s="27">
        <v>12</v>
      </c>
      <c r="DZ135" s="27">
        <v>12</v>
      </c>
      <c r="EA135" s="27">
        <v>12</v>
      </c>
      <c r="EB135" s="27">
        <v>12</v>
      </c>
      <c r="EC135" s="27">
        <v>12</v>
      </c>
      <c r="ED135" s="27">
        <v>12</v>
      </c>
      <c r="EE135" s="27">
        <v>12</v>
      </c>
      <c r="EF135" s="129">
        <v>15</v>
      </c>
      <c r="EH135" s="27">
        <v>25</v>
      </c>
      <c r="EI135" s="27">
        <v>25</v>
      </c>
      <c r="EJ135" s="27">
        <v>25</v>
      </c>
      <c r="EK135" s="27">
        <v>25</v>
      </c>
      <c r="EL135" s="27">
        <v>25</v>
      </c>
      <c r="EM135" s="27">
        <v>25</v>
      </c>
      <c r="EN135" s="27">
        <v>25</v>
      </c>
      <c r="EO135" s="27">
        <v>25</v>
      </c>
      <c r="EP135" s="27">
        <v>25</v>
      </c>
      <c r="EQ135" s="129">
        <v>15</v>
      </c>
      <c r="ES135" s="27">
        <v>33</v>
      </c>
      <c r="ET135" s="27">
        <v>33</v>
      </c>
      <c r="EU135" s="27">
        <v>33</v>
      </c>
      <c r="EV135" s="27">
        <v>33</v>
      </c>
      <c r="EW135" s="27">
        <v>33</v>
      </c>
      <c r="EX135" s="27">
        <v>33</v>
      </c>
      <c r="EY135" s="27">
        <v>33</v>
      </c>
      <c r="EZ135" s="27">
        <v>33</v>
      </c>
      <c r="FA135" s="27">
        <v>33</v>
      </c>
      <c r="FB135" s="129">
        <v>15</v>
      </c>
      <c r="FD135" s="27">
        <v>34</v>
      </c>
      <c r="FE135" s="27">
        <v>34</v>
      </c>
      <c r="FF135" s="27">
        <v>34</v>
      </c>
      <c r="FG135" s="27">
        <v>34</v>
      </c>
      <c r="FH135" s="27">
        <v>34</v>
      </c>
      <c r="FI135" s="27">
        <v>34</v>
      </c>
      <c r="FJ135" s="27">
        <v>34</v>
      </c>
      <c r="FK135" s="27">
        <v>34</v>
      </c>
      <c r="FL135" s="27">
        <v>34</v>
      </c>
      <c r="FM135" s="129">
        <v>15</v>
      </c>
      <c r="FO135" s="27">
        <v>53</v>
      </c>
      <c r="FP135" s="27">
        <v>53</v>
      </c>
      <c r="FQ135" s="27">
        <v>53</v>
      </c>
      <c r="FR135" s="27">
        <v>53</v>
      </c>
      <c r="FS135" s="27">
        <v>53</v>
      </c>
      <c r="FT135" s="27">
        <v>53</v>
      </c>
      <c r="FU135" s="27">
        <v>53</v>
      </c>
      <c r="FV135" s="27">
        <v>53</v>
      </c>
      <c r="FW135" s="27">
        <v>53</v>
      </c>
      <c r="FX135" s="129">
        <v>15</v>
      </c>
      <c r="FZ135" s="27">
        <v>53</v>
      </c>
      <c r="GA135" s="27">
        <v>53</v>
      </c>
      <c r="GB135" s="27">
        <v>53</v>
      </c>
      <c r="GC135" s="27">
        <v>53</v>
      </c>
      <c r="GD135" s="27">
        <v>53</v>
      </c>
      <c r="GE135" s="27">
        <v>53</v>
      </c>
      <c r="GF135" s="27">
        <v>53</v>
      </c>
      <c r="GG135" s="27">
        <v>53</v>
      </c>
      <c r="GH135" s="27">
        <v>53</v>
      </c>
      <c r="GI135" s="129">
        <v>15</v>
      </c>
      <c r="GJ135" s="27"/>
      <c r="GK135" s="27">
        <v>13</v>
      </c>
      <c r="GL135" s="27">
        <v>13</v>
      </c>
      <c r="GM135" s="27">
        <v>13</v>
      </c>
      <c r="GN135" s="27">
        <v>13</v>
      </c>
      <c r="GO135" s="27">
        <v>13</v>
      </c>
      <c r="GP135" s="27">
        <v>13</v>
      </c>
      <c r="GQ135" s="27">
        <v>13</v>
      </c>
      <c r="GR135" s="27">
        <v>13</v>
      </c>
      <c r="GS135" s="27">
        <v>13</v>
      </c>
      <c r="GT135" s="129">
        <v>15</v>
      </c>
      <c r="GV135" s="27">
        <v>15</v>
      </c>
      <c r="GW135" s="27">
        <v>15</v>
      </c>
      <c r="GX135" s="27">
        <v>15</v>
      </c>
      <c r="GY135" s="27">
        <v>15</v>
      </c>
      <c r="GZ135" s="27">
        <v>15</v>
      </c>
      <c r="HA135" s="27">
        <v>15</v>
      </c>
      <c r="HB135" s="27">
        <v>15</v>
      </c>
      <c r="HC135" s="27">
        <v>15</v>
      </c>
      <c r="HD135" s="27">
        <v>15</v>
      </c>
      <c r="HE135" s="129">
        <v>15</v>
      </c>
      <c r="HG135" s="27">
        <v>21</v>
      </c>
      <c r="HH135" s="27">
        <v>21</v>
      </c>
      <c r="HI135" s="27">
        <v>21</v>
      </c>
      <c r="HJ135" s="27">
        <v>21</v>
      </c>
      <c r="HK135" s="27">
        <v>21</v>
      </c>
      <c r="HL135" s="27">
        <v>21</v>
      </c>
      <c r="HM135" s="27">
        <v>21</v>
      </c>
      <c r="HN135" s="27">
        <v>21</v>
      </c>
      <c r="HO135" s="27">
        <v>21</v>
      </c>
      <c r="HP135" s="129">
        <v>15</v>
      </c>
      <c r="HR135" s="27">
        <v>21</v>
      </c>
      <c r="HS135" s="27">
        <v>21</v>
      </c>
      <c r="HT135" s="27">
        <v>21</v>
      </c>
      <c r="HU135" s="27">
        <v>21</v>
      </c>
      <c r="HV135" s="27">
        <v>21</v>
      </c>
      <c r="HW135" s="27">
        <v>21</v>
      </c>
      <c r="HX135" s="27">
        <v>21</v>
      </c>
      <c r="HY135" s="27">
        <v>21</v>
      </c>
      <c r="HZ135" s="27">
        <v>21</v>
      </c>
      <c r="IA135" s="129">
        <v>15</v>
      </c>
    </row>
    <row r="136" spans="15:235">
      <c r="O136" s="129">
        <v>7.8</v>
      </c>
      <c r="P136" s="129">
        <v>7.8</v>
      </c>
      <c r="Q136" s="129">
        <v>7.8</v>
      </c>
      <c r="R136" s="129">
        <v>7.8</v>
      </c>
      <c r="S136" s="129">
        <v>7.8</v>
      </c>
      <c r="T136" s="129">
        <v>7.8</v>
      </c>
      <c r="U136" s="129">
        <v>7.8</v>
      </c>
      <c r="V136" s="129">
        <v>7.8</v>
      </c>
      <c r="W136" s="129">
        <v>7.8</v>
      </c>
      <c r="X136" s="129">
        <v>13.1</v>
      </c>
      <c r="Y136" s="27"/>
      <c r="Z136" s="129">
        <v>15.7</v>
      </c>
      <c r="AA136" s="129">
        <v>15.7</v>
      </c>
      <c r="AB136" s="129">
        <v>15.7</v>
      </c>
      <c r="AC136" s="129">
        <v>15.7</v>
      </c>
      <c r="AD136" s="129">
        <v>15.7</v>
      </c>
      <c r="AE136" s="129">
        <v>15.7</v>
      </c>
      <c r="AF136" s="129">
        <v>15.7</v>
      </c>
      <c r="AG136" s="129">
        <v>15.7</v>
      </c>
      <c r="AH136" s="129">
        <v>15.7</v>
      </c>
      <c r="AI136" s="129">
        <v>13.1</v>
      </c>
      <c r="AK136" s="129">
        <v>37.5</v>
      </c>
      <c r="AL136" s="129">
        <v>37.5</v>
      </c>
      <c r="AM136" s="129">
        <v>37.5</v>
      </c>
      <c r="AN136" s="129">
        <v>37.5</v>
      </c>
      <c r="AO136" s="129">
        <v>37.5</v>
      </c>
      <c r="AP136" s="129">
        <v>37.5</v>
      </c>
      <c r="AQ136" s="129">
        <v>37.5</v>
      </c>
      <c r="AR136" s="129">
        <v>37.5</v>
      </c>
      <c r="AS136" s="129">
        <v>37.5</v>
      </c>
      <c r="AT136" s="129">
        <v>13.1</v>
      </c>
      <c r="AV136" s="129">
        <v>38.700000000000003</v>
      </c>
      <c r="AW136" s="129">
        <v>38.700000000000003</v>
      </c>
      <c r="AX136" s="129">
        <v>38.700000000000003</v>
      </c>
      <c r="AY136" s="129">
        <v>38.700000000000003</v>
      </c>
      <c r="AZ136" s="129">
        <v>38.700000000000003</v>
      </c>
      <c r="BA136" s="129">
        <v>38.700000000000003</v>
      </c>
      <c r="BB136" s="129">
        <v>38.700000000000003</v>
      </c>
      <c r="BC136" s="129">
        <v>38.700000000000003</v>
      </c>
      <c r="BD136" s="129">
        <v>38.700000000000003</v>
      </c>
      <c r="BE136" s="129">
        <v>13.1</v>
      </c>
      <c r="BG136" s="129">
        <v>60.5</v>
      </c>
      <c r="BH136" s="129">
        <v>60.5</v>
      </c>
      <c r="BI136" s="129">
        <v>60.5</v>
      </c>
      <c r="BJ136" s="129">
        <v>60.5</v>
      </c>
      <c r="BK136" s="129">
        <v>60.5</v>
      </c>
      <c r="BL136" s="129">
        <v>60.5</v>
      </c>
      <c r="BM136" s="129">
        <v>60.5</v>
      </c>
      <c r="BN136" s="129">
        <v>60.5</v>
      </c>
      <c r="BO136" s="129">
        <v>60.5</v>
      </c>
      <c r="BP136" s="129">
        <v>13.1</v>
      </c>
      <c r="BR136" s="129">
        <v>60.5</v>
      </c>
      <c r="BS136" s="129">
        <v>60.5</v>
      </c>
      <c r="BT136" s="129">
        <v>60.5</v>
      </c>
      <c r="BU136" s="129">
        <v>60.5</v>
      </c>
      <c r="BV136" s="129">
        <v>60.5</v>
      </c>
      <c r="BW136" s="129">
        <v>60.5</v>
      </c>
      <c r="BX136" s="129">
        <v>60.5</v>
      </c>
      <c r="BY136" s="129">
        <v>60.5</v>
      </c>
      <c r="BZ136" s="129">
        <v>60.5</v>
      </c>
      <c r="CA136" s="129">
        <v>13.1</v>
      </c>
      <c r="CC136" s="129">
        <v>13.9</v>
      </c>
      <c r="CD136" s="129">
        <v>13.9</v>
      </c>
      <c r="CE136" s="129">
        <v>13.9</v>
      </c>
      <c r="CF136" s="129">
        <v>13.9</v>
      </c>
      <c r="CG136" s="129">
        <v>13.9</v>
      </c>
      <c r="CH136" s="129">
        <v>13.9</v>
      </c>
      <c r="CI136" s="129">
        <v>13.9</v>
      </c>
      <c r="CJ136" s="129">
        <v>13.9</v>
      </c>
      <c r="CK136" s="129">
        <v>13.9</v>
      </c>
      <c r="CL136" s="129">
        <v>13.1</v>
      </c>
      <c r="CN136" s="129">
        <v>16.899999999999999</v>
      </c>
      <c r="CO136" s="129">
        <v>16.899999999999999</v>
      </c>
      <c r="CP136" s="129">
        <v>16.899999999999999</v>
      </c>
      <c r="CQ136" s="129">
        <v>16.899999999999999</v>
      </c>
      <c r="CR136" s="129">
        <v>16.899999999999999</v>
      </c>
      <c r="CS136" s="129">
        <v>16.899999999999999</v>
      </c>
      <c r="CT136" s="129">
        <v>16.899999999999999</v>
      </c>
      <c r="CU136" s="129">
        <v>16.899999999999999</v>
      </c>
      <c r="CV136" s="129">
        <v>16.899999999999999</v>
      </c>
      <c r="CW136" s="129">
        <v>13.1</v>
      </c>
      <c r="CY136" s="129">
        <v>23.8</v>
      </c>
      <c r="CZ136" s="129">
        <v>23.8</v>
      </c>
      <c r="DA136" s="129">
        <v>23.8</v>
      </c>
      <c r="DB136" s="129">
        <v>23.8</v>
      </c>
      <c r="DC136" s="129">
        <v>23.8</v>
      </c>
      <c r="DD136" s="129">
        <v>23.8</v>
      </c>
      <c r="DE136" s="129">
        <v>23.8</v>
      </c>
      <c r="DF136" s="129">
        <v>23.8</v>
      </c>
      <c r="DG136" s="129">
        <v>23.8</v>
      </c>
      <c r="DH136" s="129">
        <v>13.1</v>
      </c>
      <c r="DJ136" s="129">
        <v>23.8</v>
      </c>
      <c r="DK136" s="129">
        <v>23.8</v>
      </c>
      <c r="DL136" s="129">
        <v>23.8</v>
      </c>
      <c r="DM136" s="129">
        <v>23.8</v>
      </c>
      <c r="DN136" s="129">
        <v>23.8</v>
      </c>
      <c r="DO136" s="129">
        <v>23.8</v>
      </c>
      <c r="DP136" s="129">
        <v>23.8</v>
      </c>
      <c r="DQ136" s="129">
        <v>23.8</v>
      </c>
      <c r="DR136" s="129">
        <v>23.8</v>
      </c>
      <c r="DS136" s="129">
        <v>13.1</v>
      </c>
      <c r="DW136" s="27">
        <v>11.8</v>
      </c>
      <c r="DX136" s="27">
        <v>11.8</v>
      </c>
      <c r="DY136" s="27">
        <v>11.8</v>
      </c>
      <c r="DZ136" s="27">
        <v>11.8</v>
      </c>
      <c r="EA136" s="27">
        <v>11.8</v>
      </c>
      <c r="EB136" s="27">
        <v>11.8</v>
      </c>
      <c r="EC136" s="27">
        <v>11.8</v>
      </c>
      <c r="ED136" s="27">
        <v>11.8</v>
      </c>
      <c r="EE136" s="27">
        <v>11.8</v>
      </c>
      <c r="EF136" s="129">
        <v>15.1</v>
      </c>
      <c r="EH136" s="27">
        <v>24.6</v>
      </c>
      <c r="EI136" s="27">
        <v>24.6</v>
      </c>
      <c r="EJ136" s="27">
        <v>24.6</v>
      </c>
      <c r="EK136" s="27">
        <v>24.6</v>
      </c>
      <c r="EL136" s="27">
        <v>24.6</v>
      </c>
      <c r="EM136" s="27">
        <v>24.6</v>
      </c>
      <c r="EN136" s="27">
        <v>24.6</v>
      </c>
      <c r="EO136" s="27">
        <v>24.6</v>
      </c>
      <c r="EP136" s="27">
        <v>24.6</v>
      </c>
      <c r="EQ136" s="129">
        <v>15.1</v>
      </c>
      <c r="ES136" s="27">
        <v>32.799999999999997</v>
      </c>
      <c r="ET136" s="27">
        <v>32.799999999999997</v>
      </c>
      <c r="EU136" s="27">
        <v>32.799999999999997</v>
      </c>
      <c r="EV136" s="27">
        <v>32.799999999999997</v>
      </c>
      <c r="EW136" s="27">
        <v>32.799999999999997</v>
      </c>
      <c r="EX136" s="27">
        <v>32.799999999999997</v>
      </c>
      <c r="EY136" s="27">
        <v>32.799999999999997</v>
      </c>
      <c r="EZ136" s="27">
        <v>32.799999999999997</v>
      </c>
      <c r="FA136" s="27">
        <v>32.799999999999997</v>
      </c>
      <c r="FB136" s="129">
        <v>15.1</v>
      </c>
      <c r="FD136" s="27">
        <v>33.799999999999997</v>
      </c>
      <c r="FE136" s="27">
        <v>33.799999999999997</v>
      </c>
      <c r="FF136" s="27">
        <v>33.799999999999997</v>
      </c>
      <c r="FG136" s="27">
        <v>33.799999999999997</v>
      </c>
      <c r="FH136" s="27">
        <v>33.799999999999997</v>
      </c>
      <c r="FI136" s="27">
        <v>33.799999999999997</v>
      </c>
      <c r="FJ136" s="27">
        <v>33.799999999999997</v>
      </c>
      <c r="FK136" s="27">
        <v>33.799999999999997</v>
      </c>
      <c r="FL136" s="27">
        <v>33.799999999999997</v>
      </c>
      <c r="FM136" s="129">
        <v>15.1</v>
      </c>
      <c r="FO136" s="27">
        <v>52.6</v>
      </c>
      <c r="FP136" s="27">
        <v>52.6</v>
      </c>
      <c r="FQ136" s="27">
        <v>52.6</v>
      </c>
      <c r="FR136" s="27">
        <v>52.6</v>
      </c>
      <c r="FS136" s="27">
        <v>52.6</v>
      </c>
      <c r="FT136" s="27">
        <v>52.6</v>
      </c>
      <c r="FU136" s="27">
        <v>52.6</v>
      </c>
      <c r="FV136" s="27">
        <v>52.6</v>
      </c>
      <c r="FW136" s="27">
        <v>52.6</v>
      </c>
      <c r="FX136" s="129">
        <v>15.1</v>
      </c>
      <c r="FZ136" s="27">
        <v>52.6</v>
      </c>
      <c r="GA136" s="27">
        <v>52.6</v>
      </c>
      <c r="GB136" s="27">
        <v>52.6</v>
      </c>
      <c r="GC136" s="27">
        <v>52.6</v>
      </c>
      <c r="GD136" s="27">
        <v>52.6</v>
      </c>
      <c r="GE136" s="27">
        <v>52.6</v>
      </c>
      <c r="GF136" s="27">
        <v>52.6</v>
      </c>
      <c r="GG136" s="27">
        <v>52.6</v>
      </c>
      <c r="GH136" s="27">
        <v>52.6</v>
      </c>
      <c r="GI136" s="129">
        <v>15.1</v>
      </c>
      <c r="GJ136" s="27"/>
      <c r="GK136" s="27">
        <v>12.9</v>
      </c>
      <c r="GL136" s="27">
        <v>12.9</v>
      </c>
      <c r="GM136" s="27">
        <v>12.9</v>
      </c>
      <c r="GN136" s="27">
        <v>12.9</v>
      </c>
      <c r="GO136" s="27">
        <v>12.9</v>
      </c>
      <c r="GP136" s="27">
        <v>12.9</v>
      </c>
      <c r="GQ136" s="27">
        <v>12.9</v>
      </c>
      <c r="GR136" s="27">
        <v>12.9</v>
      </c>
      <c r="GS136" s="27">
        <v>12.9</v>
      </c>
      <c r="GT136" s="129">
        <v>15.1</v>
      </c>
      <c r="GV136" s="27">
        <v>14.9</v>
      </c>
      <c r="GW136" s="27">
        <v>14.9</v>
      </c>
      <c r="GX136" s="27">
        <v>14.9</v>
      </c>
      <c r="GY136" s="27">
        <v>14.9</v>
      </c>
      <c r="GZ136" s="27">
        <v>14.9</v>
      </c>
      <c r="HA136" s="27">
        <v>14.9</v>
      </c>
      <c r="HB136" s="27">
        <v>14.9</v>
      </c>
      <c r="HC136" s="27">
        <v>14.9</v>
      </c>
      <c r="HD136" s="27">
        <v>14.9</v>
      </c>
      <c r="HE136" s="129">
        <v>15.1</v>
      </c>
      <c r="HG136" s="27">
        <v>20.8</v>
      </c>
      <c r="HH136" s="27">
        <v>20.8</v>
      </c>
      <c r="HI136" s="27">
        <v>20.8</v>
      </c>
      <c r="HJ136" s="27">
        <v>20.8</v>
      </c>
      <c r="HK136" s="27">
        <v>20.8</v>
      </c>
      <c r="HL136" s="27">
        <v>20.8</v>
      </c>
      <c r="HM136" s="27">
        <v>20.8</v>
      </c>
      <c r="HN136" s="27">
        <v>20.8</v>
      </c>
      <c r="HO136" s="27">
        <v>20.8</v>
      </c>
      <c r="HP136" s="129">
        <v>15.1</v>
      </c>
      <c r="HR136" s="27">
        <v>20.8</v>
      </c>
      <c r="HS136" s="27">
        <v>20.8</v>
      </c>
      <c r="HT136" s="27">
        <v>20.8</v>
      </c>
      <c r="HU136" s="27">
        <v>20.8</v>
      </c>
      <c r="HV136" s="27">
        <v>20.8</v>
      </c>
      <c r="HW136" s="27">
        <v>20.8</v>
      </c>
      <c r="HX136" s="27">
        <v>20.8</v>
      </c>
      <c r="HY136" s="27">
        <v>20.8</v>
      </c>
      <c r="HZ136" s="27">
        <v>20.8</v>
      </c>
      <c r="IA136" s="129">
        <v>15.1</v>
      </c>
    </row>
    <row r="137" spans="15:235" ht="3" customHeight="1">
      <c r="O137" s="129">
        <v>7.6</v>
      </c>
      <c r="P137" s="129">
        <v>7.6</v>
      </c>
      <c r="Q137" s="129">
        <v>7.6</v>
      </c>
      <c r="R137" s="129">
        <v>7.6</v>
      </c>
      <c r="S137" s="129">
        <v>7.6</v>
      </c>
      <c r="T137" s="129">
        <v>7.6</v>
      </c>
      <c r="U137" s="129">
        <v>7.6</v>
      </c>
      <c r="V137" s="129">
        <v>7.6</v>
      </c>
      <c r="W137" s="129">
        <v>7.6</v>
      </c>
      <c r="X137" s="129">
        <v>13.2</v>
      </c>
      <c r="Y137" s="27"/>
      <c r="Z137" s="129">
        <v>15.399999999999999</v>
      </c>
      <c r="AA137" s="129">
        <v>15.399999999999999</v>
      </c>
      <c r="AB137" s="129">
        <v>15.399999999999999</v>
      </c>
      <c r="AC137" s="129">
        <v>15.399999999999999</v>
      </c>
      <c r="AD137" s="129">
        <v>15.399999999999999</v>
      </c>
      <c r="AE137" s="129">
        <v>15.399999999999999</v>
      </c>
      <c r="AF137" s="129">
        <v>15.399999999999999</v>
      </c>
      <c r="AG137" s="129">
        <v>15.399999999999999</v>
      </c>
      <c r="AH137" s="129">
        <v>15.399999999999999</v>
      </c>
      <c r="AI137" s="129">
        <v>13.2</v>
      </c>
      <c r="AK137" s="129">
        <v>37</v>
      </c>
      <c r="AL137" s="129">
        <v>37</v>
      </c>
      <c r="AM137" s="129">
        <v>37</v>
      </c>
      <c r="AN137" s="129">
        <v>37</v>
      </c>
      <c r="AO137" s="129">
        <v>37</v>
      </c>
      <c r="AP137" s="129">
        <v>37</v>
      </c>
      <c r="AQ137" s="129">
        <v>37</v>
      </c>
      <c r="AR137" s="129">
        <v>37</v>
      </c>
      <c r="AS137" s="129">
        <v>37</v>
      </c>
      <c r="AT137" s="129">
        <v>13.2</v>
      </c>
      <c r="AV137" s="129">
        <v>38.400000000000006</v>
      </c>
      <c r="AW137" s="129">
        <v>38.400000000000006</v>
      </c>
      <c r="AX137" s="129">
        <v>38.400000000000006</v>
      </c>
      <c r="AY137" s="129">
        <v>38.400000000000006</v>
      </c>
      <c r="AZ137" s="129">
        <v>38.400000000000006</v>
      </c>
      <c r="BA137" s="129">
        <v>38.400000000000006</v>
      </c>
      <c r="BB137" s="129">
        <v>38.400000000000006</v>
      </c>
      <c r="BC137" s="129">
        <v>38.400000000000006</v>
      </c>
      <c r="BD137" s="129">
        <v>38.400000000000006</v>
      </c>
      <c r="BE137" s="129">
        <v>13.2</v>
      </c>
      <c r="BG137" s="129">
        <v>60</v>
      </c>
      <c r="BH137" s="129">
        <v>60</v>
      </c>
      <c r="BI137" s="129">
        <v>60</v>
      </c>
      <c r="BJ137" s="129">
        <v>60</v>
      </c>
      <c r="BK137" s="129">
        <v>60</v>
      </c>
      <c r="BL137" s="129">
        <v>60</v>
      </c>
      <c r="BM137" s="129">
        <v>60</v>
      </c>
      <c r="BN137" s="129">
        <v>60</v>
      </c>
      <c r="BO137" s="129">
        <v>60</v>
      </c>
      <c r="BP137" s="129">
        <v>13.2</v>
      </c>
      <c r="BR137" s="129">
        <v>60</v>
      </c>
      <c r="BS137" s="129">
        <v>60</v>
      </c>
      <c r="BT137" s="129">
        <v>60</v>
      </c>
      <c r="BU137" s="129">
        <v>60</v>
      </c>
      <c r="BV137" s="129">
        <v>60</v>
      </c>
      <c r="BW137" s="129">
        <v>60</v>
      </c>
      <c r="BX137" s="129">
        <v>60</v>
      </c>
      <c r="BY137" s="129">
        <v>60</v>
      </c>
      <c r="BZ137" s="129">
        <v>60</v>
      </c>
      <c r="CA137" s="129">
        <v>13.2</v>
      </c>
      <c r="CC137" s="129">
        <v>13.8</v>
      </c>
      <c r="CD137" s="129">
        <v>13.8</v>
      </c>
      <c r="CE137" s="129">
        <v>13.8</v>
      </c>
      <c r="CF137" s="129">
        <v>13.8</v>
      </c>
      <c r="CG137" s="129">
        <v>13.8</v>
      </c>
      <c r="CH137" s="129">
        <v>13.8</v>
      </c>
      <c r="CI137" s="129">
        <v>13.8</v>
      </c>
      <c r="CJ137" s="129">
        <v>13.8</v>
      </c>
      <c r="CK137" s="129">
        <v>13.8</v>
      </c>
      <c r="CL137" s="129">
        <v>13.2</v>
      </c>
      <c r="CN137" s="129">
        <v>16.799999999999997</v>
      </c>
      <c r="CO137" s="129">
        <v>16.799999999999997</v>
      </c>
      <c r="CP137" s="129">
        <v>16.799999999999997</v>
      </c>
      <c r="CQ137" s="129">
        <v>16.799999999999997</v>
      </c>
      <c r="CR137" s="129">
        <v>16.799999999999997</v>
      </c>
      <c r="CS137" s="129">
        <v>16.799999999999997</v>
      </c>
      <c r="CT137" s="129">
        <v>16.799999999999997</v>
      </c>
      <c r="CU137" s="129">
        <v>16.799999999999997</v>
      </c>
      <c r="CV137" s="129">
        <v>16.799999999999997</v>
      </c>
      <c r="CW137" s="129">
        <v>13.2</v>
      </c>
      <c r="CY137" s="129">
        <v>23.6</v>
      </c>
      <c r="CZ137" s="129">
        <v>23.6</v>
      </c>
      <c r="DA137" s="129">
        <v>23.6</v>
      </c>
      <c r="DB137" s="129">
        <v>23.6</v>
      </c>
      <c r="DC137" s="129">
        <v>23.6</v>
      </c>
      <c r="DD137" s="129">
        <v>23.6</v>
      </c>
      <c r="DE137" s="129">
        <v>23.6</v>
      </c>
      <c r="DF137" s="129">
        <v>23.6</v>
      </c>
      <c r="DG137" s="129">
        <v>23.6</v>
      </c>
      <c r="DH137" s="129">
        <v>13.2</v>
      </c>
      <c r="DJ137" s="129">
        <v>23.6</v>
      </c>
      <c r="DK137" s="129">
        <v>23.6</v>
      </c>
      <c r="DL137" s="129">
        <v>23.6</v>
      </c>
      <c r="DM137" s="129">
        <v>23.6</v>
      </c>
      <c r="DN137" s="129">
        <v>23.6</v>
      </c>
      <c r="DO137" s="129">
        <v>23.6</v>
      </c>
      <c r="DP137" s="129">
        <v>23.6</v>
      </c>
      <c r="DQ137" s="129">
        <v>23.6</v>
      </c>
      <c r="DR137" s="129">
        <v>23.6</v>
      </c>
      <c r="DS137" s="129">
        <v>13.2</v>
      </c>
      <c r="DW137" s="27">
        <v>11.600000000000001</v>
      </c>
      <c r="DX137" s="27">
        <v>11.600000000000001</v>
      </c>
      <c r="DY137" s="27">
        <v>11.600000000000001</v>
      </c>
      <c r="DZ137" s="27">
        <v>11.600000000000001</v>
      </c>
      <c r="EA137" s="27">
        <v>11.600000000000001</v>
      </c>
      <c r="EB137" s="27">
        <v>11.600000000000001</v>
      </c>
      <c r="EC137" s="27">
        <v>11.600000000000001</v>
      </c>
      <c r="ED137" s="27">
        <v>11.600000000000001</v>
      </c>
      <c r="EE137" s="27">
        <v>11.600000000000001</v>
      </c>
      <c r="EF137" s="129">
        <v>15.2</v>
      </c>
      <c r="EH137" s="27">
        <v>24.200000000000003</v>
      </c>
      <c r="EI137" s="27">
        <v>24.200000000000003</v>
      </c>
      <c r="EJ137" s="27">
        <v>24.200000000000003</v>
      </c>
      <c r="EK137" s="27">
        <v>24.200000000000003</v>
      </c>
      <c r="EL137" s="27">
        <v>24.200000000000003</v>
      </c>
      <c r="EM137" s="27">
        <v>24.200000000000003</v>
      </c>
      <c r="EN137" s="27">
        <v>24.200000000000003</v>
      </c>
      <c r="EO137" s="27">
        <v>24.200000000000003</v>
      </c>
      <c r="EP137" s="27">
        <v>24.200000000000003</v>
      </c>
      <c r="EQ137" s="129">
        <v>15.2</v>
      </c>
      <c r="ES137" s="27">
        <v>32.599999999999994</v>
      </c>
      <c r="ET137" s="27">
        <v>32.599999999999994</v>
      </c>
      <c r="EU137" s="27">
        <v>32.599999999999994</v>
      </c>
      <c r="EV137" s="27">
        <v>32.599999999999994</v>
      </c>
      <c r="EW137" s="27">
        <v>32.599999999999994</v>
      </c>
      <c r="EX137" s="27">
        <v>32.599999999999994</v>
      </c>
      <c r="EY137" s="27">
        <v>32.599999999999994</v>
      </c>
      <c r="EZ137" s="27">
        <v>32.599999999999994</v>
      </c>
      <c r="FA137" s="27">
        <v>32.599999999999994</v>
      </c>
      <c r="FB137" s="129">
        <v>15.2</v>
      </c>
      <c r="FD137" s="27">
        <v>33.599999999999994</v>
      </c>
      <c r="FE137" s="27">
        <v>33.599999999999994</v>
      </c>
      <c r="FF137" s="27">
        <v>33.599999999999994</v>
      </c>
      <c r="FG137" s="27">
        <v>33.599999999999994</v>
      </c>
      <c r="FH137" s="27">
        <v>33.599999999999994</v>
      </c>
      <c r="FI137" s="27">
        <v>33.599999999999994</v>
      </c>
      <c r="FJ137" s="27">
        <v>33.599999999999994</v>
      </c>
      <c r="FK137" s="27">
        <v>33.599999999999994</v>
      </c>
      <c r="FL137" s="27">
        <v>33.599999999999994</v>
      </c>
      <c r="FM137" s="129">
        <v>15.2</v>
      </c>
      <c r="FO137" s="27">
        <v>52.2</v>
      </c>
      <c r="FP137" s="27">
        <v>52.2</v>
      </c>
      <c r="FQ137" s="27">
        <v>52.2</v>
      </c>
      <c r="FR137" s="27">
        <v>52.2</v>
      </c>
      <c r="FS137" s="27">
        <v>52.2</v>
      </c>
      <c r="FT137" s="27">
        <v>52.2</v>
      </c>
      <c r="FU137" s="27">
        <v>52.2</v>
      </c>
      <c r="FV137" s="27">
        <v>52.2</v>
      </c>
      <c r="FW137" s="27">
        <v>52.2</v>
      </c>
      <c r="FX137" s="129">
        <v>15.2</v>
      </c>
      <c r="FZ137" s="27">
        <v>52.2</v>
      </c>
      <c r="GA137" s="27">
        <v>52.2</v>
      </c>
      <c r="GB137" s="27">
        <v>52.2</v>
      </c>
      <c r="GC137" s="27">
        <v>52.2</v>
      </c>
      <c r="GD137" s="27">
        <v>52.2</v>
      </c>
      <c r="GE137" s="27">
        <v>52.2</v>
      </c>
      <c r="GF137" s="27">
        <v>52.2</v>
      </c>
      <c r="GG137" s="27">
        <v>52.2</v>
      </c>
      <c r="GH137" s="27">
        <v>52.2</v>
      </c>
      <c r="GI137" s="129">
        <v>15.2</v>
      </c>
      <c r="GJ137" s="27"/>
      <c r="GK137" s="27">
        <v>12.8</v>
      </c>
      <c r="GL137" s="27">
        <v>12.8</v>
      </c>
      <c r="GM137" s="27">
        <v>12.8</v>
      </c>
      <c r="GN137" s="27">
        <v>12.8</v>
      </c>
      <c r="GO137" s="27">
        <v>12.8</v>
      </c>
      <c r="GP137" s="27">
        <v>12.8</v>
      </c>
      <c r="GQ137" s="27">
        <v>12.8</v>
      </c>
      <c r="GR137" s="27">
        <v>12.8</v>
      </c>
      <c r="GS137" s="27">
        <v>12.8</v>
      </c>
      <c r="GT137" s="129">
        <v>15.2</v>
      </c>
      <c r="GV137" s="27">
        <v>14.8</v>
      </c>
      <c r="GW137" s="27">
        <v>14.8</v>
      </c>
      <c r="GX137" s="27">
        <v>14.8</v>
      </c>
      <c r="GY137" s="27">
        <v>14.8</v>
      </c>
      <c r="GZ137" s="27">
        <v>14.8</v>
      </c>
      <c r="HA137" s="27">
        <v>14.8</v>
      </c>
      <c r="HB137" s="27">
        <v>14.8</v>
      </c>
      <c r="HC137" s="27">
        <v>14.8</v>
      </c>
      <c r="HD137" s="27">
        <v>14.8</v>
      </c>
      <c r="HE137" s="129">
        <v>15.2</v>
      </c>
      <c r="HG137" s="27">
        <v>20.6</v>
      </c>
      <c r="HH137" s="27">
        <v>20.6</v>
      </c>
      <c r="HI137" s="27">
        <v>20.6</v>
      </c>
      <c r="HJ137" s="27">
        <v>20.6</v>
      </c>
      <c r="HK137" s="27">
        <v>20.6</v>
      </c>
      <c r="HL137" s="27">
        <v>20.6</v>
      </c>
      <c r="HM137" s="27">
        <v>20.6</v>
      </c>
      <c r="HN137" s="27">
        <v>20.6</v>
      </c>
      <c r="HO137" s="27">
        <v>20.6</v>
      </c>
      <c r="HP137" s="129">
        <v>15.2</v>
      </c>
      <c r="HR137" s="27">
        <v>20.6</v>
      </c>
      <c r="HS137" s="27">
        <v>20.6</v>
      </c>
      <c r="HT137" s="27">
        <v>20.6</v>
      </c>
      <c r="HU137" s="27">
        <v>20.6</v>
      </c>
      <c r="HV137" s="27">
        <v>20.6</v>
      </c>
      <c r="HW137" s="27">
        <v>20.6</v>
      </c>
      <c r="HX137" s="27">
        <v>20.6</v>
      </c>
      <c r="HY137" s="27">
        <v>20.6</v>
      </c>
      <c r="HZ137" s="27">
        <v>20.6</v>
      </c>
      <c r="IA137" s="129">
        <v>15.2</v>
      </c>
    </row>
    <row r="138" spans="15:235" ht="3" customHeight="1">
      <c r="O138" s="129">
        <v>7.3999999999999995</v>
      </c>
      <c r="P138" s="129">
        <v>7.3999999999999995</v>
      </c>
      <c r="Q138" s="129">
        <v>7.3999999999999995</v>
      </c>
      <c r="R138" s="129">
        <v>7.3999999999999995</v>
      </c>
      <c r="S138" s="129">
        <v>7.3999999999999995</v>
      </c>
      <c r="T138" s="129">
        <v>7.3999999999999995</v>
      </c>
      <c r="U138" s="129">
        <v>7.3999999999999995</v>
      </c>
      <c r="V138" s="129">
        <v>7.3999999999999995</v>
      </c>
      <c r="W138" s="129">
        <v>7.3999999999999995</v>
      </c>
      <c r="X138" s="129">
        <v>13.3</v>
      </c>
      <c r="Y138" s="27"/>
      <c r="Z138" s="129">
        <v>15.099999999999998</v>
      </c>
      <c r="AA138" s="129">
        <v>15.099999999999998</v>
      </c>
      <c r="AB138" s="129">
        <v>15.099999999999998</v>
      </c>
      <c r="AC138" s="129">
        <v>15.099999999999998</v>
      </c>
      <c r="AD138" s="129">
        <v>15.099999999999998</v>
      </c>
      <c r="AE138" s="129">
        <v>15.099999999999998</v>
      </c>
      <c r="AF138" s="129">
        <v>15.099999999999998</v>
      </c>
      <c r="AG138" s="129">
        <v>15.099999999999998</v>
      </c>
      <c r="AH138" s="129">
        <v>15.099999999999998</v>
      </c>
      <c r="AI138" s="129">
        <v>13.3</v>
      </c>
      <c r="AK138" s="129">
        <v>36.5</v>
      </c>
      <c r="AL138" s="129">
        <v>36.5</v>
      </c>
      <c r="AM138" s="129">
        <v>36.5</v>
      </c>
      <c r="AN138" s="129">
        <v>36.5</v>
      </c>
      <c r="AO138" s="129">
        <v>36.5</v>
      </c>
      <c r="AP138" s="129">
        <v>36.5</v>
      </c>
      <c r="AQ138" s="129">
        <v>36.5</v>
      </c>
      <c r="AR138" s="129">
        <v>36.5</v>
      </c>
      <c r="AS138" s="129">
        <v>36.5</v>
      </c>
      <c r="AT138" s="129">
        <v>13.3</v>
      </c>
      <c r="AV138" s="129">
        <v>38.100000000000009</v>
      </c>
      <c r="AW138" s="129">
        <v>38.100000000000009</v>
      </c>
      <c r="AX138" s="129">
        <v>38.100000000000009</v>
      </c>
      <c r="AY138" s="129">
        <v>38.100000000000009</v>
      </c>
      <c r="AZ138" s="129">
        <v>38.100000000000009</v>
      </c>
      <c r="BA138" s="129">
        <v>38.100000000000009</v>
      </c>
      <c r="BB138" s="129">
        <v>38.100000000000009</v>
      </c>
      <c r="BC138" s="129">
        <v>38.100000000000009</v>
      </c>
      <c r="BD138" s="129">
        <v>38.100000000000009</v>
      </c>
      <c r="BE138" s="129">
        <v>13.3</v>
      </c>
      <c r="BG138" s="129">
        <v>59.5</v>
      </c>
      <c r="BH138" s="129">
        <v>59.5</v>
      </c>
      <c r="BI138" s="129">
        <v>59.5</v>
      </c>
      <c r="BJ138" s="129">
        <v>59.5</v>
      </c>
      <c r="BK138" s="129">
        <v>59.5</v>
      </c>
      <c r="BL138" s="129">
        <v>59.5</v>
      </c>
      <c r="BM138" s="129">
        <v>59.5</v>
      </c>
      <c r="BN138" s="129">
        <v>59.5</v>
      </c>
      <c r="BO138" s="129">
        <v>59.5</v>
      </c>
      <c r="BP138" s="129">
        <v>13.3</v>
      </c>
      <c r="BR138" s="129">
        <v>59.5</v>
      </c>
      <c r="BS138" s="129">
        <v>59.5</v>
      </c>
      <c r="BT138" s="129">
        <v>59.5</v>
      </c>
      <c r="BU138" s="129">
        <v>59.5</v>
      </c>
      <c r="BV138" s="129">
        <v>59.5</v>
      </c>
      <c r="BW138" s="129">
        <v>59.5</v>
      </c>
      <c r="BX138" s="129">
        <v>59.5</v>
      </c>
      <c r="BY138" s="129">
        <v>59.5</v>
      </c>
      <c r="BZ138" s="129">
        <v>59.5</v>
      </c>
      <c r="CA138" s="129">
        <v>13.3</v>
      </c>
      <c r="CC138" s="129">
        <v>13.700000000000001</v>
      </c>
      <c r="CD138" s="129">
        <v>13.700000000000001</v>
      </c>
      <c r="CE138" s="129">
        <v>13.700000000000001</v>
      </c>
      <c r="CF138" s="129">
        <v>13.700000000000001</v>
      </c>
      <c r="CG138" s="129">
        <v>13.700000000000001</v>
      </c>
      <c r="CH138" s="129">
        <v>13.700000000000001</v>
      </c>
      <c r="CI138" s="129">
        <v>13.700000000000001</v>
      </c>
      <c r="CJ138" s="129">
        <v>13.700000000000001</v>
      </c>
      <c r="CK138" s="129">
        <v>13.700000000000001</v>
      </c>
      <c r="CL138" s="129">
        <v>13.3</v>
      </c>
      <c r="CN138" s="129">
        <v>16.699999999999996</v>
      </c>
      <c r="CO138" s="129">
        <v>16.699999999999996</v>
      </c>
      <c r="CP138" s="129">
        <v>16.699999999999996</v>
      </c>
      <c r="CQ138" s="129">
        <v>16.699999999999996</v>
      </c>
      <c r="CR138" s="129">
        <v>16.699999999999996</v>
      </c>
      <c r="CS138" s="129">
        <v>16.699999999999996</v>
      </c>
      <c r="CT138" s="129">
        <v>16.699999999999996</v>
      </c>
      <c r="CU138" s="129">
        <v>16.699999999999996</v>
      </c>
      <c r="CV138" s="129">
        <v>16.699999999999996</v>
      </c>
      <c r="CW138" s="129">
        <v>13.3</v>
      </c>
      <c r="CY138" s="129">
        <v>23.400000000000002</v>
      </c>
      <c r="CZ138" s="129">
        <v>23.400000000000002</v>
      </c>
      <c r="DA138" s="129">
        <v>23.400000000000002</v>
      </c>
      <c r="DB138" s="129">
        <v>23.400000000000002</v>
      </c>
      <c r="DC138" s="129">
        <v>23.400000000000002</v>
      </c>
      <c r="DD138" s="129">
        <v>23.400000000000002</v>
      </c>
      <c r="DE138" s="129">
        <v>23.400000000000002</v>
      </c>
      <c r="DF138" s="129">
        <v>23.400000000000002</v>
      </c>
      <c r="DG138" s="129">
        <v>23.400000000000002</v>
      </c>
      <c r="DH138" s="129">
        <v>13.3</v>
      </c>
      <c r="DJ138" s="129">
        <v>23.400000000000002</v>
      </c>
      <c r="DK138" s="129">
        <v>23.400000000000002</v>
      </c>
      <c r="DL138" s="129">
        <v>23.400000000000002</v>
      </c>
      <c r="DM138" s="129">
        <v>23.400000000000002</v>
      </c>
      <c r="DN138" s="129">
        <v>23.400000000000002</v>
      </c>
      <c r="DO138" s="129">
        <v>23.400000000000002</v>
      </c>
      <c r="DP138" s="129">
        <v>23.400000000000002</v>
      </c>
      <c r="DQ138" s="129">
        <v>23.400000000000002</v>
      </c>
      <c r="DR138" s="129">
        <v>23.400000000000002</v>
      </c>
      <c r="DS138" s="129">
        <v>13.3</v>
      </c>
      <c r="DW138" s="27">
        <v>11.400000000000002</v>
      </c>
      <c r="DX138" s="27">
        <v>11.400000000000002</v>
      </c>
      <c r="DY138" s="27">
        <v>11.400000000000002</v>
      </c>
      <c r="DZ138" s="27">
        <v>11.400000000000002</v>
      </c>
      <c r="EA138" s="27">
        <v>11.400000000000002</v>
      </c>
      <c r="EB138" s="27">
        <v>11.400000000000002</v>
      </c>
      <c r="EC138" s="27">
        <v>11.400000000000002</v>
      </c>
      <c r="ED138" s="27">
        <v>11.400000000000002</v>
      </c>
      <c r="EE138" s="27">
        <v>11.400000000000002</v>
      </c>
      <c r="EF138" s="129">
        <v>15.3</v>
      </c>
      <c r="EH138" s="27">
        <v>23.800000000000004</v>
      </c>
      <c r="EI138" s="27">
        <v>23.800000000000004</v>
      </c>
      <c r="EJ138" s="27">
        <v>23.800000000000004</v>
      </c>
      <c r="EK138" s="27">
        <v>23.800000000000004</v>
      </c>
      <c r="EL138" s="27">
        <v>23.800000000000004</v>
      </c>
      <c r="EM138" s="27">
        <v>23.800000000000004</v>
      </c>
      <c r="EN138" s="27">
        <v>23.800000000000004</v>
      </c>
      <c r="EO138" s="27">
        <v>23.800000000000004</v>
      </c>
      <c r="EP138" s="27">
        <v>23.800000000000004</v>
      </c>
      <c r="EQ138" s="129">
        <v>15.3</v>
      </c>
      <c r="ES138" s="27">
        <v>32.399999999999991</v>
      </c>
      <c r="ET138" s="27">
        <v>32.399999999999991</v>
      </c>
      <c r="EU138" s="27">
        <v>32.399999999999991</v>
      </c>
      <c r="EV138" s="27">
        <v>32.399999999999991</v>
      </c>
      <c r="EW138" s="27">
        <v>32.399999999999991</v>
      </c>
      <c r="EX138" s="27">
        <v>32.399999999999991</v>
      </c>
      <c r="EY138" s="27">
        <v>32.399999999999991</v>
      </c>
      <c r="EZ138" s="27">
        <v>32.399999999999991</v>
      </c>
      <c r="FA138" s="27">
        <v>32.399999999999991</v>
      </c>
      <c r="FB138" s="129">
        <v>15.3</v>
      </c>
      <c r="FD138" s="27">
        <v>33.399999999999991</v>
      </c>
      <c r="FE138" s="27">
        <v>33.399999999999991</v>
      </c>
      <c r="FF138" s="27">
        <v>33.399999999999991</v>
      </c>
      <c r="FG138" s="27">
        <v>33.399999999999991</v>
      </c>
      <c r="FH138" s="27">
        <v>33.399999999999991</v>
      </c>
      <c r="FI138" s="27">
        <v>33.399999999999991</v>
      </c>
      <c r="FJ138" s="27">
        <v>33.399999999999991</v>
      </c>
      <c r="FK138" s="27">
        <v>33.399999999999991</v>
      </c>
      <c r="FL138" s="27">
        <v>33.399999999999991</v>
      </c>
      <c r="FM138" s="129">
        <v>15.3</v>
      </c>
      <c r="FO138" s="27">
        <v>51.800000000000004</v>
      </c>
      <c r="FP138" s="27">
        <v>51.800000000000004</v>
      </c>
      <c r="FQ138" s="27">
        <v>51.800000000000004</v>
      </c>
      <c r="FR138" s="27">
        <v>51.800000000000004</v>
      </c>
      <c r="FS138" s="27">
        <v>51.800000000000004</v>
      </c>
      <c r="FT138" s="27">
        <v>51.800000000000004</v>
      </c>
      <c r="FU138" s="27">
        <v>51.800000000000004</v>
      </c>
      <c r="FV138" s="27">
        <v>51.800000000000004</v>
      </c>
      <c r="FW138" s="27">
        <v>51.800000000000004</v>
      </c>
      <c r="FX138" s="129">
        <v>15.3</v>
      </c>
      <c r="FZ138" s="27">
        <v>51.800000000000004</v>
      </c>
      <c r="GA138" s="27">
        <v>51.800000000000004</v>
      </c>
      <c r="GB138" s="27">
        <v>51.800000000000004</v>
      </c>
      <c r="GC138" s="27">
        <v>51.800000000000004</v>
      </c>
      <c r="GD138" s="27">
        <v>51.800000000000004</v>
      </c>
      <c r="GE138" s="27">
        <v>51.800000000000004</v>
      </c>
      <c r="GF138" s="27">
        <v>51.800000000000004</v>
      </c>
      <c r="GG138" s="27">
        <v>51.800000000000004</v>
      </c>
      <c r="GH138" s="27">
        <v>51.800000000000004</v>
      </c>
      <c r="GI138" s="129">
        <v>15.3</v>
      </c>
      <c r="GJ138" s="27"/>
      <c r="GK138" s="27">
        <v>12.700000000000001</v>
      </c>
      <c r="GL138" s="27">
        <v>12.700000000000001</v>
      </c>
      <c r="GM138" s="27">
        <v>12.700000000000001</v>
      </c>
      <c r="GN138" s="27">
        <v>12.700000000000001</v>
      </c>
      <c r="GO138" s="27">
        <v>12.700000000000001</v>
      </c>
      <c r="GP138" s="27">
        <v>12.700000000000001</v>
      </c>
      <c r="GQ138" s="27">
        <v>12.700000000000001</v>
      </c>
      <c r="GR138" s="27">
        <v>12.700000000000001</v>
      </c>
      <c r="GS138" s="27">
        <v>12.700000000000001</v>
      </c>
      <c r="GT138" s="129">
        <v>15.3</v>
      </c>
      <c r="GV138" s="27">
        <v>14.700000000000001</v>
      </c>
      <c r="GW138" s="27">
        <v>14.700000000000001</v>
      </c>
      <c r="GX138" s="27">
        <v>14.700000000000001</v>
      </c>
      <c r="GY138" s="27">
        <v>14.700000000000001</v>
      </c>
      <c r="GZ138" s="27">
        <v>14.700000000000001</v>
      </c>
      <c r="HA138" s="27">
        <v>14.700000000000001</v>
      </c>
      <c r="HB138" s="27">
        <v>14.700000000000001</v>
      </c>
      <c r="HC138" s="27">
        <v>14.700000000000001</v>
      </c>
      <c r="HD138" s="27">
        <v>14.700000000000001</v>
      </c>
      <c r="HE138" s="129">
        <v>15.3</v>
      </c>
      <c r="HG138" s="27">
        <v>20.400000000000002</v>
      </c>
      <c r="HH138" s="27">
        <v>20.400000000000002</v>
      </c>
      <c r="HI138" s="27">
        <v>20.400000000000002</v>
      </c>
      <c r="HJ138" s="27">
        <v>20.400000000000002</v>
      </c>
      <c r="HK138" s="27">
        <v>20.400000000000002</v>
      </c>
      <c r="HL138" s="27">
        <v>20.400000000000002</v>
      </c>
      <c r="HM138" s="27">
        <v>20.400000000000002</v>
      </c>
      <c r="HN138" s="27">
        <v>20.400000000000002</v>
      </c>
      <c r="HO138" s="27">
        <v>20.400000000000002</v>
      </c>
      <c r="HP138" s="129">
        <v>15.3</v>
      </c>
      <c r="HR138" s="27">
        <v>20.400000000000002</v>
      </c>
      <c r="HS138" s="27">
        <v>20.400000000000002</v>
      </c>
      <c r="HT138" s="27">
        <v>20.400000000000002</v>
      </c>
      <c r="HU138" s="27">
        <v>20.400000000000002</v>
      </c>
      <c r="HV138" s="27">
        <v>20.400000000000002</v>
      </c>
      <c r="HW138" s="27">
        <v>20.400000000000002</v>
      </c>
      <c r="HX138" s="27">
        <v>20.400000000000002</v>
      </c>
      <c r="HY138" s="27">
        <v>20.400000000000002</v>
      </c>
      <c r="HZ138" s="27">
        <v>20.400000000000002</v>
      </c>
      <c r="IA138" s="129">
        <v>15.3</v>
      </c>
    </row>
    <row r="139" spans="15:235" ht="3" customHeight="1">
      <c r="O139" s="129">
        <v>7.1999999999999993</v>
      </c>
      <c r="P139" s="129">
        <v>7.1999999999999993</v>
      </c>
      <c r="Q139" s="129">
        <v>7.1999999999999993</v>
      </c>
      <c r="R139" s="129">
        <v>7.1999999999999993</v>
      </c>
      <c r="S139" s="129">
        <v>7.1999999999999993</v>
      </c>
      <c r="T139" s="129">
        <v>7.1999999999999993</v>
      </c>
      <c r="U139" s="129">
        <v>7.1999999999999993</v>
      </c>
      <c r="V139" s="129">
        <v>7.1999999999999993</v>
      </c>
      <c r="W139" s="129">
        <v>7.1999999999999993</v>
      </c>
      <c r="X139" s="129">
        <v>13.4</v>
      </c>
      <c r="Y139" s="27"/>
      <c r="Z139" s="129">
        <v>14.799999999999997</v>
      </c>
      <c r="AA139" s="129">
        <v>14.799999999999997</v>
      </c>
      <c r="AB139" s="129">
        <v>14.799999999999997</v>
      </c>
      <c r="AC139" s="129">
        <v>14.799999999999997</v>
      </c>
      <c r="AD139" s="129">
        <v>14.799999999999997</v>
      </c>
      <c r="AE139" s="129">
        <v>14.799999999999997</v>
      </c>
      <c r="AF139" s="129">
        <v>14.799999999999997</v>
      </c>
      <c r="AG139" s="129">
        <v>14.799999999999997</v>
      </c>
      <c r="AH139" s="129">
        <v>14.799999999999997</v>
      </c>
      <c r="AI139" s="129">
        <v>13.4</v>
      </c>
      <c r="AK139" s="129">
        <v>36</v>
      </c>
      <c r="AL139" s="129">
        <v>36</v>
      </c>
      <c r="AM139" s="129">
        <v>36</v>
      </c>
      <c r="AN139" s="129">
        <v>36</v>
      </c>
      <c r="AO139" s="129">
        <v>36</v>
      </c>
      <c r="AP139" s="129">
        <v>36</v>
      </c>
      <c r="AQ139" s="129">
        <v>36</v>
      </c>
      <c r="AR139" s="129">
        <v>36</v>
      </c>
      <c r="AS139" s="129">
        <v>36</v>
      </c>
      <c r="AT139" s="129">
        <v>13.4</v>
      </c>
      <c r="AV139" s="129">
        <v>37.800000000000011</v>
      </c>
      <c r="AW139" s="129">
        <v>37.800000000000011</v>
      </c>
      <c r="AX139" s="129">
        <v>37.800000000000011</v>
      </c>
      <c r="AY139" s="129">
        <v>37.800000000000011</v>
      </c>
      <c r="AZ139" s="129">
        <v>37.800000000000011</v>
      </c>
      <c r="BA139" s="129">
        <v>37.800000000000011</v>
      </c>
      <c r="BB139" s="129">
        <v>37.800000000000011</v>
      </c>
      <c r="BC139" s="129">
        <v>37.800000000000011</v>
      </c>
      <c r="BD139" s="129">
        <v>37.800000000000011</v>
      </c>
      <c r="BE139" s="129">
        <v>13.4</v>
      </c>
      <c r="BG139" s="129">
        <v>59</v>
      </c>
      <c r="BH139" s="129">
        <v>59</v>
      </c>
      <c r="BI139" s="129">
        <v>59</v>
      </c>
      <c r="BJ139" s="129">
        <v>59</v>
      </c>
      <c r="BK139" s="129">
        <v>59</v>
      </c>
      <c r="BL139" s="129">
        <v>59</v>
      </c>
      <c r="BM139" s="129">
        <v>59</v>
      </c>
      <c r="BN139" s="129">
        <v>59</v>
      </c>
      <c r="BO139" s="129">
        <v>59</v>
      </c>
      <c r="BP139" s="129">
        <v>13.4</v>
      </c>
      <c r="BR139" s="129">
        <v>59</v>
      </c>
      <c r="BS139" s="129">
        <v>59</v>
      </c>
      <c r="BT139" s="129">
        <v>59</v>
      </c>
      <c r="BU139" s="129">
        <v>59</v>
      </c>
      <c r="BV139" s="129">
        <v>59</v>
      </c>
      <c r="BW139" s="129">
        <v>59</v>
      </c>
      <c r="BX139" s="129">
        <v>59</v>
      </c>
      <c r="BY139" s="129">
        <v>59</v>
      </c>
      <c r="BZ139" s="129">
        <v>59</v>
      </c>
      <c r="CA139" s="129">
        <v>13.4</v>
      </c>
      <c r="CC139" s="129">
        <v>13.600000000000001</v>
      </c>
      <c r="CD139" s="129">
        <v>13.600000000000001</v>
      </c>
      <c r="CE139" s="129">
        <v>13.600000000000001</v>
      </c>
      <c r="CF139" s="129">
        <v>13.600000000000001</v>
      </c>
      <c r="CG139" s="129">
        <v>13.600000000000001</v>
      </c>
      <c r="CH139" s="129">
        <v>13.600000000000001</v>
      </c>
      <c r="CI139" s="129">
        <v>13.600000000000001</v>
      </c>
      <c r="CJ139" s="129">
        <v>13.600000000000001</v>
      </c>
      <c r="CK139" s="129">
        <v>13.600000000000001</v>
      </c>
      <c r="CL139" s="129">
        <v>13.4</v>
      </c>
      <c r="CN139" s="129">
        <v>16.599999999999994</v>
      </c>
      <c r="CO139" s="129">
        <v>16.599999999999994</v>
      </c>
      <c r="CP139" s="129">
        <v>16.599999999999994</v>
      </c>
      <c r="CQ139" s="129">
        <v>16.599999999999994</v>
      </c>
      <c r="CR139" s="129">
        <v>16.599999999999994</v>
      </c>
      <c r="CS139" s="129">
        <v>16.599999999999994</v>
      </c>
      <c r="CT139" s="129">
        <v>16.599999999999994</v>
      </c>
      <c r="CU139" s="129">
        <v>16.599999999999994</v>
      </c>
      <c r="CV139" s="129">
        <v>16.599999999999994</v>
      </c>
      <c r="CW139" s="129">
        <v>13.4</v>
      </c>
      <c r="CY139" s="129">
        <v>23.200000000000003</v>
      </c>
      <c r="CZ139" s="129">
        <v>23.200000000000003</v>
      </c>
      <c r="DA139" s="129">
        <v>23.200000000000003</v>
      </c>
      <c r="DB139" s="129">
        <v>23.200000000000003</v>
      </c>
      <c r="DC139" s="129">
        <v>23.200000000000003</v>
      </c>
      <c r="DD139" s="129">
        <v>23.200000000000003</v>
      </c>
      <c r="DE139" s="129">
        <v>23.200000000000003</v>
      </c>
      <c r="DF139" s="129">
        <v>23.200000000000003</v>
      </c>
      <c r="DG139" s="129">
        <v>23.200000000000003</v>
      </c>
      <c r="DH139" s="129">
        <v>13.4</v>
      </c>
      <c r="DJ139" s="129">
        <v>23.200000000000003</v>
      </c>
      <c r="DK139" s="129">
        <v>23.200000000000003</v>
      </c>
      <c r="DL139" s="129">
        <v>23.200000000000003</v>
      </c>
      <c r="DM139" s="129">
        <v>23.200000000000003</v>
      </c>
      <c r="DN139" s="129">
        <v>23.200000000000003</v>
      </c>
      <c r="DO139" s="129">
        <v>23.200000000000003</v>
      </c>
      <c r="DP139" s="129">
        <v>23.200000000000003</v>
      </c>
      <c r="DQ139" s="129">
        <v>23.200000000000003</v>
      </c>
      <c r="DR139" s="129">
        <v>23.200000000000003</v>
      </c>
      <c r="DS139" s="129">
        <v>13.4</v>
      </c>
      <c r="DW139" s="27">
        <v>11.200000000000003</v>
      </c>
      <c r="DX139" s="27">
        <v>11.200000000000003</v>
      </c>
      <c r="DY139" s="27">
        <v>11.200000000000003</v>
      </c>
      <c r="DZ139" s="27">
        <v>11.200000000000003</v>
      </c>
      <c r="EA139" s="27">
        <v>11.200000000000003</v>
      </c>
      <c r="EB139" s="27">
        <v>11.200000000000003</v>
      </c>
      <c r="EC139" s="27">
        <v>11.200000000000003</v>
      </c>
      <c r="ED139" s="27">
        <v>11.200000000000003</v>
      </c>
      <c r="EE139" s="27">
        <v>11.200000000000003</v>
      </c>
      <c r="EF139" s="129">
        <v>15.4</v>
      </c>
      <c r="EH139" s="27">
        <v>23.400000000000006</v>
      </c>
      <c r="EI139" s="27">
        <v>23.400000000000006</v>
      </c>
      <c r="EJ139" s="27">
        <v>23.400000000000006</v>
      </c>
      <c r="EK139" s="27">
        <v>23.400000000000006</v>
      </c>
      <c r="EL139" s="27">
        <v>23.400000000000006</v>
      </c>
      <c r="EM139" s="27">
        <v>23.400000000000006</v>
      </c>
      <c r="EN139" s="27">
        <v>23.400000000000006</v>
      </c>
      <c r="EO139" s="27">
        <v>23.400000000000006</v>
      </c>
      <c r="EP139" s="27">
        <v>23.400000000000006</v>
      </c>
      <c r="EQ139" s="129">
        <v>15.4</v>
      </c>
      <c r="ES139" s="27">
        <v>32.199999999999989</v>
      </c>
      <c r="ET139" s="27">
        <v>32.199999999999989</v>
      </c>
      <c r="EU139" s="27">
        <v>32.199999999999989</v>
      </c>
      <c r="EV139" s="27">
        <v>32.199999999999989</v>
      </c>
      <c r="EW139" s="27">
        <v>32.199999999999989</v>
      </c>
      <c r="EX139" s="27">
        <v>32.199999999999989</v>
      </c>
      <c r="EY139" s="27">
        <v>32.199999999999989</v>
      </c>
      <c r="EZ139" s="27">
        <v>32.199999999999989</v>
      </c>
      <c r="FA139" s="27">
        <v>32.199999999999989</v>
      </c>
      <c r="FB139" s="129">
        <v>15.4</v>
      </c>
      <c r="FD139" s="27">
        <v>33.199999999999989</v>
      </c>
      <c r="FE139" s="27">
        <v>33.199999999999989</v>
      </c>
      <c r="FF139" s="27">
        <v>33.199999999999989</v>
      </c>
      <c r="FG139" s="27">
        <v>33.199999999999989</v>
      </c>
      <c r="FH139" s="27">
        <v>33.199999999999989</v>
      </c>
      <c r="FI139" s="27">
        <v>33.199999999999989</v>
      </c>
      <c r="FJ139" s="27">
        <v>33.199999999999989</v>
      </c>
      <c r="FK139" s="27">
        <v>33.199999999999989</v>
      </c>
      <c r="FL139" s="27">
        <v>33.199999999999989</v>
      </c>
      <c r="FM139" s="129">
        <v>15.4</v>
      </c>
      <c r="FO139" s="27">
        <v>51.400000000000006</v>
      </c>
      <c r="FP139" s="27">
        <v>51.400000000000006</v>
      </c>
      <c r="FQ139" s="27">
        <v>51.400000000000006</v>
      </c>
      <c r="FR139" s="27">
        <v>51.400000000000006</v>
      </c>
      <c r="FS139" s="27">
        <v>51.400000000000006</v>
      </c>
      <c r="FT139" s="27">
        <v>51.400000000000006</v>
      </c>
      <c r="FU139" s="27">
        <v>51.400000000000006</v>
      </c>
      <c r="FV139" s="27">
        <v>51.400000000000006</v>
      </c>
      <c r="FW139" s="27">
        <v>51.400000000000006</v>
      </c>
      <c r="FX139" s="129">
        <v>15.4</v>
      </c>
      <c r="FZ139" s="27">
        <v>51.400000000000006</v>
      </c>
      <c r="GA139" s="27">
        <v>51.400000000000006</v>
      </c>
      <c r="GB139" s="27">
        <v>51.400000000000006</v>
      </c>
      <c r="GC139" s="27">
        <v>51.400000000000006</v>
      </c>
      <c r="GD139" s="27">
        <v>51.400000000000006</v>
      </c>
      <c r="GE139" s="27">
        <v>51.400000000000006</v>
      </c>
      <c r="GF139" s="27">
        <v>51.400000000000006</v>
      </c>
      <c r="GG139" s="27">
        <v>51.400000000000006</v>
      </c>
      <c r="GH139" s="27">
        <v>51.400000000000006</v>
      </c>
      <c r="GI139" s="129">
        <v>15.4</v>
      </c>
      <c r="GJ139" s="27"/>
      <c r="GK139" s="27">
        <v>12.600000000000001</v>
      </c>
      <c r="GL139" s="27">
        <v>12.600000000000001</v>
      </c>
      <c r="GM139" s="27">
        <v>12.600000000000001</v>
      </c>
      <c r="GN139" s="27">
        <v>12.600000000000001</v>
      </c>
      <c r="GO139" s="27">
        <v>12.600000000000001</v>
      </c>
      <c r="GP139" s="27">
        <v>12.600000000000001</v>
      </c>
      <c r="GQ139" s="27">
        <v>12.600000000000001</v>
      </c>
      <c r="GR139" s="27">
        <v>12.600000000000001</v>
      </c>
      <c r="GS139" s="27">
        <v>12.600000000000001</v>
      </c>
      <c r="GT139" s="129">
        <v>15.4</v>
      </c>
      <c r="GV139" s="27">
        <v>14.600000000000001</v>
      </c>
      <c r="GW139" s="27">
        <v>14.600000000000001</v>
      </c>
      <c r="GX139" s="27">
        <v>14.600000000000001</v>
      </c>
      <c r="GY139" s="27">
        <v>14.600000000000001</v>
      </c>
      <c r="GZ139" s="27">
        <v>14.600000000000001</v>
      </c>
      <c r="HA139" s="27">
        <v>14.600000000000001</v>
      </c>
      <c r="HB139" s="27">
        <v>14.600000000000001</v>
      </c>
      <c r="HC139" s="27">
        <v>14.600000000000001</v>
      </c>
      <c r="HD139" s="27">
        <v>14.600000000000001</v>
      </c>
      <c r="HE139" s="129">
        <v>15.4</v>
      </c>
      <c r="HG139" s="27">
        <v>20.200000000000003</v>
      </c>
      <c r="HH139" s="27">
        <v>20.200000000000003</v>
      </c>
      <c r="HI139" s="27">
        <v>20.200000000000003</v>
      </c>
      <c r="HJ139" s="27">
        <v>20.200000000000003</v>
      </c>
      <c r="HK139" s="27">
        <v>20.200000000000003</v>
      </c>
      <c r="HL139" s="27">
        <v>20.200000000000003</v>
      </c>
      <c r="HM139" s="27">
        <v>20.200000000000003</v>
      </c>
      <c r="HN139" s="27">
        <v>20.200000000000003</v>
      </c>
      <c r="HO139" s="27">
        <v>20.200000000000003</v>
      </c>
      <c r="HP139" s="129">
        <v>15.4</v>
      </c>
      <c r="HR139" s="27">
        <v>20.200000000000003</v>
      </c>
      <c r="HS139" s="27">
        <v>20.200000000000003</v>
      </c>
      <c r="HT139" s="27">
        <v>20.200000000000003</v>
      </c>
      <c r="HU139" s="27">
        <v>20.200000000000003</v>
      </c>
      <c r="HV139" s="27">
        <v>20.200000000000003</v>
      </c>
      <c r="HW139" s="27">
        <v>20.200000000000003</v>
      </c>
      <c r="HX139" s="27">
        <v>20.200000000000003</v>
      </c>
      <c r="HY139" s="27">
        <v>20.200000000000003</v>
      </c>
      <c r="HZ139" s="27">
        <v>20.200000000000003</v>
      </c>
      <c r="IA139" s="129">
        <v>15.4</v>
      </c>
    </row>
    <row r="140" spans="15:235" ht="3" customHeight="1">
      <c r="O140" s="129">
        <v>6.9999999999999991</v>
      </c>
      <c r="P140" s="129">
        <v>6.9999999999999991</v>
      </c>
      <c r="Q140" s="129">
        <v>6.9999999999999991</v>
      </c>
      <c r="R140" s="129">
        <v>6.9999999999999991</v>
      </c>
      <c r="S140" s="129">
        <v>6.9999999999999991</v>
      </c>
      <c r="T140" s="129">
        <v>6.9999999999999991</v>
      </c>
      <c r="U140" s="129">
        <v>6.9999999999999991</v>
      </c>
      <c r="V140" s="129">
        <v>6.9999999999999991</v>
      </c>
      <c r="W140" s="129">
        <v>6.9999999999999991</v>
      </c>
      <c r="X140" s="129">
        <v>13.5</v>
      </c>
      <c r="Y140" s="27"/>
      <c r="Z140" s="129">
        <v>14.499999999999996</v>
      </c>
      <c r="AA140" s="129">
        <v>14.499999999999996</v>
      </c>
      <c r="AB140" s="129">
        <v>14.499999999999996</v>
      </c>
      <c r="AC140" s="129">
        <v>14.499999999999996</v>
      </c>
      <c r="AD140" s="129">
        <v>14.499999999999996</v>
      </c>
      <c r="AE140" s="129">
        <v>14.499999999999996</v>
      </c>
      <c r="AF140" s="129">
        <v>14.499999999999996</v>
      </c>
      <c r="AG140" s="129">
        <v>14.499999999999996</v>
      </c>
      <c r="AH140" s="129">
        <v>14.499999999999996</v>
      </c>
      <c r="AI140" s="129">
        <v>13.5</v>
      </c>
      <c r="AK140" s="129">
        <v>35.5</v>
      </c>
      <c r="AL140" s="129">
        <v>35.5</v>
      </c>
      <c r="AM140" s="129">
        <v>35.5</v>
      </c>
      <c r="AN140" s="129">
        <v>35.5</v>
      </c>
      <c r="AO140" s="129">
        <v>35.5</v>
      </c>
      <c r="AP140" s="129">
        <v>35.5</v>
      </c>
      <c r="AQ140" s="129">
        <v>35.5</v>
      </c>
      <c r="AR140" s="129">
        <v>35.5</v>
      </c>
      <c r="AS140" s="129">
        <v>35.5</v>
      </c>
      <c r="AT140" s="129">
        <v>13.5</v>
      </c>
      <c r="AV140" s="129">
        <v>37.500000000000014</v>
      </c>
      <c r="AW140" s="129">
        <v>37.500000000000014</v>
      </c>
      <c r="AX140" s="129">
        <v>37.500000000000014</v>
      </c>
      <c r="AY140" s="129">
        <v>37.500000000000014</v>
      </c>
      <c r="AZ140" s="129">
        <v>37.500000000000014</v>
      </c>
      <c r="BA140" s="129">
        <v>37.500000000000014</v>
      </c>
      <c r="BB140" s="129">
        <v>37.500000000000014</v>
      </c>
      <c r="BC140" s="129">
        <v>37.500000000000014</v>
      </c>
      <c r="BD140" s="129">
        <v>37.500000000000014</v>
      </c>
      <c r="BE140" s="129">
        <v>13.5</v>
      </c>
      <c r="BG140" s="129">
        <v>58.5</v>
      </c>
      <c r="BH140" s="129">
        <v>58.5</v>
      </c>
      <c r="BI140" s="129">
        <v>58.5</v>
      </c>
      <c r="BJ140" s="129">
        <v>58.5</v>
      </c>
      <c r="BK140" s="129">
        <v>58.5</v>
      </c>
      <c r="BL140" s="129">
        <v>58.5</v>
      </c>
      <c r="BM140" s="129">
        <v>58.5</v>
      </c>
      <c r="BN140" s="129">
        <v>58.5</v>
      </c>
      <c r="BO140" s="129">
        <v>58.5</v>
      </c>
      <c r="BP140" s="129">
        <v>13.5</v>
      </c>
      <c r="BR140" s="129">
        <v>58.5</v>
      </c>
      <c r="BS140" s="129">
        <v>58.5</v>
      </c>
      <c r="BT140" s="129">
        <v>58.5</v>
      </c>
      <c r="BU140" s="129">
        <v>58.5</v>
      </c>
      <c r="BV140" s="129">
        <v>58.5</v>
      </c>
      <c r="BW140" s="129">
        <v>58.5</v>
      </c>
      <c r="BX140" s="129">
        <v>58.5</v>
      </c>
      <c r="BY140" s="129">
        <v>58.5</v>
      </c>
      <c r="BZ140" s="129">
        <v>58.5</v>
      </c>
      <c r="CA140" s="129">
        <v>13.5</v>
      </c>
      <c r="CC140" s="129">
        <v>13.500000000000002</v>
      </c>
      <c r="CD140" s="129">
        <v>13.500000000000002</v>
      </c>
      <c r="CE140" s="129">
        <v>13.500000000000002</v>
      </c>
      <c r="CF140" s="129">
        <v>13.500000000000002</v>
      </c>
      <c r="CG140" s="129">
        <v>13.500000000000002</v>
      </c>
      <c r="CH140" s="129">
        <v>13.500000000000002</v>
      </c>
      <c r="CI140" s="129">
        <v>13.500000000000002</v>
      </c>
      <c r="CJ140" s="129">
        <v>13.500000000000002</v>
      </c>
      <c r="CK140" s="129">
        <v>13.500000000000002</v>
      </c>
      <c r="CL140" s="129">
        <v>13.5</v>
      </c>
      <c r="CN140" s="129">
        <v>16.499999999999993</v>
      </c>
      <c r="CO140" s="129">
        <v>16.499999999999993</v>
      </c>
      <c r="CP140" s="129">
        <v>16.499999999999993</v>
      </c>
      <c r="CQ140" s="129">
        <v>16.499999999999993</v>
      </c>
      <c r="CR140" s="129">
        <v>16.499999999999993</v>
      </c>
      <c r="CS140" s="129">
        <v>16.499999999999993</v>
      </c>
      <c r="CT140" s="129">
        <v>16.499999999999993</v>
      </c>
      <c r="CU140" s="129">
        <v>16.499999999999993</v>
      </c>
      <c r="CV140" s="129">
        <v>16.499999999999993</v>
      </c>
      <c r="CW140" s="129">
        <v>13.5</v>
      </c>
      <c r="CY140" s="129">
        <v>23.000000000000004</v>
      </c>
      <c r="CZ140" s="129">
        <v>23.000000000000004</v>
      </c>
      <c r="DA140" s="129">
        <v>23.000000000000004</v>
      </c>
      <c r="DB140" s="129">
        <v>23.000000000000004</v>
      </c>
      <c r="DC140" s="129">
        <v>23.000000000000004</v>
      </c>
      <c r="DD140" s="129">
        <v>23.000000000000004</v>
      </c>
      <c r="DE140" s="129">
        <v>23.000000000000004</v>
      </c>
      <c r="DF140" s="129">
        <v>23.000000000000004</v>
      </c>
      <c r="DG140" s="129">
        <v>23.000000000000004</v>
      </c>
      <c r="DH140" s="129">
        <v>13.5</v>
      </c>
      <c r="DJ140" s="129">
        <v>23.000000000000004</v>
      </c>
      <c r="DK140" s="129">
        <v>23.000000000000004</v>
      </c>
      <c r="DL140" s="129">
        <v>23.000000000000004</v>
      </c>
      <c r="DM140" s="129">
        <v>23.000000000000004</v>
      </c>
      <c r="DN140" s="129">
        <v>23.000000000000004</v>
      </c>
      <c r="DO140" s="129">
        <v>23.000000000000004</v>
      </c>
      <c r="DP140" s="129">
        <v>23.000000000000004</v>
      </c>
      <c r="DQ140" s="129">
        <v>23.000000000000004</v>
      </c>
      <c r="DR140" s="129">
        <v>23.000000000000004</v>
      </c>
      <c r="DS140" s="129">
        <v>13.5</v>
      </c>
      <c r="DW140" s="27">
        <v>11.000000000000004</v>
      </c>
      <c r="DX140" s="27">
        <v>11.000000000000004</v>
      </c>
      <c r="DY140" s="27">
        <v>11.000000000000004</v>
      </c>
      <c r="DZ140" s="27">
        <v>11.000000000000004</v>
      </c>
      <c r="EA140" s="27">
        <v>11.000000000000004</v>
      </c>
      <c r="EB140" s="27">
        <v>11.000000000000004</v>
      </c>
      <c r="EC140" s="27">
        <v>11.000000000000004</v>
      </c>
      <c r="ED140" s="27">
        <v>11.000000000000004</v>
      </c>
      <c r="EE140" s="27">
        <v>11.000000000000004</v>
      </c>
      <c r="EF140" s="129">
        <v>15.5</v>
      </c>
      <c r="EH140" s="27">
        <v>23.000000000000007</v>
      </c>
      <c r="EI140" s="27">
        <v>23.000000000000007</v>
      </c>
      <c r="EJ140" s="27">
        <v>23.000000000000007</v>
      </c>
      <c r="EK140" s="27">
        <v>23.000000000000007</v>
      </c>
      <c r="EL140" s="27">
        <v>23.000000000000007</v>
      </c>
      <c r="EM140" s="27">
        <v>23.000000000000007</v>
      </c>
      <c r="EN140" s="27">
        <v>23.000000000000007</v>
      </c>
      <c r="EO140" s="27">
        <v>23.000000000000007</v>
      </c>
      <c r="EP140" s="27">
        <v>23.000000000000007</v>
      </c>
      <c r="EQ140" s="129">
        <v>15.5</v>
      </c>
      <c r="ES140" s="27">
        <v>31.999999999999989</v>
      </c>
      <c r="ET140" s="27">
        <v>31.999999999999989</v>
      </c>
      <c r="EU140" s="27">
        <v>31.999999999999989</v>
      </c>
      <c r="EV140" s="27">
        <v>31.999999999999989</v>
      </c>
      <c r="EW140" s="27">
        <v>31.999999999999989</v>
      </c>
      <c r="EX140" s="27">
        <v>31.999999999999989</v>
      </c>
      <c r="EY140" s="27">
        <v>31.999999999999989</v>
      </c>
      <c r="EZ140" s="27">
        <v>31.999999999999989</v>
      </c>
      <c r="FA140" s="27">
        <v>31.999999999999989</v>
      </c>
      <c r="FB140" s="129">
        <v>15.5</v>
      </c>
      <c r="FD140" s="27">
        <v>32.999999999999986</v>
      </c>
      <c r="FE140" s="27">
        <v>32.999999999999986</v>
      </c>
      <c r="FF140" s="27">
        <v>32.999999999999986</v>
      </c>
      <c r="FG140" s="27">
        <v>32.999999999999986</v>
      </c>
      <c r="FH140" s="27">
        <v>32.999999999999986</v>
      </c>
      <c r="FI140" s="27">
        <v>32.999999999999986</v>
      </c>
      <c r="FJ140" s="27">
        <v>32.999999999999986</v>
      </c>
      <c r="FK140" s="27">
        <v>32.999999999999986</v>
      </c>
      <c r="FL140" s="27">
        <v>32.999999999999986</v>
      </c>
      <c r="FM140" s="129">
        <v>15.5</v>
      </c>
      <c r="FO140" s="27">
        <v>51.000000000000007</v>
      </c>
      <c r="FP140" s="27">
        <v>51.000000000000007</v>
      </c>
      <c r="FQ140" s="27">
        <v>51.000000000000007</v>
      </c>
      <c r="FR140" s="27">
        <v>51.000000000000007</v>
      </c>
      <c r="FS140" s="27">
        <v>51.000000000000007</v>
      </c>
      <c r="FT140" s="27">
        <v>51.000000000000007</v>
      </c>
      <c r="FU140" s="27">
        <v>51.000000000000007</v>
      </c>
      <c r="FV140" s="27">
        <v>51.000000000000007</v>
      </c>
      <c r="FW140" s="27">
        <v>51.000000000000007</v>
      </c>
      <c r="FX140" s="129">
        <v>15.5</v>
      </c>
      <c r="FZ140" s="27">
        <v>51.000000000000007</v>
      </c>
      <c r="GA140" s="27">
        <v>51.000000000000007</v>
      </c>
      <c r="GB140" s="27">
        <v>51.000000000000007</v>
      </c>
      <c r="GC140" s="27">
        <v>51.000000000000007</v>
      </c>
      <c r="GD140" s="27">
        <v>51.000000000000007</v>
      </c>
      <c r="GE140" s="27">
        <v>51.000000000000007</v>
      </c>
      <c r="GF140" s="27">
        <v>51.000000000000007</v>
      </c>
      <c r="GG140" s="27">
        <v>51.000000000000007</v>
      </c>
      <c r="GH140" s="27">
        <v>51.000000000000007</v>
      </c>
      <c r="GI140" s="129">
        <v>15.5</v>
      </c>
      <c r="GJ140" s="27"/>
      <c r="GK140" s="27">
        <v>12.500000000000002</v>
      </c>
      <c r="GL140" s="27">
        <v>12.500000000000002</v>
      </c>
      <c r="GM140" s="27">
        <v>12.500000000000002</v>
      </c>
      <c r="GN140" s="27">
        <v>12.500000000000002</v>
      </c>
      <c r="GO140" s="27">
        <v>12.500000000000002</v>
      </c>
      <c r="GP140" s="27">
        <v>12.500000000000002</v>
      </c>
      <c r="GQ140" s="27">
        <v>12.500000000000002</v>
      </c>
      <c r="GR140" s="27">
        <v>12.500000000000002</v>
      </c>
      <c r="GS140" s="27">
        <v>12.500000000000002</v>
      </c>
      <c r="GT140" s="129">
        <v>15.5</v>
      </c>
      <c r="GV140" s="27">
        <v>14.500000000000002</v>
      </c>
      <c r="GW140" s="27">
        <v>14.500000000000002</v>
      </c>
      <c r="GX140" s="27">
        <v>14.500000000000002</v>
      </c>
      <c r="GY140" s="27">
        <v>14.500000000000002</v>
      </c>
      <c r="GZ140" s="27">
        <v>14.500000000000002</v>
      </c>
      <c r="HA140" s="27">
        <v>14.500000000000002</v>
      </c>
      <c r="HB140" s="27">
        <v>14.500000000000002</v>
      </c>
      <c r="HC140" s="27">
        <v>14.500000000000002</v>
      </c>
      <c r="HD140" s="27">
        <v>14.500000000000002</v>
      </c>
      <c r="HE140" s="129">
        <v>15.5</v>
      </c>
      <c r="HG140" s="27">
        <v>20.000000000000004</v>
      </c>
      <c r="HH140" s="27">
        <v>20.000000000000004</v>
      </c>
      <c r="HI140" s="27">
        <v>20.000000000000004</v>
      </c>
      <c r="HJ140" s="27">
        <v>20.000000000000004</v>
      </c>
      <c r="HK140" s="27">
        <v>20.000000000000004</v>
      </c>
      <c r="HL140" s="27">
        <v>20.000000000000004</v>
      </c>
      <c r="HM140" s="27">
        <v>20.000000000000004</v>
      </c>
      <c r="HN140" s="27">
        <v>20.000000000000004</v>
      </c>
      <c r="HO140" s="27">
        <v>20.000000000000004</v>
      </c>
      <c r="HP140" s="129">
        <v>15.5</v>
      </c>
      <c r="HR140" s="27">
        <v>20.000000000000004</v>
      </c>
      <c r="HS140" s="27">
        <v>20.000000000000004</v>
      </c>
      <c r="HT140" s="27">
        <v>20.000000000000004</v>
      </c>
      <c r="HU140" s="27">
        <v>20.000000000000004</v>
      </c>
      <c r="HV140" s="27">
        <v>20.000000000000004</v>
      </c>
      <c r="HW140" s="27">
        <v>20.000000000000004</v>
      </c>
      <c r="HX140" s="27">
        <v>20.000000000000004</v>
      </c>
      <c r="HY140" s="27">
        <v>20.000000000000004</v>
      </c>
      <c r="HZ140" s="27">
        <v>20.000000000000004</v>
      </c>
      <c r="IA140" s="129">
        <v>15.5</v>
      </c>
    </row>
    <row r="141" spans="15:235" ht="3" customHeight="1">
      <c r="O141" s="129">
        <v>6.7999999999999989</v>
      </c>
      <c r="P141" s="129">
        <v>6.7999999999999989</v>
      </c>
      <c r="Q141" s="129">
        <v>6.7999999999999989</v>
      </c>
      <c r="R141" s="129">
        <v>6.7999999999999989</v>
      </c>
      <c r="S141" s="129">
        <v>6.7999999999999989</v>
      </c>
      <c r="T141" s="129">
        <v>6.7999999999999989</v>
      </c>
      <c r="U141" s="129">
        <v>6.7999999999999989</v>
      </c>
      <c r="V141" s="129">
        <v>6.7999999999999989</v>
      </c>
      <c r="W141" s="129">
        <v>6.7999999999999989</v>
      </c>
      <c r="X141" s="129">
        <v>13.6</v>
      </c>
      <c r="Y141" s="27"/>
      <c r="Z141" s="129">
        <v>14.199999999999996</v>
      </c>
      <c r="AA141" s="129">
        <v>14.199999999999996</v>
      </c>
      <c r="AB141" s="129">
        <v>14.199999999999996</v>
      </c>
      <c r="AC141" s="129">
        <v>14.199999999999996</v>
      </c>
      <c r="AD141" s="129">
        <v>14.199999999999996</v>
      </c>
      <c r="AE141" s="129">
        <v>14.199999999999996</v>
      </c>
      <c r="AF141" s="129">
        <v>14.199999999999996</v>
      </c>
      <c r="AG141" s="129">
        <v>14.199999999999996</v>
      </c>
      <c r="AH141" s="129">
        <v>14.199999999999996</v>
      </c>
      <c r="AI141" s="129">
        <v>13.6</v>
      </c>
      <c r="AK141" s="129">
        <v>35</v>
      </c>
      <c r="AL141" s="129">
        <v>35</v>
      </c>
      <c r="AM141" s="129">
        <v>35</v>
      </c>
      <c r="AN141" s="129">
        <v>35</v>
      </c>
      <c r="AO141" s="129">
        <v>35</v>
      </c>
      <c r="AP141" s="129">
        <v>35</v>
      </c>
      <c r="AQ141" s="129">
        <v>35</v>
      </c>
      <c r="AR141" s="129">
        <v>35</v>
      </c>
      <c r="AS141" s="129">
        <v>35</v>
      </c>
      <c r="AT141" s="129">
        <v>13.6</v>
      </c>
      <c r="AV141" s="129">
        <v>37.200000000000017</v>
      </c>
      <c r="AW141" s="129">
        <v>37.200000000000017</v>
      </c>
      <c r="AX141" s="129">
        <v>37.200000000000017</v>
      </c>
      <c r="AY141" s="129">
        <v>37.200000000000017</v>
      </c>
      <c r="AZ141" s="129">
        <v>37.200000000000017</v>
      </c>
      <c r="BA141" s="129">
        <v>37.200000000000017</v>
      </c>
      <c r="BB141" s="129">
        <v>37.200000000000017</v>
      </c>
      <c r="BC141" s="129">
        <v>37.200000000000017</v>
      </c>
      <c r="BD141" s="129">
        <v>37.200000000000017</v>
      </c>
      <c r="BE141" s="129">
        <v>13.6</v>
      </c>
      <c r="BG141" s="129">
        <v>58</v>
      </c>
      <c r="BH141" s="129">
        <v>58</v>
      </c>
      <c r="BI141" s="129">
        <v>58</v>
      </c>
      <c r="BJ141" s="129">
        <v>58</v>
      </c>
      <c r="BK141" s="129">
        <v>58</v>
      </c>
      <c r="BL141" s="129">
        <v>58</v>
      </c>
      <c r="BM141" s="129">
        <v>58</v>
      </c>
      <c r="BN141" s="129">
        <v>58</v>
      </c>
      <c r="BO141" s="129">
        <v>58</v>
      </c>
      <c r="BP141" s="129">
        <v>13.6</v>
      </c>
      <c r="BR141" s="129">
        <v>58</v>
      </c>
      <c r="BS141" s="129">
        <v>58</v>
      </c>
      <c r="BT141" s="129">
        <v>58</v>
      </c>
      <c r="BU141" s="129">
        <v>58</v>
      </c>
      <c r="BV141" s="129">
        <v>58</v>
      </c>
      <c r="BW141" s="129">
        <v>58</v>
      </c>
      <c r="BX141" s="129">
        <v>58</v>
      </c>
      <c r="BY141" s="129">
        <v>58</v>
      </c>
      <c r="BZ141" s="129">
        <v>58</v>
      </c>
      <c r="CA141" s="129">
        <v>13.6</v>
      </c>
      <c r="CC141" s="129">
        <v>13.400000000000002</v>
      </c>
      <c r="CD141" s="129">
        <v>13.400000000000002</v>
      </c>
      <c r="CE141" s="129">
        <v>13.400000000000002</v>
      </c>
      <c r="CF141" s="129">
        <v>13.400000000000002</v>
      </c>
      <c r="CG141" s="129">
        <v>13.400000000000002</v>
      </c>
      <c r="CH141" s="129">
        <v>13.400000000000002</v>
      </c>
      <c r="CI141" s="129">
        <v>13.400000000000002</v>
      </c>
      <c r="CJ141" s="129">
        <v>13.400000000000002</v>
      </c>
      <c r="CK141" s="129">
        <v>13.400000000000002</v>
      </c>
      <c r="CL141" s="129">
        <v>13.6</v>
      </c>
      <c r="CN141" s="129">
        <v>16.399999999999991</v>
      </c>
      <c r="CO141" s="129">
        <v>16.399999999999991</v>
      </c>
      <c r="CP141" s="129">
        <v>16.399999999999991</v>
      </c>
      <c r="CQ141" s="129">
        <v>16.399999999999991</v>
      </c>
      <c r="CR141" s="129">
        <v>16.399999999999991</v>
      </c>
      <c r="CS141" s="129">
        <v>16.399999999999991</v>
      </c>
      <c r="CT141" s="129">
        <v>16.399999999999991</v>
      </c>
      <c r="CU141" s="129">
        <v>16.399999999999991</v>
      </c>
      <c r="CV141" s="129">
        <v>16.399999999999991</v>
      </c>
      <c r="CW141" s="129">
        <v>13.6</v>
      </c>
      <c r="CY141" s="129">
        <v>22.800000000000004</v>
      </c>
      <c r="CZ141" s="129">
        <v>22.800000000000004</v>
      </c>
      <c r="DA141" s="129">
        <v>22.800000000000004</v>
      </c>
      <c r="DB141" s="129">
        <v>22.800000000000004</v>
      </c>
      <c r="DC141" s="129">
        <v>22.800000000000004</v>
      </c>
      <c r="DD141" s="129">
        <v>22.800000000000004</v>
      </c>
      <c r="DE141" s="129">
        <v>22.800000000000004</v>
      </c>
      <c r="DF141" s="129">
        <v>22.800000000000004</v>
      </c>
      <c r="DG141" s="129">
        <v>22.800000000000004</v>
      </c>
      <c r="DH141" s="129">
        <v>13.6</v>
      </c>
      <c r="DJ141" s="129">
        <v>22.800000000000004</v>
      </c>
      <c r="DK141" s="129">
        <v>22.800000000000004</v>
      </c>
      <c r="DL141" s="129">
        <v>22.800000000000004</v>
      </c>
      <c r="DM141" s="129">
        <v>22.800000000000004</v>
      </c>
      <c r="DN141" s="129">
        <v>22.800000000000004</v>
      </c>
      <c r="DO141" s="129">
        <v>22.800000000000004</v>
      </c>
      <c r="DP141" s="129">
        <v>22.800000000000004</v>
      </c>
      <c r="DQ141" s="129">
        <v>22.800000000000004</v>
      </c>
      <c r="DR141" s="129">
        <v>22.800000000000004</v>
      </c>
      <c r="DS141" s="129">
        <v>13.6</v>
      </c>
      <c r="DW141" s="27">
        <v>10.800000000000004</v>
      </c>
      <c r="DX141" s="27">
        <v>10.800000000000004</v>
      </c>
      <c r="DY141" s="27">
        <v>10.800000000000004</v>
      </c>
      <c r="DZ141" s="27">
        <v>10.800000000000004</v>
      </c>
      <c r="EA141" s="27">
        <v>10.800000000000004</v>
      </c>
      <c r="EB141" s="27">
        <v>10.800000000000004</v>
      </c>
      <c r="EC141" s="27">
        <v>10.800000000000004</v>
      </c>
      <c r="ED141" s="27">
        <v>10.800000000000004</v>
      </c>
      <c r="EE141" s="27">
        <v>10.800000000000004</v>
      </c>
      <c r="EF141" s="129">
        <v>15.6</v>
      </c>
      <c r="EH141" s="27">
        <v>22.600000000000009</v>
      </c>
      <c r="EI141" s="27">
        <v>22.600000000000009</v>
      </c>
      <c r="EJ141" s="27">
        <v>22.600000000000009</v>
      </c>
      <c r="EK141" s="27">
        <v>22.600000000000009</v>
      </c>
      <c r="EL141" s="27">
        <v>22.600000000000009</v>
      </c>
      <c r="EM141" s="27">
        <v>22.600000000000009</v>
      </c>
      <c r="EN141" s="27">
        <v>22.600000000000009</v>
      </c>
      <c r="EO141" s="27">
        <v>22.600000000000009</v>
      </c>
      <c r="EP141" s="27">
        <v>22.600000000000009</v>
      </c>
      <c r="EQ141" s="129">
        <v>15.6</v>
      </c>
      <c r="ES141" s="27">
        <v>31.79999999999999</v>
      </c>
      <c r="ET141" s="27">
        <v>31.79999999999999</v>
      </c>
      <c r="EU141" s="27">
        <v>31.79999999999999</v>
      </c>
      <c r="EV141" s="27">
        <v>31.79999999999999</v>
      </c>
      <c r="EW141" s="27">
        <v>31.79999999999999</v>
      </c>
      <c r="EX141" s="27">
        <v>31.79999999999999</v>
      </c>
      <c r="EY141" s="27">
        <v>31.79999999999999</v>
      </c>
      <c r="EZ141" s="27">
        <v>31.79999999999999</v>
      </c>
      <c r="FA141" s="27">
        <v>31.79999999999999</v>
      </c>
      <c r="FB141" s="129">
        <v>15.6</v>
      </c>
      <c r="FD141" s="27">
        <v>32.799999999999983</v>
      </c>
      <c r="FE141" s="27">
        <v>32.799999999999983</v>
      </c>
      <c r="FF141" s="27">
        <v>32.799999999999983</v>
      </c>
      <c r="FG141" s="27">
        <v>32.799999999999983</v>
      </c>
      <c r="FH141" s="27">
        <v>32.799999999999983</v>
      </c>
      <c r="FI141" s="27">
        <v>32.799999999999983</v>
      </c>
      <c r="FJ141" s="27">
        <v>32.799999999999983</v>
      </c>
      <c r="FK141" s="27">
        <v>32.799999999999983</v>
      </c>
      <c r="FL141" s="27">
        <v>32.799999999999983</v>
      </c>
      <c r="FM141" s="129">
        <v>15.6</v>
      </c>
      <c r="FO141" s="27">
        <v>50.600000000000009</v>
      </c>
      <c r="FP141" s="27">
        <v>50.600000000000009</v>
      </c>
      <c r="FQ141" s="27">
        <v>50.600000000000009</v>
      </c>
      <c r="FR141" s="27">
        <v>50.600000000000009</v>
      </c>
      <c r="FS141" s="27">
        <v>50.600000000000009</v>
      </c>
      <c r="FT141" s="27">
        <v>50.600000000000009</v>
      </c>
      <c r="FU141" s="27">
        <v>50.600000000000009</v>
      </c>
      <c r="FV141" s="27">
        <v>50.600000000000009</v>
      </c>
      <c r="FW141" s="27">
        <v>50.600000000000009</v>
      </c>
      <c r="FX141" s="129">
        <v>15.6</v>
      </c>
      <c r="FZ141" s="27">
        <v>50.600000000000009</v>
      </c>
      <c r="GA141" s="27">
        <v>50.600000000000009</v>
      </c>
      <c r="GB141" s="27">
        <v>50.600000000000009</v>
      </c>
      <c r="GC141" s="27">
        <v>50.600000000000009</v>
      </c>
      <c r="GD141" s="27">
        <v>50.600000000000009</v>
      </c>
      <c r="GE141" s="27">
        <v>50.600000000000009</v>
      </c>
      <c r="GF141" s="27">
        <v>50.600000000000009</v>
      </c>
      <c r="GG141" s="27">
        <v>50.600000000000009</v>
      </c>
      <c r="GH141" s="27">
        <v>50.600000000000009</v>
      </c>
      <c r="GI141" s="129">
        <v>15.6</v>
      </c>
      <c r="GJ141" s="27"/>
      <c r="GK141" s="27">
        <v>12.400000000000002</v>
      </c>
      <c r="GL141" s="27">
        <v>12.400000000000002</v>
      </c>
      <c r="GM141" s="27">
        <v>12.400000000000002</v>
      </c>
      <c r="GN141" s="27">
        <v>12.400000000000002</v>
      </c>
      <c r="GO141" s="27">
        <v>12.400000000000002</v>
      </c>
      <c r="GP141" s="27">
        <v>12.400000000000002</v>
      </c>
      <c r="GQ141" s="27">
        <v>12.400000000000002</v>
      </c>
      <c r="GR141" s="27">
        <v>12.400000000000002</v>
      </c>
      <c r="GS141" s="27">
        <v>12.400000000000002</v>
      </c>
      <c r="GT141" s="129">
        <v>15.6</v>
      </c>
      <c r="GV141" s="27">
        <v>14.400000000000002</v>
      </c>
      <c r="GW141" s="27">
        <v>14.400000000000002</v>
      </c>
      <c r="GX141" s="27">
        <v>14.400000000000002</v>
      </c>
      <c r="GY141" s="27">
        <v>14.400000000000002</v>
      </c>
      <c r="GZ141" s="27">
        <v>14.400000000000002</v>
      </c>
      <c r="HA141" s="27">
        <v>14.400000000000002</v>
      </c>
      <c r="HB141" s="27">
        <v>14.400000000000002</v>
      </c>
      <c r="HC141" s="27">
        <v>14.400000000000002</v>
      </c>
      <c r="HD141" s="27">
        <v>14.400000000000002</v>
      </c>
      <c r="HE141" s="129">
        <v>15.6</v>
      </c>
      <c r="HG141" s="27">
        <v>19.800000000000004</v>
      </c>
      <c r="HH141" s="27">
        <v>19.800000000000004</v>
      </c>
      <c r="HI141" s="27">
        <v>19.800000000000004</v>
      </c>
      <c r="HJ141" s="27">
        <v>19.800000000000004</v>
      </c>
      <c r="HK141" s="27">
        <v>19.800000000000004</v>
      </c>
      <c r="HL141" s="27">
        <v>19.800000000000004</v>
      </c>
      <c r="HM141" s="27">
        <v>19.800000000000004</v>
      </c>
      <c r="HN141" s="27">
        <v>19.800000000000004</v>
      </c>
      <c r="HO141" s="27">
        <v>19.800000000000004</v>
      </c>
      <c r="HP141" s="129">
        <v>15.6</v>
      </c>
      <c r="HR141" s="27">
        <v>19.800000000000004</v>
      </c>
      <c r="HS141" s="27">
        <v>19.800000000000004</v>
      </c>
      <c r="HT141" s="27">
        <v>19.800000000000004</v>
      </c>
      <c r="HU141" s="27">
        <v>19.800000000000004</v>
      </c>
      <c r="HV141" s="27">
        <v>19.800000000000004</v>
      </c>
      <c r="HW141" s="27">
        <v>19.800000000000004</v>
      </c>
      <c r="HX141" s="27">
        <v>19.800000000000004</v>
      </c>
      <c r="HY141" s="27">
        <v>19.800000000000004</v>
      </c>
      <c r="HZ141" s="27">
        <v>19.800000000000004</v>
      </c>
      <c r="IA141" s="129">
        <v>15.6</v>
      </c>
    </row>
    <row r="142" spans="15:235" ht="3" customHeight="1">
      <c r="O142" s="129">
        <v>6.5999999999999988</v>
      </c>
      <c r="P142" s="129">
        <v>6.5999999999999988</v>
      </c>
      <c r="Q142" s="129">
        <v>6.5999999999999988</v>
      </c>
      <c r="R142" s="129">
        <v>6.5999999999999988</v>
      </c>
      <c r="S142" s="129">
        <v>6.5999999999999988</v>
      </c>
      <c r="T142" s="129">
        <v>6.5999999999999988</v>
      </c>
      <c r="U142" s="129">
        <v>6.5999999999999988</v>
      </c>
      <c r="V142" s="129">
        <v>6.5999999999999988</v>
      </c>
      <c r="W142" s="129">
        <v>6.5999999999999988</v>
      </c>
      <c r="X142" s="129">
        <v>13.7</v>
      </c>
      <c r="Y142" s="27"/>
      <c r="Z142" s="129">
        <v>13.899999999999995</v>
      </c>
      <c r="AA142" s="129">
        <v>13.899999999999995</v>
      </c>
      <c r="AB142" s="129">
        <v>13.899999999999995</v>
      </c>
      <c r="AC142" s="129">
        <v>13.899999999999995</v>
      </c>
      <c r="AD142" s="129">
        <v>13.899999999999995</v>
      </c>
      <c r="AE142" s="129">
        <v>13.899999999999995</v>
      </c>
      <c r="AF142" s="129">
        <v>13.899999999999995</v>
      </c>
      <c r="AG142" s="129">
        <v>13.899999999999995</v>
      </c>
      <c r="AH142" s="129">
        <v>13.899999999999995</v>
      </c>
      <c r="AI142" s="129">
        <v>13.7</v>
      </c>
      <c r="AK142" s="129">
        <v>34.5</v>
      </c>
      <c r="AL142" s="129">
        <v>34.5</v>
      </c>
      <c r="AM142" s="129">
        <v>34.5</v>
      </c>
      <c r="AN142" s="129">
        <v>34.5</v>
      </c>
      <c r="AO142" s="129">
        <v>34.5</v>
      </c>
      <c r="AP142" s="129">
        <v>34.5</v>
      </c>
      <c r="AQ142" s="129">
        <v>34.5</v>
      </c>
      <c r="AR142" s="129">
        <v>34.5</v>
      </c>
      <c r="AS142" s="129">
        <v>34.5</v>
      </c>
      <c r="AT142" s="129">
        <v>13.7</v>
      </c>
      <c r="AV142" s="129">
        <v>36.90000000000002</v>
      </c>
      <c r="AW142" s="129">
        <v>36.90000000000002</v>
      </c>
      <c r="AX142" s="129">
        <v>36.90000000000002</v>
      </c>
      <c r="AY142" s="129">
        <v>36.90000000000002</v>
      </c>
      <c r="AZ142" s="129">
        <v>36.90000000000002</v>
      </c>
      <c r="BA142" s="129">
        <v>36.90000000000002</v>
      </c>
      <c r="BB142" s="129">
        <v>36.90000000000002</v>
      </c>
      <c r="BC142" s="129">
        <v>36.90000000000002</v>
      </c>
      <c r="BD142" s="129">
        <v>36.90000000000002</v>
      </c>
      <c r="BE142" s="129">
        <v>13.7</v>
      </c>
      <c r="BG142" s="129">
        <v>57.5</v>
      </c>
      <c r="BH142" s="129">
        <v>57.5</v>
      </c>
      <c r="BI142" s="129">
        <v>57.5</v>
      </c>
      <c r="BJ142" s="129">
        <v>57.5</v>
      </c>
      <c r="BK142" s="129">
        <v>57.5</v>
      </c>
      <c r="BL142" s="129">
        <v>57.5</v>
      </c>
      <c r="BM142" s="129">
        <v>57.5</v>
      </c>
      <c r="BN142" s="129">
        <v>57.5</v>
      </c>
      <c r="BO142" s="129">
        <v>57.5</v>
      </c>
      <c r="BP142" s="129">
        <v>13.7</v>
      </c>
      <c r="BR142" s="129">
        <v>57.5</v>
      </c>
      <c r="BS142" s="129">
        <v>57.5</v>
      </c>
      <c r="BT142" s="129">
        <v>57.5</v>
      </c>
      <c r="BU142" s="129">
        <v>57.5</v>
      </c>
      <c r="BV142" s="129">
        <v>57.5</v>
      </c>
      <c r="BW142" s="129">
        <v>57.5</v>
      </c>
      <c r="BX142" s="129">
        <v>57.5</v>
      </c>
      <c r="BY142" s="129">
        <v>57.5</v>
      </c>
      <c r="BZ142" s="129">
        <v>57.5</v>
      </c>
      <c r="CA142" s="129">
        <v>13.7</v>
      </c>
      <c r="CC142" s="129">
        <v>13.300000000000002</v>
      </c>
      <c r="CD142" s="129">
        <v>13.300000000000002</v>
      </c>
      <c r="CE142" s="129">
        <v>13.300000000000002</v>
      </c>
      <c r="CF142" s="129">
        <v>13.300000000000002</v>
      </c>
      <c r="CG142" s="129">
        <v>13.300000000000002</v>
      </c>
      <c r="CH142" s="129">
        <v>13.300000000000002</v>
      </c>
      <c r="CI142" s="129">
        <v>13.300000000000002</v>
      </c>
      <c r="CJ142" s="129">
        <v>13.300000000000002</v>
      </c>
      <c r="CK142" s="129">
        <v>13.300000000000002</v>
      </c>
      <c r="CL142" s="129">
        <v>13.7</v>
      </c>
      <c r="CN142" s="129">
        <v>16.29999999999999</v>
      </c>
      <c r="CO142" s="129">
        <v>16.29999999999999</v>
      </c>
      <c r="CP142" s="129">
        <v>16.29999999999999</v>
      </c>
      <c r="CQ142" s="129">
        <v>16.29999999999999</v>
      </c>
      <c r="CR142" s="129">
        <v>16.29999999999999</v>
      </c>
      <c r="CS142" s="129">
        <v>16.29999999999999</v>
      </c>
      <c r="CT142" s="129">
        <v>16.29999999999999</v>
      </c>
      <c r="CU142" s="129">
        <v>16.29999999999999</v>
      </c>
      <c r="CV142" s="129">
        <v>16.29999999999999</v>
      </c>
      <c r="CW142" s="129">
        <v>13.7</v>
      </c>
      <c r="CY142" s="129">
        <v>22.600000000000005</v>
      </c>
      <c r="CZ142" s="129">
        <v>22.600000000000005</v>
      </c>
      <c r="DA142" s="129">
        <v>22.600000000000005</v>
      </c>
      <c r="DB142" s="129">
        <v>22.600000000000005</v>
      </c>
      <c r="DC142" s="129">
        <v>22.600000000000005</v>
      </c>
      <c r="DD142" s="129">
        <v>22.600000000000005</v>
      </c>
      <c r="DE142" s="129">
        <v>22.600000000000005</v>
      </c>
      <c r="DF142" s="129">
        <v>22.600000000000005</v>
      </c>
      <c r="DG142" s="129">
        <v>22.600000000000005</v>
      </c>
      <c r="DH142" s="129">
        <v>13.7</v>
      </c>
      <c r="DJ142" s="129">
        <v>22.600000000000005</v>
      </c>
      <c r="DK142" s="129">
        <v>22.600000000000005</v>
      </c>
      <c r="DL142" s="129">
        <v>22.600000000000005</v>
      </c>
      <c r="DM142" s="129">
        <v>22.600000000000005</v>
      </c>
      <c r="DN142" s="129">
        <v>22.600000000000005</v>
      </c>
      <c r="DO142" s="129">
        <v>22.600000000000005</v>
      </c>
      <c r="DP142" s="129">
        <v>22.600000000000005</v>
      </c>
      <c r="DQ142" s="129">
        <v>22.600000000000005</v>
      </c>
      <c r="DR142" s="129">
        <v>22.600000000000005</v>
      </c>
      <c r="DS142" s="129">
        <v>13.7</v>
      </c>
      <c r="DW142" s="27">
        <v>10.600000000000005</v>
      </c>
      <c r="DX142" s="27">
        <v>10.600000000000005</v>
      </c>
      <c r="DY142" s="27">
        <v>10.600000000000005</v>
      </c>
      <c r="DZ142" s="27">
        <v>10.600000000000005</v>
      </c>
      <c r="EA142" s="27">
        <v>10.600000000000005</v>
      </c>
      <c r="EB142" s="27">
        <v>10.600000000000005</v>
      </c>
      <c r="EC142" s="27">
        <v>10.600000000000005</v>
      </c>
      <c r="ED142" s="27">
        <v>10.600000000000005</v>
      </c>
      <c r="EE142" s="27">
        <v>10.600000000000005</v>
      </c>
      <c r="EF142" s="129">
        <v>15.7</v>
      </c>
      <c r="EH142" s="27">
        <v>22.20000000000001</v>
      </c>
      <c r="EI142" s="27">
        <v>22.20000000000001</v>
      </c>
      <c r="EJ142" s="27">
        <v>22.20000000000001</v>
      </c>
      <c r="EK142" s="27">
        <v>22.20000000000001</v>
      </c>
      <c r="EL142" s="27">
        <v>22.20000000000001</v>
      </c>
      <c r="EM142" s="27">
        <v>22.20000000000001</v>
      </c>
      <c r="EN142" s="27">
        <v>22.20000000000001</v>
      </c>
      <c r="EO142" s="27">
        <v>22.20000000000001</v>
      </c>
      <c r="EP142" s="27">
        <v>22.20000000000001</v>
      </c>
      <c r="EQ142" s="129">
        <v>15.7</v>
      </c>
      <c r="ES142" s="27">
        <v>31.599999999999991</v>
      </c>
      <c r="ET142" s="27">
        <v>31.599999999999991</v>
      </c>
      <c r="EU142" s="27">
        <v>31.599999999999991</v>
      </c>
      <c r="EV142" s="27">
        <v>31.599999999999991</v>
      </c>
      <c r="EW142" s="27">
        <v>31.599999999999991</v>
      </c>
      <c r="EX142" s="27">
        <v>31.599999999999991</v>
      </c>
      <c r="EY142" s="27">
        <v>31.599999999999991</v>
      </c>
      <c r="EZ142" s="27">
        <v>31.599999999999991</v>
      </c>
      <c r="FA142" s="27">
        <v>31.599999999999991</v>
      </c>
      <c r="FB142" s="129">
        <v>15.7</v>
      </c>
      <c r="FD142" s="27">
        <v>32.59999999999998</v>
      </c>
      <c r="FE142" s="27">
        <v>32.59999999999998</v>
      </c>
      <c r="FF142" s="27">
        <v>32.59999999999998</v>
      </c>
      <c r="FG142" s="27">
        <v>32.59999999999998</v>
      </c>
      <c r="FH142" s="27">
        <v>32.59999999999998</v>
      </c>
      <c r="FI142" s="27">
        <v>32.59999999999998</v>
      </c>
      <c r="FJ142" s="27">
        <v>32.59999999999998</v>
      </c>
      <c r="FK142" s="27">
        <v>32.59999999999998</v>
      </c>
      <c r="FL142" s="27">
        <v>32.59999999999998</v>
      </c>
      <c r="FM142" s="129">
        <v>15.7</v>
      </c>
      <c r="FO142" s="27">
        <v>50.20000000000001</v>
      </c>
      <c r="FP142" s="27">
        <v>50.20000000000001</v>
      </c>
      <c r="FQ142" s="27">
        <v>50.20000000000001</v>
      </c>
      <c r="FR142" s="27">
        <v>50.20000000000001</v>
      </c>
      <c r="FS142" s="27">
        <v>50.20000000000001</v>
      </c>
      <c r="FT142" s="27">
        <v>50.20000000000001</v>
      </c>
      <c r="FU142" s="27">
        <v>50.20000000000001</v>
      </c>
      <c r="FV142" s="27">
        <v>50.20000000000001</v>
      </c>
      <c r="FW142" s="27">
        <v>50.20000000000001</v>
      </c>
      <c r="FX142" s="129">
        <v>15.7</v>
      </c>
      <c r="FZ142" s="27">
        <v>50.20000000000001</v>
      </c>
      <c r="GA142" s="27">
        <v>50.20000000000001</v>
      </c>
      <c r="GB142" s="27">
        <v>50.20000000000001</v>
      </c>
      <c r="GC142" s="27">
        <v>50.20000000000001</v>
      </c>
      <c r="GD142" s="27">
        <v>50.20000000000001</v>
      </c>
      <c r="GE142" s="27">
        <v>50.20000000000001</v>
      </c>
      <c r="GF142" s="27">
        <v>50.20000000000001</v>
      </c>
      <c r="GG142" s="27">
        <v>50.20000000000001</v>
      </c>
      <c r="GH142" s="27">
        <v>50.20000000000001</v>
      </c>
      <c r="GI142" s="129">
        <v>15.7</v>
      </c>
      <c r="GJ142" s="27"/>
      <c r="GK142" s="27">
        <v>12.300000000000002</v>
      </c>
      <c r="GL142" s="27">
        <v>12.300000000000002</v>
      </c>
      <c r="GM142" s="27">
        <v>12.300000000000002</v>
      </c>
      <c r="GN142" s="27">
        <v>12.300000000000002</v>
      </c>
      <c r="GO142" s="27">
        <v>12.300000000000002</v>
      </c>
      <c r="GP142" s="27">
        <v>12.300000000000002</v>
      </c>
      <c r="GQ142" s="27">
        <v>12.300000000000002</v>
      </c>
      <c r="GR142" s="27">
        <v>12.300000000000002</v>
      </c>
      <c r="GS142" s="27">
        <v>12.300000000000002</v>
      </c>
      <c r="GT142" s="129">
        <v>15.7</v>
      </c>
      <c r="GV142" s="27">
        <v>14.300000000000002</v>
      </c>
      <c r="GW142" s="27">
        <v>14.300000000000002</v>
      </c>
      <c r="GX142" s="27">
        <v>14.300000000000002</v>
      </c>
      <c r="GY142" s="27">
        <v>14.300000000000002</v>
      </c>
      <c r="GZ142" s="27">
        <v>14.300000000000002</v>
      </c>
      <c r="HA142" s="27">
        <v>14.300000000000002</v>
      </c>
      <c r="HB142" s="27">
        <v>14.300000000000002</v>
      </c>
      <c r="HC142" s="27">
        <v>14.300000000000002</v>
      </c>
      <c r="HD142" s="27">
        <v>14.300000000000002</v>
      </c>
      <c r="HE142" s="129">
        <v>15.7</v>
      </c>
      <c r="HG142" s="27">
        <v>19.600000000000005</v>
      </c>
      <c r="HH142" s="27">
        <v>19.600000000000005</v>
      </c>
      <c r="HI142" s="27">
        <v>19.600000000000005</v>
      </c>
      <c r="HJ142" s="27">
        <v>19.600000000000005</v>
      </c>
      <c r="HK142" s="27">
        <v>19.600000000000005</v>
      </c>
      <c r="HL142" s="27">
        <v>19.600000000000005</v>
      </c>
      <c r="HM142" s="27">
        <v>19.600000000000005</v>
      </c>
      <c r="HN142" s="27">
        <v>19.600000000000005</v>
      </c>
      <c r="HO142" s="27">
        <v>19.600000000000005</v>
      </c>
      <c r="HP142" s="129">
        <v>15.7</v>
      </c>
      <c r="HR142" s="27">
        <v>19.600000000000005</v>
      </c>
      <c r="HS142" s="27">
        <v>19.600000000000005</v>
      </c>
      <c r="HT142" s="27">
        <v>19.600000000000005</v>
      </c>
      <c r="HU142" s="27">
        <v>19.600000000000005</v>
      </c>
      <c r="HV142" s="27">
        <v>19.600000000000005</v>
      </c>
      <c r="HW142" s="27">
        <v>19.600000000000005</v>
      </c>
      <c r="HX142" s="27">
        <v>19.600000000000005</v>
      </c>
      <c r="HY142" s="27">
        <v>19.600000000000005</v>
      </c>
      <c r="HZ142" s="27">
        <v>19.600000000000005</v>
      </c>
      <c r="IA142" s="129">
        <v>15.7</v>
      </c>
    </row>
    <row r="143" spans="15:235" ht="3" customHeight="1">
      <c r="O143" s="129">
        <v>6.3999999999999986</v>
      </c>
      <c r="P143" s="129">
        <v>6.3999999999999986</v>
      </c>
      <c r="Q143" s="129">
        <v>6.3999999999999986</v>
      </c>
      <c r="R143" s="129">
        <v>6.3999999999999986</v>
      </c>
      <c r="S143" s="129">
        <v>6.3999999999999986</v>
      </c>
      <c r="T143" s="129">
        <v>6.3999999999999986</v>
      </c>
      <c r="U143" s="129">
        <v>6.3999999999999986</v>
      </c>
      <c r="V143" s="129">
        <v>6.3999999999999986</v>
      </c>
      <c r="W143" s="129">
        <v>6.3999999999999986</v>
      </c>
      <c r="X143" s="129">
        <v>13.8</v>
      </c>
      <c r="Y143" s="27"/>
      <c r="Z143" s="129">
        <v>13.599999999999994</v>
      </c>
      <c r="AA143" s="129">
        <v>13.599999999999994</v>
      </c>
      <c r="AB143" s="129">
        <v>13.599999999999994</v>
      </c>
      <c r="AC143" s="129">
        <v>13.599999999999994</v>
      </c>
      <c r="AD143" s="129">
        <v>13.599999999999994</v>
      </c>
      <c r="AE143" s="129">
        <v>13.599999999999994</v>
      </c>
      <c r="AF143" s="129">
        <v>13.599999999999994</v>
      </c>
      <c r="AG143" s="129">
        <v>13.599999999999994</v>
      </c>
      <c r="AH143" s="129">
        <v>13.599999999999994</v>
      </c>
      <c r="AI143" s="129">
        <v>13.8</v>
      </c>
      <c r="AK143" s="129">
        <v>34</v>
      </c>
      <c r="AL143" s="129">
        <v>34</v>
      </c>
      <c r="AM143" s="129">
        <v>34</v>
      </c>
      <c r="AN143" s="129">
        <v>34</v>
      </c>
      <c r="AO143" s="129">
        <v>34</v>
      </c>
      <c r="AP143" s="129">
        <v>34</v>
      </c>
      <c r="AQ143" s="129">
        <v>34</v>
      </c>
      <c r="AR143" s="129">
        <v>34</v>
      </c>
      <c r="AS143" s="129">
        <v>34</v>
      </c>
      <c r="AT143" s="129">
        <v>13.8</v>
      </c>
      <c r="AV143" s="129">
        <v>36.600000000000023</v>
      </c>
      <c r="AW143" s="129">
        <v>36.600000000000023</v>
      </c>
      <c r="AX143" s="129">
        <v>36.600000000000023</v>
      </c>
      <c r="AY143" s="129">
        <v>36.600000000000023</v>
      </c>
      <c r="AZ143" s="129">
        <v>36.600000000000023</v>
      </c>
      <c r="BA143" s="129">
        <v>36.600000000000023</v>
      </c>
      <c r="BB143" s="129">
        <v>36.600000000000023</v>
      </c>
      <c r="BC143" s="129">
        <v>36.600000000000023</v>
      </c>
      <c r="BD143" s="129">
        <v>36.600000000000023</v>
      </c>
      <c r="BE143" s="129">
        <v>13.8</v>
      </c>
      <c r="BG143" s="129">
        <v>57</v>
      </c>
      <c r="BH143" s="129">
        <v>57</v>
      </c>
      <c r="BI143" s="129">
        <v>57</v>
      </c>
      <c r="BJ143" s="129">
        <v>57</v>
      </c>
      <c r="BK143" s="129">
        <v>57</v>
      </c>
      <c r="BL143" s="129">
        <v>57</v>
      </c>
      <c r="BM143" s="129">
        <v>57</v>
      </c>
      <c r="BN143" s="129">
        <v>57</v>
      </c>
      <c r="BO143" s="129">
        <v>57</v>
      </c>
      <c r="BP143" s="129">
        <v>13.8</v>
      </c>
      <c r="BR143" s="129">
        <v>57</v>
      </c>
      <c r="BS143" s="129">
        <v>57</v>
      </c>
      <c r="BT143" s="129">
        <v>57</v>
      </c>
      <c r="BU143" s="129">
        <v>57</v>
      </c>
      <c r="BV143" s="129">
        <v>57</v>
      </c>
      <c r="BW143" s="129">
        <v>57</v>
      </c>
      <c r="BX143" s="129">
        <v>57</v>
      </c>
      <c r="BY143" s="129">
        <v>57</v>
      </c>
      <c r="BZ143" s="129">
        <v>57</v>
      </c>
      <c r="CA143" s="129">
        <v>13.8</v>
      </c>
      <c r="CC143" s="129">
        <v>13.200000000000003</v>
      </c>
      <c r="CD143" s="129">
        <v>13.200000000000003</v>
      </c>
      <c r="CE143" s="129">
        <v>13.200000000000003</v>
      </c>
      <c r="CF143" s="129">
        <v>13.200000000000003</v>
      </c>
      <c r="CG143" s="129">
        <v>13.200000000000003</v>
      </c>
      <c r="CH143" s="129">
        <v>13.200000000000003</v>
      </c>
      <c r="CI143" s="129">
        <v>13.200000000000003</v>
      </c>
      <c r="CJ143" s="129">
        <v>13.200000000000003</v>
      </c>
      <c r="CK143" s="129">
        <v>13.200000000000003</v>
      </c>
      <c r="CL143" s="129">
        <v>13.8</v>
      </c>
      <c r="CN143" s="129">
        <v>16.199999999999989</v>
      </c>
      <c r="CO143" s="129">
        <v>16.199999999999989</v>
      </c>
      <c r="CP143" s="129">
        <v>16.199999999999989</v>
      </c>
      <c r="CQ143" s="129">
        <v>16.199999999999989</v>
      </c>
      <c r="CR143" s="129">
        <v>16.199999999999989</v>
      </c>
      <c r="CS143" s="129">
        <v>16.199999999999989</v>
      </c>
      <c r="CT143" s="129">
        <v>16.199999999999989</v>
      </c>
      <c r="CU143" s="129">
        <v>16.199999999999989</v>
      </c>
      <c r="CV143" s="129">
        <v>16.199999999999989</v>
      </c>
      <c r="CW143" s="129">
        <v>13.8</v>
      </c>
      <c r="CY143" s="129">
        <v>22.400000000000006</v>
      </c>
      <c r="CZ143" s="129">
        <v>22.400000000000006</v>
      </c>
      <c r="DA143" s="129">
        <v>22.400000000000006</v>
      </c>
      <c r="DB143" s="129">
        <v>22.400000000000006</v>
      </c>
      <c r="DC143" s="129">
        <v>22.400000000000006</v>
      </c>
      <c r="DD143" s="129">
        <v>22.400000000000006</v>
      </c>
      <c r="DE143" s="129">
        <v>22.400000000000006</v>
      </c>
      <c r="DF143" s="129">
        <v>22.400000000000006</v>
      </c>
      <c r="DG143" s="129">
        <v>22.400000000000006</v>
      </c>
      <c r="DH143" s="129">
        <v>13.8</v>
      </c>
      <c r="DJ143" s="129">
        <v>22.400000000000006</v>
      </c>
      <c r="DK143" s="129">
        <v>22.400000000000006</v>
      </c>
      <c r="DL143" s="129">
        <v>22.400000000000006</v>
      </c>
      <c r="DM143" s="129">
        <v>22.400000000000006</v>
      </c>
      <c r="DN143" s="129">
        <v>22.400000000000006</v>
      </c>
      <c r="DO143" s="129">
        <v>22.400000000000006</v>
      </c>
      <c r="DP143" s="129">
        <v>22.400000000000006</v>
      </c>
      <c r="DQ143" s="129">
        <v>22.400000000000006</v>
      </c>
      <c r="DR143" s="129">
        <v>22.400000000000006</v>
      </c>
      <c r="DS143" s="129">
        <v>13.8</v>
      </c>
      <c r="DW143" s="27">
        <v>10.400000000000006</v>
      </c>
      <c r="DX143" s="27">
        <v>10.400000000000006</v>
      </c>
      <c r="DY143" s="27">
        <v>10.400000000000006</v>
      </c>
      <c r="DZ143" s="27">
        <v>10.400000000000006</v>
      </c>
      <c r="EA143" s="27">
        <v>10.400000000000006</v>
      </c>
      <c r="EB143" s="27">
        <v>10.400000000000006</v>
      </c>
      <c r="EC143" s="27">
        <v>10.400000000000006</v>
      </c>
      <c r="ED143" s="27">
        <v>10.400000000000006</v>
      </c>
      <c r="EE143" s="27">
        <v>10.400000000000006</v>
      </c>
      <c r="EF143" s="129">
        <v>15.8</v>
      </c>
      <c r="EH143" s="27">
        <v>21.800000000000011</v>
      </c>
      <c r="EI143" s="27">
        <v>21.800000000000011</v>
      </c>
      <c r="EJ143" s="27">
        <v>21.800000000000011</v>
      </c>
      <c r="EK143" s="27">
        <v>21.800000000000011</v>
      </c>
      <c r="EL143" s="27">
        <v>21.800000000000011</v>
      </c>
      <c r="EM143" s="27">
        <v>21.800000000000011</v>
      </c>
      <c r="EN143" s="27">
        <v>21.800000000000011</v>
      </c>
      <c r="EO143" s="27">
        <v>21.800000000000011</v>
      </c>
      <c r="EP143" s="27">
        <v>21.800000000000011</v>
      </c>
      <c r="EQ143" s="129">
        <v>15.8</v>
      </c>
      <c r="ES143" s="27">
        <v>31.399999999999991</v>
      </c>
      <c r="ET143" s="27">
        <v>31.399999999999991</v>
      </c>
      <c r="EU143" s="27">
        <v>31.399999999999991</v>
      </c>
      <c r="EV143" s="27">
        <v>31.399999999999991</v>
      </c>
      <c r="EW143" s="27">
        <v>31.399999999999991</v>
      </c>
      <c r="EX143" s="27">
        <v>31.399999999999991</v>
      </c>
      <c r="EY143" s="27">
        <v>31.399999999999991</v>
      </c>
      <c r="EZ143" s="27">
        <v>31.399999999999991</v>
      </c>
      <c r="FA143" s="27">
        <v>31.399999999999991</v>
      </c>
      <c r="FB143" s="129">
        <v>15.8</v>
      </c>
      <c r="FD143" s="27">
        <v>32.399999999999977</v>
      </c>
      <c r="FE143" s="27">
        <v>32.399999999999977</v>
      </c>
      <c r="FF143" s="27">
        <v>32.399999999999977</v>
      </c>
      <c r="FG143" s="27">
        <v>32.399999999999977</v>
      </c>
      <c r="FH143" s="27">
        <v>32.399999999999977</v>
      </c>
      <c r="FI143" s="27">
        <v>32.399999999999977</v>
      </c>
      <c r="FJ143" s="27">
        <v>32.399999999999977</v>
      </c>
      <c r="FK143" s="27">
        <v>32.399999999999977</v>
      </c>
      <c r="FL143" s="27">
        <v>32.399999999999977</v>
      </c>
      <c r="FM143" s="129">
        <v>15.8</v>
      </c>
      <c r="FO143" s="27">
        <v>49.800000000000011</v>
      </c>
      <c r="FP143" s="27">
        <v>49.800000000000011</v>
      </c>
      <c r="FQ143" s="27">
        <v>49.800000000000011</v>
      </c>
      <c r="FR143" s="27">
        <v>49.800000000000011</v>
      </c>
      <c r="FS143" s="27">
        <v>49.800000000000011</v>
      </c>
      <c r="FT143" s="27">
        <v>49.800000000000011</v>
      </c>
      <c r="FU143" s="27">
        <v>49.800000000000011</v>
      </c>
      <c r="FV143" s="27">
        <v>49.800000000000011</v>
      </c>
      <c r="FW143" s="27">
        <v>49.800000000000011</v>
      </c>
      <c r="FX143" s="129">
        <v>15.8</v>
      </c>
      <c r="FZ143" s="27">
        <v>49.800000000000011</v>
      </c>
      <c r="GA143" s="27">
        <v>49.800000000000011</v>
      </c>
      <c r="GB143" s="27">
        <v>49.800000000000011</v>
      </c>
      <c r="GC143" s="27">
        <v>49.800000000000011</v>
      </c>
      <c r="GD143" s="27">
        <v>49.800000000000011</v>
      </c>
      <c r="GE143" s="27">
        <v>49.800000000000011</v>
      </c>
      <c r="GF143" s="27">
        <v>49.800000000000011</v>
      </c>
      <c r="GG143" s="27">
        <v>49.800000000000011</v>
      </c>
      <c r="GH143" s="27">
        <v>49.800000000000011</v>
      </c>
      <c r="GI143" s="129">
        <v>15.8</v>
      </c>
      <c r="GJ143" s="27"/>
      <c r="GK143" s="27">
        <v>12.200000000000003</v>
      </c>
      <c r="GL143" s="27">
        <v>12.200000000000003</v>
      </c>
      <c r="GM143" s="27">
        <v>12.200000000000003</v>
      </c>
      <c r="GN143" s="27">
        <v>12.200000000000003</v>
      </c>
      <c r="GO143" s="27">
        <v>12.200000000000003</v>
      </c>
      <c r="GP143" s="27">
        <v>12.200000000000003</v>
      </c>
      <c r="GQ143" s="27">
        <v>12.200000000000003</v>
      </c>
      <c r="GR143" s="27">
        <v>12.200000000000003</v>
      </c>
      <c r="GS143" s="27">
        <v>12.200000000000003</v>
      </c>
      <c r="GT143" s="129">
        <v>15.8</v>
      </c>
      <c r="GV143" s="27">
        <v>14.200000000000003</v>
      </c>
      <c r="GW143" s="27">
        <v>14.200000000000003</v>
      </c>
      <c r="GX143" s="27">
        <v>14.200000000000003</v>
      </c>
      <c r="GY143" s="27">
        <v>14.200000000000003</v>
      </c>
      <c r="GZ143" s="27">
        <v>14.200000000000003</v>
      </c>
      <c r="HA143" s="27">
        <v>14.200000000000003</v>
      </c>
      <c r="HB143" s="27">
        <v>14.200000000000003</v>
      </c>
      <c r="HC143" s="27">
        <v>14.200000000000003</v>
      </c>
      <c r="HD143" s="27">
        <v>14.200000000000003</v>
      </c>
      <c r="HE143" s="129">
        <v>15.8</v>
      </c>
      <c r="HG143" s="27">
        <v>19.400000000000006</v>
      </c>
      <c r="HH143" s="27">
        <v>19.400000000000006</v>
      </c>
      <c r="HI143" s="27">
        <v>19.400000000000006</v>
      </c>
      <c r="HJ143" s="27">
        <v>19.400000000000006</v>
      </c>
      <c r="HK143" s="27">
        <v>19.400000000000006</v>
      </c>
      <c r="HL143" s="27">
        <v>19.400000000000006</v>
      </c>
      <c r="HM143" s="27">
        <v>19.400000000000006</v>
      </c>
      <c r="HN143" s="27">
        <v>19.400000000000006</v>
      </c>
      <c r="HO143" s="27">
        <v>19.400000000000006</v>
      </c>
      <c r="HP143" s="129">
        <v>15.8</v>
      </c>
      <c r="HR143" s="27">
        <v>19.400000000000006</v>
      </c>
      <c r="HS143" s="27">
        <v>19.400000000000006</v>
      </c>
      <c r="HT143" s="27">
        <v>19.400000000000006</v>
      </c>
      <c r="HU143" s="27">
        <v>19.400000000000006</v>
      </c>
      <c r="HV143" s="27">
        <v>19.400000000000006</v>
      </c>
      <c r="HW143" s="27">
        <v>19.400000000000006</v>
      </c>
      <c r="HX143" s="27">
        <v>19.400000000000006</v>
      </c>
      <c r="HY143" s="27">
        <v>19.400000000000006</v>
      </c>
      <c r="HZ143" s="27">
        <v>19.400000000000006</v>
      </c>
      <c r="IA143" s="129">
        <v>15.8</v>
      </c>
    </row>
    <row r="144" spans="15:235" ht="3" customHeight="1">
      <c r="O144" s="129">
        <v>6.1999999999999984</v>
      </c>
      <c r="P144" s="129">
        <v>6.1999999999999984</v>
      </c>
      <c r="Q144" s="129">
        <v>6.1999999999999984</v>
      </c>
      <c r="R144" s="129">
        <v>6.1999999999999984</v>
      </c>
      <c r="S144" s="129">
        <v>6.1999999999999984</v>
      </c>
      <c r="T144" s="129">
        <v>6.1999999999999984</v>
      </c>
      <c r="U144" s="129">
        <v>6.1999999999999984</v>
      </c>
      <c r="V144" s="129">
        <v>6.1999999999999984</v>
      </c>
      <c r="W144" s="129">
        <v>6.1999999999999984</v>
      </c>
      <c r="X144" s="129">
        <v>13.9</v>
      </c>
      <c r="Y144" s="27"/>
      <c r="Z144" s="129">
        <v>13.299999999999994</v>
      </c>
      <c r="AA144" s="129">
        <v>13.299999999999994</v>
      </c>
      <c r="AB144" s="129">
        <v>13.299999999999994</v>
      </c>
      <c r="AC144" s="129">
        <v>13.299999999999994</v>
      </c>
      <c r="AD144" s="129">
        <v>13.299999999999994</v>
      </c>
      <c r="AE144" s="129">
        <v>13.299999999999994</v>
      </c>
      <c r="AF144" s="129">
        <v>13.299999999999994</v>
      </c>
      <c r="AG144" s="129">
        <v>13.299999999999994</v>
      </c>
      <c r="AH144" s="129">
        <v>13.299999999999994</v>
      </c>
      <c r="AI144" s="129">
        <v>13.9</v>
      </c>
      <c r="AK144" s="129">
        <v>33.5</v>
      </c>
      <c r="AL144" s="129">
        <v>33.5</v>
      </c>
      <c r="AM144" s="129">
        <v>33.5</v>
      </c>
      <c r="AN144" s="129">
        <v>33.5</v>
      </c>
      <c r="AO144" s="129">
        <v>33.5</v>
      </c>
      <c r="AP144" s="129">
        <v>33.5</v>
      </c>
      <c r="AQ144" s="129">
        <v>33.5</v>
      </c>
      <c r="AR144" s="129">
        <v>33.5</v>
      </c>
      <c r="AS144" s="129">
        <v>33.5</v>
      </c>
      <c r="AT144" s="129">
        <v>13.9</v>
      </c>
      <c r="AV144" s="129">
        <v>36.300000000000026</v>
      </c>
      <c r="AW144" s="129">
        <v>36.300000000000026</v>
      </c>
      <c r="AX144" s="129">
        <v>36.300000000000026</v>
      </c>
      <c r="AY144" s="129">
        <v>36.300000000000026</v>
      </c>
      <c r="AZ144" s="129">
        <v>36.300000000000026</v>
      </c>
      <c r="BA144" s="129">
        <v>36.300000000000026</v>
      </c>
      <c r="BB144" s="129">
        <v>36.300000000000026</v>
      </c>
      <c r="BC144" s="129">
        <v>36.300000000000026</v>
      </c>
      <c r="BD144" s="129">
        <v>36.300000000000026</v>
      </c>
      <c r="BE144" s="129">
        <v>13.9</v>
      </c>
      <c r="BG144" s="129">
        <v>56.5</v>
      </c>
      <c r="BH144" s="129">
        <v>56.5</v>
      </c>
      <c r="BI144" s="129">
        <v>56.5</v>
      </c>
      <c r="BJ144" s="129">
        <v>56.5</v>
      </c>
      <c r="BK144" s="129">
        <v>56.5</v>
      </c>
      <c r="BL144" s="129">
        <v>56.5</v>
      </c>
      <c r="BM144" s="129">
        <v>56.5</v>
      </c>
      <c r="BN144" s="129">
        <v>56.5</v>
      </c>
      <c r="BO144" s="129">
        <v>56.5</v>
      </c>
      <c r="BP144" s="129">
        <v>13.9</v>
      </c>
      <c r="BR144" s="129">
        <v>56.5</v>
      </c>
      <c r="BS144" s="129">
        <v>56.5</v>
      </c>
      <c r="BT144" s="129">
        <v>56.5</v>
      </c>
      <c r="BU144" s="129">
        <v>56.5</v>
      </c>
      <c r="BV144" s="129">
        <v>56.5</v>
      </c>
      <c r="BW144" s="129">
        <v>56.5</v>
      </c>
      <c r="BX144" s="129">
        <v>56.5</v>
      </c>
      <c r="BY144" s="129">
        <v>56.5</v>
      </c>
      <c r="BZ144" s="129">
        <v>56.5</v>
      </c>
      <c r="CA144" s="129">
        <v>13.9</v>
      </c>
      <c r="CC144" s="129">
        <v>13.100000000000003</v>
      </c>
      <c r="CD144" s="129">
        <v>13.100000000000003</v>
      </c>
      <c r="CE144" s="129">
        <v>13.100000000000003</v>
      </c>
      <c r="CF144" s="129">
        <v>13.100000000000003</v>
      </c>
      <c r="CG144" s="129">
        <v>13.100000000000003</v>
      </c>
      <c r="CH144" s="129">
        <v>13.100000000000003</v>
      </c>
      <c r="CI144" s="129">
        <v>13.100000000000003</v>
      </c>
      <c r="CJ144" s="129">
        <v>13.100000000000003</v>
      </c>
      <c r="CK144" s="129">
        <v>13.100000000000003</v>
      </c>
      <c r="CL144" s="129">
        <v>13.9</v>
      </c>
      <c r="CN144" s="129">
        <v>16.099999999999987</v>
      </c>
      <c r="CO144" s="129">
        <v>16.099999999999987</v>
      </c>
      <c r="CP144" s="129">
        <v>16.099999999999987</v>
      </c>
      <c r="CQ144" s="129">
        <v>16.099999999999987</v>
      </c>
      <c r="CR144" s="129">
        <v>16.099999999999987</v>
      </c>
      <c r="CS144" s="129">
        <v>16.099999999999987</v>
      </c>
      <c r="CT144" s="129">
        <v>16.099999999999987</v>
      </c>
      <c r="CU144" s="129">
        <v>16.099999999999987</v>
      </c>
      <c r="CV144" s="129">
        <v>16.099999999999987</v>
      </c>
      <c r="CW144" s="129">
        <v>13.9</v>
      </c>
      <c r="CY144" s="129">
        <v>22.200000000000006</v>
      </c>
      <c r="CZ144" s="129">
        <v>22.200000000000006</v>
      </c>
      <c r="DA144" s="129">
        <v>22.200000000000006</v>
      </c>
      <c r="DB144" s="129">
        <v>22.200000000000006</v>
      </c>
      <c r="DC144" s="129">
        <v>22.200000000000006</v>
      </c>
      <c r="DD144" s="129">
        <v>22.200000000000006</v>
      </c>
      <c r="DE144" s="129">
        <v>22.200000000000006</v>
      </c>
      <c r="DF144" s="129">
        <v>22.200000000000006</v>
      </c>
      <c r="DG144" s="129">
        <v>22.200000000000006</v>
      </c>
      <c r="DH144" s="129">
        <v>13.9</v>
      </c>
      <c r="DJ144" s="129">
        <v>22.200000000000006</v>
      </c>
      <c r="DK144" s="129">
        <v>22.200000000000006</v>
      </c>
      <c r="DL144" s="129">
        <v>22.200000000000006</v>
      </c>
      <c r="DM144" s="129">
        <v>22.200000000000006</v>
      </c>
      <c r="DN144" s="129">
        <v>22.200000000000006</v>
      </c>
      <c r="DO144" s="129">
        <v>22.200000000000006</v>
      </c>
      <c r="DP144" s="129">
        <v>22.200000000000006</v>
      </c>
      <c r="DQ144" s="129">
        <v>22.200000000000006</v>
      </c>
      <c r="DR144" s="129">
        <v>22.200000000000006</v>
      </c>
      <c r="DS144" s="129">
        <v>13.9</v>
      </c>
      <c r="DW144" s="27">
        <v>10.200000000000006</v>
      </c>
      <c r="DX144" s="27">
        <v>10.200000000000006</v>
      </c>
      <c r="DY144" s="27">
        <v>10.200000000000006</v>
      </c>
      <c r="DZ144" s="27">
        <v>10.200000000000006</v>
      </c>
      <c r="EA144" s="27">
        <v>10.200000000000006</v>
      </c>
      <c r="EB144" s="27">
        <v>10.200000000000006</v>
      </c>
      <c r="EC144" s="27">
        <v>10.200000000000006</v>
      </c>
      <c r="ED144" s="27">
        <v>10.200000000000006</v>
      </c>
      <c r="EE144" s="27">
        <v>10.200000000000006</v>
      </c>
      <c r="EF144" s="129">
        <v>15.9</v>
      </c>
      <c r="EH144" s="27">
        <v>21.400000000000013</v>
      </c>
      <c r="EI144" s="27">
        <v>21.400000000000013</v>
      </c>
      <c r="EJ144" s="27">
        <v>21.400000000000013</v>
      </c>
      <c r="EK144" s="27">
        <v>21.400000000000013</v>
      </c>
      <c r="EL144" s="27">
        <v>21.400000000000013</v>
      </c>
      <c r="EM144" s="27">
        <v>21.400000000000013</v>
      </c>
      <c r="EN144" s="27">
        <v>21.400000000000013</v>
      </c>
      <c r="EO144" s="27">
        <v>21.400000000000013</v>
      </c>
      <c r="EP144" s="27">
        <v>21.400000000000013</v>
      </c>
      <c r="EQ144" s="129">
        <v>15.9</v>
      </c>
      <c r="ES144" s="27">
        <v>31.199999999999992</v>
      </c>
      <c r="ET144" s="27">
        <v>31.199999999999992</v>
      </c>
      <c r="EU144" s="27">
        <v>31.199999999999992</v>
      </c>
      <c r="EV144" s="27">
        <v>31.199999999999992</v>
      </c>
      <c r="EW144" s="27">
        <v>31.199999999999992</v>
      </c>
      <c r="EX144" s="27">
        <v>31.199999999999992</v>
      </c>
      <c r="EY144" s="27">
        <v>31.199999999999992</v>
      </c>
      <c r="EZ144" s="27">
        <v>31.199999999999992</v>
      </c>
      <c r="FA144" s="27">
        <v>31.199999999999992</v>
      </c>
      <c r="FB144" s="129">
        <v>15.9</v>
      </c>
      <c r="FD144" s="27">
        <v>32.199999999999974</v>
      </c>
      <c r="FE144" s="27">
        <v>32.199999999999974</v>
      </c>
      <c r="FF144" s="27">
        <v>32.199999999999974</v>
      </c>
      <c r="FG144" s="27">
        <v>32.199999999999974</v>
      </c>
      <c r="FH144" s="27">
        <v>32.199999999999974</v>
      </c>
      <c r="FI144" s="27">
        <v>32.199999999999974</v>
      </c>
      <c r="FJ144" s="27">
        <v>32.199999999999974</v>
      </c>
      <c r="FK144" s="27">
        <v>32.199999999999974</v>
      </c>
      <c r="FL144" s="27">
        <v>32.199999999999974</v>
      </c>
      <c r="FM144" s="129">
        <v>15.9</v>
      </c>
      <c r="FO144" s="27">
        <v>49.400000000000013</v>
      </c>
      <c r="FP144" s="27">
        <v>49.400000000000013</v>
      </c>
      <c r="FQ144" s="27">
        <v>49.400000000000013</v>
      </c>
      <c r="FR144" s="27">
        <v>49.400000000000013</v>
      </c>
      <c r="FS144" s="27">
        <v>49.400000000000013</v>
      </c>
      <c r="FT144" s="27">
        <v>49.400000000000013</v>
      </c>
      <c r="FU144" s="27">
        <v>49.400000000000013</v>
      </c>
      <c r="FV144" s="27">
        <v>49.400000000000013</v>
      </c>
      <c r="FW144" s="27">
        <v>49.400000000000013</v>
      </c>
      <c r="FX144" s="129">
        <v>15.9</v>
      </c>
      <c r="FZ144" s="27">
        <v>49.400000000000013</v>
      </c>
      <c r="GA144" s="27">
        <v>49.400000000000013</v>
      </c>
      <c r="GB144" s="27">
        <v>49.400000000000013</v>
      </c>
      <c r="GC144" s="27">
        <v>49.400000000000013</v>
      </c>
      <c r="GD144" s="27">
        <v>49.400000000000013</v>
      </c>
      <c r="GE144" s="27">
        <v>49.400000000000013</v>
      </c>
      <c r="GF144" s="27">
        <v>49.400000000000013</v>
      </c>
      <c r="GG144" s="27">
        <v>49.400000000000013</v>
      </c>
      <c r="GH144" s="27">
        <v>49.400000000000013</v>
      </c>
      <c r="GI144" s="129">
        <v>15.9</v>
      </c>
      <c r="GJ144" s="27"/>
      <c r="GK144" s="27">
        <v>12.100000000000003</v>
      </c>
      <c r="GL144" s="27">
        <v>12.100000000000003</v>
      </c>
      <c r="GM144" s="27">
        <v>12.100000000000003</v>
      </c>
      <c r="GN144" s="27">
        <v>12.100000000000003</v>
      </c>
      <c r="GO144" s="27">
        <v>12.100000000000003</v>
      </c>
      <c r="GP144" s="27">
        <v>12.100000000000003</v>
      </c>
      <c r="GQ144" s="27">
        <v>12.100000000000003</v>
      </c>
      <c r="GR144" s="27">
        <v>12.100000000000003</v>
      </c>
      <c r="GS144" s="27">
        <v>12.100000000000003</v>
      </c>
      <c r="GT144" s="129">
        <v>15.9</v>
      </c>
      <c r="GV144" s="27">
        <v>14.100000000000003</v>
      </c>
      <c r="GW144" s="27">
        <v>14.100000000000003</v>
      </c>
      <c r="GX144" s="27">
        <v>14.100000000000003</v>
      </c>
      <c r="GY144" s="27">
        <v>14.100000000000003</v>
      </c>
      <c r="GZ144" s="27">
        <v>14.100000000000003</v>
      </c>
      <c r="HA144" s="27">
        <v>14.100000000000003</v>
      </c>
      <c r="HB144" s="27">
        <v>14.100000000000003</v>
      </c>
      <c r="HC144" s="27">
        <v>14.100000000000003</v>
      </c>
      <c r="HD144" s="27">
        <v>14.100000000000003</v>
      </c>
      <c r="HE144" s="129">
        <v>15.9</v>
      </c>
      <c r="HG144" s="27">
        <v>19.200000000000006</v>
      </c>
      <c r="HH144" s="27">
        <v>19.200000000000006</v>
      </c>
      <c r="HI144" s="27">
        <v>19.200000000000006</v>
      </c>
      <c r="HJ144" s="27">
        <v>19.200000000000006</v>
      </c>
      <c r="HK144" s="27">
        <v>19.200000000000006</v>
      </c>
      <c r="HL144" s="27">
        <v>19.200000000000006</v>
      </c>
      <c r="HM144" s="27">
        <v>19.200000000000006</v>
      </c>
      <c r="HN144" s="27">
        <v>19.200000000000006</v>
      </c>
      <c r="HO144" s="27">
        <v>19.200000000000006</v>
      </c>
      <c r="HP144" s="129">
        <v>15.9</v>
      </c>
      <c r="HR144" s="27">
        <v>19.200000000000006</v>
      </c>
      <c r="HS144" s="27">
        <v>19.200000000000006</v>
      </c>
      <c r="HT144" s="27">
        <v>19.200000000000006</v>
      </c>
      <c r="HU144" s="27">
        <v>19.200000000000006</v>
      </c>
      <c r="HV144" s="27">
        <v>19.200000000000006</v>
      </c>
      <c r="HW144" s="27">
        <v>19.200000000000006</v>
      </c>
      <c r="HX144" s="27">
        <v>19.200000000000006</v>
      </c>
      <c r="HY144" s="27">
        <v>19.200000000000006</v>
      </c>
      <c r="HZ144" s="27">
        <v>19.200000000000006</v>
      </c>
      <c r="IA144" s="129">
        <v>15.9</v>
      </c>
    </row>
    <row r="145" spans="15:235" ht="3" customHeight="1">
      <c r="O145" s="129">
        <v>6</v>
      </c>
      <c r="P145" s="129">
        <v>6</v>
      </c>
      <c r="Q145" s="129">
        <v>6</v>
      </c>
      <c r="R145" s="129">
        <v>6</v>
      </c>
      <c r="S145" s="129">
        <v>6</v>
      </c>
      <c r="T145" s="129">
        <v>6</v>
      </c>
      <c r="U145" s="129">
        <v>6</v>
      </c>
      <c r="V145" s="129">
        <v>6</v>
      </c>
      <c r="W145" s="129">
        <v>6</v>
      </c>
      <c r="X145" s="129">
        <v>14</v>
      </c>
      <c r="Y145" s="27"/>
      <c r="Z145" s="129">
        <v>13</v>
      </c>
      <c r="AA145" s="129">
        <v>13</v>
      </c>
      <c r="AB145" s="129">
        <v>13</v>
      </c>
      <c r="AC145" s="129">
        <v>13</v>
      </c>
      <c r="AD145" s="129">
        <v>13</v>
      </c>
      <c r="AE145" s="129">
        <v>13</v>
      </c>
      <c r="AF145" s="129">
        <v>13</v>
      </c>
      <c r="AG145" s="129">
        <v>13</v>
      </c>
      <c r="AH145" s="129">
        <v>13</v>
      </c>
      <c r="AI145" s="129">
        <v>14</v>
      </c>
      <c r="AK145" s="129">
        <v>33</v>
      </c>
      <c r="AL145" s="129">
        <v>33</v>
      </c>
      <c r="AM145" s="129">
        <v>33</v>
      </c>
      <c r="AN145" s="129">
        <v>33</v>
      </c>
      <c r="AO145" s="129">
        <v>33</v>
      </c>
      <c r="AP145" s="129">
        <v>33</v>
      </c>
      <c r="AQ145" s="129">
        <v>33</v>
      </c>
      <c r="AR145" s="129">
        <v>33</v>
      </c>
      <c r="AS145" s="129">
        <v>33</v>
      </c>
      <c r="AT145" s="129">
        <v>14</v>
      </c>
      <c r="AV145" s="129">
        <v>36</v>
      </c>
      <c r="AW145" s="129">
        <v>36</v>
      </c>
      <c r="AX145" s="129">
        <v>36</v>
      </c>
      <c r="AY145" s="129">
        <v>36</v>
      </c>
      <c r="AZ145" s="129">
        <v>36</v>
      </c>
      <c r="BA145" s="129">
        <v>36</v>
      </c>
      <c r="BB145" s="129">
        <v>36</v>
      </c>
      <c r="BC145" s="129">
        <v>36</v>
      </c>
      <c r="BD145" s="129">
        <v>36</v>
      </c>
      <c r="BE145" s="129">
        <v>14</v>
      </c>
      <c r="BG145" s="129">
        <v>56</v>
      </c>
      <c r="BH145" s="129">
        <v>56</v>
      </c>
      <c r="BI145" s="129">
        <v>56</v>
      </c>
      <c r="BJ145" s="129">
        <v>56</v>
      </c>
      <c r="BK145" s="129">
        <v>56</v>
      </c>
      <c r="BL145" s="129">
        <v>56</v>
      </c>
      <c r="BM145" s="129">
        <v>56</v>
      </c>
      <c r="BN145" s="129">
        <v>56</v>
      </c>
      <c r="BO145" s="129">
        <v>56</v>
      </c>
      <c r="BP145" s="129">
        <v>14</v>
      </c>
      <c r="BR145" s="129">
        <v>56</v>
      </c>
      <c r="BS145" s="129">
        <v>56</v>
      </c>
      <c r="BT145" s="129">
        <v>56</v>
      </c>
      <c r="BU145" s="129">
        <v>56</v>
      </c>
      <c r="BV145" s="129">
        <v>56</v>
      </c>
      <c r="BW145" s="129">
        <v>56</v>
      </c>
      <c r="BX145" s="129">
        <v>56</v>
      </c>
      <c r="BY145" s="129">
        <v>56</v>
      </c>
      <c r="BZ145" s="129">
        <v>56</v>
      </c>
      <c r="CA145" s="129">
        <v>14</v>
      </c>
      <c r="CC145" s="129">
        <v>13</v>
      </c>
      <c r="CD145" s="129">
        <v>13</v>
      </c>
      <c r="CE145" s="129">
        <v>13</v>
      </c>
      <c r="CF145" s="129">
        <v>13</v>
      </c>
      <c r="CG145" s="129">
        <v>13</v>
      </c>
      <c r="CH145" s="129">
        <v>13</v>
      </c>
      <c r="CI145" s="129">
        <v>13</v>
      </c>
      <c r="CJ145" s="129">
        <v>13</v>
      </c>
      <c r="CK145" s="129">
        <v>13</v>
      </c>
      <c r="CL145" s="129">
        <v>14</v>
      </c>
      <c r="CN145" s="129">
        <v>16</v>
      </c>
      <c r="CO145" s="129">
        <v>16</v>
      </c>
      <c r="CP145" s="129">
        <v>16</v>
      </c>
      <c r="CQ145" s="129">
        <v>16</v>
      </c>
      <c r="CR145" s="129">
        <v>16</v>
      </c>
      <c r="CS145" s="129">
        <v>16</v>
      </c>
      <c r="CT145" s="129">
        <v>16</v>
      </c>
      <c r="CU145" s="129">
        <v>16</v>
      </c>
      <c r="CV145" s="129">
        <v>16</v>
      </c>
      <c r="CW145" s="129">
        <v>14</v>
      </c>
      <c r="CY145" s="129">
        <v>22</v>
      </c>
      <c r="CZ145" s="129">
        <v>22</v>
      </c>
      <c r="DA145" s="129">
        <v>22</v>
      </c>
      <c r="DB145" s="129">
        <v>22</v>
      </c>
      <c r="DC145" s="129">
        <v>22</v>
      </c>
      <c r="DD145" s="129">
        <v>22</v>
      </c>
      <c r="DE145" s="129">
        <v>22</v>
      </c>
      <c r="DF145" s="129">
        <v>22</v>
      </c>
      <c r="DG145" s="129">
        <v>22</v>
      </c>
      <c r="DH145" s="129">
        <v>14</v>
      </c>
      <c r="DJ145" s="129">
        <v>22</v>
      </c>
      <c r="DK145" s="129">
        <v>22</v>
      </c>
      <c r="DL145" s="129">
        <v>22</v>
      </c>
      <c r="DM145" s="129">
        <v>22</v>
      </c>
      <c r="DN145" s="129">
        <v>22</v>
      </c>
      <c r="DO145" s="129">
        <v>22</v>
      </c>
      <c r="DP145" s="129">
        <v>22</v>
      </c>
      <c r="DQ145" s="129">
        <v>22</v>
      </c>
      <c r="DR145" s="129">
        <v>22</v>
      </c>
      <c r="DS145" s="129">
        <v>14</v>
      </c>
      <c r="DW145" s="27">
        <v>10</v>
      </c>
      <c r="DX145" s="27">
        <v>10</v>
      </c>
      <c r="DY145" s="27">
        <v>10</v>
      </c>
      <c r="DZ145" s="27">
        <v>10</v>
      </c>
      <c r="EA145" s="27">
        <v>10</v>
      </c>
      <c r="EB145" s="27">
        <v>10</v>
      </c>
      <c r="EC145" s="27">
        <v>10</v>
      </c>
      <c r="ED145" s="27">
        <v>10</v>
      </c>
      <c r="EE145" s="27">
        <v>10</v>
      </c>
      <c r="EF145" s="129">
        <v>16</v>
      </c>
      <c r="EH145" s="27">
        <v>21</v>
      </c>
      <c r="EI145" s="27">
        <v>21</v>
      </c>
      <c r="EJ145" s="27">
        <v>21</v>
      </c>
      <c r="EK145" s="27">
        <v>21</v>
      </c>
      <c r="EL145" s="27">
        <v>21</v>
      </c>
      <c r="EM145" s="27">
        <v>21</v>
      </c>
      <c r="EN145" s="27">
        <v>21</v>
      </c>
      <c r="EO145" s="27">
        <v>21</v>
      </c>
      <c r="EP145" s="27">
        <v>21</v>
      </c>
      <c r="EQ145" s="129">
        <v>16</v>
      </c>
      <c r="ES145" s="27">
        <v>31</v>
      </c>
      <c r="ET145" s="27">
        <v>31</v>
      </c>
      <c r="EU145" s="27">
        <v>31</v>
      </c>
      <c r="EV145" s="27">
        <v>31</v>
      </c>
      <c r="EW145" s="27">
        <v>31</v>
      </c>
      <c r="EX145" s="27">
        <v>31</v>
      </c>
      <c r="EY145" s="27">
        <v>31</v>
      </c>
      <c r="EZ145" s="27">
        <v>31</v>
      </c>
      <c r="FA145" s="27">
        <v>31</v>
      </c>
      <c r="FB145" s="129">
        <v>16</v>
      </c>
      <c r="FD145" s="27">
        <v>32</v>
      </c>
      <c r="FE145" s="27">
        <v>32</v>
      </c>
      <c r="FF145" s="27">
        <v>32</v>
      </c>
      <c r="FG145" s="27">
        <v>32</v>
      </c>
      <c r="FH145" s="27">
        <v>32</v>
      </c>
      <c r="FI145" s="27">
        <v>32</v>
      </c>
      <c r="FJ145" s="27">
        <v>32</v>
      </c>
      <c r="FK145" s="27">
        <v>32</v>
      </c>
      <c r="FL145" s="27">
        <v>32</v>
      </c>
      <c r="FM145" s="129">
        <v>16</v>
      </c>
      <c r="FO145" s="27">
        <v>49</v>
      </c>
      <c r="FP145" s="27">
        <v>49</v>
      </c>
      <c r="FQ145" s="27">
        <v>49</v>
      </c>
      <c r="FR145" s="27">
        <v>49</v>
      </c>
      <c r="FS145" s="27">
        <v>49</v>
      </c>
      <c r="FT145" s="27">
        <v>49</v>
      </c>
      <c r="FU145" s="27">
        <v>49</v>
      </c>
      <c r="FV145" s="27">
        <v>49</v>
      </c>
      <c r="FW145" s="27">
        <v>49</v>
      </c>
      <c r="FX145" s="129">
        <v>16</v>
      </c>
      <c r="FZ145" s="27">
        <v>49</v>
      </c>
      <c r="GA145" s="27">
        <v>49</v>
      </c>
      <c r="GB145" s="27">
        <v>49</v>
      </c>
      <c r="GC145" s="27">
        <v>49</v>
      </c>
      <c r="GD145" s="27">
        <v>49</v>
      </c>
      <c r="GE145" s="27">
        <v>49</v>
      </c>
      <c r="GF145" s="27">
        <v>49</v>
      </c>
      <c r="GG145" s="27">
        <v>49</v>
      </c>
      <c r="GH145" s="27">
        <v>49</v>
      </c>
      <c r="GI145" s="129">
        <v>16</v>
      </c>
      <c r="GJ145" s="27"/>
      <c r="GK145" s="27">
        <v>12</v>
      </c>
      <c r="GL145" s="27">
        <v>12</v>
      </c>
      <c r="GM145" s="27">
        <v>12</v>
      </c>
      <c r="GN145" s="27">
        <v>12</v>
      </c>
      <c r="GO145" s="27">
        <v>12</v>
      </c>
      <c r="GP145" s="27">
        <v>12</v>
      </c>
      <c r="GQ145" s="27">
        <v>12</v>
      </c>
      <c r="GR145" s="27">
        <v>12</v>
      </c>
      <c r="GS145" s="27">
        <v>12</v>
      </c>
      <c r="GT145" s="129">
        <v>16</v>
      </c>
      <c r="GV145" s="27">
        <v>14</v>
      </c>
      <c r="GW145" s="27">
        <v>14</v>
      </c>
      <c r="GX145" s="27">
        <v>14</v>
      </c>
      <c r="GY145" s="27">
        <v>14</v>
      </c>
      <c r="GZ145" s="27">
        <v>14</v>
      </c>
      <c r="HA145" s="27">
        <v>14</v>
      </c>
      <c r="HB145" s="27">
        <v>14</v>
      </c>
      <c r="HC145" s="27">
        <v>14</v>
      </c>
      <c r="HD145" s="27">
        <v>14</v>
      </c>
      <c r="HE145" s="129">
        <v>16</v>
      </c>
      <c r="HG145" s="27">
        <v>19</v>
      </c>
      <c r="HH145" s="27">
        <v>19</v>
      </c>
      <c r="HI145" s="27">
        <v>19</v>
      </c>
      <c r="HJ145" s="27">
        <v>19</v>
      </c>
      <c r="HK145" s="27">
        <v>19</v>
      </c>
      <c r="HL145" s="27">
        <v>19</v>
      </c>
      <c r="HM145" s="27">
        <v>19</v>
      </c>
      <c r="HN145" s="27">
        <v>19</v>
      </c>
      <c r="HO145" s="27">
        <v>19</v>
      </c>
      <c r="HP145" s="129">
        <v>16</v>
      </c>
      <c r="HR145" s="27">
        <v>19</v>
      </c>
      <c r="HS145" s="27">
        <v>19</v>
      </c>
      <c r="HT145" s="27">
        <v>19</v>
      </c>
      <c r="HU145" s="27">
        <v>19</v>
      </c>
      <c r="HV145" s="27">
        <v>19</v>
      </c>
      <c r="HW145" s="27">
        <v>19</v>
      </c>
      <c r="HX145" s="27">
        <v>19</v>
      </c>
      <c r="HY145" s="27">
        <v>19</v>
      </c>
      <c r="HZ145" s="27">
        <v>19</v>
      </c>
      <c r="IA145" s="129">
        <v>16</v>
      </c>
    </row>
    <row r="146" spans="15:235">
      <c r="O146" s="129">
        <v>5.9</v>
      </c>
      <c r="P146" s="129">
        <v>5.9</v>
      </c>
      <c r="Q146" s="129">
        <v>5.9</v>
      </c>
      <c r="R146" s="129">
        <v>5.9</v>
      </c>
      <c r="S146" s="129">
        <v>5.9</v>
      </c>
      <c r="T146" s="129">
        <v>5.9</v>
      </c>
      <c r="U146" s="129">
        <v>5.9</v>
      </c>
      <c r="V146" s="129">
        <v>5.9</v>
      </c>
      <c r="W146" s="129">
        <v>5.9</v>
      </c>
      <c r="X146" s="129">
        <v>14.1</v>
      </c>
      <c r="Y146" s="27"/>
      <c r="Z146" s="129">
        <v>12.7</v>
      </c>
      <c r="AA146" s="129">
        <v>12.7</v>
      </c>
      <c r="AB146" s="129">
        <v>12.7</v>
      </c>
      <c r="AC146" s="129">
        <v>12.7</v>
      </c>
      <c r="AD146" s="129">
        <v>12.7</v>
      </c>
      <c r="AE146" s="129">
        <v>12.7</v>
      </c>
      <c r="AF146" s="129">
        <v>12.7</v>
      </c>
      <c r="AG146" s="129">
        <v>12.7</v>
      </c>
      <c r="AH146" s="129">
        <v>12.7</v>
      </c>
      <c r="AI146" s="129">
        <v>14.1</v>
      </c>
      <c r="AK146" s="129">
        <v>32.4</v>
      </c>
      <c r="AL146" s="129">
        <v>32.4</v>
      </c>
      <c r="AM146" s="129">
        <v>32.4</v>
      </c>
      <c r="AN146" s="129">
        <v>32.4</v>
      </c>
      <c r="AO146" s="129">
        <v>32.4</v>
      </c>
      <c r="AP146" s="129">
        <v>32.4</v>
      </c>
      <c r="AQ146" s="129">
        <v>32.4</v>
      </c>
      <c r="AR146" s="129">
        <v>32.4</v>
      </c>
      <c r="AS146" s="129">
        <v>32.4</v>
      </c>
      <c r="AT146" s="129">
        <v>14.1</v>
      </c>
      <c r="AV146" s="129">
        <v>35.799999999999997</v>
      </c>
      <c r="AW146" s="129">
        <v>35.799999999999997</v>
      </c>
      <c r="AX146" s="129">
        <v>35.799999999999997</v>
      </c>
      <c r="AY146" s="129">
        <v>35.799999999999997</v>
      </c>
      <c r="AZ146" s="129">
        <v>35.799999999999997</v>
      </c>
      <c r="BA146" s="129">
        <v>35.799999999999997</v>
      </c>
      <c r="BB146" s="129">
        <v>35.799999999999997</v>
      </c>
      <c r="BC146" s="129">
        <v>35.799999999999997</v>
      </c>
      <c r="BD146" s="129">
        <v>35.799999999999997</v>
      </c>
      <c r="BE146" s="129">
        <v>14.1</v>
      </c>
      <c r="BG146" s="129">
        <v>55.3</v>
      </c>
      <c r="BH146" s="129">
        <v>55.3</v>
      </c>
      <c r="BI146" s="129">
        <v>55.3</v>
      </c>
      <c r="BJ146" s="129">
        <v>55.3</v>
      </c>
      <c r="BK146" s="129">
        <v>55.3</v>
      </c>
      <c r="BL146" s="129">
        <v>55.3</v>
      </c>
      <c r="BM146" s="129">
        <v>55.3</v>
      </c>
      <c r="BN146" s="129">
        <v>55.3</v>
      </c>
      <c r="BO146" s="129">
        <v>55.3</v>
      </c>
      <c r="BP146" s="129">
        <v>14.1</v>
      </c>
      <c r="BR146" s="129">
        <v>55.3</v>
      </c>
      <c r="BS146" s="129">
        <v>55.3</v>
      </c>
      <c r="BT146" s="129">
        <v>55.3</v>
      </c>
      <c r="BU146" s="129">
        <v>55.3</v>
      </c>
      <c r="BV146" s="129">
        <v>55.3</v>
      </c>
      <c r="BW146" s="129">
        <v>55.3</v>
      </c>
      <c r="BX146" s="129">
        <v>55.3</v>
      </c>
      <c r="BY146" s="129">
        <v>55.3</v>
      </c>
      <c r="BZ146" s="129">
        <v>55.3</v>
      </c>
      <c r="CA146" s="129">
        <v>14.1</v>
      </c>
      <c r="CC146" s="129">
        <v>13</v>
      </c>
      <c r="CD146" s="129">
        <v>13</v>
      </c>
      <c r="CE146" s="129">
        <v>13</v>
      </c>
      <c r="CF146" s="129">
        <v>13</v>
      </c>
      <c r="CG146" s="129">
        <v>13</v>
      </c>
      <c r="CH146" s="129">
        <v>13</v>
      </c>
      <c r="CI146" s="129">
        <v>13</v>
      </c>
      <c r="CJ146" s="129">
        <v>13</v>
      </c>
      <c r="CK146" s="129">
        <v>13</v>
      </c>
      <c r="CL146" s="129">
        <v>14.1</v>
      </c>
      <c r="CN146" s="129">
        <v>15.9</v>
      </c>
      <c r="CO146" s="129">
        <v>15.9</v>
      </c>
      <c r="CP146" s="129">
        <v>15.9</v>
      </c>
      <c r="CQ146" s="129">
        <v>15.9</v>
      </c>
      <c r="CR146" s="129">
        <v>15.9</v>
      </c>
      <c r="CS146" s="129">
        <v>15.9</v>
      </c>
      <c r="CT146" s="129">
        <v>15.9</v>
      </c>
      <c r="CU146" s="129">
        <v>15.9</v>
      </c>
      <c r="CV146" s="129">
        <v>15.9</v>
      </c>
      <c r="CW146" s="129">
        <v>14.1</v>
      </c>
      <c r="CY146" s="129">
        <v>21.9</v>
      </c>
      <c r="CZ146" s="129">
        <v>21.9</v>
      </c>
      <c r="DA146" s="129">
        <v>21.9</v>
      </c>
      <c r="DB146" s="129">
        <v>21.9</v>
      </c>
      <c r="DC146" s="129">
        <v>21.9</v>
      </c>
      <c r="DD146" s="129">
        <v>21.9</v>
      </c>
      <c r="DE146" s="129">
        <v>21.9</v>
      </c>
      <c r="DF146" s="129">
        <v>21.9</v>
      </c>
      <c r="DG146" s="129">
        <v>21.9</v>
      </c>
      <c r="DH146" s="129">
        <v>14.1</v>
      </c>
      <c r="DJ146" s="129">
        <v>21.9</v>
      </c>
      <c r="DK146" s="129">
        <v>21.9</v>
      </c>
      <c r="DL146" s="129">
        <v>21.9</v>
      </c>
      <c r="DM146" s="129">
        <v>21.9</v>
      </c>
      <c r="DN146" s="129">
        <v>21.9</v>
      </c>
      <c r="DO146" s="129">
        <v>21.9</v>
      </c>
      <c r="DP146" s="129">
        <v>21.9</v>
      </c>
      <c r="DQ146" s="129">
        <v>21.9</v>
      </c>
      <c r="DR146" s="129">
        <v>21.9</v>
      </c>
      <c r="DS146" s="129">
        <v>14.1</v>
      </c>
      <c r="DW146" s="27">
        <v>9.8000000000000007</v>
      </c>
      <c r="DX146" s="27">
        <v>9.8000000000000007</v>
      </c>
      <c r="DY146" s="27">
        <v>9.8000000000000007</v>
      </c>
      <c r="DZ146" s="27">
        <v>9.8000000000000007</v>
      </c>
      <c r="EA146" s="27">
        <v>9.8000000000000007</v>
      </c>
      <c r="EB146" s="27">
        <v>9.8000000000000007</v>
      </c>
      <c r="EC146" s="27">
        <v>9.8000000000000007</v>
      </c>
      <c r="ED146" s="27">
        <v>9.8000000000000007</v>
      </c>
      <c r="EE146" s="27">
        <v>9.8000000000000007</v>
      </c>
      <c r="EF146" s="129">
        <v>16.100000000000001</v>
      </c>
      <c r="EH146" s="27">
        <v>20.6</v>
      </c>
      <c r="EI146" s="27">
        <v>20.6</v>
      </c>
      <c r="EJ146" s="27">
        <v>20.6</v>
      </c>
      <c r="EK146" s="27">
        <v>20.6</v>
      </c>
      <c r="EL146" s="27">
        <v>20.6</v>
      </c>
      <c r="EM146" s="27">
        <v>20.6</v>
      </c>
      <c r="EN146" s="27">
        <v>20.6</v>
      </c>
      <c r="EO146" s="27">
        <v>20.6</v>
      </c>
      <c r="EP146" s="27">
        <v>20.6</v>
      </c>
      <c r="EQ146" s="129">
        <v>16.100000000000001</v>
      </c>
      <c r="ES146" s="27">
        <v>30.8</v>
      </c>
      <c r="ET146" s="27">
        <v>30.8</v>
      </c>
      <c r="EU146" s="27">
        <v>30.8</v>
      </c>
      <c r="EV146" s="27">
        <v>30.8</v>
      </c>
      <c r="EW146" s="27">
        <v>30.8</v>
      </c>
      <c r="EX146" s="27">
        <v>30.8</v>
      </c>
      <c r="EY146" s="27">
        <v>30.8</v>
      </c>
      <c r="EZ146" s="27">
        <v>30.8</v>
      </c>
      <c r="FA146" s="27">
        <v>30.8</v>
      </c>
      <c r="FB146" s="129">
        <v>16.100000000000001</v>
      </c>
      <c r="FD146" s="27">
        <v>31.8</v>
      </c>
      <c r="FE146" s="27">
        <v>31.8</v>
      </c>
      <c r="FF146" s="27">
        <v>31.8</v>
      </c>
      <c r="FG146" s="27">
        <v>31.8</v>
      </c>
      <c r="FH146" s="27">
        <v>31.8</v>
      </c>
      <c r="FI146" s="27">
        <v>31.8</v>
      </c>
      <c r="FJ146" s="27">
        <v>31.8</v>
      </c>
      <c r="FK146" s="27">
        <v>31.8</v>
      </c>
      <c r="FL146" s="27">
        <v>31.8</v>
      </c>
      <c r="FM146" s="129">
        <v>16.100000000000001</v>
      </c>
      <c r="FO146" s="27">
        <v>48.7</v>
      </c>
      <c r="FP146" s="27">
        <v>48.7</v>
      </c>
      <c r="FQ146" s="27">
        <v>48.7</v>
      </c>
      <c r="FR146" s="27">
        <v>48.7</v>
      </c>
      <c r="FS146" s="27">
        <v>48.7</v>
      </c>
      <c r="FT146" s="27">
        <v>48.7</v>
      </c>
      <c r="FU146" s="27">
        <v>48.7</v>
      </c>
      <c r="FV146" s="27">
        <v>48.7</v>
      </c>
      <c r="FW146" s="27">
        <v>48.7</v>
      </c>
      <c r="FX146" s="129">
        <v>16.100000000000001</v>
      </c>
      <c r="FZ146" s="27">
        <v>48.7</v>
      </c>
      <c r="GA146" s="27">
        <v>48.7</v>
      </c>
      <c r="GB146" s="27">
        <v>48.7</v>
      </c>
      <c r="GC146" s="27">
        <v>48.7</v>
      </c>
      <c r="GD146" s="27">
        <v>48.7</v>
      </c>
      <c r="GE146" s="27">
        <v>48.7</v>
      </c>
      <c r="GF146" s="27">
        <v>48.7</v>
      </c>
      <c r="GG146" s="27">
        <v>48.7</v>
      </c>
      <c r="GH146" s="27">
        <v>48.7</v>
      </c>
      <c r="GI146" s="129">
        <v>16.100000000000001</v>
      </c>
      <c r="GJ146" s="27"/>
      <c r="GK146" s="27">
        <v>11.9</v>
      </c>
      <c r="GL146" s="27">
        <v>11.9</v>
      </c>
      <c r="GM146" s="27">
        <v>11.9</v>
      </c>
      <c r="GN146" s="27">
        <v>11.9</v>
      </c>
      <c r="GO146" s="27">
        <v>11.9</v>
      </c>
      <c r="GP146" s="27">
        <v>11.9</v>
      </c>
      <c r="GQ146" s="27">
        <v>11.9</v>
      </c>
      <c r="GR146" s="27">
        <v>11.9</v>
      </c>
      <c r="GS146" s="27">
        <v>11.9</v>
      </c>
      <c r="GT146" s="129">
        <v>16.100000000000001</v>
      </c>
      <c r="GV146" s="27">
        <v>13.9</v>
      </c>
      <c r="GW146" s="27">
        <v>13.9</v>
      </c>
      <c r="GX146" s="27">
        <v>13.9</v>
      </c>
      <c r="GY146" s="27">
        <v>13.9</v>
      </c>
      <c r="GZ146" s="27">
        <v>13.9</v>
      </c>
      <c r="HA146" s="27">
        <v>13.9</v>
      </c>
      <c r="HB146" s="27">
        <v>13.9</v>
      </c>
      <c r="HC146" s="27">
        <v>13.9</v>
      </c>
      <c r="HD146" s="27">
        <v>13.9</v>
      </c>
      <c r="HE146" s="129">
        <v>16.100000000000001</v>
      </c>
      <c r="HG146" s="27">
        <v>18.899999999999999</v>
      </c>
      <c r="HH146" s="27">
        <v>18.899999999999999</v>
      </c>
      <c r="HI146" s="27">
        <v>18.899999999999999</v>
      </c>
      <c r="HJ146" s="27">
        <v>18.899999999999999</v>
      </c>
      <c r="HK146" s="27">
        <v>18.899999999999999</v>
      </c>
      <c r="HL146" s="27">
        <v>18.899999999999999</v>
      </c>
      <c r="HM146" s="27">
        <v>18.899999999999999</v>
      </c>
      <c r="HN146" s="27">
        <v>18.899999999999999</v>
      </c>
      <c r="HO146" s="27">
        <v>18.899999999999999</v>
      </c>
      <c r="HP146" s="129">
        <v>16.100000000000001</v>
      </c>
      <c r="HR146" s="27">
        <v>18.899999999999999</v>
      </c>
      <c r="HS146" s="27">
        <v>18.899999999999999</v>
      </c>
      <c r="HT146" s="27">
        <v>18.899999999999999</v>
      </c>
      <c r="HU146" s="27">
        <v>18.899999999999999</v>
      </c>
      <c r="HV146" s="27">
        <v>18.899999999999999</v>
      </c>
      <c r="HW146" s="27">
        <v>18.899999999999999</v>
      </c>
      <c r="HX146" s="27">
        <v>18.899999999999999</v>
      </c>
      <c r="HY146" s="27">
        <v>18.899999999999999</v>
      </c>
      <c r="HZ146" s="27">
        <v>18.899999999999999</v>
      </c>
      <c r="IA146" s="129">
        <v>16.100000000000001</v>
      </c>
    </row>
    <row r="147" spans="15:235" ht="3" customHeight="1">
      <c r="O147" s="129">
        <v>5.8000000000000007</v>
      </c>
      <c r="P147" s="129">
        <v>5.8000000000000007</v>
      </c>
      <c r="Q147" s="129">
        <v>5.8000000000000007</v>
      </c>
      <c r="R147" s="129">
        <v>5.8000000000000007</v>
      </c>
      <c r="S147" s="129">
        <v>5.8000000000000007</v>
      </c>
      <c r="T147" s="129">
        <v>5.8000000000000007</v>
      </c>
      <c r="U147" s="129">
        <v>5.8000000000000007</v>
      </c>
      <c r="V147" s="129">
        <v>5.8000000000000007</v>
      </c>
      <c r="W147" s="129">
        <v>5.8000000000000007</v>
      </c>
      <c r="X147" s="129">
        <v>14.2</v>
      </c>
      <c r="Y147" s="27"/>
      <c r="Z147" s="129">
        <v>12.399999999999999</v>
      </c>
      <c r="AA147" s="129">
        <v>12.399999999999999</v>
      </c>
      <c r="AB147" s="129">
        <v>12.399999999999999</v>
      </c>
      <c r="AC147" s="129">
        <v>12.399999999999999</v>
      </c>
      <c r="AD147" s="129">
        <v>12.399999999999999</v>
      </c>
      <c r="AE147" s="129">
        <v>12.399999999999999</v>
      </c>
      <c r="AF147" s="129">
        <v>12.399999999999999</v>
      </c>
      <c r="AG147" s="129">
        <v>12.399999999999999</v>
      </c>
      <c r="AH147" s="129">
        <v>12.399999999999999</v>
      </c>
      <c r="AI147" s="129">
        <v>14.2</v>
      </c>
      <c r="AK147" s="129">
        <v>31.799999999999997</v>
      </c>
      <c r="AL147" s="129">
        <v>31.799999999999997</v>
      </c>
      <c r="AM147" s="129">
        <v>31.799999999999997</v>
      </c>
      <c r="AN147" s="129">
        <v>31.799999999999997</v>
      </c>
      <c r="AO147" s="129">
        <v>31.799999999999997</v>
      </c>
      <c r="AP147" s="129">
        <v>31.799999999999997</v>
      </c>
      <c r="AQ147" s="129">
        <v>31.799999999999997</v>
      </c>
      <c r="AR147" s="129">
        <v>31.799999999999997</v>
      </c>
      <c r="AS147" s="129">
        <v>31.799999999999997</v>
      </c>
      <c r="AT147" s="129">
        <v>14.2</v>
      </c>
      <c r="AV147" s="129">
        <v>35.599999999999994</v>
      </c>
      <c r="AW147" s="129">
        <v>35.599999999999994</v>
      </c>
      <c r="AX147" s="129">
        <v>35.599999999999994</v>
      </c>
      <c r="AY147" s="129">
        <v>35.599999999999994</v>
      </c>
      <c r="AZ147" s="129">
        <v>35.599999999999994</v>
      </c>
      <c r="BA147" s="129">
        <v>35.599999999999994</v>
      </c>
      <c r="BB147" s="129">
        <v>35.599999999999994</v>
      </c>
      <c r="BC147" s="129">
        <v>35.599999999999994</v>
      </c>
      <c r="BD147" s="129">
        <v>35.599999999999994</v>
      </c>
      <c r="BE147" s="129">
        <v>14.2</v>
      </c>
      <c r="BG147" s="129">
        <v>54.599999999999994</v>
      </c>
      <c r="BH147" s="129">
        <v>54.599999999999994</v>
      </c>
      <c r="BI147" s="129">
        <v>54.599999999999994</v>
      </c>
      <c r="BJ147" s="129">
        <v>54.599999999999994</v>
      </c>
      <c r="BK147" s="129">
        <v>54.599999999999994</v>
      </c>
      <c r="BL147" s="129">
        <v>54.599999999999994</v>
      </c>
      <c r="BM147" s="129">
        <v>54.599999999999994</v>
      </c>
      <c r="BN147" s="129">
        <v>54.599999999999994</v>
      </c>
      <c r="BO147" s="129">
        <v>54.599999999999994</v>
      </c>
      <c r="BP147" s="129">
        <v>14.2</v>
      </c>
      <c r="BR147" s="129">
        <v>54.599999999999994</v>
      </c>
      <c r="BS147" s="129">
        <v>54.599999999999994</v>
      </c>
      <c r="BT147" s="129">
        <v>54.599999999999994</v>
      </c>
      <c r="BU147" s="129">
        <v>54.599999999999994</v>
      </c>
      <c r="BV147" s="129">
        <v>54.599999999999994</v>
      </c>
      <c r="BW147" s="129">
        <v>54.599999999999994</v>
      </c>
      <c r="BX147" s="129">
        <v>54.599999999999994</v>
      </c>
      <c r="BY147" s="129">
        <v>54.599999999999994</v>
      </c>
      <c r="BZ147" s="129">
        <v>54.599999999999994</v>
      </c>
      <c r="CA147" s="129">
        <v>14.2</v>
      </c>
      <c r="CC147" s="129">
        <v>13</v>
      </c>
      <c r="CD147" s="129">
        <v>13</v>
      </c>
      <c r="CE147" s="129">
        <v>13</v>
      </c>
      <c r="CF147" s="129">
        <v>13</v>
      </c>
      <c r="CG147" s="129">
        <v>13</v>
      </c>
      <c r="CH147" s="129">
        <v>13</v>
      </c>
      <c r="CI147" s="129">
        <v>13</v>
      </c>
      <c r="CJ147" s="129">
        <v>13</v>
      </c>
      <c r="CK147" s="129">
        <v>13</v>
      </c>
      <c r="CL147" s="129">
        <v>14.2</v>
      </c>
      <c r="CN147" s="129">
        <v>15.8</v>
      </c>
      <c r="CO147" s="129">
        <v>15.8</v>
      </c>
      <c r="CP147" s="129">
        <v>15.8</v>
      </c>
      <c r="CQ147" s="129">
        <v>15.8</v>
      </c>
      <c r="CR147" s="129">
        <v>15.8</v>
      </c>
      <c r="CS147" s="129">
        <v>15.8</v>
      </c>
      <c r="CT147" s="129">
        <v>15.8</v>
      </c>
      <c r="CU147" s="129">
        <v>15.8</v>
      </c>
      <c r="CV147" s="129">
        <v>15.8</v>
      </c>
      <c r="CW147" s="129">
        <v>14.2</v>
      </c>
      <c r="CY147" s="129">
        <v>21.799999999999997</v>
      </c>
      <c r="CZ147" s="129">
        <v>21.799999999999997</v>
      </c>
      <c r="DA147" s="129">
        <v>21.799999999999997</v>
      </c>
      <c r="DB147" s="129">
        <v>21.799999999999997</v>
      </c>
      <c r="DC147" s="129">
        <v>21.799999999999997</v>
      </c>
      <c r="DD147" s="129">
        <v>21.799999999999997</v>
      </c>
      <c r="DE147" s="129">
        <v>21.799999999999997</v>
      </c>
      <c r="DF147" s="129">
        <v>21.799999999999997</v>
      </c>
      <c r="DG147" s="129">
        <v>21.799999999999997</v>
      </c>
      <c r="DH147" s="129">
        <v>14.2</v>
      </c>
      <c r="DJ147" s="129">
        <v>21.799999999999997</v>
      </c>
      <c r="DK147" s="129">
        <v>21.799999999999997</v>
      </c>
      <c r="DL147" s="129">
        <v>21.799999999999997</v>
      </c>
      <c r="DM147" s="129">
        <v>21.799999999999997</v>
      </c>
      <c r="DN147" s="129">
        <v>21.799999999999997</v>
      </c>
      <c r="DO147" s="129">
        <v>21.799999999999997</v>
      </c>
      <c r="DP147" s="129">
        <v>21.799999999999997</v>
      </c>
      <c r="DQ147" s="129">
        <v>21.799999999999997</v>
      </c>
      <c r="DR147" s="129">
        <v>21.799999999999997</v>
      </c>
      <c r="DS147" s="129">
        <v>14.2</v>
      </c>
      <c r="DW147" s="27">
        <v>9.6000000000000014</v>
      </c>
      <c r="DX147" s="27">
        <v>9.6000000000000014</v>
      </c>
      <c r="DY147" s="27">
        <v>9.6000000000000014</v>
      </c>
      <c r="DZ147" s="27">
        <v>9.6000000000000014</v>
      </c>
      <c r="EA147" s="27">
        <v>9.6000000000000014</v>
      </c>
      <c r="EB147" s="27">
        <v>9.6000000000000014</v>
      </c>
      <c r="EC147" s="27">
        <v>9.6000000000000014</v>
      </c>
      <c r="ED147" s="27">
        <v>9.6000000000000014</v>
      </c>
      <c r="EE147" s="27">
        <v>9.6000000000000014</v>
      </c>
      <c r="EF147" s="129">
        <v>16.2</v>
      </c>
      <c r="EH147" s="27">
        <v>20.200000000000003</v>
      </c>
      <c r="EI147" s="27">
        <v>20.200000000000003</v>
      </c>
      <c r="EJ147" s="27">
        <v>20.200000000000003</v>
      </c>
      <c r="EK147" s="27">
        <v>20.200000000000003</v>
      </c>
      <c r="EL147" s="27">
        <v>20.200000000000003</v>
      </c>
      <c r="EM147" s="27">
        <v>20.200000000000003</v>
      </c>
      <c r="EN147" s="27">
        <v>20.200000000000003</v>
      </c>
      <c r="EO147" s="27">
        <v>20.200000000000003</v>
      </c>
      <c r="EP147" s="27">
        <v>20.200000000000003</v>
      </c>
      <c r="EQ147" s="129">
        <v>16.2</v>
      </c>
      <c r="ES147" s="27">
        <v>30.6</v>
      </c>
      <c r="ET147" s="27">
        <v>30.6</v>
      </c>
      <c r="EU147" s="27">
        <v>30.6</v>
      </c>
      <c r="EV147" s="27">
        <v>30.6</v>
      </c>
      <c r="EW147" s="27">
        <v>30.6</v>
      </c>
      <c r="EX147" s="27">
        <v>30.6</v>
      </c>
      <c r="EY147" s="27">
        <v>30.6</v>
      </c>
      <c r="EZ147" s="27">
        <v>30.6</v>
      </c>
      <c r="FA147" s="27">
        <v>30.6</v>
      </c>
      <c r="FB147" s="129">
        <v>16.2</v>
      </c>
      <c r="FD147" s="27">
        <v>31.6</v>
      </c>
      <c r="FE147" s="27">
        <v>31.6</v>
      </c>
      <c r="FF147" s="27">
        <v>31.6</v>
      </c>
      <c r="FG147" s="27">
        <v>31.6</v>
      </c>
      <c r="FH147" s="27">
        <v>31.6</v>
      </c>
      <c r="FI147" s="27">
        <v>31.6</v>
      </c>
      <c r="FJ147" s="27">
        <v>31.6</v>
      </c>
      <c r="FK147" s="27">
        <v>31.6</v>
      </c>
      <c r="FL147" s="27">
        <v>31.6</v>
      </c>
      <c r="FM147" s="129">
        <v>16.2</v>
      </c>
      <c r="FO147" s="27">
        <v>48.400000000000006</v>
      </c>
      <c r="FP147" s="27">
        <v>48.400000000000006</v>
      </c>
      <c r="FQ147" s="27">
        <v>48.400000000000006</v>
      </c>
      <c r="FR147" s="27">
        <v>48.400000000000006</v>
      </c>
      <c r="FS147" s="27">
        <v>48.400000000000006</v>
      </c>
      <c r="FT147" s="27">
        <v>48.400000000000006</v>
      </c>
      <c r="FU147" s="27">
        <v>48.400000000000006</v>
      </c>
      <c r="FV147" s="27">
        <v>48.400000000000006</v>
      </c>
      <c r="FW147" s="27">
        <v>48.400000000000006</v>
      </c>
      <c r="FX147" s="129">
        <v>16.2</v>
      </c>
      <c r="FZ147" s="27">
        <v>48.400000000000006</v>
      </c>
      <c r="GA147" s="27">
        <v>48.400000000000006</v>
      </c>
      <c r="GB147" s="27">
        <v>48.400000000000006</v>
      </c>
      <c r="GC147" s="27">
        <v>48.400000000000006</v>
      </c>
      <c r="GD147" s="27">
        <v>48.400000000000006</v>
      </c>
      <c r="GE147" s="27">
        <v>48.400000000000006</v>
      </c>
      <c r="GF147" s="27">
        <v>48.400000000000006</v>
      </c>
      <c r="GG147" s="27">
        <v>48.400000000000006</v>
      </c>
      <c r="GH147" s="27">
        <v>48.400000000000006</v>
      </c>
      <c r="GI147" s="129">
        <v>16.2</v>
      </c>
      <c r="GJ147" s="27"/>
      <c r="GK147" s="27">
        <v>11.8</v>
      </c>
      <c r="GL147" s="27">
        <v>11.8</v>
      </c>
      <c r="GM147" s="27">
        <v>11.8</v>
      </c>
      <c r="GN147" s="27">
        <v>11.8</v>
      </c>
      <c r="GO147" s="27">
        <v>11.8</v>
      </c>
      <c r="GP147" s="27">
        <v>11.8</v>
      </c>
      <c r="GQ147" s="27">
        <v>11.8</v>
      </c>
      <c r="GR147" s="27">
        <v>11.8</v>
      </c>
      <c r="GS147" s="27">
        <v>11.8</v>
      </c>
      <c r="GT147" s="129">
        <v>16.2</v>
      </c>
      <c r="GV147" s="27">
        <v>13.8</v>
      </c>
      <c r="GW147" s="27">
        <v>13.8</v>
      </c>
      <c r="GX147" s="27">
        <v>13.8</v>
      </c>
      <c r="GY147" s="27">
        <v>13.8</v>
      </c>
      <c r="GZ147" s="27">
        <v>13.8</v>
      </c>
      <c r="HA147" s="27">
        <v>13.8</v>
      </c>
      <c r="HB147" s="27">
        <v>13.8</v>
      </c>
      <c r="HC147" s="27">
        <v>13.8</v>
      </c>
      <c r="HD147" s="27">
        <v>13.8</v>
      </c>
      <c r="HE147" s="129">
        <v>16.2</v>
      </c>
      <c r="HG147" s="27">
        <v>18.799999999999997</v>
      </c>
      <c r="HH147" s="27">
        <v>18.799999999999997</v>
      </c>
      <c r="HI147" s="27">
        <v>18.799999999999997</v>
      </c>
      <c r="HJ147" s="27">
        <v>18.799999999999997</v>
      </c>
      <c r="HK147" s="27">
        <v>18.799999999999997</v>
      </c>
      <c r="HL147" s="27">
        <v>18.799999999999997</v>
      </c>
      <c r="HM147" s="27">
        <v>18.799999999999997</v>
      </c>
      <c r="HN147" s="27">
        <v>18.799999999999997</v>
      </c>
      <c r="HO147" s="27">
        <v>18.799999999999997</v>
      </c>
      <c r="HP147" s="129">
        <v>16.2</v>
      </c>
      <c r="HR147" s="27">
        <v>18.799999999999997</v>
      </c>
      <c r="HS147" s="27">
        <v>18.799999999999997</v>
      </c>
      <c r="HT147" s="27">
        <v>18.799999999999997</v>
      </c>
      <c r="HU147" s="27">
        <v>18.799999999999997</v>
      </c>
      <c r="HV147" s="27">
        <v>18.799999999999997</v>
      </c>
      <c r="HW147" s="27">
        <v>18.799999999999997</v>
      </c>
      <c r="HX147" s="27">
        <v>18.799999999999997</v>
      </c>
      <c r="HY147" s="27">
        <v>18.799999999999997</v>
      </c>
      <c r="HZ147" s="27">
        <v>18.799999999999997</v>
      </c>
      <c r="IA147" s="129">
        <v>16.2</v>
      </c>
    </row>
    <row r="148" spans="15:235" ht="3" customHeight="1">
      <c r="O148" s="129">
        <v>5.7000000000000011</v>
      </c>
      <c r="P148" s="129">
        <v>5.7000000000000011</v>
      </c>
      <c r="Q148" s="129">
        <v>5.7000000000000011</v>
      </c>
      <c r="R148" s="129">
        <v>5.7000000000000011</v>
      </c>
      <c r="S148" s="129">
        <v>5.7000000000000011</v>
      </c>
      <c r="T148" s="129">
        <v>5.7000000000000011</v>
      </c>
      <c r="U148" s="129">
        <v>5.7000000000000011</v>
      </c>
      <c r="V148" s="129">
        <v>5.7000000000000011</v>
      </c>
      <c r="W148" s="129">
        <v>5.7000000000000011</v>
      </c>
      <c r="X148" s="129">
        <v>14.3</v>
      </c>
      <c r="Y148" s="27"/>
      <c r="Z148" s="129">
        <v>12.099999999999998</v>
      </c>
      <c r="AA148" s="129">
        <v>12.099999999999998</v>
      </c>
      <c r="AB148" s="129">
        <v>12.099999999999998</v>
      </c>
      <c r="AC148" s="129">
        <v>12.099999999999998</v>
      </c>
      <c r="AD148" s="129">
        <v>12.099999999999998</v>
      </c>
      <c r="AE148" s="129">
        <v>12.099999999999998</v>
      </c>
      <c r="AF148" s="129">
        <v>12.099999999999998</v>
      </c>
      <c r="AG148" s="129">
        <v>12.099999999999998</v>
      </c>
      <c r="AH148" s="129">
        <v>12.099999999999998</v>
      </c>
      <c r="AI148" s="129">
        <v>14.3</v>
      </c>
      <c r="AK148" s="129">
        <v>31.199999999999996</v>
      </c>
      <c r="AL148" s="129">
        <v>31.199999999999996</v>
      </c>
      <c r="AM148" s="129">
        <v>31.199999999999996</v>
      </c>
      <c r="AN148" s="129">
        <v>31.199999999999996</v>
      </c>
      <c r="AO148" s="129">
        <v>31.199999999999996</v>
      </c>
      <c r="AP148" s="129">
        <v>31.199999999999996</v>
      </c>
      <c r="AQ148" s="129">
        <v>31.199999999999996</v>
      </c>
      <c r="AR148" s="129">
        <v>31.199999999999996</v>
      </c>
      <c r="AS148" s="129">
        <v>31.199999999999996</v>
      </c>
      <c r="AT148" s="129">
        <v>14.3</v>
      </c>
      <c r="AV148" s="129">
        <v>35.399999999999991</v>
      </c>
      <c r="AW148" s="129">
        <v>35.399999999999991</v>
      </c>
      <c r="AX148" s="129">
        <v>35.399999999999991</v>
      </c>
      <c r="AY148" s="129">
        <v>35.399999999999991</v>
      </c>
      <c r="AZ148" s="129">
        <v>35.399999999999991</v>
      </c>
      <c r="BA148" s="129">
        <v>35.399999999999991</v>
      </c>
      <c r="BB148" s="129">
        <v>35.399999999999991</v>
      </c>
      <c r="BC148" s="129">
        <v>35.399999999999991</v>
      </c>
      <c r="BD148" s="129">
        <v>35.399999999999991</v>
      </c>
      <c r="BE148" s="129">
        <v>14.3</v>
      </c>
      <c r="BG148" s="129">
        <v>53.899999999999991</v>
      </c>
      <c r="BH148" s="129">
        <v>53.899999999999991</v>
      </c>
      <c r="BI148" s="129">
        <v>53.899999999999991</v>
      </c>
      <c r="BJ148" s="129">
        <v>53.899999999999991</v>
      </c>
      <c r="BK148" s="129">
        <v>53.899999999999991</v>
      </c>
      <c r="BL148" s="129">
        <v>53.899999999999991</v>
      </c>
      <c r="BM148" s="129">
        <v>53.899999999999991</v>
      </c>
      <c r="BN148" s="129">
        <v>53.899999999999991</v>
      </c>
      <c r="BO148" s="129">
        <v>53.899999999999991</v>
      </c>
      <c r="BP148" s="129">
        <v>14.3</v>
      </c>
      <c r="BR148" s="129">
        <v>53.899999999999991</v>
      </c>
      <c r="BS148" s="129">
        <v>53.899999999999991</v>
      </c>
      <c r="BT148" s="129">
        <v>53.899999999999991</v>
      </c>
      <c r="BU148" s="129">
        <v>53.899999999999991</v>
      </c>
      <c r="BV148" s="129">
        <v>53.899999999999991</v>
      </c>
      <c r="BW148" s="129">
        <v>53.899999999999991</v>
      </c>
      <c r="BX148" s="129">
        <v>53.899999999999991</v>
      </c>
      <c r="BY148" s="129">
        <v>53.899999999999991</v>
      </c>
      <c r="BZ148" s="129">
        <v>53.899999999999991</v>
      </c>
      <c r="CA148" s="129">
        <v>14.3</v>
      </c>
      <c r="CC148" s="129">
        <v>13</v>
      </c>
      <c r="CD148" s="129">
        <v>13</v>
      </c>
      <c r="CE148" s="129">
        <v>13</v>
      </c>
      <c r="CF148" s="129">
        <v>13</v>
      </c>
      <c r="CG148" s="129">
        <v>13</v>
      </c>
      <c r="CH148" s="129">
        <v>13</v>
      </c>
      <c r="CI148" s="129">
        <v>13</v>
      </c>
      <c r="CJ148" s="129">
        <v>13</v>
      </c>
      <c r="CK148" s="129">
        <v>13</v>
      </c>
      <c r="CL148" s="129">
        <v>14.3</v>
      </c>
      <c r="CN148" s="129">
        <v>15.700000000000001</v>
      </c>
      <c r="CO148" s="129">
        <v>15.700000000000001</v>
      </c>
      <c r="CP148" s="129">
        <v>15.700000000000001</v>
      </c>
      <c r="CQ148" s="129">
        <v>15.700000000000001</v>
      </c>
      <c r="CR148" s="129">
        <v>15.700000000000001</v>
      </c>
      <c r="CS148" s="129">
        <v>15.700000000000001</v>
      </c>
      <c r="CT148" s="129">
        <v>15.700000000000001</v>
      </c>
      <c r="CU148" s="129">
        <v>15.700000000000001</v>
      </c>
      <c r="CV148" s="129">
        <v>15.700000000000001</v>
      </c>
      <c r="CW148" s="129">
        <v>14.3</v>
      </c>
      <c r="CY148" s="129">
        <v>21.699999999999996</v>
      </c>
      <c r="CZ148" s="129">
        <v>21.699999999999996</v>
      </c>
      <c r="DA148" s="129">
        <v>21.699999999999996</v>
      </c>
      <c r="DB148" s="129">
        <v>21.699999999999996</v>
      </c>
      <c r="DC148" s="129">
        <v>21.699999999999996</v>
      </c>
      <c r="DD148" s="129">
        <v>21.699999999999996</v>
      </c>
      <c r="DE148" s="129">
        <v>21.699999999999996</v>
      </c>
      <c r="DF148" s="129">
        <v>21.699999999999996</v>
      </c>
      <c r="DG148" s="129">
        <v>21.699999999999996</v>
      </c>
      <c r="DH148" s="129">
        <v>14.3</v>
      </c>
      <c r="DJ148" s="129">
        <v>21.699999999999996</v>
      </c>
      <c r="DK148" s="129">
        <v>21.699999999999996</v>
      </c>
      <c r="DL148" s="129">
        <v>21.699999999999996</v>
      </c>
      <c r="DM148" s="129">
        <v>21.699999999999996</v>
      </c>
      <c r="DN148" s="129">
        <v>21.699999999999996</v>
      </c>
      <c r="DO148" s="129">
        <v>21.699999999999996</v>
      </c>
      <c r="DP148" s="129">
        <v>21.699999999999996</v>
      </c>
      <c r="DQ148" s="129">
        <v>21.699999999999996</v>
      </c>
      <c r="DR148" s="129">
        <v>21.699999999999996</v>
      </c>
      <c r="DS148" s="129">
        <v>14.3</v>
      </c>
      <c r="DW148" s="27">
        <v>9.4000000000000021</v>
      </c>
      <c r="DX148" s="27">
        <v>9.4000000000000021</v>
      </c>
      <c r="DY148" s="27">
        <v>9.4000000000000021</v>
      </c>
      <c r="DZ148" s="27">
        <v>9.4000000000000021</v>
      </c>
      <c r="EA148" s="27">
        <v>9.4000000000000021</v>
      </c>
      <c r="EB148" s="27">
        <v>9.4000000000000021</v>
      </c>
      <c r="EC148" s="27">
        <v>9.4000000000000021</v>
      </c>
      <c r="ED148" s="27">
        <v>9.4000000000000021</v>
      </c>
      <c r="EE148" s="27">
        <v>9.4000000000000021</v>
      </c>
      <c r="EF148" s="129">
        <v>16.3</v>
      </c>
      <c r="EH148" s="27">
        <v>19.800000000000004</v>
      </c>
      <c r="EI148" s="27">
        <v>19.800000000000004</v>
      </c>
      <c r="EJ148" s="27">
        <v>19.800000000000004</v>
      </c>
      <c r="EK148" s="27">
        <v>19.800000000000004</v>
      </c>
      <c r="EL148" s="27">
        <v>19.800000000000004</v>
      </c>
      <c r="EM148" s="27">
        <v>19.800000000000004</v>
      </c>
      <c r="EN148" s="27">
        <v>19.800000000000004</v>
      </c>
      <c r="EO148" s="27">
        <v>19.800000000000004</v>
      </c>
      <c r="EP148" s="27">
        <v>19.800000000000004</v>
      </c>
      <c r="EQ148" s="129">
        <v>16.3</v>
      </c>
      <c r="ES148" s="27">
        <v>30.400000000000002</v>
      </c>
      <c r="ET148" s="27">
        <v>30.400000000000002</v>
      </c>
      <c r="EU148" s="27">
        <v>30.400000000000002</v>
      </c>
      <c r="EV148" s="27">
        <v>30.400000000000002</v>
      </c>
      <c r="EW148" s="27">
        <v>30.400000000000002</v>
      </c>
      <c r="EX148" s="27">
        <v>30.400000000000002</v>
      </c>
      <c r="EY148" s="27">
        <v>30.400000000000002</v>
      </c>
      <c r="EZ148" s="27">
        <v>30.400000000000002</v>
      </c>
      <c r="FA148" s="27">
        <v>30.400000000000002</v>
      </c>
      <c r="FB148" s="129">
        <v>16.3</v>
      </c>
      <c r="FD148" s="27">
        <v>31.400000000000002</v>
      </c>
      <c r="FE148" s="27">
        <v>31.400000000000002</v>
      </c>
      <c r="FF148" s="27">
        <v>31.400000000000002</v>
      </c>
      <c r="FG148" s="27">
        <v>31.400000000000002</v>
      </c>
      <c r="FH148" s="27">
        <v>31.400000000000002</v>
      </c>
      <c r="FI148" s="27">
        <v>31.400000000000002</v>
      </c>
      <c r="FJ148" s="27">
        <v>31.400000000000002</v>
      </c>
      <c r="FK148" s="27">
        <v>31.400000000000002</v>
      </c>
      <c r="FL148" s="27">
        <v>31.400000000000002</v>
      </c>
      <c r="FM148" s="129">
        <v>16.3</v>
      </c>
      <c r="FO148" s="27">
        <v>48.100000000000009</v>
      </c>
      <c r="FP148" s="27">
        <v>48.100000000000009</v>
      </c>
      <c r="FQ148" s="27">
        <v>48.100000000000009</v>
      </c>
      <c r="FR148" s="27">
        <v>48.100000000000009</v>
      </c>
      <c r="FS148" s="27">
        <v>48.100000000000009</v>
      </c>
      <c r="FT148" s="27">
        <v>48.100000000000009</v>
      </c>
      <c r="FU148" s="27">
        <v>48.100000000000009</v>
      </c>
      <c r="FV148" s="27">
        <v>48.100000000000009</v>
      </c>
      <c r="FW148" s="27">
        <v>48.100000000000009</v>
      </c>
      <c r="FX148" s="129">
        <v>16.3</v>
      </c>
      <c r="FZ148" s="27">
        <v>48.100000000000009</v>
      </c>
      <c r="GA148" s="27">
        <v>48.100000000000009</v>
      </c>
      <c r="GB148" s="27">
        <v>48.100000000000009</v>
      </c>
      <c r="GC148" s="27">
        <v>48.100000000000009</v>
      </c>
      <c r="GD148" s="27">
        <v>48.100000000000009</v>
      </c>
      <c r="GE148" s="27">
        <v>48.100000000000009</v>
      </c>
      <c r="GF148" s="27">
        <v>48.100000000000009</v>
      </c>
      <c r="GG148" s="27">
        <v>48.100000000000009</v>
      </c>
      <c r="GH148" s="27">
        <v>48.100000000000009</v>
      </c>
      <c r="GI148" s="129">
        <v>16.3</v>
      </c>
      <c r="GJ148" s="27"/>
      <c r="GK148" s="27">
        <v>11.700000000000001</v>
      </c>
      <c r="GL148" s="27">
        <v>11.700000000000001</v>
      </c>
      <c r="GM148" s="27">
        <v>11.700000000000001</v>
      </c>
      <c r="GN148" s="27">
        <v>11.700000000000001</v>
      </c>
      <c r="GO148" s="27">
        <v>11.700000000000001</v>
      </c>
      <c r="GP148" s="27">
        <v>11.700000000000001</v>
      </c>
      <c r="GQ148" s="27">
        <v>11.700000000000001</v>
      </c>
      <c r="GR148" s="27">
        <v>11.700000000000001</v>
      </c>
      <c r="GS148" s="27">
        <v>11.700000000000001</v>
      </c>
      <c r="GT148" s="129">
        <v>16.3</v>
      </c>
      <c r="GV148" s="27">
        <v>13.700000000000001</v>
      </c>
      <c r="GW148" s="27">
        <v>13.700000000000001</v>
      </c>
      <c r="GX148" s="27">
        <v>13.700000000000001</v>
      </c>
      <c r="GY148" s="27">
        <v>13.700000000000001</v>
      </c>
      <c r="GZ148" s="27">
        <v>13.700000000000001</v>
      </c>
      <c r="HA148" s="27">
        <v>13.700000000000001</v>
      </c>
      <c r="HB148" s="27">
        <v>13.700000000000001</v>
      </c>
      <c r="HC148" s="27">
        <v>13.700000000000001</v>
      </c>
      <c r="HD148" s="27">
        <v>13.700000000000001</v>
      </c>
      <c r="HE148" s="129">
        <v>16.3</v>
      </c>
      <c r="HG148" s="27">
        <v>18.699999999999996</v>
      </c>
      <c r="HH148" s="27">
        <v>18.699999999999996</v>
      </c>
      <c r="HI148" s="27">
        <v>18.699999999999996</v>
      </c>
      <c r="HJ148" s="27">
        <v>18.699999999999996</v>
      </c>
      <c r="HK148" s="27">
        <v>18.699999999999996</v>
      </c>
      <c r="HL148" s="27">
        <v>18.699999999999996</v>
      </c>
      <c r="HM148" s="27">
        <v>18.699999999999996</v>
      </c>
      <c r="HN148" s="27">
        <v>18.699999999999996</v>
      </c>
      <c r="HO148" s="27">
        <v>18.699999999999996</v>
      </c>
      <c r="HP148" s="129">
        <v>16.3</v>
      </c>
      <c r="HR148" s="27">
        <v>18.699999999999996</v>
      </c>
      <c r="HS148" s="27">
        <v>18.699999999999996</v>
      </c>
      <c r="HT148" s="27">
        <v>18.699999999999996</v>
      </c>
      <c r="HU148" s="27">
        <v>18.699999999999996</v>
      </c>
      <c r="HV148" s="27">
        <v>18.699999999999996</v>
      </c>
      <c r="HW148" s="27">
        <v>18.699999999999996</v>
      </c>
      <c r="HX148" s="27">
        <v>18.699999999999996</v>
      </c>
      <c r="HY148" s="27">
        <v>18.699999999999996</v>
      </c>
      <c r="HZ148" s="27">
        <v>18.699999999999996</v>
      </c>
      <c r="IA148" s="129">
        <v>16.3</v>
      </c>
    </row>
    <row r="149" spans="15:235" ht="3" customHeight="1">
      <c r="O149" s="129">
        <v>5.6000000000000014</v>
      </c>
      <c r="P149" s="129">
        <v>5.6000000000000014</v>
      </c>
      <c r="Q149" s="129">
        <v>5.6000000000000014</v>
      </c>
      <c r="R149" s="129">
        <v>5.6000000000000014</v>
      </c>
      <c r="S149" s="129">
        <v>5.6000000000000014</v>
      </c>
      <c r="T149" s="129">
        <v>5.6000000000000014</v>
      </c>
      <c r="U149" s="129">
        <v>5.6000000000000014</v>
      </c>
      <c r="V149" s="129">
        <v>5.6000000000000014</v>
      </c>
      <c r="W149" s="129">
        <v>5.6000000000000014</v>
      </c>
      <c r="X149" s="129">
        <v>14.4</v>
      </c>
      <c r="Y149" s="27"/>
      <c r="Z149" s="129">
        <v>11.799999999999997</v>
      </c>
      <c r="AA149" s="129">
        <v>11.799999999999997</v>
      </c>
      <c r="AB149" s="129">
        <v>11.799999999999997</v>
      </c>
      <c r="AC149" s="129">
        <v>11.799999999999997</v>
      </c>
      <c r="AD149" s="129">
        <v>11.799999999999997</v>
      </c>
      <c r="AE149" s="129">
        <v>11.799999999999997</v>
      </c>
      <c r="AF149" s="129">
        <v>11.799999999999997</v>
      </c>
      <c r="AG149" s="129">
        <v>11.799999999999997</v>
      </c>
      <c r="AH149" s="129">
        <v>11.799999999999997</v>
      </c>
      <c r="AI149" s="129">
        <v>14.4</v>
      </c>
      <c r="AK149" s="129">
        <v>30.599999999999994</v>
      </c>
      <c r="AL149" s="129">
        <v>30.599999999999994</v>
      </c>
      <c r="AM149" s="129">
        <v>30.599999999999994</v>
      </c>
      <c r="AN149" s="129">
        <v>30.599999999999994</v>
      </c>
      <c r="AO149" s="129">
        <v>30.599999999999994</v>
      </c>
      <c r="AP149" s="129">
        <v>30.599999999999994</v>
      </c>
      <c r="AQ149" s="129">
        <v>30.599999999999994</v>
      </c>
      <c r="AR149" s="129">
        <v>30.599999999999994</v>
      </c>
      <c r="AS149" s="129">
        <v>30.599999999999994</v>
      </c>
      <c r="AT149" s="129">
        <v>14.4</v>
      </c>
      <c r="AV149" s="129">
        <v>35.199999999999989</v>
      </c>
      <c r="AW149" s="129">
        <v>35.199999999999989</v>
      </c>
      <c r="AX149" s="129">
        <v>35.199999999999989</v>
      </c>
      <c r="AY149" s="129">
        <v>35.199999999999989</v>
      </c>
      <c r="AZ149" s="129">
        <v>35.199999999999989</v>
      </c>
      <c r="BA149" s="129">
        <v>35.199999999999989</v>
      </c>
      <c r="BB149" s="129">
        <v>35.199999999999989</v>
      </c>
      <c r="BC149" s="129">
        <v>35.199999999999989</v>
      </c>
      <c r="BD149" s="129">
        <v>35.199999999999989</v>
      </c>
      <c r="BE149" s="129">
        <v>14.4</v>
      </c>
      <c r="BG149" s="129">
        <v>53.199999999999989</v>
      </c>
      <c r="BH149" s="129">
        <v>53.199999999999989</v>
      </c>
      <c r="BI149" s="129">
        <v>53.199999999999989</v>
      </c>
      <c r="BJ149" s="129">
        <v>53.199999999999989</v>
      </c>
      <c r="BK149" s="129">
        <v>53.199999999999989</v>
      </c>
      <c r="BL149" s="129">
        <v>53.199999999999989</v>
      </c>
      <c r="BM149" s="129">
        <v>53.199999999999989</v>
      </c>
      <c r="BN149" s="129">
        <v>53.199999999999989</v>
      </c>
      <c r="BO149" s="129">
        <v>53.199999999999989</v>
      </c>
      <c r="BP149" s="129">
        <v>14.4</v>
      </c>
      <c r="BR149" s="129">
        <v>53.199999999999989</v>
      </c>
      <c r="BS149" s="129">
        <v>53.199999999999989</v>
      </c>
      <c r="BT149" s="129">
        <v>53.199999999999989</v>
      </c>
      <c r="BU149" s="129">
        <v>53.199999999999989</v>
      </c>
      <c r="BV149" s="129">
        <v>53.199999999999989</v>
      </c>
      <c r="BW149" s="129">
        <v>53.199999999999989</v>
      </c>
      <c r="BX149" s="129">
        <v>53.199999999999989</v>
      </c>
      <c r="BY149" s="129">
        <v>53.199999999999989</v>
      </c>
      <c r="BZ149" s="129">
        <v>53.199999999999989</v>
      </c>
      <c r="CA149" s="129">
        <v>14.4</v>
      </c>
      <c r="CC149" s="129">
        <v>13</v>
      </c>
      <c r="CD149" s="129">
        <v>13</v>
      </c>
      <c r="CE149" s="129">
        <v>13</v>
      </c>
      <c r="CF149" s="129">
        <v>13</v>
      </c>
      <c r="CG149" s="129">
        <v>13</v>
      </c>
      <c r="CH149" s="129">
        <v>13</v>
      </c>
      <c r="CI149" s="129">
        <v>13</v>
      </c>
      <c r="CJ149" s="129">
        <v>13</v>
      </c>
      <c r="CK149" s="129">
        <v>13</v>
      </c>
      <c r="CL149" s="129">
        <v>14.4</v>
      </c>
      <c r="CN149" s="129">
        <v>15.600000000000001</v>
      </c>
      <c r="CO149" s="129">
        <v>15.600000000000001</v>
      </c>
      <c r="CP149" s="129">
        <v>15.600000000000001</v>
      </c>
      <c r="CQ149" s="129">
        <v>15.600000000000001</v>
      </c>
      <c r="CR149" s="129">
        <v>15.600000000000001</v>
      </c>
      <c r="CS149" s="129">
        <v>15.600000000000001</v>
      </c>
      <c r="CT149" s="129">
        <v>15.600000000000001</v>
      </c>
      <c r="CU149" s="129">
        <v>15.600000000000001</v>
      </c>
      <c r="CV149" s="129">
        <v>15.600000000000001</v>
      </c>
      <c r="CW149" s="129">
        <v>14.4</v>
      </c>
      <c r="CY149" s="129">
        <v>21.599999999999994</v>
      </c>
      <c r="CZ149" s="129">
        <v>21.599999999999994</v>
      </c>
      <c r="DA149" s="129">
        <v>21.599999999999994</v>
      </c>
      <c r="DB149" s="129">
        <v>21.599999999999994</v>
      </c>
      <c r="DC149" s="129">
        <v>21.599999999999994</v>
      </c>
      <c r="DD149" s="129">
        <v>21.599999999999994</v>
      </c>
      <c r="DE149" s="129">
        <v>21.599999999999994</v>
      </c>
      <c r="DF149" s="129">
        <v>21.599999999999994</v>
      </c>
      <c r="DG149" s="129">
        <v>21.599999999999994</v>
      </c>
      <c r="DH149" s="129">
        <v>14.4</v>
      </c>
      <c r="DJ149" s="129">
        <v>21.599999999999994</v>
      </c>
      <c r="DK149" s="129">
        <v>21.599999999999994</v>
      </c>
      <c r="DL149" s="129">
        <v>21.599999999999994</v>
      </c>
      <c r="DM149" s="129">
        <v>21.599999999999994</v>
      </c>
      <c r="DN149" s="129">
        <v>21.599999999999994</v>
      </c>
      <c r="DO149" s="129">
        <v>21.599999999999994</v>
      </c>
      <c r="DP149" s="129">
        <v>21.599999999999994</v>
      </c>
      <c r="DQ149" s="129">
        <v>21.599999999999994</v>
      </c>
      <c r="DR149" s="129">
        <v>21.599999999999994</v>
      </c>
      <c r="DS149" s="129">
        <v>14.4</v>
      </c>
      <c r="DW149" s="27">
        <v>9.2000000000000028</v>
      </c>
      <c r="DX149" s="27">
        <v>9.2000000000000028</v>
      </c>
      <c r="DY149" s="27">
        <v>9.2000000000000028</v>
      </c>
      <c r="DZ149" s="27">
        <v>9.2000000000000028</v>
      </c>
      <c r="EA149" s="27">
        <v>9.2000000000000028</v>
      </c>
      <c r="EB149" s="27">
        <v>9.2000000000000028</v>
      </c>
      <c r="EC149" s="27">
        <v>9.2000000000000028</v>
      </c>
      <c r="ED149" s="27">
        <v>9.2000000000000028</v>
      </c>
      <c r="EE149" s="27">
        <v>9.2000000000000028</v>
      </c>
      <c r="EF149" s="129">
        <v>16.399999999999999</v>
      </c>
      <c r="EH149" s="27">
        <v>19.400000000000006</v>
      </c>
      <c r="EI149" s="27">
        <v>19.400000000000006</v>
      </c>
      <c r="EJ149" s="27">
        <v>19.400000000000006</v>
      </c>
      <c r="EK149" s="27">
        <v>19.400000000000006</v>
      </c>
      <c r="EL149" s="27">
        <v>19.400000000000006</v>
      </c>
      <c r="EM149" s="27">
        <v>19.400000000000006</v>
      </c>
      <c r="EN149" s="27">
        <v>19.400000000000006</v>
      </c>
      <c r="EO149" s="27">
        <v>19.400000000000006</v>
      </c>
      <c r="EP149" s="27">
        <v>19.400000000000006</v>
      </c>
      <c r="EQ149" s="129">
        <v>16.399999999999999</v>
      </c>
      <c r="ES149" s="27">
        <v>30.200000000000003</v>
      </c>
      <c r="ET149" s="27">
        <v>30.200000000000003</v>
      </c>
      <c r="EU149" s="27">
        <v>30.200000000000003</v>
      </c>
      <c r="EV149" s="27">
        <v>30.200000000000003</v>
      </c>
      <c r="EW149" s="27">
        <v>30.200000000000003</v>
      </c>
      <c r="EX149" s="27">
        <v>30.200000000000003</v>
      </c>
      <c r="EY149" s="27">
        <v>30.200000000000003</v>
      </c>
      <c r="EZ149" s="27">
        <v>30.200000000000003</v>
      </c>
      <c r="FA149" s="27">
        <v>30.200000000000003</v>
      </c>
      <c r="FB149" s="129">
        <v>16.399999999999999</v>
      </c>
      <c r="FD149" s="27">
        <v>31.200000000000003</v>
      </c>
      <c r="FE149" s="27">
        <v>31.200000000000003</v>
      </c>
      <c r="FF149" s="27">
        <v>31.200000000000003</v>
      </c>
      <c r="FG149" s="27">
        <v>31.200000000000003</v>
      </c>
      <c r="FH149" s="27">
        <v>31.200000000000003</v>
      </c>
      <c r="FI149" s="27">
        <v>31.200000000000003</v>
      </c>
      <c r="FJ149" s="27">
        <v>31.200000000000003</v>
      </c>
      <c r="FK149" s="27">
        <v>31.200000000000003</v>
      </c>
      <c r="FL149" s="27">
        <v>31.200000000000003</v>
      </c>
      <c r="FM149" s="129">
        <v>16.399999999999999</v>
      </c>
      <c r="FO149" s="27">
        <v>47.800000000000011</v>
      </c>
      <c r="FP149" s="27">
        <v>47.800000000000011</v>
      </c>
      <c r="FQ149" s="27">
        <v>47.800000000000011</v>
      </c>
      <c r="FR149" s="27">
        <v>47.800000000000011</v>
      </c>
      <c r="FS149" s="27">
        <v>47.800000000000011</v>
      </c>
      <c r="FT149" s="27">
        <v>47.800000000000011</v>
      </c>
      <c r="FU149" s="27">
        <v>47.800000000000011</v>
      </c>
      <c r="FV149" s="27">
        <v>47.800000000000011</v>
      </c>
      <c r="FW149" s="27">
        <v>47.800000000000011</v>
      </c>
      <c r="FX149" s="129">
        <v>16.399999999999999</v>
      </c>
      <c r="FZ149" s="27">
        <v>47.800000000000011</v>
      </c>
      <c r="GA149" s="27">
        <v>47.800000000000011</v>
      </c>
      <c r="GB149" s="27">
        <v>47.800000000000011</v>
      </c>
      <c r="GC149" s="27">
        <v>47.800000000000011</v>
      </c>
      <c r="GD149" s="27">
        <v>47.800000000000011</v>
      </c>
      <c r="GE149" s="27">
        <v>47.800000000000011</v>
      </c>
      <c r="GF149" s="27">
        <v>47.800000000000011</v>
      </c>
      <c r="GG149" s="27">
        <v>47.800000000000011</v>
      </c>
      <c r="GH149" s="27">
        <v>47.800000000000011</v>
      </c>
      <c r="GI149" s="129">
        <v>16.399999999999999</v>
      </c>
      <c r="GJ149" s="27"/>
      <c r="GK149" s="27">
        <v>11.600000000000001</v>
      </c>
      <c r="GL149" s="27">
        <v>11.600000000000001</v>
      </c>
      <c r="GM149" s="27">
        <v>11.600000000000001</v>
      </c>
      <c r="GN149" s="27">
        <v>11.600000000000001</v>
      </c>
      <c r="GO149" s="27">
        <v>11.600000000000001</v>
      </c>
      <c r="GP149" s="27">
        <v>11.600000000000001</v>
      </c>
      <c r="GQ149" s="27">
        <v>11.600000000000001</v>
      </c>
      <c r="GR149" s="27">
        <v>11.600000000000001</v>
      </c>
      <c r="GS149" s="27">
        <v>11.600000000000001</v>
      </c>
      <c r="GT149" s="129">
        <v>16.399999999999999</v>
      </c>
      <c r="GV149" s="27">
        <v>13.600000000000001</v>
      </c>
      <c r="GW149" s="27">
        <v>13.600000000000001</v>
      </c>
      <c r="GX149" s="27">
        <v>13.600000000000001</v>
      </c>
      <c r="GY149" s="27">
        <v>13.600000000000001</v>
      </c>
      <c r="GZ149" s="27">
        <v>13.600000000000001</v>
      </c>
      <c r="HA149" s="27">
        <v>13.600000000000001</v>
      </c>
      <c r="HB149" s="27">
        <v>13.600000000000001</v>
      </c>
      <c r="HC149" s="27">
        <v>13.600000000000001</v>
      </c>
      <c r="HD149" s="27">
        <v>13.600000000000001</v>
      </c>
      <c r="HE149" s="129">
        <v>16.399999999999999</v>
      </c>
      <c r="HG149" s="27">
        <v>18.599999999999994</v>
      </c>
      <c r="HH149" s="27">
        <v>18.599999999999994</v>
      </c>
      <c r="HI149" s="27">
        <v>18.599999999999994</v>
      </c>
      <c r="HJ149" s="27">
        <v>18.599999999999994</v>
      </c>
      <c r="HK149" s="27">
        <v>18.599999999999994</v>
      </c>
      <c r="HL149" s="27">
        <v>18.599999999999994</v>
      </c>
      <c r="HM149" s="27">
        <v>18.599999999999994</v>
      </c>
      <c r="HN149" s="27">
        <v>18.599999999999994</v>
      </c>
      <c r="HO149" s="27">
        <v>18.599999999999994</v>
      </c>
      <c r="HP149" s="129">
        <v>16.399999999999999</v>
      </c>
      <c r="HR149" s="27">
        <v>18.599999999999994</v>
      </c>
      <c r="HS149" s="27">
        <v>18.599999999999994</v>
      </c>
      <c r="HT149" s="27">
        <v>18.599999999999994</v>
      </c>
      <c r="HU149" s="27">
        <v>18.599999999999994</v>
      </c>
      <c r="HV149" s="27">
        <v>18.599999999999994</v>
      </c>
      <c r="HW149" s="27">
        <v>18.599999999999994</v>
      </c>
      <c r="HX149" s="27">
        <v>18.599999999999994</v>
      </c>
      <c r="HY149" s="27">
        <v>18.599999999999994</v>
      </c>
      <c r="HZ149" s="27">
        <v>18.599999999999994</v>
      </c>
      <c r="IA149" s="129">
        <v>16.399999999999999</v>
      </c>
    </row>
    <row r="150" spans="15:235" ht="3" customHeight="1">
      <c r="O150" s="129">
        <v>5.5000000000000018</v>
      </c>
      <c r="P150" s="129">
        <v>5.5000000000000018</v>
      </c>
      <c r="Q150" s="129">
        <v>5.5000000000000018</v>
      </c>
      <c r="R150" s="129">
        <v>5.5000000000000018</v>
      </c>
      <c r="S150" s="129">
        <v>5.5000000000000018</v>
      </c>
      <c r="T150" s="129">
        <v>5.5000000000000018</v>
      </c>
      <c r="U150" s="129">
        <v>5.5000000000000018</v>
      </c>
      <c r="V150" s="129">
        <v>5.5000000000000018</v>
      </c>
      <c r="W150" s="129">
        <v>5.5000000000000018</v>
      </c>
      <c r="X150" s="129">
        <v>14.5</v>
      </c>
      <c r="Y150" s="27"/>
      <c r="Z150" s="129">
        <v>11.499999999999996</v>
      </c>
      <c r="AA150" s="129">
        <v>11.499999999999996</v>
      </c>
      <c r="AB150" s="129">
        <v>11.499999999999996</v>
      </c>
      <c r="AC150" s="129">
        <v>11.499999999999996</v>
      </c>
      <c r="AD150" s="129">
        <v>11.499999999999996</v>
      </c>
      <c r="AE150" s="129">
        <v>11.499999999999996</v>
      </c>
      <c r="AF150" s="129">
        <v>11.499999999999996</v>
      </c>
      <c r="AG150" s="129">
        <v>11.499999999999996</v>
      </c>
      <c r="AH150" s="129">
        <v>11.499999999999996</v>
      </c>
      <c r="AI150" s="129">
        <v>14.5</v>
      </c>
      <c r="AK150" s="129">
        <v>29.999999999999993</v>
      </c>
      <c r="AL150" s="129">
        <v>29.999999999999993</v>
      </c>
      <c r="AM150" s="129">
        <v>29.999999999999993</v>
      </c>
      <c r="AN150" s="129">
        <v>29.999999999999993</v>
      </c>
      <c r="AO150" s="129">
        <v>29.999999999999993</v>
      </c>
      <c r="AP150" s="129">
        <v>29.999999999999993</v>
      </c>
      <c r="AQ150" s="129">
        <v>29.999999999999993</v>
      </c>
      <c r="AR150" s="129">
        <v>29.999999999999993</v>
      </c>
      <c r="AS150" s="129">
        <v>29.999999999999993</v>
      </c>
      <c r="AT150" s="129">
        <v>14.5</v>
      </c>
      <c r="AV150" s="129">
        <v>34.999999999999986</v>
      </c>
      <c r="AW150" s="129">
        <v>34.999999999999986</v>
      </c>
      <c r="AX150" s="129">
        <v>34.999999999999986</v>
      </c>
      <c r="AY150" s="129">
        <v>34.999999999999986</v>
      </c>
      <c r="AZ150" s="129">
        <v>34.999999999999986</v>
      </c>
      <c r="BA150" s="129">
        <v>34.999999999999986</v>
      </c>
      <c r="BB150" s="129">
        <v>34.999999999999986</v>
      </c>
      <c r="BC150" s="129">
        <v>34.999999999999986</v>
      </c>
      <c r="BD150" s="129">
        <v>34.999999999999986</v>
      </c>
      <c r="BE150" s="129">
        <v>14.5</v>
      </c>
      <c r="BG150" s="129">
        <v>52.499999999999986</v>
      </c>
      <c r="BH150" s="129">
        <v>52.499999999999986</v>
      </c>
      <c r="BI150" s="129">
        <v>52.499999999999986</v>
      </c>
      <c r="BJ150" s="129">
        <v>52.499999999999986</v>
      </c>
      <c r="BK150" s="129">
        <v>52.499999999999986</v>
      </c>
      <c r="BL150" s="129">
        <v>52.499999999999986</v>
      </c>
      <c r="BM150" s="129">
        <v>52.499999999999986</v>
      </c>
      <c r="BN150" s="129">
        <v>52.499999999999986</v>
      </c>
      <c r="BO150" s="129">
        <v>52.499999999999986</v>
      </c>
      <c r="BP150" s="129">
        <v>14.5</v>
      </c>
      <c r="BR150" s="129">
        <v>52.499999999999986</v>
      </c>
      <c r="BS150" s="129">
        <v>52.499999999999986</v>
      </c>
      <c r="BT150" s="129">
        <v>52.499999999999986</v>
      </c>
      <c r="BU150" s="129">
        <v>52.499999999999986</v>
      </c>
      <c r="BV150" s="129">
        <v>52.499999999999986</v>
      </c>
      <c r="BW150" s="129">
        <v>52.499999999999986</v>
      </c>
      <c r="BX150" s="129">
        <v>52.499999999999986</v>
      </c>
      <c r="BY150" s="129">
        <v>52.499999999999986</v>
      </c>
      <c r="BZ150" s="129">
        <v>52.499999999999986</v>
      </c>
      <c r="CA150" s="129">
        <v>14.5</v>
      </c>
      <c r="CC150" s="129">
        <v>13</v>
      </c>
      <c r="CD150" s="129">
        <v>13</v>
      </c>
      <c r="CE150" s="129">
        <v>13</v>
      </c>
      <c r="CF150" s="129">
        <v>13</v>
      </c>
      <c r="CG150" s="129">
        <v>13</v>
      </c>
      <c r="CH150" s="129">
        <v>13</v>
      </c>
      <c r="CI150" s="129">
        <v>13</v>
      </c>
      <c r="CJ150" s="129">
        <v>13</v>
      </c>
      <c r="CK150" s="129">
        <v>13</v>
      </c>
      <c r="CL150" s="129">
        <v>14.5</v>
      </c>
      <c r="CN150" s="129">
        <v>15.500000000000002</v>
      </c>
      <c r="CO150" s="129">
        <v>15.500000000000002</v>
      </c>
      <c r="CP150" s="129">
        <v>15.500000000000002</v>
      </c>
      <c r="CQ150" s="129">
        <v>15.500000000000002</v>
      </c>
      <c r="CR150" s="129">
        <v>15.500000000000002</v>
      </c>
      <c r="CS150" s="129">
        <v>15.500000000000002</v>
      </c>
      <c r="CT150" s="129">
        <v>15.500000000000002</v>
      </c>
      <c r="CU150" s="129">
        <v>15.500000000000002</v>
      </c>
      <c r="CV150" s="129">
        <v>15.500000000000002</v>
      </c>
      <c r="CW150" s="129">
        <v>14.5</v>
      </c>
      <c r="CY150" s="129">
        <v>21.499999999999993</v>
      </c>
      <c r="CZ150" s="129">
        <v>21.499999999999993</v>
      </c>
      <c r="DA150" s="129">
        <v>21.499999999999993</v>
      </c>
      <c r="DB150" s="129">
        <v>21.499999999999993</v>
      </c>
      <c r="DC150" s="129">
        <v>21.499999999999993</v>
      </c>
      <c r="DD150" s="129">
        <v>21.499999999999993</v>
      </c>
      <c r="DE150" s="129">
        <v>21.499999999999993</v>
      </c>
      <c r="DF150" s="129">
        <v>21.499999999999993</v>
      </c>
      <c r="DG150" s="129">
        <v>21.499999999999993</v>
      </c>
      <c r="DH150" s="129">
        <v>14.5</v>
      </c>
      <c r="DJ150" s="129">
        <v>21.499999999999993</v>
      </c>
      <c r="DK150" s="129">
        <v>21.499999999999993</v>
      </c>
      <c r="DL150" s="129">
        <v>21.499999999999993</v>
      </c>
      <c r="DM150" s="129">
        <v>21.499999999999993</v>
      </c>
      <c r="DN150" s="129">
        <v>21.499999999999993</v>
      </c>
      <c r="DO150" s="129">
        <v>21.499999999999993</v>
      </c>
      <c r="DP150" s="129">
        <v>21.499999999999993</v>
      </c>
      <c r="DQ150" s="129">
        <v>21.499999999999993</v>
      </c>
      <c r="DR150" s="129">
        <v>21.499999999999993</v>
      </c>
      <c r="DS150" s="129">
        <v>14.5</v>
      </c>
      <c r="DW150" s="27">
        <v>9.0000000000000036</v>
      </c>
      <c r="DX150" s="27">
        <v>9.0000000000000036</v>
      </c>
      <c r="DY150" s="27">
        <v>9.0000000000000036</v>
      </c>
      <c r="DZ150" s="27">
        <v>9.0000000000000036</v>
      </c>
      <c r="EA150" s="27">
        <v>9.0000000000000036</v>
      </c>
      <c r="EB150" s="27">
        <v>9.0000000000000036</v>
      </c>
      <c r="EC150" s="27">
        <v>9.0000000000000036</v>
      </c>
      <c r="ED150" s="27">
        <v>9.0000000000000036</v>
      </c>
      <c r="EE150" s="27">
        <v>9.0000000000000036</v>
      </c>
      <c r="EF150" s="129">
        <v>16.5</v>
      </c>
      <c r="EH150" s="27">
        <v>19.000000000000007</v>
      </c>
      <c r="EI150" s="27">
        <v>19.000000000000007</v>
      </c>
      <c r="EJ150" s="27">
        <v>19.000000000000007</v>
      </c>
      <c r="EK150" s="27">
        <v>19.000000000000007</v>
      </c>
      <c r="EL150" s="27">
        <v>19.000000000000007</v>
      </c>
      <c r="EM150" s="27">
        <v>19.000000000000007</v>
      </c>
      <c r="EN150" s="27">
        <v>19.000000000000007</v>
      </c>
      <c r="EO150" s="27">
        <v>19.000000000000007</v>
      </c>
      <c r="EP150" s="27">
        <v>19.000000000000007</v>
      </c>
      <c r="EQ150" s="129">
        <v>16.5</v>
      </c>
      <c r="ES150" s="27">
        <v>30.000000000000004</v>
      </c>
      <c r="ET150" s="27">
        <v>30.000000000000004</v>
      </c>
      <c r="EU150" s="27">
        <v>30.000000000000004</v>
      </c>
      <c r="EV150" s="27">
        <v>30.000000000000004</v>
      </c>
      <c r="EW150" s="27">
        <v>30.000000000000004</v>
      </c>
      <c r="EX150" s="27">
        <v>30.000000000000004</v>
      </c>
      <c r="EY150" s="27">
        <v>30.000000000000004</v>
      </c>
      <c r="EZ150" s="27">
        <v>30.000000000000004</v>
      </c>
      <c r="FA150" s="27">
        <v>30.000000000000004</v>
      </c>
      <c r="FB150" s="129">
        <v>16.5</v>
      </c>
      <c r="FD150" s="27">
        <v>31.000000000000004</v>
      </c>
      <c r="FE150" s="27">
        <v>31.000000000000004</v>
      </c>
      <c r="FF150" s="27">
        <v>31.000000000000004</v>
      </c>
      <c r="FG150" s="27">
        <v>31.000000000000004</v>
      </c>
      <c r="FH150" s="27">
        <v>31.000000000000004</v>
      </c>
      <c r="FI150" s="27">
        <v>31.000000000000004</v>
      </c>
      <c r="FJ150" s="27">
        <v>31.000000000000004</v>
      </c>
      <c r="FK150" s="27">
        <v>31.000000000000004</v>
      </c>
      <c r="FL150" s="27">
        <v>31.000000000000004</v>
      </c>
      <c r="FM150" s="129">
        <v>16.5</v>
      </c>
      <c r="FO150" s="27">
        <v>47.500000000000014</v>
      </c>
      <c r="FP150" s="27">
        <v>47.500000000000014</v>
      </c>
      <c r="FQ150" s="27">
        <v>47.500000000000014</v>
      </c>
      <c r="FR150" s="27">
        <v>47.500000000000014</v>
      </c>
      <c r="FS150" s="27">
        <v>47.500000000000014</v>
      </c>
      <c r="FT150" s="27">
        <v>47.500000000000014</v>
      </c>
      <c r="FU150" s="27">
        <v>47.500000000000014</v>
      </c>
      <c r="FV150" s="27">
        <v>47.500000000000014</v>
      </c>
      <c r="FW150" s="27">
        <v>47.500000000000014</v>
      </c>
      <c r="FX150" s="129">
        <v>16.5</v>
      </c>
      <c r="FZ150" s="27">
        <v>47.500000000000014</v>
      </c>
      <c r="GA150" s="27">
        <v>47.500000000000014</v>
      </c>
      <c r="GB150" s="27">
        <v>47.500000000000014</v>
      </c>
      <c r="GC150" s="27">
        <v>47.500000000000014</v>
      </c>
      <c r="GD150" s="27">
        <v>47.500000000000014</v>
      </c>
      <c r="GE150" s="27">
        <v>47.500000000000014</v>
      </c>
      <c r="GF150" s="27">
        <v>47.500000000000014</v>
      </c>
      <c r="GG150" s="27">
        <v>47.500000000000014</v>
      </c>
      <c r="GH150" s="27">
        <v>47.500000000000014</v>
      </c>
      <c r="GI150" s="129">
        <v>16.5</v>
      </c>
      <c r="GJ150" s="27"/>
      <c r="GK150" s="27">
        <v>11.500000000000002</v>
      </c>
      <c r="GL150" s="27">
        <v>11.500000000000002</v>
      </c>
      <c r="GM150" s="27">
        <v>11.500000000000002</v>
      </c>
      <c r="GN150" s="27">
        <v>11.500000000000002</v>
      </c>
      <c r="GO150" s="27">
        <v>11.500000000000002</v>
      </c>
      <c r="GP150" s="27">
        <v>11.500000000000002</v>
      </c>
      <c r="GQ150" s="27">
        <v>11.500000000000002</v>
      </c>
      <c r="GR150" s="27">
        <v>11.500000000000002</v>
      </c>
      <c r="GS150" s="27">
        <v>11.500000000000002</v>
      </c>
      <c r="GT150" s="129">
        <v>16.5</v>
      </c>
      <c r="GV150" s="27">
        <v>13.500000000000002</v>
      </c>
      <c r="GW150" s="27">
        <v>13.500000000000002</v>
      </c>
      <c r="GX150" s="27">
        <v>13.500000000000002</v>
      </c>
      <c r="GY150" s="27">
        <v>13.500000000000002</v>
      </c>
      <c r="GZ150" s="27">
        <v>13.500000000000002</v>
      </c>
      <c r="HA150" s="27">
        <v>13.500000000000002</v>
      </c>
      <c r="HB150" s="27">
        <v>13.500000000000002</v>
      </c>
      <c r="HC150" s="27">
        <v>13.500000000000002</v>
      </c>
      <c r="HD150" s="27">
        <v>13.500000000000002</v>
      </c>
      <c r="HE150" s="129">
        <v>16.5</v>
      </c>
      <c r="HG150" s="27">
        <v>18.499999999999993</v>
      </c>
      <c r="HH150" s="27">
        <v>18.499999999999993</v>
      </c>
      <c r="HI150" s="27">
        <v>18.499999999999993</v>
      </c>
      <c r="HJ150" s="27">
        <v>18.499999999999993</v>
      </c>
      <c r="HK150" s="27">
        <v>18.499999999999993</v>
      </c>
      <c r="HL150" s="27">
        <v>18.499999999999993</v>
      </c>
      <c r="HM150" s="27">
        <v>18.499999999999993</v>
      </c>
      <c r="HN150" s="27">
        <v>18.499999999999993</v>
      </c>
      <c r="HO150" s="27">
        <v>18.499999999999993</v>
      </c>
      <c r="HP150" s="129">
        <v>16.5</v>
      </c>
      <c r="HR150" s="27">
        <v>18.499999999999993</v>
      </c>
      <c r="HS150" s="27">
        <v>18.499999999999993</v>
      </c>
      <c r="HT150" s="27">
        <v>18.499999999999993</v>
      </c>
      <c r="HU150" s="27">
        <v>18.499999999999993</v>
      </c>
      <c r="HV150" s="27">
        <v>18.499999999999993</v>
      </c>
      <c r="HW150" s="27">
        <v>18.499999999999993</v>
      </c>
      <c r="HX150" s="27">
        <v>18.499999999999993</v>
      </c>
      <c r="HY150" s="27">
        <v>18.499999999999993</v>
      </c>
      <c r="HZ150" s="27">
        <v>18.499999999999993</v>
      </c>
      <c r="IA150" s="129">
        <v>16.5</v>
      </c>
    </row>
    <row r="151" spans="15:235" ht="3" customHeight="1">
      <c r="O151" s="129">
        <v>5.4000000000000021</v>
      </c>
      <c r="P151" s="129">
        <v>5.4000000000000021</v>
      </c>
      <c r="Q151" s="129">
        <v>5.4000000000000021</v>
      </c>
      <c r="R151" s="129">
        <v>5.4000000000000021</v>
      </c>
      <c r="S151" s="129">
        <v>5.4000000000000021</v>
      </c>
      <c r="T151" s="129">
        <v>5.4000000000000021</v>
      </c>
      <c r="U151" s="129">
        <v>5.4000000000000021</v>
      </c>
      <c r="V151" s="129">
        <v>5.4000000000000021</v>
      </c>
      <c r="W151" s="129">
        <v>5.4000000000000021</v>
      </c>
      <c r="X151" s="129">
        <v>14.6</v>
      </c>
      <c r="Y151" s="27"/>
      <c r="Z151" s="129">
        <v>11.199999999999996</v>
      </c>
      <c r="AA151" s="129">
        <v>11.199999999999996</v>
      </c>
      <c r="AB151" s="129">
        <v>11.199999999999996</v>
      </c>
      <c r="AC151" s="129">
        <v>11.199999999999996</v>
      </c>
      <c r="AD151" s="129">
        <v>11.199999999999996</v>
      </c>
      <c r="AE151" s="129">
        <v>11.199999999999996</v>
      </c>
      <c r="AF151" s="129">
        <v>11.199999999999996</v>
      </c>
      <c r="AG151" s="129">
        <v>11.199999999999996</v>
      </c>
      <c r="AH151" s="129">
        <v>11.199999999999996</v>
      </c>
      <c r="AI151" s="129">
        <v>14.6</v>
      </c>
      <c r="AK151" s="129">
        <v>29.399999999999991</v>
      </c>
      <c r="AL151" s="129">
        <v>29.399999999999991</v>
      </c>
      <c r="AM151" s="129">
        <v>29.399999999999991</v>
      </c>
      <c r="AN151" s="129">
        <v>29.399999999999991</v>
      </c>
      <c r="AO151" s="129">
        <v>29.399999999999991</v>
      </c>
      <c r="AP151" s="129">
        <v>29.399999999999991</v>
      </c>
      <c r="AQ151" s="129">
        <v>29.399999999999991</v>
      </c>
      <c r="AR151" s="129">
        <v>29.399999999999991</v>
      </c>
      <c r="AS151" s="129">
        <v>29.399999999999991</v>
      </c>
      <c r="AT151" s="129">
        <v>14.6</v>
      </c>
      <c r="AV151" s="129">
        <v>34.799999999999983</v>
      </c>
      <c r="AW151" s="129">
        <v>34.799999999999983</v>
      </c>
      <c r="AX151" s="129">
        <v>34.799999999999983</v>
      </c>
      <c r="AY151" s="129">
        <v>34.799999999999983</v>
      </c>
      <c r="AZ151" s="129">
        <v>34.799999999999983</v>
      </c>
      <c r="BA151" s="129">
        <v>34.799999999999983</v>
      </c>
      <c r="BB151" s="129">
        <v>34.799999999999983</v>
      </c>
      <c r="BC151" s="129">
        <v>34.799999999999983</v>
      </c>
      <c r="BD151" s="129">
        <v>34.799999999999983</v>
      </c>
      <c r="BE151" s="129">
        <v>14.6</v>
      </c>
      <c r="BG151" s="129">
        <v>51.799999999999983</v>
      </c>
      <c r="BH151" s="129">
        <v>51.799999999999983</v>
      </c>
      <c r="BI151" s="129">
        <v>51.799999999999983</v>
      </c>
      <c r="BJ151" s="129">
        <v>51.799999999999983</v>
      </c>
      <c r="BK151" s="129">
        <v>51.799999999999983</v>
      </c>
      <c r="BL151" s="129">
        <v>51.799999999999983</v>
      </c>
      <c r="BM151" s="129">
        <v>51.799999999999983</v>
      </c>
      <c r="BN151" s="129">
        <v>51.799999999999983</v>
      </c>
      <c r="BO151" s="129">
        <v>51.799999999999983</v>
      </c>
      <c r="BP151" s="129">
        <v>14.6</v>
      </c>
      <c r="BR151" s="129">
        <v>51.799999999999983</v>
      </c>
      <c r="BS151" s="129">
        <v>51.799999999999983</v>
      </c>
      <c r="BT151" s="129">
        <v>51.799999999999983</v>
      </c>
      <c r="BU151" s="129">
        <v>51.799999999999983</v>
      </c>
      <c r="BV151" s="129">
        <v>51.799999999999983</v>
      </c>
      <c r="BW151" s="129">
        <v>51.799999999999983</v>
      </c>
      <c r="BX151" s="129">
        <v>51.799999999999983</v>
      </c>
      <c r="BY151" s="129">
        <v>51.799999999999983</v>
      </c>
      <c r="BZ151" s="129">
        <v>51.799999999999983</v>
      </c>
      <c r="CA151" s="129">
        <v>14.6</v>
      </c>
      <c r="CC151" s="129">
        <v>13</v>
      </c>
      <c r="CD151" s="129">
        <v>13</v>
      </c>
      <c r="CE151" s="129">
        <v>13</v>
      </c>
      <c r="CF151" s="129">
        <v>13</v>
      </c>
      <c r="CG151" s="129">
        <v>13</v>
      </c>
      <c r="CH151" s="129">
        <v>13</v>
      </c>
      <c r="CI151" s="129">
        <v>13</v>
      </c>
      <c r="CJ151" s="129">
        <v>13</v>
      </c>
      <c r="CK151" s="129">
        <v>13</v>
      </c>
      <c r="CL151" s="129">
        <v>14.6</v>
      </c>
      <c r="CN151" s="129">
        <v>15.400000000000002</v>
      </c>
      <c r="CO151" s="129">
        <v>15.400000000000002</v>
      </c>
      <c r="CP151" s="129">
        <v>15.400000000000002</v>
      </c>
      <c r="CQ151" s="129">
        <v>15.400000000000002</v>
      </c>
      <c r="CR151" s="129">
        <v>15.400000000000002</v>
      </c>
      <c r="CS151" s="129">
        <v>15.400000000000002</v>
      </c>
      <c r="CT151" s="129">
        <v>15.400000000000002</v>
      </c>
      <c r="CU151" s="129">
        <v>15.400000000000002</v>
      </c>
      <c r="CV151" s="129">
        <v>15.400000000000002</v>
      </c>
      <c r="CW151" s="129">
        <v>14.6</v>
      </c>
      <c r="CY151" s="129">
        <v>21.399999999999991</v>
      </c>
      <c r="CZ151" s="129">
        <v>21.399999999999991</v>
      </c>
      <c r="DA151" s="129">
        <v>21.399999999999991</v>
      </c>
      <c r="DB151" s="129">
        <v>21.399999999999991</v>
      </c>
      <c r="DC151" s="129">
        <v>21.399999999999991</v>
      </c>
      <c r="DD151" s="129">
        <v>21.399999999999991</v>
      </c>
      <c r="DE151" s="129">
        <v>21.399999999999991</v>
      </c>
      <c r="DF151" s="129">
        <v>21.399999999999991</v>
      </c>
      <c r="DG151" s="129">
        <v>21.399999999999991</v>
      </c>
      <c r="DH151" s="129">
        <v>14.6</v>
      </c>
      <c r="DJ151" s="129">
        <v>21.399999999999991</v>
      </c>
      <c r="DK151" s="129">
        <v>21.399999999999991</v>
      </c>
      <c r="DL151" s="129">
        <v>21.399999999999991</v>
      </c>
      <c r="DM151" s="129">
        <v>21.399999999999991</v>
      </c>
      <c r="DN151" s="129">
        <v>21.399999999999991</v>
      </c>
      <c r="DO151" s="129">
        <v>21.399999999999991</v>
      </c>
      <c r="DP151" s="129">
        <v>21.399999999999991</v>
      </c>
      <c r="DQ151" s="129">
        <v>21.399999999999991</v>
      </c>
      <c r="DR151" s="129">
        <v>21.399999999999991</v>
      </c>
      <c r="DS151" s="129">
        <v>14.6</v>
      </c>
      <c r="DW151" s="27">
        <v>8.8000000000000043</v>
      </c>
      <c r="DX151" s="27">
        <v>8.8000000000000043</v>
      </c>
      <c r="DY151" s="27">
        <v>8.8000000000000043</v>
      </c>
      <c r="DZ151" s="27">
        <v>8.8000000000000043</v>
      </c>
      <c r="EA151" s="27">
        <v>8.8000000000000043</v>
      </c>
      <c r="EB151" s="27">
        <v>8.8000000000000043</v>
      </c>
      <c r="EC151" s="27">
        <v>8.8000000000000043</v>
      </c>
      <c r="ED151" s="27">
        <v>8.8000000000000043</v>
      </c>
      <c r="EE151" s="27">
        <v>8.8000000000000043</v>
      </c>
      <c r="EF151" s="129">
        <v>16.600000000000001</v>
      </c>
      <c r="EH151" s="27">
        <v>18.600000000000009</v>
      </c>
      <c r="EI151" s="27">
        <v>18.600000000000009</v>
      </c>
      <c r="EJ151" s="27">
        <v>18.600000000000009</v>
      </c>
      <c r="EK151" s="27">
        <v>18.600000000000009</v>
      </c>
      <c r="EL151" s="27">
        <v>18.600000000000009</v>
      </c>
      <c r="EM151" s="27">
        <v>18.600000000000009</v>
      </c>
      <c r="EN151" s="27">
        <v>18.600000000000009</v>
      </c>
      <c r="EO151" s="27">
        <v>18.600000000000009</v>
      </c>
      <c r="EP151" s="27">
        <v>18.600000000000009</v>
      </c>
      <c r="EQ151" s="129">
        <v>16.600000000000001</v>
      </c>
      <c r="ES151" s="27">
        <v>29.800000000000004</v>
      </c>
      <c r="ET151" s="27">
        <v>29.800000000000004</v>
      </c>
      <c r="EU151" s="27">
        <v>29.800000000000004</v>
      </c>
      <c r="EV151" s="27">
        <v>29.800000000000004</v>
      </c>
      <c r="EW151" s="27">
        <v>29.800000000000004</v>
      </c>
      <c r="EX151" s="27">
        <v>29.800000000000004</v>
      </c>
      <c r="EY151" s="27">
        <v>29.800000000000004</v>
      </c>
      <c r="EZ151" s="27">
        <v>29.800000000000004</v>
      </c>
      <c r="FA151" s="27">
        <v>29.800000000000004</v>
      </c>
      <c r="FB151" s="129">
        <v>16.600000000000001</v>
      </c>
      <c r="FD151" s="27">
        <v>30.800000000000004</v>
      </c>
      <c r="FE151" s="27">
        <v>30.800000000000004</v>
      </c>
      <c r="FF151" s="27">
        <v>30.800000000000004</v>
      </c>
      <c r="FG151" s="27">
        <v>30.800000000000004</v>
      </c>
      <c r="FH151" s="27">
        <v>30.800000000000004</v>
      </c>
      <c r="FI151" s="27">
        <v>30.800000000000004</v>
      </c>
      <c r="FJ151" s="27">
        <v>30.800000000000004</v>
      </c>
      <c r="FK151" s="27">
        <v>30.800000000000004</v>
      </c>
      <c r="FL151" s="27">
        <v>30.800000000000004</v>
      </c>
      <c r="FM151" s="129">
        <v>16.600000000000001</v>
      </c>
      <c r="FO151" s="27">
        <v>47.200000000000017</v>
      </c>
      <c r="FP151" s="27">
        <v>47.200000000000017</v>
      </c>
      <c r="FQ151" s="27">
        <v>47.200000000000017</v>
      </c>
      <c r="FR151" s="27">
        <v>47.200000000000017</v>
      </c>
      <c r="FS151" s="27">
        <v>47.200000000000017</v>
      </c>
      <c r="FT151" s="27">
        <v>47.200000000000017</v>
      </c>
      <c r="FU151" s="27">
        <v>47.200000000000017</v>
      </c>
      <c r="FV151" s="27">
        <v>47.200000000000017</v>
      </c>
      <c r="FW151" s="27">
        <v>47.200000000000017</v>
      </c>
      <c r="FX151" s="129">
        <v>16.600000000000001</v>
      </c>
      <c r="FZ151" s="27">
        <v>47.200000000000017</v>
      </c>
      <c r="GA151" s="27">
        <v>47.200000000000017</v>
      </c>
      <c r="GB151" s="27">
        <v>47.200000000000017</v>
      </c>
      <c r="GC151" s="27">
        <v>47.200000000000017</v>
      </c>
      <c r="GD151" s="27">
        <v>47.200000000000017</v>
      </c>
      <c r="GE151" s="27">
        <v>47.200000000000017</v>
      </c>
      <c r="GF151" s="27">
        <v>47.200000000000017</v>
      </c>
      <c r="GG151" s="27">
        <v>47.200000000000017</v>
      </c>
      <c r="GH151" s="27">
        <v>47.200000000000017</v>
      </c>
      <c r="GI151" s="129">
        <v>16.600000000000001</v>
      </c>
      <c r="GJ151" s="27"/>
      <c r="GK151" s="27">
        <v>11.400000000000002</v>
      </c>
      <c r="GL151" s="27">
        <v>11.400000000000002</v>
      </c>
      <c r="GM151" s="27">
        <v>11.400000000000002</v>
      </c>
      <c r="GN151" s="27">
        <v>11.400000000000002</v>
      </c>
      <c r="GO151" s="27">
        <v>11.400000000000002</v>
      </c>
      <c r="GP151" s="27">
        <v>11.400000000000002</v>
      </c>
      <c r="GQ151" s="27">
        <v>11.400000000000002</v>
      </c>
      <c r="GR151" s="27">
        <v>11.400000000000002</v>
      </c>
      <c r="GS151" s="27">
        <v>11.400000000000002</v>
      </c>
      <c r="GT151" s="129">
        <v>16.600000000000001</v>
      </c>
      <c r="GV151" s="27">
        <v>13.400000000000002</v>
      </c>
      <c r="GW151" s="27">
        <v>13.400000000000002</v>
      </c>
      <c r="GX151" s="27">
        <v>13.400000000000002</v>
      </c>
      <c r="GY151" s="27">
        <v>13.400000000000002</v>
      </c>
      <c r="GZ151" s="27">
        <v>13.400000000000002</v>
      </c>
      <c r="HA151" s="27">
        <v>13.400000000000002</v>
      </c>
      <c r="HB151" s="27">
        <v>13.400000000000002</v>
      </c>
      <c r="HC151" s="27">
        <v>13.400000000000002</v>
      </c>
      <c r="HD151" s="27">
        <v>13.400000000000002</v>
      </c>
      <c r="HE151" s="129">
        <v>16.600000000000001</v>
      </c>
      <c r="HG151" s="27">
        <v>18.399999999999991</v>
      </c>
      <c r="HH151" s="27">
        <v>18.399999999999991</v>
      </c>
      <c r="HI151" s="27">
        <v>18.399999999999991</v>
      </c>
      <c r="HJ151" s="27">
        <v>18.399999999999991</v>
      </c>
      <c r="HK151" s="27">
        <v>18.399999999999991</v>
      </c>
      <c r="HL151" s="27">
        <v>18.399999999999991</v>
      </c>
      <c r="HM151" s="27">
        <v>18.399999999999991</v>
      </c>
      <c r="HN151" s="27">
        <v>18.399999999999991</v>
      </c>
      <c r="HO151" s="27">
        <v>18.399999999999991</v>
      </c>
      <c r="HP151" s="129">
        <v>16.600000000000001</v>
      </c>
      <c r="HR151" s="27">
        <v>18.399999999999991</v>
      </c>
      <c r="HS151" s="27">
        <v>18.399999999999991</v>
      </c>
      <c r="HT151" s="27">
        <v>18.399999999999991</v>
      </c>
      <c r="HU151" s="27">
        <v>18.399999999999991</v>
      </c>
      <c r="HV151" s="27">
        <v>18.399999999999991</v>
      </c>
      <c r="HW151" s="27">
        <v>18.399999999999991</v>
      </c>
      <c r="HX151" s="27">
        <v>18.399999999999991</v>
      </c>
      <c r="HY151" s="27">
        <v>18.399999999999991</v>
      </c>
      <c r="HZ151" s="27">
        <v>18.399999999999991</v>
      </c>
      <c r="IA151" s="129">
        <v>16.600000000000001</v>
      </c>
    </row>
    <row r="152" spans="15:235" ht="3" customHeight="1">
      <c r="O152" s="129">
        <v>5.3000000000000025</v>
      </c>
      <c r="P152" s="129">
        <v>5.3000000000000025</v>
      </c>
      <c r="Q152" s="129">
        <v>5.3000000000000025</v>
      </c>
      <c r="R152" s="129">
        <v>5.3000000000000025</v>
      </c>
      <c r="S152" s="129">
        <v>5.3000000000000025</v>
      </c>
      <c r="T152" s="129">
        <v>5.3000000000000025</v>
      </c>
      <c r="U152" s="129">
        <v>5.3000000000000025</v>
      </c>
      <c r="V152" s="129">
        <v>5.3000000000000025</v>
      </c>
      <c r="W152" s="129">
        <v>5.3000000000000025</v>
      </c>
      <c r="X152" s="129">
        <v>14.7</v>
      </c>
      <c r="Y152" s="27"/>
      <c r="Z152" s="129">
        <v>10.899999999999995</v>
      </c>
      <c r="AA152" s="129">
        <v>10.899999999999995</v>
      </c>
      <c r="AB152" s="129">
        <v>10.899999999999995</v>
      </c>
      <c r="AC152" s="129">
        <v>10.899999999999995</v>
      </c>
      <c r="AD152" s="129">
        <v>10.899999999999995</v>
      </c>
      <c r="AE152" s="129">
        <v>10.899999999999995</v>
      </c>
      <c r="AF152" s="129">
        <v>10.899999999999995</v>
      </c>
      <c r="AG152" s="129">
        <v>10.899999999999995</v>
      </c>
      <c r="AH152" s="129">
        <v>10.899999999999995</v>
      </c>
      <c r="AI152" s="129">
        <v>14.7</v>
      </c>
      <c r="AK152" s="129">
        <v>28.79999999999999</v>
      </c>
      <c r="AL152" s="129">
        <v>28.79999999999999</v>
      </c>
      <c r="AM152" s="129">
        <v>28.79999999999999</v>
      </c>
      <c r="AN152" s="129">
        <v>28.79999999999999</v>
      </c>
      <c r="AO152" s="129">
        <v>28.79999999999999</v>
      </c>
      <c r="AP152" s="129">
        <v>28.79999999999999</v>
      </c>
      <c r="AQ152" s="129">
        <v>28.79999999999999</v>
      </c>
      <c r="AR152" s="129">
        <v>28.79999999999999</v>
      </c>
      <c r="AS152" s="129">
        <v>28.79999999999999</v>
      </c>
      <c r="AT152" s="129">
        <v>14.7</v>
      </c>
      <c r="AV152" s="129">
        <v>34.59999999999998</v>
      </c>
      <c r="AW152" s="129">
        <v>34.59999999999998</v>
      </c>
      <c r="AX152" s="129">
        <v>34.59999999999998</v>
      </c>
      <c r="AY152" s="129">
        <v>34.59999999999998</v>
      </c>
      <c r="AZ152" s="129">
        <v>34.59999999999998</v>
      </c>
      <c r="BA152" s="129">
        <v>34.59999999999998</v>
      </c>
      <c r="BB152" s="129">
        <v>34.59999999999998</v>
      </c>
      <c r="BC152" s="129">
        <v>34.59999999999998</v>
      </c>
      <c r="BD152" s="129">
        <v>34.59999999999998</v>
      </c>
      <c r="BE152" s="129">
        <v>14.7</v>
      </c>
      <c r="BG152" s="129">
        <v>51.09999999999998</v>
      </c>
      <c r="BH152" s="129">
        <v>51.09999999999998</v>
      </c>
      <c r="BI152" s="129">
        <v>51.09999999999998</v>
      </c>
      <c r="BJ152" s="129">
        <v>51.09999999999998</v>
      </c>
      <c r="BK152" s="129">
        <v>51.09999999999998</v>
      </c>
      <c r="BL152" s="129">
        <v>51.09999999999998</v>
      </c>
      <c r="BM152" s="129">
        <v>51.09999999999998</v>
      </c>
      <c r="BN152" s="129">
        <v>51.09999999999998</v>
      </c>
      <c r="BO152" s="129">
        <v>51.09999999999998</v>
      </c>
      <c r="BP152" s="129">
        <v>14.7</v>
      </c>
      <c r="BR152" s="129">
        <v>51.09999999999998</v>
      </c>
      <c r="BS152" s="129">
        <v>51.09999999999998</v>
      </c>
      <c r="BT152" s="129">
        <v>51.09999999999998</v>
      </c>
      <c r="BU152" s="129">
        <v>51.09999999999998</v>
      </c>
      <c r="BV152" s="129">
        <v>51.09999999999998</v>
      </c>
      <c r="BW152" s="129">
        <v>51.09999999999998</v>
      </c>
      <c r="BX152" s="129">
        <v>51.09999999999998</v>
      </c>
      <c r="BY152" s="129">
        <v>51.09999999999998</v>
      </c>
      <c r="BZ152" s="129">
        <v>51.09999999999998</v>
      </c>
      <c r="CA152" s="129">
        <v>14.7</v>
      </c>
      <c r="CC152" s="129">
        <v>13</v>
      </c>
      <c r="CD152" s="129">
        <v>13</v>
      </c>
      <c r="CE152" s="129">
        <v>13</v>
      </c>
      <c r="CF152" s="129">
        <v>13</v>
      </c>
      <c r="CG152" s="129">
        <v>13</v>
      </c>
      <c r="CH152" s="129">
        <v>13</v>
      </c>
      <c r="CI152" s="129">
        <v>13</v>
      </c>
      <c r="CJ152" s="129">
        <v>13</v>
      </c>
      <c r="CK152" s="129">
        <v>13</v>
      </c>
      <c r="CL152" s="129">
        <v>14.7</v>
      </c>
      <c r="CN152" s="129">
        <v>15.300000000000002</v>
      </c>
      <c r="CO152" s="129">
        <v>15.300000000000002</v>
      </c>
      <c r="CP152" s="129">
        <v>15.300000000000002</v>
      </c>
      <c r="CQ152" s="129">
        <v>15.300000000000002</v>
      </c>
      <c r="CR152" s="129">
        <v>15.300000000000002</v>
      </c>
      <c r="CS152" s="129">
        <v>15.300000000000002</v>
      </c>
      <c r="CT152" s="129">
        <v>15.300000000000002</v>
      </c>
      <c r="CU152" s="129">
        <v>15.300000000000002</v>
      </c>
      <c r="CV152" s="129">
        <v>15.300000000000002</v>
      </c>
      <c r="CW152" s="129">
        <v>14.7</v>
      </c>
      <c r="CY152" s="129">
        <v>21.29999999999999</v>
      </c>
      <c r="CZ152" s="129">
        <v>21.29999999999999</v>
      </c>
      <c r="DA152" s="129">
        <v>21.29999999999999</v>
      </c>
      <c r="DB152" s="129">
        <v>21.29999999999999</v>
      </c>
      <c r="DC152" s="129">
        <v>21.29999999999999</v>
      </c>
      <c r="DD152" s="129">
        <v>21.29999999999999</v>
      </c>
      <c r="DE152" s="129">
        <v>21.29999999999999</v>
      </c>
      <c r="DF152" s="129">
        <v>21.29999999999999</v>
      </c>
      <c r="DG152" s="129">
        <v>21.29999999999999</v>
      </c>
      <c r="DH152" s="129">
        <v>14.7</v>
      </c>
      <c r="DJ152" s="129">
        <v>21.29999999999999</v>
      </c>
      <c r="DK152" s="129">
        <v>21.29999999999999</v>
      </c>
      <c r="DL152" s="129">
        <v>21.29999999999999</v>
      </c>
      <c r="DM152" s="129">
        <v>21.29999999999999</v>
      </c>
      <c r="DN152" s="129">
        <v>21.29999999999999</v>
      </c>
      <c r="DO152" s="129">
        <v>21.29999999999999</v>
      </c>
      <c r="DP152" s="129">
        <v>21.29999999999999</v>
      </c>
      <c r="DQ152" s="129">
        <v>21.29999999999999</v>
      </c>
      <c r="DR152" s="129">
        <v>21.29999999999999</v>
      </c>
      <c r="DS152" s="129">
        <v>14.7</v>
      </c>
      <c r="DW152" s="27">
        <v>8.600000000000005</v>
      </c>
      <c r="DX152" s="27">
        <v>8.600000000000005</v>
      </c>
      <c r="DY152" s="27">
        <v>8.600000000000005</v>
      </c>
      <c r="DZ152" s="27">
        <v>8.600000000000005</v>
      </c>
      <c r="EA152" s="27">
        <v>8.600000000000005</v>
      </c>
      <c r="EB152" s="27">
        <v>8.600000000000005</v>
      </c>
      <c r="EC152" s="27">
        <v>8.600000000000005</v>
      </c>
      <c r="ED152" s="27">
        <v>8.600000000000005</v>
      </c>
      <c r="EE152" s="27">
        <v>8.600000000000005</v>
      </c>
      <c r="EF152" s="129">
        <v>16.7</v>
      </c>
      <c r="EH152" s="27">
        <v>18.20000000000001</v>
      </c>
      <c r="EI152" s="27">
        <v>18.20000000000001</v>
      </c>
      <c r="EJ152" s="27">
        <v>18.20000000000001</v>
      </c>
      <c r="EK152" s="27">
        <v>18.20000000000001</v>
      </c>
      <c r="EL152" s="27">
        <v>18.20000000000001</v>
      </c>
      <c r="EM152" s="27">
        <v>18.20000000000001</v>
      </c>
      <c r="EN152" s="27">
        <v>18.20000000000001</v>
      </c>
      <c r="EO152" s="27">
        <v>18.20000000000001</v>
      </c>
      <c r="EP152" s="27">
        <v>18.20000000000001</v>
      </c>
      <c r="EQ152" s="129">
        <v>16.7</v>
      </c>
      <c r="ES152" s="27">
        <v>29.600000000000005</v>
      </c>
      <c r="ET152" s="27">
        <v>29.600000000000005</v>
      </c>
      <c r="EU152" s="27">
        <v>29.600000000000005</v>
      </c>
      <c r="EV152" s="27">
        <v>29.600000000000005</v>
      </c>
      <c r="EW152" s="27">
        <v>29.600000000000005</v>
      </c>
      <c r="EX152" s="27">
        <v>29.600000000000005</v>
      </c>
      <c r="EY152" s="27">
        <v>29.600000000000005</v>
      </c>
      <c r="EZ152" s="27">
        <v>29.600000000000005</v>
      </c>
      <c r="FA152" s="27">
        <v>29.600000000000005</v>
      </c>
      <c r="FB152" s="129">
        <v>16.7</v>
      </c>
      <c r="FD152" s="27">
        <v>30.600000000000005</v>
      </c>
      <c r="FE152" s="27">
        <v>30.600000000000005</v>
      </c>
      <c r="FF152" s="27">
        <v>30.600000000000005</v>
      </c>
      <c r="FG152" s="27">
        <v>30.600000000000005</v>
      </c>
      <c r="FH152" s="27">
        <v>30.600000000000005</v>
      </c>
      <c r="FI152" s="27">
        <v>30.600000000000005</v>
      </c>
      <c r="FJ152" s="27">
        <v>30.600000000000005</v>
      </c>
      <c r="FK152" s="27">
        <v>30.600000000000005</v>
      </c>
      <c r="FL152" s="27">
        <v>30.600000000000005</v>
      </c>
      <c r="FM152" s="129">
        <v>16.7</v>
      </c>
      <c r="FO152" s="27">
        <v>46.90000000000002</v>
      </c>
      <c r="FP152" s="27">
        <v>46.90000000000002</v>
      </c>
      <c r="FQ152" s="27">
        <v>46.90000000000002</v>
      </c>
      <c r="FR152" s="27">
        <v>46.90000000000002</v>
      </c>
      <c r="FS152" s="27">
        <v>46.90000000000002</v>
      </c>
      <c r="FT152" s="27">
        <v>46.90000000000002</v>
      </c>
      <c r="FU152" s="27">
        <v>46.90000000000002</v>
      </c>
      <c r="FV152" s="27">
        <v>46.90000000000002</v>
      </c>
      <c r="FW152" s="27">
        <v>46.90000000000002</v>
      </c>
      <c r="FX152" s="129">
        <v>16.7</v>
      </c>
      <c r="FZ152" s="27">
        <v>46.90000000000002</v>
      </c>
      <c r="GA152" s="27">
        <v>46.90000000000002</v>
      </c>
      <c r="GB152" s="27">
        <v>46.90000000000002</v>
      </c>
      <c r="GC152" s="27">
        <v>46.90000000000002</v>
      </c>
      <c r="GD152" s="27">
        <v>46.90000000000002</v>
      </c>
      <c r="GE152" s="27">
        <v>46.90000000000002</v>
      </c>
      <c r="GF152" s="27">
        <v>46.90000000000002</v>
      </c>
      <c r="GG152" s="27">
        <v>46.90000000000002</v>
      </c>
      <c r="GH152" s="27">
        <v>46.90000000000002</v>
      </c>
      <c r="GI152" s="129">
        <v>16.7</v>
      </c>
      <c r="GJ152" s="27"/>
      <c r="GK152" s="27">
        <v>11.300000000000002</v>
      </c>
      <c r="GL152" s="27">
        <v>11.300000000000002</v>
      </c>
      <c r="GM152" s="27">
        <v>11.300000000000002</v>
      </c>
      <c r="GN152" s="27">
        <v>11.300000000000002</v>
      </c>
      <c r="GO152" s="27">
        <v>11.300000000000002</v>
      </c>
      <c r="GP152" s="27">
        <v>11.300000000000002</v>
      </c>
      <c r="GQ152" s="27">
        <v>11.300000000000002</v>
      </c>
      <c r="GR152" s="27">
        <v>11.300000000000002</v>
      </c>
      <c r="GS152" s="27">
        <v>11.300000000000002</v>
      </c>
      <c r="GT152" s="129">
        <v>16.7</v>
      </c>
      <c r="GV152" s="27">
        <v>13.300000000000002</v>
      </c>
      <c r="GW152" s="27">
        <v>13.300000000000002</v>
      </c>
      <c r="GX152" s="27">
        <v>13.300000000000002</v>
      </c>
      <c r="GY152" s="27">
        <v>13.300000000000002</v>
      </c>
      <c r="GZ152" s="27">
        <v>13.300000000000002</v>
      </c>
      <c r="HA152" s="27">
        <v>13.300000000000002</v>
      </c>
      <c r="HB152" s="27">
        <v>13.300000000000002</v>
      </c>
      <c r="HC152" s="27">
        <v>13.300000000000002</v>
      </c>
      <c r="HD152" s="27">
        <v>13.300000000000002</v>
      </c>
      <c r="HE152" s="129">
        <v>16.7</v>
      </c>
      <c r="HG152" s="27">
        <v>18.29999999999999</v>
      </c>
      <c r="HH152" s="27">
        <v>18.29999999999999</v>
      </c>
      <c r="HI152" s="27">
        <v>18.29999999999999</v>
      </c>
      <c r="HJ152" s="27">
        <v>18.29999999999999</v>
      </c>
      <c r="HK152" s="27">
        <v>18.29999999999999</v>
      </c>
      <c r="HL152" s="27">
        <v>18.29999999999999</v>
      </c>
      <c r="HM152" s="27">
        <v>18.29999999999999</v>
      </c>
      <c r="HN152" s="27">
        <v>18.29999999999999</v>
      </c>
      <c r="HO152" s="27">
        <v>18.29999999999999</v>
      </c>
      <c r="HP152" s="129">
        <v>16.7</v>
      </c>
      <c r="HR152" s="27">
        <v>18.29999999999999</v>
      </c>
      <c r="HS152" s="27">
        <v>18.29999999999999</v>
      </c>
      <c r="HT152" s="27">
        <v>18.29999999999999</v>
      </c>
      <c r="HU152" s="27">
        <v>18.29999999999999</v>
      </c>
      <c r="HV152" s="27">
        <v>18.29999999999999</v>
      </c>
      <c r="HW152" s="27">
        <v>18.29999999999999</v>
      </c>
      <c r="HX152" s="27">
        <v>18.29999999999999</v>
      </c>
      <c r="HY152" s="27">
        <v>18.29999999999999</v>
      </c>
      <c r="HZ152" s="27">
        <v>18.29999999999999</v>
      </c>
      <c r="IA152" s="129">
        <v>16.7</v>
      </c>
    </row>
    <row r="153" spans="15:235" ht="3" customHeight="1">
      <c r="O153" s="129">
        <v>5.2000000000000028</v>
      </c>
      <c r="P153" s="129">
        <v>5.2000000000000028</v>
      </c>
      <c r="Q153" s="129">
        <v>5.2000000000000028</v>
      </c>
      <c r="R153" s="129">
        <v>5.2000000000000028</v>
      </c>
      <c r="S153" s="129">
        <v>5.2000000000000028</v>
      </c>
      <c r="T153" s="129">
        <v>5.2000000000000028</v>
      </c>
      <c r="U153" s="129">
        <v>5.2000000000000028</v>
      </c>
      <c r="V153" s="129">
        <v>5.2000000000000028</v>
      </c>
      <c r="W153" s="129">
        <v>5.2000000000000028</v>
      </c>
      <c r="X153" s="129">
        <v>14.8</v>
      </c>
      <c r="Y153" s="27"/>
      <c r="Z153" s="129">
        <v>10.599999999999994</v>
      </c>
      <c r="AA153" s="129">
        <v>10.599999999999994</v>
      </c>
      <c r="AB153" s="129">
        <v>10.599999999999994</v>
      </c>
      <c r="AC153" s="129">
        <v>10.599999999999994</v>
      </c>
      <c r="AD153" s="129">
        <v>10.599999999999994</v>
      </c>
      <c r="AE153" s="129">
        <v>10.599999999999994</v>
      </c>
      <c r="AF153" s="129">
        <v>10.599999999999994</v>
      </c>
      <c r="AG153" s="129">
        <v>10.599999999999994</v>
      </c>
      <c r="AH153" s="129">
        <v>10.599999999999994</v>
      </c>
      <c r="AI153" s="129">
        <v>14.8</v>
      </c>
      <c r="AK153" s="129">
        <v>28.199999999999989</v>
      </c>
      <c r="AL153" s="129">
        <v>28.199999999999989</v>
      </c>
      <c r="AM153" s="129">
        <v>28.199999999999989</v>
      </c>
      <c r="AN153" s="129">
        <v>28.199999999999989</v>
      </c>
      <c r="AO153" s="129">
        <v>28.199999999999989</v>
      </c>
      <c r="AP153" s="129">
        <v>28.199999999999989</v>
      </c>
      <c r="AQ153" s="129">
        <v>28.199999999999989</v>
      </c>
      <c r="AR153" s="129">
        <v>28.199999999999989</v>
      </c>
      <c r="AS153" s="129">
        <v>28.199999999999989</v>
      </c>
      <c r="AT153" s="129">
        <v>14.8</v>
      </c>
      <c r="AV153" s="129">
        <v>34.399999999999977</v>
      </c>
      <c r="AW153" s="129">
        <v>34.399999999999977</v>
      </c>
      <c r="AX153" s="129">
        <v>34.399999999999977</v>
      </c>
      <c r="AY153" s="129">
        <v>34.399999999999977</v>
      </c>
      <c r="AZ153" s="129">
        <v>34.399999999999977</v>
      </c>
      <c r="BA153" s="129">
        <v>34.399999999999977</v>
      </c>
      <c r="BB153" s="129">
        <v>34.399999999999977</v>
      </c>
      <c r="BC153" s="129">
        <v>34.399999999999977</v>
      </c>
      <c r="BD153" s="129">
        <v>34.399999999999977</v>
      </c>
      <c r="BE153" s="129">
        <v>14.8</v>
      </c>
      <c r="BG153" s="129">
        <v>50.399999999999977</v>
      </c>
      <c r="BH153" s="129">
        <v>50.399999999999977</v>
      </c>
      <c r="BI153" s="129">
        <v>50.399999999999977</v>
      </c>
      <c r="BJ153" s="129">
        <v>50.399999999999977</v>
      </c>
      <c r="BK153" s="129">
        <v>50.399999999999977</v>
      </c>
      <c r="BL153" s="129">
        <v>50.399999999999977</v>
      </c>
      <c r="BM153" s="129">
        <v>50.399999999999977</v>
      </c>
      <c r="BN153" s="129">
        <v>50.399999999999977</v>
      </c>
      <c r="BO153" s="129">
        <v>50.399999999999977</v>
      </c>
      <c r="BP153" s="129">
        <v>14.8</v>
      </c>
      <c r="BR153" s="129">
        <v>50.399999999999977</v>
      </c>
      <c r="BS153" s="129">
        <v>50.399999999999977</v>
      </c>
      <c r="BT153" s="129">
        <v>50.399999999999977</v>
      </c>
      <c r="BU153" s="129">
        <v>50.399999999999977</v>
      </c>
      <c r="BV153" s="129">
        <v>50.399999999999977</v>
      </c>
      <c r="BW153" s="129">
        <v>50.399999999999977</v>
      </c>
      <c r="BX153" s="129">
        <v>50.399999999999977</v>
      </c>
      <c r="BY153" s="129">
        <v>50.399999999999977</v>
      </c>
      <c r="BZ153" s="129">
        <v>50.399999999999977</v>
      </c>
      <c r="CA153" s="129">
        <v>14.8</v>
      </c>
      <c r="CC153" s="129">
        <v>13</v>
      </c>
      <c r="CD153" s="129">
        <v>13</v>
      </c>
      <c r="CE153" s="129">
        <v>13</v>
      </c>
      <c r="CF153" s="129">
        <v>13</v>
      </c>
      <c r="CG153" s="129">
        <v>13</v>
      </c>
      <c r="CH153" s="129">
        <v>13</v>
      </c>
      <c r="CI153" s="129">
        <v>13</v>
      </c>
      <c r="CJ153" s="129">
        <v>13</v>
      </c>
      <c r="CK153" s="129">
        <v>13</v>
      </c>
      <c r="CL153" s="129">
        <v>14.8</v>
      </c>
      <c r="CN153" s="129">
        <v>15.200000000000003</v>
      </c>
      <c r="CO153" s="129">
        <v>15.200000000000003</v>
      </c>
      <c r="CP153" s="129">
        <v>15.200000000000003</v>
      </c>
      <c r="CQ153" s="129">
        <v>15.200000000000003</v>
      </c>
      <c r="CR153" s="129">
        <v>15.200000000000003</v>
      </c>
      <c r="CS153" s="129">
        <v>15.200000000000003</v>
      </c>
      <c r="CT153" s="129">
        <v>15.200000000000003</v>
      </c>
      <c r="CU153" s="129">
        <v>15.200000000000003</v>
      </c>
      <c r="CV153" s="129">
        <v>15.200000000000003</v>
      </c>
      <c r="CW153" s="129">
        <v>14.8</v>
      </c>
      <c r="CY153" s="129">
        <v>21.199999999999989</v>
      </c>
      <c r="CZ153" s="129">
        <v>21.199999999999989</v>
      </c>
      <c r="DA153" s="129">
        <v>21.199999999999989</v>
      </c>
      <c r="DB153" s="129">
        <v>21.199999999999989</v>
      </c>
      <c r="DC153" s="129">
        <v>21.199999999999989</v>
      </c>
      <c r="DD153" s="129">
        <v>21.199999999999989</v>
      </c>
      <c r="DE153" s="129">
        <v>21.199999999999989</v>
      </c>
      <c r="DF153" s="129">
        <v>21.199999999999989</v>
      </c>
      <c r="DG153" s="129">
        <v>21.199999999999989</v>
      </c>
      <c r="DH153" s="129">
        <v>14.8</v>
      </c>
      <c r="DJ153" s="129">
        <v>21.199999999999989</v>
      </c>
      <c r="DK153" s="129">
        <v>21.199999999999989</v>
      </c>
      <c r="DL153" s="129">
        <v>21.199999999999989</v>
      </c>
      <c r="DM153" s="129">
        <v>21.199999999999989</v>
      </c>
      <c r="DN153" s="129">
        <v>21.199999999999989</v>
      </c>
      <c r="DO153" s="129">
        <v>21.199999999999989</v>
      </c>
      <c r="DP153" s="129">
        <v>21.199999999999989</v>
      </c>
      <c r="DQ153" s="129">
        <v>21.199999999999989</v>
      </c>
      <c r="DR153" s="129">
        <v>21.199999999999989</v>
      </c>
      <c r="DS153" s="129">
        <v>14.8</v>
      </c>
      <c r="DW153" s="27">
        <v>8.4000000000000057</v>
      </c>
      <c r="DX153" s="27">
        <v>8.4000000000000057</v>
      </c>
      <c r="DY153" s="27">
        <v>8.4000000000000057</v>
      </c>
      <c r="DZ153" s="27">
        <v>8.4000000000000057</v>
      </c>
      <c r="EA153" s="27">
        <v>8.4000000000000057</v>
      </c>
      <c r="EB153" s="27">
        <v>8.4000000000000057</v>
      </c>
      <c r="EC153" s="27">
        <v>8.4000000000000057</v>
      </c>
      <c r="ED153" s="27">
        <v>8.4000000000000057</v>
      </c>
      <c r="EE153" s="27">
        <v>8.4000000000000057</v>
      </c>
      <c r="EF153" s="129">
        <v>16.8</v>
      </c>
      <c r="EH153" s="27">
        <v>17.800000000000011</v>
      </c>
      <c r="EI153" s="27">
        <v>17.800000000000011</v>
      </c>
      <c r="EJ153" s="27">
        <v>17.800000000000011</v>
      </c>
      <c r="EK153" s="27">
        <v>17.800000000000011</v>
      </c>
      <c r="EL153" s="27">
        <v>17.800000000000011</v>
      </c>
      <c r="EM153" s="27">
        <v>17.800000000000011</v>
      </c>
      <c r="EN153" s="27">
        <v>17.800000000000011</v>
      </c>
      <c r="EO153" s="27">
        <v>17.800000000000011</v>
      </c>
      <c r="EP153" s="27">
        <v>17.800000000000011</v>
      </c>
      <c r="EQ153" s="129">
        <v>16.8</v>
      </c>
      <c r="ES153" s="27">
        <v>29.400000000000006</v>
      </c>
      <c r="ET153" s="27">
        <v>29.400000000000006</v>
      </c>
      <c r="EU153" s="27">
        <v>29.400000000000006</v>
      </c>
      <c r="EV153" s="27">
        <v>29.400000000000006</v>
      </c>
      <c r="EW153" s="27">
        <v>29.400000000000006</v>
      </c>
      <c r="EX153" s="27">
        <v>29.400000000000006</v>
      </c>
      <c r="EY153" s="27">
        <v>29.400000000000006</v>
      </c>
      <c r="EZ153" s="27">
        <v>29.400000000000006</v>
      </c>
      <c r="FA153" s="27">
        <v>29.400000000000006</v>
      </c>
      <c r="FB153" s="129">
        <v>16.8</v>
      </c>
      <c r="FD153" s="27">
        <v>30.400000000000006</v>
      </c>
      <c r="FE153" s="27">
        <v>30.400000000000006</v>
      </c>
      <c r="FF153" s="27">
        <v>30.400000000000006</v>
      </c>
      <c r="FG153" s="27">
        <v>30.400000000000006</v>
      </c>
      <c r="FH153" s="27">
        <v>30.400000000000006</v>
      </c>
      <c r="FI153" s="27">
        <v>30.400000000000006</v>
      </c>
      <c r="FJ153" s="27">
        <v>30.400000000000006</v>
      </c>
      <c r="FK153" s="27">
        <v>30.400000000000006</v>
      </c>
      <c r="FL153" s="27">
        <v>30.400000000000006</v>
      </c>
      <c r="FM153" s="129">
        <v>16.8</v>
      </c>
      <c r="FO153" s="27">
        <v>46.600000000000023</v>
      </c>
      <c r="FP153" s="27">
        <v>46.600000000000023</v>
      </c>
      <c r="FQ153" s="27">
        <v>46.600000000000023</v>
      </c>
      <c r="FR153" s="27">
        <v>46.600000000000023</v>
      </c>
      <c r="FS153" s="27">
        <v>46.600000000000023</v>
      </c>
      <c r="FT153" s="27">
        <v>46.600000000000023</v>
      </c>
      <c r="FU153" s="27">
        <v>46.600000000000023</v>
      </c>
      <c r="FV153" s="27">
        <v>46.600000000000023</v>
      </c>
      <c r="FW153" s="27">
        <v>46.600000000000023</v>
      </c>
      <c r="FX153" s="129">
        <v>16.8</v>
      </c>
      <c r="FZ153" s="27">
        <v>46.600000000000023</v>
      </c>
      <c r="GA153" s="27">
        <v>46.600000000000023</v>
      </c>
      <c r="GB153" s="27">
        <v>46.600000000000023</v>
      </c>
      <c r="GC153" s="27">
        <v>46.600000000000023</v>
      </c>
      <c r="GD153" s="27">
        <v>46.600000000000023</v>
      </c>
      <c r="GE153" s="27">
        <v>46.600000000000023</v>
      </c>
      <c r="GF153" s="27">
        <v>46.600000000000023</v>
      </c>
      <c r="GG153" s="27">
        <v>46.600000000000023</v>
      </c>
      <c r="GH153" s="27">
        <v>46.600000000000023</v>
      </c>
      <c r="GI153" s="129">
        <v>16.8</v>
      </c>
      <c r="GJ153" s="27"/>
      <c r="GK153" s="27">
        <v>11.200000000000003</v>
      </c>
      <c r="GL153" s="27">
        <v>11.200000000000003</v>
      </c>
      <c r="GM153" s="27">
        <v>11.200000000000003</v>
      </c>
      <c r="GN153" s="27">
        <v>11.200000000000003</v>
      </c>
      <c r="GO153" s="27">
        <v>11.200000000000003</v>
      </c>
      <c r="GP153" s="27">
        <v>11.200000000000003</v>
      </c>
      <c r="GQ153" s="27">
        <v>11.200000000000003</v>
      </c>
      <c r="GR153" s="27">
        <v>11.200000000000003</v>
      </c>
      <c r="GS153" s="27">
        <v>11.200000000000003</v>
      </c>
      <c r="GT153" s="129">
        <v>16.8</v>
      </c>
      <c r="GV153" s="27">
        <v>13.200000000000003</v>
      </c>
      <c r="GW153" s="27">
        <v>13.200000000000003</v>
      </c>
      <c r="GX153" s="27">
        <v>13.200000000000003</v>
      </c>
      <c r="GY153" s="27">
        <v>13.200000000000003</v>
      </c>
      <c r="GZ153" s="27">
        <v>13.200000000000003</v>
      </c>
      <c r="HA153" s="27">
        <v>13.200000000000003</v>
      </c>
      <c r="HB153" s="27">
        <v>13.200000000000003</v>
      </c>
      <c r="HC153" s="27">
        <v>13.200000000000003</v>
      </c>
      <c r="HD153" s="27">
        <v>13.200000000000003</v>
      </c>
      <c r="HE153" s="129">
        <v>16.8</v>
      </c>
      <c r="HG153" s="27">
        <v>18.199999999999989</v>
      </c>
      <c r="HH153" s="27">
        <v>18.199999999999989</v>
      </c>
      <c r="HI153" s="27">
        <v>18.199999999999989</v>
      </c>
      <c r="HJ153" s="27">
        <v>18.199999999999989</v>
      </c>
      <c r="HK153" s="27">
        <v>18.199999999999989</v>
      </c>
      <c r="HL153" s="27">
        <v>18.199999999999989</v>
      </c>
      <c r="HM153" s="27">
        <v>18.199999999999989</v>
      </c>
      <c r="HN153" s="27">
        <v>18.199999999999989</v>
      </c>
      <c r="HO153" s="27">
        <v>18.199999999999989</v>
      </c>
      <c r="HP153" s="129">
        <v>16.8</v>
      </c>
      <c r="HR153" s="27">
        <v>18.199999999999989</v>
      </c>
      <c r="HS153" s="27">
        <v>18.199999999999989</v>
      </c>
      <c r="HT153" s="27">
        <v>18.199999999999989</v>
      </c>
      <c r="HU153" s="27">
        <v>18.199999999999989</v>
      </c>
      <c r="HV153" s="27">
        <v>18.199999999999989</v>
      </c>
      <c r="HW153" s="27">
        <v>18.199999999999989</v>
      </c>
      <c r="HX153" s="27">
        <v>18.199999999999989</v>
      </c>
      <c r="HY153" s="27">
        <v>18.199999999999989</v>
      </c>
      <c r="HZ153" s="27">
        <v>18.199999999999989</v>
      </c>
      <c r="IA153" s="129">
        <v>16.8</v>
      </c>
    </row>
    <row r="154" spans="15:235" ht="3" customHeight="1">
      <c r="O154" s="129">
        <v>5.1000000000000032</v>
      </c>
      <c r="P154" s="129">
        <v>5.1000000000000032</v>
      </c>
      <c r="Q154" s="129">
        <v>5.1000000000000032</v>
      </c>
      <c r="R154" s="129">
        <v>5.1000000000000032</v>
      </c>
      <c r="S154" s="129">
        <v>5.1000000000000032</v>
      </c>
      <c r="T154" s="129">
        <v>5.1000000000000032</v>
      </c>
      <c r="U154" s="129">
        <v>5.1000000000000032</v>
      </c>
      <c r="V154" s="129">
        <v>5.1000000000000032</v>
      </c>
      <c r="W154" s="129">
        <v>5.1000000000000032</v>
      </c>
      <c r="X154" s="129">
        <v>14.9</v>
      </c>
      <c r="Y154" s="27"/>
      <c r="Z154" s="129">
        <v>10.299999999999994</v>
      </c>
      <c r="AA154" s="129">
        <v>10.299999999999994</v>
      </c>
      <c r="AB154" s="129">
        <v>10.299999999999994</v>
      </c>
      <c r="AC154" s="129">
        <v>10.299999999999994</v>
      </c>
      <c r="AD154" s="129">
        <v>10.299999999999994</v>
      </c>
      <c r="AE154" s="129">
        <v>10.299999999999994</v>
      </c>
      <c r="AF154" s="129">
        <v>10.299999999999994</v>
      </c>
      <c r="AG154" s="129">
        <v>10.299999999999994</v>
      </c>
      <c r="AH154" s="129">
        <v>10.299999999999994</v>
      </c>
      <c r="AI154" s="129">
        <v>14.9</v>
      </c>
      <c r="AK154" s="129">
        <v>27.599999999999987</v>
      </c>
      <c r="AL154" s="129">
        <v>27.599999999999987</v>
      </c>
      <c r="AM154" s="129">
        <v>27.599999999999987</v>
      </c>
      <c r="AN154" s="129">
        <v>27.599999999999987</v>
      </c>
      <c r="AO154" s="129">
        <v>27.599999999999987</v>
      </c>
      <c r="AP154" s="129">
        <v>27.599999999999987</v>
      </c>
      <c r="AQ154" s="129">
        <v>27.599999999999987</v>
      </c>
      <c r="AR154" s="129">
        <v>27.599999999999987</v>
      </c>
      <c r="AS154" s="129">
        <v>27.599999999999987</v>
      </c>
      <c r="AT154" s="129">
        <v>14.9</v>
      </c>
      <c r="AV154" s="129">
        <v>34.199999999999974</v>
      </c>
      <c r="AW154" s="129">
        <v>34.199999999999974</v>
      </c>
      <c r="AX154" s="129">
        <v>34.199999999999974</v>
      </c>
      <c r="AY154" s="129">
        <v>34.199999999999974</v>
      </c>
      <c r="AZ154" s="129">
        <v>34.199999999999974</v>
      </c>
      <c r="BA154" s="129">
        <v>34.199999999999974</v>
      </c>
      <c r="BB154" s="129">
        <v>34.199999999999974</v>
      </c>
      <c r="BC154" s="129">
        <v>34.199999999999974</v>
      </c>
      <c r="BD154" s="129">
        <v>34.199999999999974</v>
      </c>
      <c r="BE154" s="129">
        <v>14.9</v>
      </c>
      <c r="BG154" s="129">
        <v>49.699999999999974</v>
      </c>
      <c r="BH154" s="129">
        <v>49.699999999999974</v>
      </c>
      <c r="BI154" s="129">
        <v>49.699999999999974</v>
      </c>
      <c r="BJ154" s="129">
        <v>49.699999999999974</v>
      </c>
      <c r="BK154" s="129">
        <v>49.699999999999974</v>
      </c>
      <c r="BL154" s="129">
        <v>49.699999999999974</v>
      </c>
      <c r="BM154" s="129">
        <v>49.699999999999974</v>
      </c>
      <c r="BN154" s="129">
        <v>49.699999999999974</v>
      </c>
      <c r="BO154" s="129">
        <v>49.699999999999974</v>
      </c>
      <c r="BP154" s="129">
        <v>14.9</v>
      </c>
      <c r="BR154" s="129">
        <v>49.699999999999974</v>
      </c>
      <c r="BS154" s="129">
        <v>49.699999999999974</v>
      </c>
      <c r="BT154" s="129">
        <v>49.699999999999974</v>
      </c>
      <c r="BU154" s="129">
        <v>49.699999999999974</v>
      </c>
      <c r="BV154" s="129">
        <v>49.699999999999974</v>
      </c>
      <c r="BW154" s="129">
        <v>49.699999999999974</v>
      </c>
      <c r="BX154" s="129">
        <v>49.699999999999974</v>
      </c>
      <c r="BY154" s="129">
        <v>49.699999999999974</v>
      </c>
      <c r="BZ154" s="129">
        <v>49.699999999999974</v>
      </c>
      <c r="CA154" s="129">
        <v>14.9</v>
      </c>
      <c r="CC154" s="129">
        <v>13</v>
      </c>
      <c r="CD154" s="129">
        <v>13</v>
      </c>
      <c r="CE154" s="129">
        <v>13</v>
      </c>
      <c r="CF154" s="129">
        <v>13</v>
      </c>
      <c r="CG154" s="129">
        <v>13</v>
      </c>
      <c r="CH154" s="129">
        <v>13</v>
      </c>
      <c r="CI154" s="129">
        <v>13</v>
      </c>
      <c r="CJ154" s="129">
        <v>13</v>
      </c>
      <c r="CK154" s="129">
        <v>13</v>
      </c>
      <c r="CL154" s="129">
        <v>14.9</v>
      </c>
      <c r="CN154" s="129">
        <v>15.100000000000003</v>
      </c>
      <c r="CO154" s="129">
        <v>15.100000000000003</v>
      </c>
      <c r="CP154" s="129">
        <v>15.100000000000003</v>
      </c>
      <c r="CQ154" s="129">
        <v>15.100000000000003</v>
      </c>
      <c r="CR154" s="129">
        <v>15.100000000000003</v>
      </c>
      <c r="CS154" s="129">
        <v>15.100000000000003</v>
      </c>
      <c r="CT154" s="129">
        <v>15.100000000000003</v>
      </c>
      <c r="CU154" s="129">
        <v>15.100000000000003</v>
      </c>
      <c r="CV154" s="129">
        <v>15.100000000000003</v>
      </c>
      <c r="CW154" s="129">
        <v>14.9</v>
      </c>
      <c r="CY154" s="129">
        <v>21.099999999999987</v>
      </c>
      <c r="CZ154" s="129">
        <v>21.099999999999987</v>
      </c>
      <c r="DA154" s="129">
        <v>21.099999999999987</v>
      </c>
      <c r="DB154" s="129">
        <v>21.099999999999987</v>
      </c>
      <c r="DC154" s="129">
        <v>21.099999999999987</v>
      </c>
      <c r="DD154" s="129">
        <v>21.099999999999987</v>
      </c>
      <c r="DE154" s="129">
        <v>21.099999999999987</v>
      </c>
      <c r="DF154" s="129">
        <v>21.099999999999987</v>
      </c>
      <c r="DG154" s="129">
        <v>21.099999999999987</v>
      </c>
      <c r="DH154" s="129">
        <v>14.9</v>
      </c>
      <c r="DJ154" s="129">
        <v>21.099999999999987</v>
      </c>
      <c r="DK154" s="129">
        <v>21.099999999999987</v>
      </c>
      <c r="DL154" s="129">
        <v>21.099999999999987</v>
      </c>
      <c r="DM154" s="129">
        <v>21.099999999999987</v>
      </c>
      <c r="DN154" s="129">
        <v>21.099999999999987</v>
      </c>
      <c r="DO154" s="129">
        <v>21.099999999999987</v>
      </c>
      <c r="DP154" s="129">
        <v>21.099999999999987</v>
      </c>
      <c r="DQ154" s="129">
        <v>21.099999999999987</v>
      </c>
      <c r="DR154" s="129">
        <v>21.099999999999987</v>
      </c>
      <c r="DS154" s="129">
        <v>14.9</v>
      </c>
      <c r="DW154" s="27">
        <v>8.2000000000000064</v>
      </c>
      <c r="DX154" s="27">
        <v>8.2000000000000064</v>
      </c>
      <c r="DY154" s="27">
        <v>8.2000000000000064</v>
      </c>
      <c r="DZ154" s="27">
        <v>8.2000000000000064</v>
      </c>
      <c r="EA154" s="27">
        <v>8.2000000000000064</v>
      </c>
      <c r="EB154" s="27">
        <v>8.2000000000000064</v>
      </c>
      <c r="EC154" s="27">
        <v>8.2000000000000064</v>
      </c>
      <c r="ED154" s="27">
        <v>8.2000000000000064</v>
      </c>
      <c r="EE154" s="27">
        <v>8.2000000000000064</v>
      </c>
      <c r="EF154" s="129">
        <v>16.899999999999999</v>
      </c>
      <c r="EH154" s="27">
        <v>17.400000000000013</v>
      </c>
      <c r="EI154" s="27">
        <v>17.400000000000013</v>
      </c>
      <c r="EJ154" s="27">
        <v>17.400000000000013</v>
      </c>
      <c r="EK154" s="27">
        <v>17.400000000000013</v>
      </c>
      <c r="EL154" s="27">
        <v>17.400000000000013</v>
      </c>
      <c r="EM154" s="27">
        <v>17.400000000000013</v>
      </c>
      <c r="EN154" s="27">
        <v>17.400000000000013</v>
      </c>
      <c r="EO154" s="27">
        <v>17.400000000000013</v>
      </c>
      <c r="EP154" s="27">
        <v>17.400000000000013</v>
      </c>
      <c r="EQ154" s="129">
        <v>16.899999999999999</v>
      </c>
      <c r="ES154" s="27">
        <v>29.200000000000006</v>
      </c>
      <c r="ET154" s="27">
        <v>29.200000000000006</v>
      </c>
      <c r="EU154" s="27">
        <v>29.200000000000006</v>
      </c>
      <c r="EV154" s="27">
        <v>29.200000000000006</v>
      </c>
      <c r="EW154" s="27">
        <v>29.200000000000006</v>
      </c>
      <c r="EX154" s="27">
        <v>29.200000000000006</v>
      </c>
      <c r="EY154" s="27">
        <v>29.200000000000006</v>
      </c>
      <c r="EZ154" s="27">
        <v>29.200000000000006</v>
      </c>
      <c r="FA154" s="27">
        <v>29.200000000000006</v>
      </c>
      <c r="FB154" s="129">
        <v>16.899999999999999</v>
      </c>
      <c r="FD154" s="27">
        <v>30.200000000000006</v>
      </c>
      <c r="FE154" s="27">
        <v>30.200000000000006</v>
      </c>
      <c r="FF154" s="27">
        <v>30.200000000000006</v>
      </c>
      <c r="FG154" s="27">
        <v>30.200000000000006</v>
      </c>
      <c r="FH154" s="27">
        <v>30.200000000000006</v>
      </c>
      <c r="FI154" s="27">
        <v>30.200000000000006</v>
      </c>
      <c r="FJ154" s="27">
        <v>30.200000000000006</v>
      </c>
      <c r="FK154" s="27">
        <v>30.200000000000006</v>
      </c>
      <c r="FL154" s="27">
        <v>30.200000000000006</v>
      </c>
      <c r="FM154" s="129">
        <v>16.899999999999999</v>
      </c>
      <c r="FO154" s="27">
        <v>46.300000000000026</v>
      </c>
      <c r="FP154" s="27">
        <v>46.300000000000026</v>
      </c>
      <c r="FQ154" s="27">
        <v>46.300000000000026</v>
      </c>
      <c r="FR154" s="27">
        <v>46.300000000000026</v>
      </c>
      <c r="FS154" s="27">
        <v>46.300000000000026</v>
      </c>
      <c r="FT154" s="27">
        <v>46.300000000000026</v>
      </c>
      <c r="FU154" s="27">
        <v>46.300000000000026</v>
      </c>
      <c r="FV154" s="27">
        <v>46.300000000000026</v>
      </c>
      <c r="FW154" s="27">
        <v>46.300000000000026</v>
      </c>
      <c r="FX154" s="129">
        <v>16.899999999999999</v>
      </c>
      <c r="FZ154" s="27">
        <v>46.300000000000026</v>
      </c>
      <c r="GA154" s="27">
        <v>46.300000000000026</v>
      </c>
      <c r="GB154" s="27">
        <v>46.300000000000026</v>
      </c>
      <c r="GC154" s="27">
        <v>46.300000000000026</v>
      </c>
      <c r="GD154" s="27">
        <v>46.300000000000026</v>
      </c>
      <c r="GE154" s="27">
        <v>46.300000000000026</v>
      </c>
      <c r="GF154" s="27">
        <v>46.300000000000026</v>
      </c>
      <c r="GG154" s="27">
        <v>46.300000000000026</v>
      </c>
      <c r="GH154" s="27">
        <v>46.300000000000026</v>
      </c>
      <c r="GI154" s="129">
        <v>16.899999999999999</v>
      </c>
      <c r="GJ154" s="27"/>
      <c r="GK154" s="27">
        <v>11.100000000000003</v>
      </c>
      <c r="GL154" s="27">
        <v>11.100000000000003</v>
      </c>
      <c r="GM154" s="27">
        <v>11.100000000000003</v>
      </c>
      <c r="GN154" s="27">
        <v>11.100000000000003</v>
      </c>
      <c r="GO154" s="27">
        <v>11.100000000000003</v>
      </c>
      <c r="GP154" s="27">
        <v>11.100000000000003</v>
      </c>
      <c r="GQ154" s="27">
        <v>11.100000000000003</v>
      </c>
      <c r="GR154" s="27">
        <v>11.100000000000003</v>
      </c>
      <c r="GS154" s="27">
        <v>11.100000000000003</v>
      </c>
      <c r="GT154" s="129">
        <v>16.899999999999999</v>
      </c>
      <c r="GV154" s="27">
        <v>13.100000000000003</v>
      </c>
      <c r="GW154" s="27">
        <v>13.100000000000003</v>
      </c>
      <c r="GX154" s="27">
        <v>13.100000000000003</v>
      </c>
      <c r="GY154" s="27">
        <v>13.100000000000003</v>
      </c>
      <c r="GZ154" s="27">
        <v>13.100000000000003</v>
      </c>
      <c r="HA154" s="27">
        <v>13.100000000000003</v>
      </c>
      <c r="HB154" s="27">
        <v>13.100000000000003</v>
      </c>
      <c r="HC154" s="27">
        <v>13.100000000000003</v>
      </c>
      <c r="HD154" s="27">
        <v>13.100000000000003</v>
      </c>
      <c r="HE154" s="129">
        <v>16.899999999999999</v>
      </c>
      <c r="HG154" s="27">
        <v>18.099999999999987</v>
      </c>
      <c r="HH154" s="27">
        <v>18.099999999999987</v>
      </c>
      <c r="HI154" s="27">
        <v>18.099999999999987</v>
      </c>
      <c r="HJ154" s="27">
        <v>18.099999999999987</v>
      </c>
      <c r="HK154" s="27">
        <v>18.099999999999987</v>
      </c>
      <c r="HL154" s="27">
        <v>18.099999999999987</v>
      </c>
      <c r="HM154" s="27">
        <v>18.099999999999987</v>
      </c>
      <c r="HN154" s="27">
        <v>18.099999999999987</v>
      </c>
      <c r="HO154" s="27">
        <v>18.099999999999987</v>
      </c>
      <c r="HP154" s="129">
        <v>16.899999999999999</v>
      </c>
      <c r="HR154" s="27">
        <v>18.099999999999987</v>
      </c>
      <c r="HS154" s="27">
        <v>18.099999999999987</v>
      </c>
      <c r="HT154" s="27">
        <v>18.099999999999987</v>
      </c>
      <c r="HU154" s="27">
        <v>18.099999999999987</v>
      </c>
      <c r="HV154" s="27">
        <v>18.099999999999987</v>
      </c>
      <c r="HW154" s="27">
        <v>18.099999999999987</v>
      </c>
      <c r="HX154" s="27">
        <v>18.099999999999987</v>
      </c>
      <c r="HY154" s="27">
        <v>18.099999999999987</v>
      </c>
      <c r="HZ154" s="27">
        <v>18.099999999999987</v>
      </c>
      <c r="IA154" s="129">
        <v>16.899999999999999</v>
      </c>
    </row>
    <row r="155" spans="15:235" ht="3" customHeight="1">
      <c r="O155" s="129">
        <v>5</v>
      </c>
      <c r="P155" s="129">
        <v>5</v>
      </c>
      <c r="Q155" s="129">
        <v>5</v>
      </c>
      <c r="R155" s="129">
        <v>5</v>
      </c>
      <c r="S155" s="129">
        <v>5</v>
      </c>
      <c r="T155" s="129">
        <v>5</v>
      </c>
      <c r="U155" s="129">
        <v>5</v>
      </c>
      <c r="V155" s="129">
        <v>5</v>
      </c>
      <c r="W155" s="129">
        <v>5</v>
      </c>
      <c r="X155" s="129">
        <v>15</v>
      </c>
      <c r="Y155" s="27"/>
      <c r="Z155" s="129">
        <v>10</v>
      </c>
      <c r="AA155" s="129">
        <v>10</v>
      </c>
      <c r="AB155" s="129">
        <v>10</v>
      </c>
      <c r="AC155" s="129">
        <v>10</v>
      </c>
      <c r="AD155" s="129">
        <v>10</v>
      </c>
      <c r="AE155" s="129">
        <v>10</v>
      </c>
      <c r="AF155" s="129">
        <v>10</v>
      </c>
      <c r="AG155" s="129">
        <v>10</v>
      </c>
      <c r="AH155" s="129">
        <v>10</v>
      </c>
      <c r="AI155" s="129">
        <v>15</v>
      </c>
      <c r="AK155" s="129">
        <v>27</v>
      </c>
      <c r="AL155" s="129">
        <v>27</v>
      </c>
      <c r="AM155" s="129">
        <v>27</v>
      </c>
      <c r="AN155" s="129">
        <v>27</v>
      </c>
      <c r="AO155" s="129">
        <v>27</v>
      </c>
      <c r="AP155" s="129">
        <v>27</v>
      </c>
      <c r="AQ155" s="129">
        <v>27</v>
      </c>
      <c r="AR155" s="129">
        <v>27</v>
      </c>
      <c r="AS155" s="129">
        <v>27</v>
      </c>
      <c r="AT155" s="129">
        <v>15</v>
      </c>
      <c r="AV155" s="129">
        <v>34</v>
      </c>
      <c r="AW155" s="129">
        <v>34</v>
      </c>
      <c r="AX155" s="129">
        <v>34</v>
      </c>
      <c r="AY155" s="129">
        <v>34</v>
      </c>
      <c r="AZ155" s="129">
        <v>34</v>
      </c>
      <c r="BA155" s="129">
        <v>34</v>
      </c>
      <c r="BB155" s="129">
        <v>34</v>
      </c>
      <c r="BC155" s="129">
        <v>34</v>
      </c>
      <c r="BD155" s="129">
        <v>34</v>
      </c>
      <c r="BE155" s="129">
        <v>15</v>
      </c>
      <c r="BG155" s="129">
        <v>49</v>
      </c>
      <c r="BH155" s="129">
        <v>49</v>
      </c>
      <c r="BI155" s="129">
        <v>49</v>
      </c>
      <c r="BJ155" s="129">
        <v>49</v>
      </c>
      <c r="BK155" s="129">
        <v>49</v>
      </c>
      <c r="BL155" s="129">
        <v>49</v>
      </c>
      <c r="BM155" s="129">
        <v>49</v>
      </c>
      <c r="BN155" s="129">
        <v>49</v>
      </c>
      <c r="BO155" s="129">
        <v>49</v>
      </c>
      <c r="BP155" s="129">
        <v>15</v>
      </c>
      <c r="BR155" s="129">
        <v>49</v>
      </c>
      <c r="BS155" s="129">
        <v>49</v>
      </c>
      <c r="BT155" s="129">
        <v>49</v>
      </c>
      <c r="BU155" s="129">
        <v>49</v>
      </c>
      <c r="BV155" s="129">
        <v>49</v>
      </c>
      <c r="BW155" s="129">
        <v>49</v>
      </c>
      <c r="BX155" s="129">
        <v>49</v>
      </c>
      <c r="BY155" s="129">
        <v>49</v>
      </c>
      <c r="BZ155" s="129">
        <v>49</v>
      </c>
      <c r="CA155" s="129">
        <v>15</v>
      </c>
      <c r="CC155" s="129">
        <v>13</v>
      </c>
      <c r="CD155" s="129">
        <v>13</v>
      </c>
      <c r="CE155" s="129">
        <v>13</v>
      </c>
      <c r="CF155" s="129">
        <v>13</v>
      </c>
      <c r="CG155" s="129">
        <v>13</v>
      </c>
      <c r="CH155" s="129">
        <v>13</v>
      </c>
      <c r="CI155" s="129">
        <v>13</v>
      </c>
      <c r="CJ155" s="129">
        <v>13</v>
      </c>
      <c r="CK155" s="129">
        <v>13</v>
      </c>
      <c r="CL155" s="129">
        <v>15</v>
      </c>
      <c r="CN155" s="129">
        <v>15</v>
      </c>
      <c r="CO155" s="129">
        <v>15</v>
      </c>
      <c r="CP155" s="129">
        <v>15</v>
      </c>
      <c r="CQ155" s="129">
        <v>15</v>
      </c>
      <c r="CR155" s="129">
        <v>15</v>
      </c>
      <c r="CS155" s="129">
        <v>15</v>
      </c>
      <c r="CT155" s="129">
        <v>15</v>
      </c>
      <c r="CU155" s="129">
        <v>15</v>
      </c>
      <c r="CV155" s="129">
        <v>15</v>
      </c>
      <c r="CW155" s="129">
        <v>15</v>
      </c>
      <c r="CY155" s="129">
        <v>21</v>
      </c>
      <c r="CZ155" s="129">
        <v>21</v>
      </c>
      <c r="DA155" s="129">
        <v>21</v>
      </c>
      <c r="DB155" s="129">
        <v>21</v>
      </c>
      <c r="DC155" s="129">
        <v>21</v>
      </c>
      <c r="DD155" s="129">
        <v>21</v>
      </c>
      <c r="DE155" s="129">
        <v>21</v>
      </c>
      <c r="DF155" s="129">
        <v>21</v>
      </c>
      <c r="DG155" s="129">
        <v>21</v>
      </c>
      <c r="DH155" s="129">
        <v>15</v>
      </c>
      <c r="DJ155" s="129">
        <v>21</v>
      </c>
      <c r="DK155" s="129">
        <v>21</v>
      </c>
      <c r="DL155" s="129">
        <v>21</v>
      </c>
      <c r="DM155" s="129">
        <v>21</v>
      </c>
      <c r="DN155" s="129">
        <v>21</v>
      </c>
      <c r="DO155" s="129">
        <v>21</v>
      </c>
      <c r="DP155" s="129">
        <v>21</v>
      </c>
      <c r="DQ155" s="129">
        <v>21</v>
      </c>
      <c r="DR155" s="129">
        <v>21</v>
      </c>
      <c r="DS155" s="129">
        <v>15</v>
      </c>
      <c r="DW155" s="27">
        <v>8</v>
      </c>
      <c r="DX155" s="27">
        <v>8</v>
      </c>
      <c r="DY155" s="27">
        <v>8</v>
      </c>
      <c r="DZ155" s="27">
        <v>8</v>
      </c>
      <c r="EA155" s="27">
        <v>8</v>
      </c>
      <c r="EB155" s="27">
        <v>8</v>
      </c>
      <c r="EC155" s="27">
        <v>8</v>
      </c>
      <c r="ED155" s="27">
        <v>8</v>
      </c>
      <c r="EE155" s="27">
        <v>8</v>
      </c>
      <c r="EF155" s="129">
        <v>17</v>
      </c>
      <c r="EH155" s="27">
        <v>17</v>
      </c>
      <c r="EI155" s="27">
        <v>17</v>
      </c>
      <c r="EJ155" s="27">
        <v>17</v>
      </c>
      <c r="EK155" s="27">
        <v>17</v>
      </c>
      <c r="EL155" s="27">
        <v>17</v>
      </c>
      <c r="EM155" s="27">
        <v>17</v>
      </c>
      <c r="EN155" s="27">
        <v>17</v>
      </c>
      <c r="EO155" s="27">
        <v>17</v>
      </c>
      <c r="EP155" s="27">
        <v>17</v>
      </c>
      <c r="EQ155" s="129">
        <v>17</v>
      </c>
      <c r="ES155" s="27">
        <v>29</v>
      </c>
      <c r="ET155" s="27">
        <v>29</v>
      </c>
      <c r="EU155" s="27">
        <v>29</v>
      </c>
      <c r="EV155" s="27">
        <v>29</v>
      </c>
      <c r="EW155" s="27">
        <v>29</v>
      </c>
      <c r="EX155" s="27">
        <v>29</v>
      </c>
      <c r="EY155" s="27">
        <v>29</v>
      </c>
      <c r="EZ155" s="27">
        <v>29</v>
      </c>
      <c r="FA155" s="27">
        <v>29</v>
      </c>
      <c r="FB155" s="129">
        <v>17</v>
      </c>
      <c r="FD155" s="27">
        <v>30</v>
      </c>
      <c r="FE155" s="27">
        <v>30</v>
      </c>
      <c r="FF155" s="27">
        <v>30</v>
      </c>
      <c r="FG155" s="27">
        <v>30</v>
      </c>
      <c r="FH155" s="27">
        <v>30</v>
      </c>
      <c r="FI155" s="27">
        <v>30</v>
      </c>
      <c r="FJ155" s="27">
        <v>30</v>
      </c>
      <c r="FK155" s="27">
        <v>30</v>
      </c>
      <c r="FL155" s="27">
        <v>30</v>
      </c>
      <c r="FM155" s="129">
        <v>17</v>
      </c>
      <c r="FO155" s="27">
        <v>46</v>
      </c>
      <c r="FP155" s="27">
        <v>46</v>
      </c>
      <c r="FQ155" s="27">
        <v>46</v>
      </c>
      <c r="FR155" s="27">
        <v>46</v>
      </c>
      <c r="FS155" s="27">
        <v>46</v>
      </c>
      <c r="FT155" s="27">
        <v>46</v>
      </c>
      <c r="FU155" s="27">
        <v>46</v>
      </c>
      <c r="FV155" s="27">
        <v>46</v>
      </c>
      <c r="FW155" s="27">
        <v>46</v>
      </c>
      <c r="FX155" s="129">
        <v>17</v>
      </c>
      <c r="FZ155" s="27">
        <v>46</v>
      </c>
      <c r="GA155" s="27">
        <v>46</v>
      </c>
      <c r="GB155" s="27">
        <v>46</v>
      </c>
      <c r="GC155" s="27">
        <v>46</v>
      </c>
      <c r="GD155" s="27">
        <v>46</v>
      </c>
      <c r="GE155" s="27">
        <v>46</v>
      </c>
      <c r="GF155" s="27">
        <v>46</v>
      </c>
      <c r="GG155" s="27">
        <v>46</v>
      </c>
      <c r="GH155" s="27">
        <v>46</v>
      </c>
      <c r="GI155" s="129">
        <v>17</v>
      </c>
      <c r="GJ155" s="27"/>
      <c r="GK155" s="27">
        <v>11</v>
      </c>
      <c r="GL155" s="27">
        <v>11</v>
      </c>
      <c r="GM155" s="27">
        <v>11</v>
      </c>
      <c r="GN155" s="27">
        <v>11</v>
      </c>
      <c r="GO155" s="27">
        <v>11</v>
      </c>
      <c r="GP155" s="27">
        <v>11</v>
      </c>
      <c r="GQ155" s="27">
        <v>11</v>
      </c>
      <c r="GR155" s="27">
        <v>11</v>
      </c>
      <c r="GS155" s="27">
        <v>11</v>
      </c>
      <c r="GT155" s="129">
        <v>17</v>
      </c>
      <c r="GV155" s="27">
        <v>13</v>
      </c>
      <c r="GW155" s="27">
        <v>13</v>
      </c>
      <c r="GX155" s="27">
        <v>13</v>
      </c>
      <c r="GY155" s="27">
        <v>13</v>
      </c>
      <c r="GZ155" s="27">
        <v>13</v>
      </c>
      <c r="HA155" s="27">
        <v>13</v>
      </c>
      <c r="HB155" s="27">
        <v>13</v>
      </c>
      <c r="HC155" s="27">
        <v>13</v>
      </c>
      <c r="HD155" s="27">
        <v>13</v>
      </c>
      <c r="HE155" s="129">
        <v>17</v>
      </c>
      <c r="HG155" s="27">
        <v>18</v>
      </c>
      <c r="HH155" s="27">
        <v>18</v>
      </c>
      <c r="HI155" s="27">
        <v>18</v>
      </c>
      <c r="HJ155" s="27">
        <v>18</v>
      </c>
      <c r="HK155" s="27">
        <v>18</v>
      </c>
      <c r="HL155" s="27">
        <v>18</v>
      </c>
      <c r="HM155" s="27">
        <v>18</v>
      </c>
      <c r="HN155" s="27">
        <v>18</v>
      </c>
      <c r="HO155" s="27">
        <v>18</v>
      </c>
      <c r="HP155" s="129">
        <v>17</v>
      </c>
      <c r="HR155" s="27">
        <v>18</v>
      </c>
      <c r="HS155" s="27">
        <v>18</v>
      </c>
      <c r="HT155" s="27">
        <v>18</v>
      </c>
      <c r="HU155" s="27">
        <v>18</v>
      </c>
      <c r="HV155" s="27">
        <v>18</v>
      </c>
      <c r="HW155" s="27">
        <v>18</v>
      </c>
      <c r="HX155" s="27">
        <v>18</v>
      </c>
      <c r="HY155" s="27">
        <v>18</v>
      </c>
      <c r="HZ155" s="27">
        <v>18</v>
      </c>
      <c r="IA155" s="129">
        <v>17</v>
      </c>
    </row>
    <row r="156" spans="15:235" ht="19.899999999999999" customHeight="1">
      <c r="X156" s="129">
        <v>15.1</v>
      </c>
      <c r="Y156" s="27"/>
      <c r="Z156" s="129">
        <v>9.9</v>
      </c>
      <c r="AA156" s="129">
        <v>9.9</v>
      </c>
      <c r="AB156" s="129">
        <v>9.9</v>
      </c>
      <c r="AC156" s="129">
        <v>9.9</v>
      </c>
      <c r="AD156" s="129">
        <v>9.9</v>
      </c>
      <c r="AE156" s="129">
        <v>9.9</v>
      </c>
      <c r="AF156" s="129">
        <v>9.9</v>
      </c>
      <c r="AG156" s="129">
        <v>9.9</v>
      </c>
      <c r="AH156" s="129">
        <v>9.9</v>
      </c>
      <c r="AI156" s="129">
        <v>15.1</v>
      </c>
      <c r="AK156" s="129">
        <v>26.5</v>
      </c>
      <c r="AL156" s="129">
        <v>26.5</v>
      </c>
      <c r="AM156" s="129">
        <v>26.5</v>
      </c>
      <c r="AN156" s="129">
        <v>26.5</v>
      </c>
      <c r="AO156" s="129">
        <v>26.5</v>
      </c>
      <c r="AP156" s="129">
        <v>26.5</v>
      </c>
      <c r="AQ156" s="129">
        <v>26.5</v>
      </c>
      <c r="AR156" s="129">
        <v>26.5</v>
      </c>
      <c r="AS156" s="129">
        <v>26.5</v>
      </c>
      <c r="AT156" s="129">
        <v>15.1</v>
      </c>
      <c r="AV156" s="129">
        <v>33.6</v>
      </c>
      <c r="AW156" s="129">
        <v>33.6</v>
      </c>
      <c r="AX156" s="129">
        <v>33.6</v>
      </c>
      <c r="AY156" s="129">
        <v>33.6</v>
      </c>
      <c r="AZ156" s="129">
        <v>33.6</v>
      </c>
      <c r="BA156" s="129">
        <v>33.6</v>
      </c>
      <c r="BB156" s="129">
        <v>33.6</v>
      </c>
      <c r="BC156" s="129">
        <v>33.6</v>
      </c>
      <c r="BD156" s="129">
        <v>33.6</v>
      </c>
      <c r="BE156" s="129">
        <v>15.1</v>
      </c>
      <c r="BG156" s="129">
        <v>48.1</v>
      </c>
      <c r="BH156" s="129">
        <v>48.1</v>
      </c>
      <c r="BI156" s="129">
        <v>48.1</v>
      </c>
      <c r="BJ156" s="129">
        <v>48.1</v>
      </c>
      <c r="BK156" s="129">
        <v>48.1</v>
      </c>
      <c r="BL156" s="129">
        <v>48.1</v>
      </c>
      <c r="BM156" s="129">
        <v>48.1</v>
      </c>
      <c r="BN156" s="129">
        <v>48.1</v>
      </c>
      <c r="BO156" s="129">
        <v>48.1</v>
      </c>
      <c r="BP156" s="129">
        <v>15.1</v>
      </c>
      <c r="BR156" s="129">
        <v>48.1</v>
      </c>
      <c r="BS156" s="129">
        <v>48.1</v>
      </c>
      <c r="BT156" s="129">
        <v>48.1</v>
      </c>
      <c r="BU156" s="129">
        <v>48.1</v>
      </c>
      <c r="BV156" s="129">
        <v>48.1</v>
      </c>
      <c r="BW156" s="129">
        <v>48.1</v>
      </c>
      <c r="BX156" s="129">
        <v>48.1</v>
      </c>
      <c r="BY156" s="129">
        <v>48.1</v>
      </c>
      <c r="BZ156" s="129">
        <v>48.1</v>
      </c>
      <c r="CA156" s="129">
        <v>15.1</v>
      </c>
      <c r="CC156" s="129">
        <v>12.9</v>
      </c>
      <c r="CD156" s="129">
        <v>12.9</v>
      </c>
      <c r="CE156" s="129">
        <v>12.9</v>
      </c>
      <c r="CF156" s="129">
        <v>12.9</v>
      </c>
      <c r="CG156" s="129">
        <v>12.9</v>
      </c>
      <c r="CH156" s="129">
        <v>12.9</v>
      </c>
      <c r="CI156" s="129">
        <v>12.9</v>
      </c>
      <c r="CJ156" s="129">
        <v>12.9</v>
      </c>
      <c r="CK156" s="129">
        <v>12.9</v>
      </c>
      <c r="CL156" s="129">
        <v>15.1</v>
      </c>
      <c r="CN156" s="129">
        <v>14.9</v>
      </c>
      <c r="CO156" s="129">
        <v>14.9</v>
      </c>
      <c r="CP156" s="129">
        <v>14.9</v>
      </c>
      <c r="CQ156" s="129">
        <v>14.9</v>
      </c>
      <c r="CR156" s="129">
        <v>14.9</v>
      </c>
      <c r="CS156" s="129">
        <v>14.9</v>
      </c>
      <c r="CT156" s="129">
        <v>14.9</v>
      </c>
      <c r="CU156" s="129">
        <v>14.9</v>
      </c>
      <c r="CV156" s="129">
        <v>14.9</v>
      </c>
      <c r="CW156" s="129">
        <v>15.1</v>
      </c>
      <c r="CY156" s="129">
        <v>20.8</v>
      </c>
      <c r="CZ156" s="129">
        <v>20.8</v>
      </c>
      <c r="DA156" s="129">
        <v>20.8</v>
      </c>
      <c r="DB156" s="129">
        <v>20.8</v>
      </c>
      <c r="DC156" s="129">
        <v>20.8</v>
      </c>
      <c r="DD156" s="129">
        <v>20.8</v>
      </c>
      <c r="DE156" s="129">
        <v>20.8</v>
      </c>
      <c r="DF156" s="129">
        <v>20.8</v>
      </c>
      <c r="DG156" s="129">
        <v>20.8</v>
      </c>
      <c r="DH156" s="129">
        <v>15.1</v>
      </c>
      <c r="DJ156" s="129">
        <v>20.8</v>
      </c>
      <c r="DK156" s="129">
        <v>20.8</v>
      </c>
      <c r="DL156" s="129">
        <v>20.8</v>
      </c>
      <c r="DM156" s="129">
        <v>20.8</v>
      </c>
      <c r="DN156" s="129">
        <v>20.8</v>
      </c>
      <c r="DO156" s="129">
        <v>20.8</v>
      </c>
      <c r="DP156" s="129">
        <v>20.8</v>
      </c>
      <c r="DQ156" s="129">
        <v>20.8</v>
      </c>
      <c r="DR156" s="129">
        <v>20.8</v>
      </c>
      <c r="DS156" s="129">
        <v>15.1</v>
      </c>
      <c r="DW156" s="27">
        <v>7.9</v>
      </c>
      <c r="DX156" s="27">
        <v>7.9</v>
      </c>
      <c r="DY156" s="27">
        <v>7.9</v>
      </c>
      <c r="DZ156" s="27">
        <v>7.9</v>
      </c>
      <c r="EA156" s="27">
        <v>7.9</v>
      </c>
      <c r="EB156" s="27">
        <v>7.9</v>
      </c>
      <c r="EC156" s="27">
        <v>7.9</v>
      </c>
      <c r="ED156" s="27">
        <v>7.9</v>
      </c>
      <c r="EE156" s="27">
        <v>7.9</v>
      </c>
      <c r="EF156" s="129">
        <v>17.100000000000001</v>
      </c>
      <c r="EH156" s="27">
        <v>16.8</v>
      </c>
      <c r="EI156" s="27">
        <v>16.8</v>
      </c>
      <c r="EJ156" s="27">
        <v>16.8</v>
      </c>
      <c r="EK156" s="27">
        <v>16.8</v>
      </c>
      <c r="EL156" s="27">
        <v>16.8</v>
      </c>
      <c r="EM156" s="27">
        <v>16.8</v>
      </c>
      <c r="EN156" s="27">
        <v>16.8</v>
      </c>
      <c r="EO156" s="27">
        <v>16.8</v>
      </c>
      <c r="EP156" s="27">
        <v>16.8</v>
      </c>
      <c r="EQ156" s="129">
        <v>17.100000000000001</v>
      </c>
      <c r="ES156" s="27">
        <v>28.8</v>
      </c>
      <c r="ET156" s="27">
        <v>28.8</v>
      </c>
      <c r="EU156" s="27">
        <v>28.8</v>
      </c>
      <c r="EV156" s="27">
        <v>28.8</v>
      </c>
      <c r="EW156" s="27">
        <v>28.8</v>
      </c>
      <c r="EX156" s="27">
        <v>28.8</v>
      </c>
      <c r="EY156" s="27">
        <v>28.8</v>
      </c>
      <c r="EZ156" s="27">
        <v>28.8</v>
      </c>
      <c r="FA156" s="27">
        <v>28.8</v>
      </c>
      <c r="FB156" s="129">
        <v>17.100000000000001</v>
      </c>
      <c r="FD156" s="27">
        <v>29.8</v>
      </c>
      <c r="FE156" s="27">
        <v>29.8</v>
      </c>
      <c r="FF156" s="27">
        <v>29.8</v>
      </c>
      <c r="FG156" s="27">
        <v>29.8</v>
      </c>
      <c r="FH156" s="27">
        <v>29.8</v>
      </c>
      <c r="FI156" s="27">
        <v>29.8</v>
      </c>
      <c r="FJ156" s="27">
        <v>29.8</v>
      </c>
      <c r="FK156" s="27">
        <v>29.8</v>
      </c>
      <c r="FL156" s="27">
        <v>29.8</v>
      </c>
      <c r="FM156" s="129">
        <v>17.100000000000001</v>
      </c>
      <c r="FO156" s="27">
        <v>45.8</v>
      </c>
      <c r="FP156" s="27">
        <v>45.8</v>
      </c>
      <c r="FQ156" s="27">
        <v>45.8</v>
      </c>
      <c r="FR156" s="27">
        <v>45.8</v>
      </c>
      <c r="FS156" s="27">
        <v>45.8</v>
      </c>
      <c r="FT156" s="27">
        <v>45.8</v>
      </c>
      <c r="FU156" s="27">
        <v>45.8</v>
      </c>
      <c r="FV156" s="27">
        <v>45.8</v>
      </c>
      <c r="FW156" s="27">
        <v>45.8</v>
      </c>
      <c r="FX156" s="129">
        <v>17.100000000000001</v>
      </c>
      <c r="FZ156" s="27">
        <v>45.8</v>
      </c>
      <c r="GA156" s="27">
        <v>45.8</v>
      </c>
      <c r="GB156" s="27">
        <v>45.8</v>
      </c>
      <c r="GC156" s="27">
        <v>45.8</v>
      </c>
      <c r="GD156" s="27">
        <v>45.8</v>
      </c>
      <c r="GE156" s="27">
        <v>45.8</v>
      </c>
      <c r="GF156" s="27">
        <v>45.8</v>
      </c>
      <c r="GG156" s="27">
        <v>45.8</v>
      </c>
      <c r="GH156" s="27">
        <v>45.8</v>
      </c>
      <c r="GI156" s="129">
        <v>17.100000000000001</v>
      </c>
      <c r="GJ156" s="27"/>
      <c r="GK156" s="27">
        <v>10.9</v>
      </c>
      <c r="GL156" s="27">
        <v>10.9</v>
      </c>
      <c r="GM156" s="27">
        <v>10.9</v>
      </c>
      <c r="GN156" s="27">
        <v>10.9</v>
      </c>
      <c r="GO156" s="27">
        <v>10.9</v>
      </c>
      <c r="GP156" s="27">
        <v>10.9</v>
      </c>
      <c r="GQ156" s="27">
        <v>10.9</v>
      </c>
      <c r="GR156" s="27">
        <v>10.9</v>
      </c>
      <c r="GS156" s="27">
        <v>10.9</v>
      </c>
      <c r="GT156" s="129">
        <v>17.100000000000001</v>
      </c>
      <c r="GV156" s="27">
        <v>13</v>
      </c>
      <c r="GW156" s="27">
        <v>13</v>
      </c>
      <c r="GX156" s="27">
        <v>13</v>
      </c>
      <c r="GY156" s="27">
        <v>13</v>
      </c>
      <c r="GZ156" s="27">
        <v>13</v>
      </c>
      <c r="HA156" s="27">
        <v>13</v>
      </c>
      <c r="HB156" s="27">
        <v>13</v>
      </c>
      <c r="HC156" s="27">
        <v>13</v>
      </c>
      <c r="HD156" s="27">
        <v>13</v>
      </c>
      <c r="HE156" s="129">
        <v>17.100000000000001</v>
      </c>
      <c r="HG156" s="27">
        <v>17.899999999999999</v>
      </c>
      <c r="HH156" s="27">
        <v>17.899999999999999</v>
      </c>
      <c r="HI156" s="27">
        <v>17.899999999999999</v>
      </c>
      <c r="HJ156" s="27">
        <v>17.899999999999999</v>
      </c>
      <c r="HK156" s="27">
        <v>17.899999999999999</v>
      </c>
      <c r="HL156" s="27">
        <v>17.899999999999999</v>
      </c>
      <c r="HM156" s="27">
        <v>17.899999999999999</v>
      </c>
      <c r="HN156" s="27">
        <v>17.899999999999999</v>
      </c>
      <c r="HO156" s="27">
        <v>17.899999999999999</v>
      </c>
      <c r="HP156" s="129">
        <v>17.100000000000001</v>
      </c>
      <c r="HR156" s="27">
        <v>17.899999999999999</v>
      </c>
      <c r="HS156" s="27">
        <v>17.899999999999999</v>
      </c>
      <c r="HT156" s="27">
        <v>17.899999999999999</v>
      </c>
      <c r="HU156" s="27">
        <v>17.899999999999999</v>
      </c>
      <c r="HV156" s="27">
        <v>17.899999999999999</v>
      </c>
      <c r="HW156" s="27">
        <v>17.899999999999999</v>
      </c>
      <c r="HX156" s="27">
        <v>17.899999999999999</v>
      </c>
      <c r="HY156" s="27">
        <v>17.899999999999999</v>
      </c>
      <c r="HZ156" s="27">
        <v>17.899999999999999</v>
      </c>
      <c r="IA156" s="129">
        <v>17.100000000000001</v>
      </c>
    </row>
    <row r="157" spans="15:235" ht="19.899999999999999" customHeight="1">
      <c r="X157" s="129">
        <v>15.2</v>
      </c>
      <c r="Y157" s="27"/>
      <c r="Z157" s="129">
        <v>9.8000000000000007</v>
      </c>
      <c r="AA157" s="129">
        <v>9.8000000000000007</v>
      </c>
      <c r="AB157" s="129">
        <v>9.8000000000000007</v>
      </c>
      <c r="AC157" s="129">
        <v>9.8000000000000007</v>
      </c>
      <c r="AD157" s="129">
        <v>9.8000000000000007</v>
      </c>
      <c r="AE157" s="129">
        <v>9.8000000000000007</v>
      </c>
      <c r="AF157" s="129">
        <v>9.8000000000000007</v>
      </c>
      <c r="AG157" s="129">
        <v>9.8000000000000007</v>
      </c>
      <c r="AH157" s="129">
        <v>9.8000000000000007</v>
      </c>
      <c r="AI157" s="129">
        <v>15.2</v>
      </c>
      <c r="AK157" s="129">
        <v>26</v>
      </c>
      <c r="AL157" s="129">
        <v>26</v>
      </c>
      <c r="AM157" s="129">
        <v>26</v>
      </c>
      <c r="AN157" s="129">
        <v>26</v>
      </c>
      <c r="AO157" s="129">
        <v>26</v>
      </c>
      <c r="AP157" s="129">
        <v>26</v>
      </c>
      <c r="AQ157" s="129">
        <v>26</v>
      </c>
      <c r="AR157" s="129">
        <v>26</v>
      </c>
      <c r="AS157" s="129">
        <v>26</v>
      </c>
      <c r="AT157" s="129">
        <v>15.2</v>
      </c>
      <c r="AV157" s="129">
        <v>33.200000000000003</v>
      </c>
      <c r="AW157" s="129">
        <v>33.200000000000003</v>
      </c>
      <c r="AX157" s="129">
        <v>33.200000000000003</v>
      </c>
      <c r="AY157" s="129">
        <v>33.200000000000003</v>
      </c>
      <c r="AZ157" s="129">
        <v>33.200000000000003</v>
      </c>
      <c r="BA157" s="129">
        <v>33.200000000000003</v>
      </c>
      <c r="BB157" s="129">
        <v>33.200000000000003</v>
      </c>
      <c r="BC157" s="129">
        <v>33.200000000000003</v>
      </c>
      <c r="BD157" s="129">
        <v>33.200000000000003</v>
      </c>
      <c r="BE157" s="129">
        <v>15.2</v>
      </c>
      <c r="BG157" s="129">
        <v>47.2</v>
      </c>
      <c r="BH157" s="129">
        <v>47.2</v>
      </c>
      <c r="BI157" s="129">
        <v>47.2</v>
      </c>
      <c r="BJ157" s="129">
        <v>47.2</v>
      </c>
      <c r="BK157" s="129">
        <v>47.2</v>
      </c>
      <c r="BL157" s="129">
        <v>47.2</v>
      </c>
      <c r="BM157" s="129">
        <v>47.2</v>
      </c>
      <c r="BN157" s="129">
        <v>47.2</v>
      </c>
      <c r="BO157" s="129">
        <v>47.2</v>
      </c>
      <c r="BP157" s="129">
        <v>15.2</v>
      </c>
      <c r="BR157" s="129">
        <v>47.2</v>
      </c>
      <c r="BS157" s="129">
        <v>47.2</v>
      </c>
      <c r="BT157" s="129">
        <v>47.2</v>
      </c>
      <c r="BU157" s="129">
        <v>47.2</v>
      </c>
      <c r="BV157" s="129">
        <v>47.2</v>
      </c>
      <c r="BW157" s="129">
        <v>47.2</v>
      </c>
      <c r="BX157" s="129">
        <v>47.2</v>
      </c>
      <c r="BY157" s="129">
        <v>47.2</v>
      </c>
      <c r="BZ157" s="129">
        <v>47.2</v>
      </c>
      <c r="CA157" s="129">
        <v>15.2</v>
      </c>
      <c r="CC157" s="129">
        <v>12.8</v>
      </c>
      <c r="CD157" s="129">
        <v>12.8</v>
      </c>
      <c r="CE157" s="129">
        <v>12.8</v>
      </c>
      <c r="CF157" s="129">
        <v>12.8</v>
      </c>
      <c r="CG157" s="129">
        <v>12.8</v>
      </c>
      <c r="CH157" s="129">
        <v>12.8</v>
      </c>
      <c r="CI157" s="129">
        <v>12.8</v>
      </c>
      <c r="CJ157" s="129">
        <v>12.8</v>
      </c>
      <c r="CK157" s="129">
        <v>12.8</v>
      </c>
      <c r="CL157" s="129">
        <v>15.2</v>
      </c>
      <c r="CN157" s="129">
        <v>14.8</v>
      </c>
      <c r="CO157" s="129">
        <v>14.8</v>
      </c>
      <c r="CP157" s="129">
        <v>14.8</v>
      </c>
      <c r="CQ157" s="129">
        <v>14.8</v>
      </c>
      <c r="CR157" s="129">
        <v>14.8</v>
      </c>
      <c r="CS157" s="129">
        <v>14.8</v>
      </c>
      <c r="CT157" s="129">
        <v>14.8</v>
      </c>
      <c r="CU157" s="129">
        <v>14.8</v>
      </c>
      <c r="CV157" s="129">
        <v>14.8</v>
      </c>
      <c r="CW157" s="129">
        <v>15.2</v>
      </c>
      <c r="CY157" s="129">
        <v>20.6</v>
      </c>
      <c r="CZ157" s="129">
        <v>20.6</v>
      </c>
      <c r="DA157" s="129">
        <v>20.6</v>
      </c>
      <c r="DB157" s="129">
        <v>20.6</v>
      </c>
      <c r="DC157" s="129">
        <v>20.6</v>
      </c>
      <c r="DD157" s="129">
        <v>20.6</v>
      </c>
      <c r="DE157" s="129">
        <v>20.6</v>
      </c>
      <c r="DF157" s="129">
        <v>20.6</v>
      </c>
      <c r="DG157" s="129">
        <v>20.6</v>
      </c>
      <c r="DH157" s="129">
        <v>15.2</v>
      </c>
      <c r="DJ157" s="129">
        <v>20.6</v>
      </c>
      <c r="DK157" s="129">
        <v>20.6</v>
      </c>
      <c r="DL157" s="129">
        <v>20.6</v>
      </c>
      <c r="DM157" s="129">
        <v>20.6</v>
      </c>
      <c r="DN157" s="129">
        <v>20.6</v>
      </c>
      <c r="DO157" s="129">
        <v>20.6</v>
      </c>
      <c r="DP157" s="129">
        <v>20.6</v>
      </c>
      <c r="DQ157" s="129">
        <v>20.6</v>
      </c>
      <c r="DR157" s="129">
        <v>20.6</v>
      </c>
      <c r="DS157" s="129">
        <v>15.2</v>
      </c>
      <c r="DW157" s="27">
        <v>7.8000000000000007</v>
      </c>
      <c r="DX157" s="27">
        <v>7.8000000000000007</v>
      </c>
      <c r="DY157" s="27">
        <v>7.8000000000000007</v>
      </c>
      <c r="DZ157" s="27">
        <v>7.8000000000000007</v>
      </c>
      <c r="EA157" s="27">
        <v>7.8000000000000007</v>
      </c>
      <c r="EB157" s="27">
        <v>7.8000000000000007</v>
      </c>
      <c r="EC157" s="27">
        <v>7.8000000000000007</v>
      </c>
      <c r="ED157" s="27">
        <v>7.8000000000000007</v>
      </c>
      <c r="EE157" s="27">
        <v>7.8000000000000007</v>
      </c>
      <c r="EF157" s="129">
        <v>17.2</v>
      </c>
      <c r="EH157" s="27">
        <v>16.600000000000001</v>
      </c>
      <c r="EI157" s="27">
        <v>16.600000000000001</v>
      </c>
      <c r="EJ157" s="27">
        <v>16.600000000000001</v>
      </c>
      <c r="EK157" s="27">
        <v>16.600000000000001</v>
      </c>
      <c r="EL157" s="27">
        <v>16.600000000000001</v>
      </c>
      <c r="EM157" s="27">
        <v>16.600000000000001</v>
      </c>
      <c r="EN157" s="27">
        <v>16.600000000000001</v>
      </c>
      <c r="EO157" s="27">
        <v>16.600000000000001</v>
      </c>
      <c r="EP157" s="27">
        <v>16.600000000000001</v>
      </c>
      <c r="EQ157" s="129">
        <v>17.2</v>
      </c>
      <c r="ES157" s="27">
        <v>28.6</v>
      </c>
      <c r="ET157" s="27">
        <v>28.6</v>
      </c>
      <c r="EU157" s="27">
        <v>28.6</v>
      </c>
      <c r="EV157" s="27">
        <v>28.6</v>
      </c>
      <c r="EW157" s="27">
        <v>28.6</v>
      </c>
      <c r="EX157" s="27">
        <v>28.6</v>
      </c>
      <c r="EY157" s="27">
        <v>28.6</v>
      </c>
      <c r="EZ157" s="27">
        <v>28.6</v>
      </c>
      <c r="FA157" s="27">
        <v>28.6</v>
      </c>
      <c r="FB157" s="129">
        <v>17.2</v>
      </c>
      <c r="FD157" s="27">
        <v>29.6</v>
      </c>
      <c r="FE157" s="27">
        <v>29.6</v>
      </c>
      <c r="FF157" s="27">
        <v>29.6</v>
      </c>
      <c r="FG157" s="27">
        <v>29.6</v>
      </c>
      <c r="FH157" s="27">
        <v>29.6</v>
      </c>
      <c r="FI157" s="27">
        <v>29.6</v>
      </c>
      <c r="FJ157" s="27">
        <v>29.6</v>
      </c>
      <c r="FK157" s="27">
        <v>29.6</v>
      </c>
      <c r="FL157" s="27">
        <v>29.6</v>
      </c>
      <c r="FM157" s="129">
        <v>17.2</v>
      </c>
      <c r="FO157" s="27">
        <v>45.599999999999994</v>
      </c>
      <c r="FP157" s="27">
        <v>45.599999999999994</v>
      </c>
      <c r="FQ157" s="27">
        <v>45.599999999999994</v>
      </c>
      <c r="FR157" s="27">
        <v>45.599999999999994</v>
      </c>
      <c r="FS157" s="27">
        <v>45.599999999999994</v>
      </c>
      <c r="FT157" s="27">
        <v>45.599999999999994</v>
      </c>
      <c r="FU157" s="27">
        <v>45.599999999999994</v>
      </c>
      <c r="FV157" s="27">
        <v>45.599999999999994</v>
      </c>
      <c r="FW157" s="27">
        <v>45.599999999999994</v>
      </c>
      <c r="FX157" s="129">
        <v>17.2</v>
      </c>
      <c r="FZ157" s="27">
        <v>45.599999999999994</v>
      </c>
      <c r="GA157" s="27">
        <v>45.599999999999994</v>
      </c>
      <c r="GB157" s="27">
        <v>45.599999999999994</v>
      </c>
      <c r="GC157" s="27">
        <v>45.599999999999994</v>
      </c>
      <c r="GD157" s="27">
        <v>45.599999999999994</v>
      </c>
      <c r="GE157" s="27">
        <v>45.599999999999994</v>
      </c>
      <c r="GF157" s="27">
        <v>45.599999999999994</v>
      </c>
      <c r="GG157" s="27">
        <v>45.599999999999994</v>
      </c>
      <c r="GH157" s="27">
        <v>45.599999999999994</v>
      </c>
      <c r="GI157" s="129">
        <v>17.2</v>
      </c>
      <c r="GJ157" s="27"/>
      <c r="GK157" s="27">
        <v>10.8</v>
      </c>
      <c r="GL157" s="27">
        <v>10.8</v>
      </c>
      <c r="GM157" s="27">
        <v>10.8</v>
      </c>
      <c r="GN157" s="27">
        <v>10.8</v>
      </c>
      <c r="GO157" s="27">
        <v>10.8</v>
      </c>
      <c r="GP157" s="27">
        <v>10.8</v>
      </c>
      <c r="GQ157" s="27">
        <v>10.8</v>
      </c>
      <c r="GR157" s="27">
        <v>10.8</v>
      </c>
      <c r="GS157" s="27">
        <v>10.8</v>
      </c>
      <c r="GT157" s="129">
        <v>17.2</v>
      </c>
      <c r="GV157" s="27">
        <v>13</v>
      </c>
      <c r="GW157" s="27">
        <v>13</v>
      </c>
      <c r="GX157" s="27">
        <v>13</v>
      </c>
      <c r="GY157" s="27">
        <v>13</v>
      </c>
      <c r="GZ157" s="27">
        <v>13</v>
      </c>
      <c r="HA157" s="27">
        <v>13</v>
      </c>
      <c r="HB157" s="27">
        <v>13</v>
      </c>
      <c r="HC157" s="27">
        <v>13</v>
      </c>
      <c r="HD157" s="27">
        <v>13</v>
      </c>
      <c r="HE157" s="129">
        <v>17.2</v>
      </c>
      <c r="HG157" s="27">
        <v>17.799999999999997</v>
      </c>
      <c r="HH157" s="27">
        <v>17.799999999999997</v>
      </c>
      <c r="HI157" s="27">
        <v>17.799999999999997</v>
      </c>
      <c r="HJ157" s="27">
        <v>17.799999999999997</v>
      </c>
      <c r="HK157" s="27">
        <v>17.799999999999997</v>
      </c>
      <c r="HL157" s="27">
        <v>17.799999999999997</v>
      </c>
      <c r="HM157" s="27">
        <v>17.799999999999997</v>
      </c>
      <c r="HN157" s="27">
        <v>17.799999999999997</v>
      </c>
      <c r="HO157" s="27">
        <v>17.799999999999997</v>
      </c>
      <c r="HP157" s="129">
        <v>17.2</v>
      </c>
      <c r="HR157" s="27">
        <v>17.799999999999997</v>
      </c>
      <c r="HS157" s="27">
        <v>17.799999999999997</v>
      </c>
      <c r="HT157" s="27">
        <v>17.799999999999997</v>
      </c>
      <c r="HU157" s="27">
        <v>17.799999999999997</v>
      </c>
      <c r="HV157" s="27">
        <v>17.799999999999997</v>
      </c>
      <c r="HW157" s="27">
        <v>17.799999999999997</v>
      </c>
      <c r="HX157" s="27">
        <v>17.799999999999997</v>
      </c>
      <c r="HY157" s="27">
        <v>17.799999999999997</v>
      </c>
      <c r="HZ157" s="27">
        <v>17.799999999999997</v>
      </c>
      <c r="IA157" s="129">
        <v>17.2</v>
      </c>
    </row>
    <row r="158" spans="15:235" ht="19.899999999999999" customHeight="1">
      <c r="X158" s="129">
        <v>15.3</v>
      </c>
      <c r="Y158" s="27"/>
      <c r="Z158" s="129">
        <v>9.7000000000000011</v>
      </c>
      <c r="AA158" s="129">
        <v>9.7000000000000011</v>
      </c>
      <c r="AB158" s="129">
        <v>9.7000000000000011</v>
      </c>
      <c r="AC158" s="129">
        <v>9.7000000000000011</v>
      </c>
      <c r="AD158" s="129">
        <v>9.7000000000000011</v>
      </c>
      <c r="AE158" s="129">
        <v>9.7000000000000011</v>
      </c>
      <c r="AF158" s="129">
        <v>9.7000000000000011</v>
      </c>
      <c r="AG158" s="129">
        <v>9.7000000000000011</v>
      </c>
      <c r="AH158" s="129">
        <v>9.7000000000000011</v>
      </c>
      <c r="AI158" s="129">
        <v>15.3</v>
      </c>
      <c r="AK158" s="129">
        <v>25.5</v>
      </c>
      <c r="AL158" s="129">
        <v>25.5</v>
      </c>
      <c r="AM158" s="129">
        <v>25.5</v>
      </c>
      <c r="AN158" s="129">
        <v>25.5</v>
      </c>
      <c r="AO158" s="129">
        <v>25.5</v>
      </c>
      <c r="AP158" s="129">
        <v>25.5</v>
      </c>
      <c r="AQ158" s="129">
        <v>25.5</v>
      </c>
      <c r="AR158" s="129">
        <v>25.5</v>
      </c>
      <c r="AS158" s="129">
        <v>25.5</v>
      </c>
      <c r="AT158" s="129">
        <v>15.3</v>
      </c>
      <c r="AV158" s="129">
        <v>32.800000000000004</v>
      </c>
      <c r="AW158" s="129">
        <v>32.800000000000004</v>
      </c>
      <c r="AX158" s="129">
        <v>32.800000000000004</v>
      </c>
      <c r="AY158" s="129">
        <v>32.800000000000004</v>
      </c>
      <c r="AZ158" s="129">
        <v>32.800000000000004</v>
      </c>
      <c r="BA158" s="129">
        <v>32.800000000000004</v>
      </c>
      <c r="BB158" s="129">
        <v>32.800000000000004</v>
      </c>
      <c r="BC158" s="129">
        <v>32.800000000000004</v>
      </c>
      <c r="BD158" s="129">
        <v>32.800000000000004</v>
      </c>
      <c r="BE158" s="129">
        <v>15.3</v>
      </c>
      <c r="BG158" s="129">
        <v>46.300000000000004</v>
      </c>
      <c r="BH158" s="129">
        <v>46.300000000000004</v>
      </c>
      <c r="BI158" s="129">
        <v>46.300000000000004</v>
      </c>
      <c r="BJ158" s="129">
        <v>46.300000000000004</v>
      </c>
      <c r="BK158" s="129">
        <v>46.300000000000004</v>
      </c>
      <c r="BL158" s="129">
        <v>46.300000000000004</v>
      </c>
      <c r="BM158" s="129">
        <v>46.300000000000004</v>
      </c>
      <c r="BN158" s="129">
        <v>46.300000000000004</v>
      </c>
      <c r="BO158" s="129">
        <v>46.300000000000004</v>
      </c>
      <c r="BP158" s="129">
        <v>15.3</v>
      </c>
      <c r="BR158" s="129">
        <v>46.300000000000004</v>
      </c>
      <c r="BS158" s="129">
        <v>46.300000000000004</v>
      </c>
      <c r="BT158" s="129">
        <v>46.300000000000004</v>
      </c>
      <c r="BU158" s="129">
        <v>46.300000000000004</v>
      </c>
      <c r="BV158" s="129">
        <v>46.300000000000004</v>
      </c>
      <c r="BW158" s="129">
        <v>46.300000000000004</v>
      </c>
      <c r="BX158" s="129">
        <v>46.300000000000004</v>
      </c>
      <c r="BY158" s="129">
        <v>46.300000000000004</v>
      </c>
      <c r="BZ158" s="129">
        <v>46.300000000000004</v>
      </c>
      <c r="CA158" s="129">
        <v>15.3</v>
      </c>
      <c r="CC158" s="129">
        <v>12.700000000000001</v>
      </c>
      <c r="CD158" s="129">
        <v>12.700000000000001</v>
      </c>
      <c r="CE158" s="129">
        <v>12.700000000000001</v>
      </c>
      <c r="CF158" s="129">
        <v>12.700000000000001</v>
      </c>
      <c r="CG158" s="129">
        <v>12.700000000000001</v>
      </c>
      <c r="CH158" s="129">
        <v>12.700000000000001</v>
      </c>
      <c r="CI158" s="129">
        <v>12.700000000000001</v>
      </c>
      <c r="CJ158" s="129">
        <v>12.700000000000001</v>
      </c>
      <c r="CK158" s="129">
        <v>12.700000000000001</v>
      </c>
      <c r="CL158" s="129">
        <v>15.3</v>
      </c>
      <c r="CN158" s="129">
        <v>14.700000000000001</v>
      </c>
      <c r="CO158" s="129">
        <v>14.700000000000001</v>
      </c>
      <c r="CP158" s="129">
        <v>14.700000000000001</v>
      </c>
      <c r="CQ158" s="129">
        <v>14.700000000000001</v>
      </c>
      <c r="CR158" s="129">
        <v>14.700000000000001</v>
      </c>
      <c r="CS158" s="129">
        <v>14.700000000000001</v>
      </c>
      <c r="CT158" s="129">
        <v>14.700000000000001</v>
      </c>
      <c r="CU158" s="129">
        <v>14.700000000000001</v>
      </c>
      <c r="CV158" s="129">
        <v>14.700000000000001</v>
      </c>
      <c r="CW158" s="129">
        <v>15.3</v>
      </c>
      <c r="CY158" s="129">
        <v>20.400000000000002</v>
      </c>
      <c r="CZ158" s="129">
        <v>20.400000000000002</v>
      </c>
      <c r="DA158" s="129">
        <v>20.400000000000002</v>
      </c>
      <c r="DB158" s="129">
        <v>20.400000000000002</v>
      </c>
      <c r="DC158" s="129">
        <v>20.400000000000002</v>
      </c>
      <c r="DD158" s="129">
        <v>20.400000000000002</v>
      </c>
      <c r="DE158" s="129">
        <v>20.400000000000002</v>
      </c>
      <c r="DF158" s="129">
        <v>20.400000000000002</v>
      </c>
      <c r="DG158" s="129">
        <v>20.400000000000002</v>
      </c>
      <c r="DH158" s="129">
        <v>15.3</v>
      </c>
      <c r="DJ158" s="129">
        <v>20.400000000000002</v>
      </c>
      <c r="DK158" s="129">
        <v>20.400000000000002</v>
      </c>
      <c r="DL158" s="129">
        <v>20.400000000000002</v>
      </c>
      <c r="DM158" s="129">
        <v>20.400000000000002</v>
      </c>
      <c r="DN158" s="129">
        <v>20.400000000000002</v>
      </c>
      <c r="DO158" s="129">
        <v>20.400000000000002</v>
      </c>
      <c r="DP158" s="129">
        <v>20.400000000000002</v>
      </c>
      <c r="DQ158" s="129">
        <v>20.400000000000002</v>
      </c>
      <c r="DR158" s="129">
        <v>20.400000000000002</v>
      </c>
      <c r="DS158" s="129">
        <v>15.3</v>
      </c>
      <c r="DW158" s="27">
        <v>7.7000000000000011</v>
      </c>
      <c r="DX158" s="27">
        <v>7.7000000000000011</v>
      </c>
      <c r="DY158" s="27">
        <v>7.7000000000000011</v>
      </c>
      <c r="DZ158" s="27">
        <v>7.7000000000000011</v>
      </c>
      <c r="EA158" s="27">
        <v>7.7000000000000011</v>
      </c>
      <c r="EB158" s="27">
        <v>7.7000000000000011</v>
      </c>
      <c r="EC158" s="27">
        <v>7.7000000000000011</v>
      </c>
      <c r="ED158" s="27">
        <v>7.7000000000000011</v>
      </c>
      <c r="EE158" s="27">
        <v>7.7000000000000011</v>
      </c>
      <c r="EF158" s="129">
        <v>17.3</v>
      </c>
      <c r="EH158" s="27">
        <v>16.400000000000002</v>
      </c>
      <c r="EI158" s="27">
        <v>16.400000000000002</v>
      </c>
      <c r="EJ158" s="27">
        <v>16.400000000000002</v>
      </c>
      <c r="EK158" s="27">
        <v>16.400000000000002</v>
      </c>
      <c r="EL158" s="27">
        <v>16.400000000000002</v>
      </c>
      <c r="EM158" s="27">
        <v>16.400000000000002</v>
      </c>
      <c r="EN158" s="27">
        <v>16.400000000000002</v>
      </c>
      <c r="EO158" s="27">
        <v>16.400000000000002</v>
      </c>
      <c r="EP158" s="27">
        <v>16.400000000000002</v>
      </c>
      <c r="EQ158" s="129">
        <v>17.3</v>
      </c>
      <c r="ES158" s="27">
        <v>28.400000000000002</v>
      </c>
      <c r="ET158" s="27">
        <v>28.400000000000002</v>
      </c>
      <c r="EU158" s="27">
        <v>28.400000000000002</v>
      </c>
      <c r="EV158" s="27">
        <v>28.400000000000002</v>
      </c>
      <c r="EW158" s="27">
        <v>28.400000000000002</v>
      </c>
      <c r="EX158" s="27">
        <v>28.400000000000002</v>
      </c>
      <c r="EY158" s="27">
        <v>28.400000000000002</v>
      </c>
      <c r="EZ158" s="27">
        <v>28.400000000000002</v>
      </c>
      <c r="FA158" s="27">
        <v>28.400000000000002</v>
      </c>
      <c r="FB158" s="129">
        <v>17.3</v>
      </c>
      <c r="FD158" s="27">
        <v>29.400000000000002</v>
      </c>
      <c r="FE158" s="27">
        <v>29.400000000000002</v>
      </c>
      <c r="FF158" s="27">
        <v>29.400000000000002</v>
      </c>
      <c r="FG158" s="27">
        <v>29.400000000000002</v>
      </c>
      <c r="FH158" s="27">
        <v>29.400000000000002</v>
      </c>
      <c r="FI158" s="27">
        <v>29.400000000000002</v>
      </c>
      <c r="FJ158" s="27">
        <v>29.400000000000002</v>
      </c>
      <c r="FK158" s="27">
        <v>29.400000000000002</v>
      </c>
      <c r="FL158" s="27">
        <v>29.400000000000002</v>
      </c>
      <c r="FM158" s="129">
        <v>17.3</v>
      </c>
      <c r="FO158" s="27">
        <v>45.399999999999991</v>
      </c>
      <c r="FP158" s="27">
        <v>45.399999999999991</v>
      </c>
      <c r="FQ158" s="27">
        <v>45.399999999999991</v>
      </c>
      <c r="FR158" s="27">
        <v>45.399999999999991</v>
      </c>
      <c r="FS158" s="27">
        <v>45.399999999999991</v>
      </c>
      <c r="FT158" s="27">
        <v>45.399999999999991</v>
      </c>
      <c r="FU158" s="27">
        <v>45.399999999999991</v>
      </c>
      <c r="FV158" s="27">
        <v>45.399999999999991</v>
      </c>
      <c r="FW158" s="27">
        <v>45.399999999999991</v>
      </c>
      <c r="FX158" s="129">
        <v>17.3</v>
      </c>
      <c r="FZ158" s="27">
        <v>45.399999999999991</v>
      </c>
      <c r="GA158" s="27">
        <v>45.399999999999991</v>
      </c>
      <c r="GB158" s="27">
        <v>45.399999999999991</v>
      </c>
      <c r="GC158" s="27">
        <v>45.399999999999991</v>
      </c>
      <c r="GD158" s="27">
        <v>45.399999999999991</v>
      </c>
      <c r="GE158" s="27">
        <v>45.399999999999991</v>
      </c>
      <c r="GF158" s="27">
        <v>45.399999999999991</v>
      </c>
      <c r="GG158" s="27">
        <v>45.399999999999991</v>
      </c>
      <c r="GH158" s="27">
        <v>45.399999999999991</v>
      </c>
      <c r="GI158" s="129">
        <v>17.3</v>
      </c>
      <c r="GJ158" s="27"/>
      <c r="GK158" s="27">
        <v>10.700000000000001</v>
      </c>
      <c r="GL158" s="27">
        <v>10.700000000000001</v>
      </c>
      <c r="GM158" s="27">
        <v>10.700000000000001</v>
      </c>
      <c r="GN158" s="27">
        <v>10.700000000000001</v>
      </c>
      <c r="GO158" s="27">
        <v>10.700000000000001</v>
      </c>
      <c r="GP158" s="27">
        <v>10.700000000000001</v>
      </c>
      <c r="GQ158" s="27">
        <v>10.700000000000001</v>
      </c>
      <c r="GR158" s="27">
        <v>10.700000000000001</v>
      </c>
      <c r="GS158" s="27">
        <v>10.700000000000001</v>
      </c>
      <c r="GT158" s="129">
        <v>17.3</v>
      </c>
      <c r="GV158" s="27">
        <v>13</v>
      </c>
      <c r="GW158" s="27">
        <v>13</v>
      </c>
      <c r="GX158" s="27">
        <v>13</v>
      </c>
      <c r="GY158" s="27">
        <v>13</v>
      </c>
      <c r="GZ158" s="27">
        <v>13</v>
      </c>
      <c r="HA158" s="27">
        <v>13</v>
      </c>
      <c r="HB158" s="27">
        <v>13</v>
      </c>
      <c r="HC158" s="27">
        <v>13</v>
      </c>
      <c r="HD158" s="27">
        <v>13</v>
      </c>
      <c r="HE158" s="129">
        <v>17.3</v>
      </c>
      <c r="HG158" s="27">
        <v>17.699999999999996</v>
      </c>
      <c r="HH158" s="27">
        <v>17.699999999999996</v>
      </c>
      <c r="HI158" s="27">
        <v>17.699999999999996</v>
      </c>
      <c r="HJ158" s="27">
        <v>17.699999999999996</v>
      </c>
      <c r="HK158" s="27">
        <v>17.699999999999996</v>
      </c>
      <c r="HL158" s="27">
        <v>17.699999999999996</v>
      </c>
      <c r="HM158" s="27">
        <v>17.699999999999996</v>
      </c>
      <c r="HN158" s="27">
        <v>17.699999999999996</v>
      </c>
      <c r="HO158" s="27">
        <v>17.699999999999996</v>
      </c>
      <c r="HP158" s="129">
        <v>17.3</v>
      </c>
      <c r="HR158" s="27">
        <v>17.699999999999996</v>
      </c>
      <c r="HS158" s="27">
        <v>17.699999999999996</v>
      </c>
      <c r="HT158" s="27">
        <v>17.699999999999996</v>
      </c>
      <c r="HU158" s="27">
        <v>17.699999999999996</v>
      </c>
      <c r="HV158" s="27">
        <v>17.699999999999996</v>
      </c>
      <c r="HW158" s="27">
        <v>17.699999999999996</v>
      </c>
      <c r="HX158" s="27">
        <v>17.699999999999996</v>
      </c>
      <c r="HY158" s="27">
        <v>17.699999999999996</v>
      </c>
      <c r="HZ158" s="27">
        <v>17.699999999999996</v>
      </c>
      <c r="IA158" s="129">
        <v>17.3</v>
      </c>
    </row>
    <row r="159" spans="15:235" ht="19.899999999999999" customHeight="1">
      <c r="X159" s="129">
        <v>15.4</v>
      </c>
      <c r="Y159" s="27"/>
      <c r="Z159" s="129">
        <v>9.6000000000000014</v>
      </c>
      <c r="AA159" s="129">
        <v>9.6000000000000014</v>
      </c>
      <c r="AB159" s="129">
        <v>9.6000000000000014</v>
      </c>
      <c r="AC159" s="129">
        <v>9.6000000000000014</v>
      </c>
      <c r="AD159" s="129">
        <v>9.6000000000000014</v>
      </c>
      <c r="AE159" s="129">
        <v>9.6000000000000014</v>
      </c>
      <c r="AF159" s="129">
        <v>9.6000000000000014</v>
      </c>
      <c r="AG159" s="129">
        <v>9.6000000000000014</v>
      </c>
      <c r="AH159" s="129">
        <v>9.6000000000000014</v>
      </c>
      <c r="AI159" s="129">
        <v>15.4</v>
      </c>
      <c r="AK159" s="129">
        <v>25</v>
      </c>
      <c r="AL159" s="129">
        <v>25</v>
      </c>
      <c r="AM159" s="129">
        <v>25</v>
      </c>
      <c r="AN159" s="129">
        <v>25</v>
      </c>
      <c r="AO159" s="129">
        <v>25</v>
      </c>
      <c r="AP159" s="129">
        <v>25</v>
      </c>
      <c r="AQ159" s="129">
        <v>25</v>
      </c>
      <c r="AR159" s="129">
        <v>25</v>
      </c>
      <c r="AS159" s="129">
        <v>25</v>
      </c>
      <c r="AT159" s="129">
        <v>15.4</v>
      </c>
      <c r="AV159" s="129">
        <v>32.400000000000006</v>
      </c>
      <c r="AW159" s="129">
        <v>32.400000000000006</v>
      </c>
      <c r="AX159" s="129">
        <v>32.400000000000006</v>
      </c>
      <c r="AY159" s="129">
        <v>32.400000000000006</v>
      </c>
      <c r="AZ159" s="129">
        <v>32.400000000000006</v>
      </c>
      <c r="BA159" s="129">
        <v>32.400000000000006</v>
      </c>
      <c r="BB159" s="129">
        <v>32.400000000000006</v>
      </c>
      <c r="BC159" s="129">
        <v>32.400000000000006</v>
      </c>
      <c r="BD159" s="129">
        <v>32.400000000000006</v>
      </c>
      <c r="BE159" s="129">
        <v>15.4</v>
      </c>
      <c r="BG159" s="129">
        <v>45.400000000000006</v>
      </c>
      <c r="BH159" s="129">
        <v>45.400000000000006</v>
      </c>
      <c r="BI159" s="129">
        <v>45.400000000000006</v>
      </c>
      <c r="BJ159" s="129">
        <v>45.400000000000006</v>
      </c>
      <c r="BK159" s="129">
        <v>45.400000000000006</v>
      </c>
      <c r="BL159" s="129">
        <v>45.400000000000006</v>
      </c>
      <c r="BM159" s="129">
        <v>45.400000000000006</v>
      </c>
      <c r="BN159" s="129">
        <v>45.400000000000006</v>
      </c>
      <c r="BO159" s="129">
        <v>45.400000000000006</v>
      </c>
      <c r="BP159" s="129">
        <v>15.4</v>
      </c>
      <c r="BR159" s="129">
        <v>45.400000000000006</v>
      </c>
      <c r="BS159" s="129">
        <v>45.400000000000006</v>
      </c>
      <c r="BT159" s="129">
        <v>45.400000000000006</v>
      </c>
      <c r="BU159" s="129">
        <v>45.400000000000006</v>
      </c>
      <c r="BV159" s="129">
        <v>45.400000000000006</v>
      </c>
      <c r="BW159" s="129">
        <v>45.400000000000006</v>
      </c>
      <c r="BX159" s="129">
        <v>45.400000000000006</v>
      </c>
      <c r="BY159" s="129">
        <v>45.400000000000006</v>
      </c>
      <c r="BZ159" s="129">
        <v>45.400000000000006</v>
      </c>
      <c r="CA159" s="129">
        <v>15.4</v>
      </c>
      <c r="CC159" s="129">
        <v>12.600000000000001</v>
      </c>
      <c r="CD159" s="129">
        <v>12.600000000000001</v>
      </c>
      <c r="CE159" s="129">
        <v>12.600000000000001</v>
      </c>
      <c r="CF159" s="129">
        <v>12.600000000000001</v>
      </c>
      <c r="CG159" s="129">
        <v>12.600000000000001</v>
      </c>
      <c r="CH159" s="129">
        <v>12.600000000000001</v>
      </c>
      <c r="CI159" s="129">
        <v>12.600000000000001</v>
      </c>
      <c r="CJ159" s="129">
        <v>12.600000000000001</v>
      </c>
      <c r="CK159" s="129">
        <v>12.600000000000001</v>
      </c>
      <c r="CL159" s="129">
        <v>15.4</v>
      </c>
      <c r="CN159" s="129">
        <v>14.600000000000001</v>
      </c>
      <c r="CO159" s="129">
        <v>14.600000000000001</v>
      </c>
      <c r="CP159" s="129">
        <v>14.600000000000001</v>
      </c>
      <c r="CQ159" s="129">
        <v>14.600000000000001</v>
      </c>
      <c r="CR159" s="129">
        <v>14.600000000000001</v>
      </c>
      <c r="CS159" s="129">
        <v>14.600000000000001</v>
      </c>
      <c r="CT159" s="129">
        <v>14.600000000000001</v>
      </c>
      <c r="CU159" s="129">
        <v>14.600000000000001</v>
      </c>
      <c r="CV159" s="129">
        <v>14.600000000000001</v>
      </c>
      <c r="CW159" s="129">
        <v>15.4</v>
      </c>
      <c r="CY159" s="129">
        <v>20.200000000000003</v>
      </c>
      <c r="CZ159" s="129">
        <v>20.200000000000003</v>
      </c>
      <c r="DA159" s="129">
        <v>20.200000000000003</v>
      </c>
      <c r="DB159" s="129">
        <v>20.200000000000003</v>
      </c>
      <c r="DC159" s="129">
        <v>20.200000000000003</v>
      </c>
      <c r="DD159" s="129">
        <v>20.200000000000003</v>
      </c>
      <c r="DE159" s="129">
        <v>20.200000000000003</v>
      </c>
      <c r="DF159" s="129">
        <v>20.200000000000003</v>
      </c>
      <c r="DG159" s="129">
        <v>20.200000000000003</v>
      </c>
      <c r="DH159" s="129">
        <v>15.4</v>
      </c>
      <c r="DJ159" s="129">
        <v>20.200000000000003</v>
      </c>
      <c r="DK159" s="129">
        <v>20.200000000000003</v>
      </c>
      <c r="DL159" s="129">
        <v>20.200000000000003</v>
      </c>
      <c r="DM159" s="129">
        <v>20.200000000000003</v>
      </c>
      <c r="DN159" s="129">
        <v>20.200000000000003</v>
      </c>
      <c r="DO159" s="129">
        <v>20.200000000000003</v>
      </c>
      <c r="DP159" s="129">
        <v>20.200000000000003</v>
      </c>
      <c r="DQ159" s="129">
        <v>20.200000000000003</v>
      </c>
      <c r="DR159" s="129">
        <v>20.200000000000003</v>
      </c>
      <c r="DS159" s="129">
        <v>15.4</v>
      </c>
      <c r="DW159" s="27">
        <v>7.6000000000000014</v>
      </c>
      <c r="DX159" s="27">
        <v>7.6000000000000014</v>
      </c>
      <c r="DY159" s="27">
        <v>7.6000000000000014</v>
      </c>
      <c r="DZ159" s="27">
        <v>7.6000000000000014</v>
      </c>
      <c r="EA159" s="27">
        <v>7.6000000000000014</v>
      </c>
      <c r="EB159" s="27">
        <v>7.6000000000000014</v>
      </c>
      <c r="EC159" s="27">
        <v>7.6000000000000014</v>
      </c>
      <c r="ED159" s="27">
        <v>7.6000000000000014</v>
      </c>
      <c r="EE159" s="27">
        <v>7.6000000000000014</v>
      </c>
      <c r="EF159" s="129">
        <v>17.399999999999999</v>
      </c>
      <c r="EH159" s="27">
        <v>16.200000000000003</v>
      </c>
      <c r="EI159" s="27">
        <v>16.200000000000003</v>
      </c>
      <c r="EJ159" s="27">
        <v>16.200000000000003</v>
      </c>
      <c r="EK159" s="27">
        <v>16.200000000000003</v>
      </c>
      <c r="EL159" s="27">
        <v>16.200000000000003</v>
      </c>
      <c r="EM159" s="27">
        <v>16.200000000000003</v>
      </c>
      <c r="EN159" s="27">
        <v>16.200000000000003</v>
      </c>
      <c r="EO159" s="27">
        <v>16.200000000000003</v>
      </c>
      <c r="EP159" s="27">
        <v>16.200000000000003</v>
      </c>
      <c r="EQ159" s="129">
        <v>17.399999999999999</v>
      </c>
      <c r="ES159" s="27">
        <v>28.200000000000003</v>
      </c>
      <c r="ET159" s="27">
        <v>28.200000000000003</v>
      </c>
      <c r="EU159" s="27">
        <v>28.200000000000003</v>
      </c>
      <c r="EV159" s="27">
        <v>28.200000000000003</v>
      </c>
      <c r="EW159" s="27">
        <v>28.200000000000003</v>
      </c>
      <c r="EX159" s="27">
        <v>28.200000000000003</v>
      </c>
      <c r="EY159" s="27">
        <v>28.200000000000003</v>
      </c>
      <c r="EZ159" s="27">
        <v>28.200000000000003</v>
      </c>
      <c r="FA159" s="27">
        <v>28.200000000000003</v>
      </c>
      <c r="FB159" s="129">
        <v>17.399999999999999</v>
      </c>
      <c r="FD159" s="27">
        <v>29.200000000000003</v>
      </c>
      <c r="FE159" s="27">
        <v>29.200000000000003</v>
      </c>
      <c r="FF159" s="27">
        <v>29.200000000000003</v>
      </c>
      <c r="FG159" s="27">
        <v>29.200000000000003</v>
      </c>
      <c r="FH159" s="27">
        <v>29.200000000000003</v>
      </c>
      <c r="FI159" s="27">
        <v>29.200000000000003</v>
      </c>
      <c r="FJ159" s="27">
        <v>29.200000000000003</v>
      </c>
      <c r="FK159" s="27">
        <v>29.200000000000003</v>
      </c>
      <c r="FL159" s="27">
        <v>29.200000000000003</v>
      </c>
      <c r="FM159" s="129">
        <v>17.399999999999999</v>
      </c>
      <c r="FO159" s="27">
        <v>45.199999999999989</v>
      </c>
      <c r="FP159" s="27">
        <v>45.199999999999989</v>
      </c>
      <c r="FQ159" s="27">
        <v>45.199999999999989</v>
      </c>
      <c r="FR159" s="27">
        <v>45.199999999999989</v>
      </c>
      <c r="FS159" s="27">
        <v>45.199999999999989</v>
      </c>
      <c r="FT159" s="27">
        <v>45.199999999999989</v>
      </c>
      <c r="FU159" s="27">
        <v>45.199999999999989</v>
      </c>
      <c r="FV159" s="27">
        <v>45.199999999999989</v>
      </c>
      <c r="FW159" s="27">
        <v>45.199999999999989</v>
      </c>
      <c r="FX159" s="129">
        <v>17.399999999999999</v>
      </c>
      <c r="FZ159" s="27">
        <v>45.199999999999989</v>
      </c>
      <c r="GA159" s="27">
        <v>45.199999999999989</v>
      </c>
      <c r="GB159" s="27">
        <v>45.199999999999989</v>
      </c>
      <c r="GC159" s="27">
        <v>45.199999999999989</v>
      </c>
      <c r="GD159" s="27">
        <v>45.199999999999989</v>
      </c>
      <c r="GE159" s="27">
        <v>45.199999999999989</v>
      </c>
      <c r="GF159" s="27">
        <v>45.199999999999989</v>
      </c>
      <c r="GG159" s="27">
        <v>45.199999999999989</v>
      </c>
      <c r="GH159" s="27">
        <v>45.199999999999989</v>
      </c>
      <c r="GI159" s="129">
        <v>17.399999999999999</v>
      </c>
      <c r="GJ159" s="27"/>
      <c r="GK159" s="27">
        <v>10.600000000000001</v>
      </c>
      <c r="GL159" s="27">
        <v>10.600000000000001</v>
      </c>
      <c r="GM159" s="27">
        <v>10.600000000000001</v>
      </c>
      <c r="GN159" s="27">
        <v>10.600000000000001</v>
      </c>
      <c r="GO159" s="27">
        <v>10.600000000000001</v>
      </c>
      <c r="GP159" s="27">
        <v>10.600000000000001</v>
      </c>
      <c r="GQ159" s="27">
        <v>10.600000000000001</v>
      </c>
      <c r="GR159" s="27">
        <v>10.600000000000001</v>
      </c>
      <c r="GS159" s="27">
        <v>10.600000000000001</v>
      </c>
      <c r="GT159" s="129">
        <v>17.399999999999999</v>
      </c>
      <c r="GV159" s="27">
        <v>13</v>
      </c>
      <c r="GW159" s="27">
        <v>13</v>
      </c>
      <c r="GX159" s="27">
        <v>13</v>
      </c>
      <c r="GY159" s="27">
        <v>13</v>
      </c>
      <c r="GZ159" s="27">
        <v>13</v>
      </c>
      <c r="HA159" s="27">
        <v>13</v>
      </c>
      <c r="HB159" s="27">
        <v>13</v>
      </c>
      <c r="HC159" s="27">
        <v>13</v>
      </c>
      <c r="HD159" s="27">
        <v>13</v>
      </c>
      <c r="HE159" s="129">
        <v>17.399999999999999</v>
      </c>
      <c r="HG159" s="27">
        <v>17.599999999999994</v>
      </c>
      <c r="HH159" s="27">
        <v>17.599999999999994</v>
      </c>
      <c r="HI159" s="27">
        <v>17.599999999999994</v>
      </c>
      <c r="HJ159" s="27">
        <v>17.599999999999994</v>
      </c>
      <c r="HK159" s="27">
        <v>17.599999999999994</v>
      </c>
      <c r="HL159" s="27">
        <v>17.599999999999994</v>
      </c>
      <c r="HM159" s="27">
        <v>17.599999999999994</v>
      </c>
      <c r="HN159" s="27">
        <v>17.599999999999994</v>
      </c>
      <c r="HO159" s="27">
        <v>17.599999999999994</v>
      </c>
      <c r="HP159" s="129">
        <v>17.399999999999999</v>
      </c>
      <c r="HR159" s="27">
        <v>17.599999999999994</v>
      </c>
      <c r="HS159" s="27">
        <v>17.599999999999994</v>
      </c>
      <c r="HT159" s="27">
        <v>17.599999999999994</v>
      </c>
      <c r="HU159" s="27">
        <v>17.599999999999994</v>
      </c>
      <c r="HV159" s="27">
        <v>17.599999999999994</v>
      </c>
      <c r="HW159" s="27">
        <v>17.599999999999994</v>
      </c>
      <c r="HX159" s="27">
        <v>17.599999999999994</v>
      </c>
      <c r="HY159" s="27">
        <v>17.599999999999994</v>
      </c>
      <c r="HZ159" s="27">
        <v>17.599999999999994</v>
      </c>
      <c r="IA159" s="129">
        <v>17.399999999999999</v>
      </c>
    </row>
    <row r="160" spans="15:235" ht="19.899999999999999" customHeight="1">
      <c r="O160" s="17"/>
      <c r="P160" s="17"/>
      <c r="Q160" s="17"/>
      <c r="R160" s="17"/>
      <c r="S160" s="17"/>
      <c r="T160" s="17"/>
      <c r="U160" s="17"/>
      <c r="V160" s="17"/>
      <c r="W160" s="17"/>
      <c r="X160" s="129">
        <v>15.5</v>
      </c>
      <c r="Y160" s="27"/>
      <c r="Z160" s="129">
        <v>9.5000000000000018</v>
      </c>
      <c r="AA160" s="129">
        <v>9.5000000000000018</v>
      </c>
      <c r="AB160" s="129">
        <v>9.5000000000000018</v>
      </c>
      <c r="AC160" s="129">
        <v>9.5000000000000018</v>
      </c>
      <c r="AD160" s="129">
        <v>9.5000000000000018</v>
      </c>
      <c r="AE160" s="129">
        <v>9.5000000000000018</v>
      </c>
      <c r="AF160" s="129">
        <v>9.5000000000000018</v>
      </c>
      <c r="AG160" s="129">
        <v>9.5000000000000018</v>
      </c>
      <c r="AH160" s="129">
        <v>9.5000000000000018</v>
      </c>
      <c r="AI160" s="129">
        <v>15.5</v>
      </c>
      <c r="AK160" s="129">
        <v>24.5</v>
      </c>
      <c r="AL160" s="129">
        <v>24.5</v>
      </c>
      <c r="AM160" s="129">
        <v>24.5</v>
      </c>
      <c r="AN160" s="129">
        <v>24.5</v>
      </c>
      <c r="AO160" s="129">
        <v>24.5</v>
      </c>
      <c r="AP160" s="129">
        <v>24.5</v>
      </c>
      <c r="AQ160" s="129">
        <v>24.5</v>
      </c>
      <c r="AR160" s="129">
        <v>24.5</v>
      </c>
      <c r="AS160" s="129">
        <v>24.5</v>
      </c>
      <c r="AT160" s="129">
        <v>15.5</v>
      </c>
      <c r="AV160" s="129">
        <v>32.000000000000007</v>
      </c>
      <c r="AW160" s="129">
        <v>32.000000000000007</v>
      </c>
      <c r="AX160" s="129">
        <v>32.000000000000007</v>
      </c>
      <c r="AY160" s="129">
        <v>32.000000000000007</v>
      </c>
      <c r="AZ160" s="129">
        <v>32.000000000000007</v>
      </c>
      <c r="BA160" s="129">
        <v>32.000000000000007</v>
      </c>
      <c r="BB160" s="129">
        <v>32.000000000000007</v>
      </c>
      <c r="BC160" s="129">
        <v>32.000000000000007</v>
      </c>
      <c r="BD160" s="129">
        <v>32.000000000000007</v>
      </c>
      <c r="BE160" s="129">
        <v>15.5</v>
      </c>
      <c r="BG160" s="129">
        <v>44.500000000000007</v>
      </c>
      <c r="BH160" s="129">
        <v>44.500000000000007</v>
      </c>
      <c r="BI160" s="129">
        <v>44.500000000000007</v>
      </c>
      <c r="BJ160" s="129">
        <v>44.500000000000007</v>
      </c>
      <c r="BK160" s="129">
        <v>44.500000000000007</v>
      </c>
      <c r="BL160" s="129">
        <v>44.500000000000007</v>
      </c>
      <c r="BM160" s="129">
        <v>44.500000000000007</v>
      </c>
      <c r="BN160" s="129">
        <v>44.500000000000007</v>
      </c>
      <c r="BO160" s="129">
        <v>44.500000000000007</v>
      </c>
      <c r="BP160" s="129">
        <v>15.5</v>
      </c>
      <c r="BR160" s="129">
        <v>44.500000000000007</v>
      </c>
      <c r="BS160" s="129">
        <v>44.500000000000007</v>
      </c>
      <c r="BT160" s="129">
        <v>44.500000000000007</v>
      </c>
      <c r="BU160" s="129">
        <v>44.500000000000007</v>
      </c>
      <c r="BV160" s="129">
        <v>44.500000000000007</v>
      </c>
      <c r="BW160" s="129">
        <v>44.500000000000007</v>
      </c>
      <c r="BX160" s="129">
        <v>44.500000000000007</v>
      </c>
      <c r="BY160" s="129">
        <v>44.500000000000007</v>
      </c>
      <c r="BZ160" s="129">
        <v>44.500000000000007</v>
      </c>
      <c r="CA160" s="129">
        <v>15.5</v>
      </c>
      <c r="CC160" s="129">
        <v>12.500000000000002</v>
      </c>
      <c r="CD160" s="129">
        <v>12.500000000000002</v>
      </c>
      <c r="CE160" s="129">
        <v>12.500000000000002</v>
      </c>
      <c r="CF160" s="129">
        <v>12.500000000000002</v>
      </c>
      <c r="CG160" s="129">
        <v>12.500000000000002</v>
      </c>
      <c r="CH160" s="129">
        <v>12.500000000000002</v>
      </c>
      <c r="CI160" s="129">
        <v>12.500000000000002</v>
      </c>
      <c r="CJ160" s="129">
        <v>12.500000000000002</v>
      </c>
      <c r="CK160" s="129">
        <v>12.500000000000002</v>
      </c>
      <c r="CL160" s="129">
        <v>15.5</v>
      </c>
      <c r="CN160" s="129">
        <v>14.500000000000002</v>
      </c>
      <c r="CO160" s="129">
        <v>14.500000000000002</v>
      </c>
      <c r="CP160" s="129">
        <v>14.500000000000002</v>
      </c>
      <c r="CQ160" s="129">
        <v>14.500000000000002</v>
      </c>
      <c r="CR160" s="129">
        <v>14.500000000000002</v>
      </c>
      <c r="CS160" s="129">
        <v>14.500000000000002</v>
      </c>
      <c r="CT160" s="129">
        <v>14.500000000000002</v>
      </c>
      <c r="CU160" s="129">
        <v>14.500000000000002</v>
      </c>
      <c r="CV160" s="129">
        <v>14.500000000000002</v>
      </c>
      <c r="CW160" s="129">
        <v>15.5</v>
      </c>
      <c r="CY160" s="129">
        <v>20.000000000000004</v>
      </c>
      <c r="CZ160" s="129">
        <v>20.000000000000004</v>
      </c>
      <c r="DA160" s="129">
        <v>20.000000000000004</v>
      </c>
      <c r="DB160" s="129">
        <v>20.000000000000004</v>
      </c>
      <c r="DC160" s="129">
        <v>20.000000000000004</v>
      </c>
      <c r="DD160" s="129">
        <v>20.000000000000004</v>
      </c>
      <c r="DE160" s="129">
        <v>20.000000000000004</v>
      </c>
      <c r="DF160" s="129">
        <v>20.000000000000004</v>
      </c>
      <c r="DG160" s="129">
        <v>20.000000000000004</v>
      </c>
      <c r="DH160" s="129">
        <v>15.5</v>
      </c>
      <c r="DJ160" s="129">
        <v>20.000000000000004</v>
      </c>
      <c r="DK160" s="129">
        <v>20.000000000000004</v>
      </c>
      <c r="DL160" s="129">
        <v>20.000000000000004</v>
      </c>
      <c r="DM160" s="129">
        <v>20.000000000000004</v>
      </c>
      <c r="DN160" s="129">
        <v>20.000000000000004</v>
      </c>
      <c r="DO160" s="129">
        <v>20.000000000000004</v>
      </c>
      <c r="DP160" s="129">
        <v>20.000000000000004</v>
      </c>
      <c r="DQ160" s="129">
        <v>20.000000000000004</v>
      </c>
      <c r="DR160" s="129">
        <v>20.000000000000004</v>
      </c>
      <c r="DS160" s="129">
        <v>15.5</v>
      </c>
      <c r="DW160" s="27">
        <v>7.5000000000000018</v>
      </c>
      <c r="DX160" s="27">
        <v>7.5000000000000018</v>
      </c>
      <c r="DY160" s="27">
        <v>7.5000000000000018</v>
      </c>
      <c r="DZ160" s="27">
        <v>7.5000000000000018</v>
      </c>
      <c r="EA160" s="27">
        <v>7.5000000000000018</v>
      </c>
      <c r="EB160" s="27">
        <v>7.5000000000000018</v>
      </c>
      <c r="EC160" s="27">
        <v>7.5000000000000018</v>
      </c>
      <c r="ED160" s="27">
        <v>7.5000000000000018</v>
      </c>
      <c r="EE160" s="27">
        <v>7.5000000000000018</v>
      </c>
      <c r="EF160" s="129">
        <v>17.5</v>
      </c>
      <c r="EH160" s="27">
        <v>16.000000000000004</v>
      </c>
      <c r="EI160" s="27">
        <v>16.000000000000004</v>
      </c>
      <c r="EJ160" s="27">
        <v>16.000000000000004</v>
      </c>
      <c r="EK160" s="27">
        <v>16.000000000000004</v>
      </c>
      <c r="EL160" s="27">
        <v>16.000000000000004</v>
      </c>
      <c r="EM160" s="27">
        <v>16.000000000000004</v>
      </c>
      <c r="EN160" s="27">
        <v>16.000000000000004</v>
      </c>
      <c r="EO160" s="27">
        <v>16.000000000000004</v>
      </c>
      <c r="EP160" s="27">
        <v>16.000000000000004</v>
      </c>
      <c r="EQ160" s="129">
        <v>17.5</v>
      </c>
      <c r="ES160" s="27">
        <v>28.000000000000004</v>
      </c>
      <c r="ET160" s="27">
        <v>28.000000000000004</v>
      </c>
      <c r="EU160" s="27">
        <v>28.000000000000004</v>
      </c>
      <c r="EV160" s="27">
        <v>28.000000000000004</v>
      </c>
      <c r="EW160" s="27">
        <v>28.000000000000004</v>
      </c>
      <c r="EX160" s="27">
        <v>28.000000000000004</v>
      </c>
      <c r="EY160" s="27">
        <v>28.000000000000004</v>
      </c>
      <c r="EZ160" s="27">
        <v>28.000000000000004</v>
      </c>
      <c r="FA160" s="27">
        <v>28.000000000000004</v>
      </c>
      <c r="FB160" s="129">
        <v>17.5</v>
      </c>
      <c r="FD160" s="27">
        <v>29.000000000000004</v>
      </c>
      <c r="FE160" s="27">
        <v>29.000000000000004</v>
      </c>
      <c r="FF160" s="27">
        <v>29.000000000000004</v>
      </c>
      <c r="FG160" s="27">
        <v>29.000000000000004</v>
      </c>
      <c r="FH160" s="27">
        <v>29.000000000000004</v>
      </c>
      <c r="FI160" s="27">
        <v>29.000000000000004</v>
      </c>
      <c r="FJ160" s="27">
        <v>29.000000000000004</v>
      </c>
      <c r="FK160" s="27">
        <v>29.000000000000004</v>
      </c>
      <c r="FL160" s="27">
        <v>29.000000000000004</v>
      </c>
      <c r="FM160" s="129">
        <v>17.5</v>
      </c>
      <c r="FO160" s="27">
        <v>44.999999999999986</v>
      </c>
      <c r="FP160" s="27">
        <v>44.999999999999986</v>
      </c>
      <c r="FQ160" s="27">
        <v>44.999999999999986</v>
      </c>
      <c r="FR160" s="27">
        <v>44.999999999999986</v>
      </c>
      <c r="FS160" s="27">
        <v>44.999999999999986</v>
      </c>
      <c r="FT160" s="27">
        <v>44.999999999999986</v>
      </c>
      <c r="FU160" s="27">
        <v>44.999999999999986</v>
      </c>
      <c r="FV160" s="27">
        <v>44.999999999999986</v>
      </c>
      <c r="FW160" s="27">
        <v>44.999999999999986</v>
      </c>
      <c r="FX160" s="129">
        <v>17.5</v>
      </c>
      <c r="FZ160" s="27">
        <v>44.999999999999986</v>
      </c>
      <c r="GA160" s="27">
        <v>44.999999999999986</v>
      </c>
      <c r="GB160" s="27">
        <v>44.999999999999986</v>
      </c>
      <c r="GC160" s="27">
        <v>44.999999999999986</v>
      </c>
      <c r="GD160" s="27">
        <v>44.999999999999986</v>
      </c>
      <c r="GE160" s="27">
        <v>44.999999999999986</v>
      </c>
      <c r="GF160" s="27">
        <v>44.999999999999986</v>
      </c>
      <c r="GG160" s="27">
        <v>44.999999999999986</v>
      </c>
      <c r="GH160" s="27">
        <v>44.999999999999986</v>
      </c>
      <c r="GI160" s="129">
        <v>17.5</v>
      </c>
      <c r="GJ160" s="27"/>
      <c r="GK160" s="27">
        <v>10.500000000000002</v>
      </c>
      <c r="GL160" s="27">
        <v>10.500000000000002</v>
      </c>
      <c r="GM160" s="27">
        <v>10.500000000000002</v>
      </c>
      <c r="GN160" s="27">
        <v>10.500000000000002</v>
      </c>
      <c r="GO160" s="27">
        <v>10.500000000000002</v>
      </c>
      <c r="GP160" s="27">
        <v>10.500000000000002</v>
      </c>
      <c r="GQ160" s="27">
        <v>10.500000000000002</v>
      </c>
      <c r="GR160" s="27">
        <v>10.500000000000002</v>
      </c>
      <c r="GS160" s="27">
        <v>10.500000000000002</v>
      </c>
      <c r="GT160" s="129">
        <v>17.5</v>
      </c>
      <c r="GV160" s="27">
        <v>13</v>
      </c>
      <c r="GW160" s="27">
        <v>13</v>
      </c>
      <c r="GX160" s="27">
        <v>13</v>
      </c>
      <c r="GY160" s="27">
        <v>13</v>
      </c>
      <c r="GZ160" s="27">
        <v>13</v>
      </c>
      <c r="HA160" s="27">
        <v>13</v>
      </c>
      <c r="HB160" s="27">
        <v>13</v>
      </c>
      <c r="HC160" s="27">
        <v>13</v>
      </c>
      <c r="HD160" s="27">
        <v>13</v>
      </c>
      <c r="HE160" s="129">
        <v>17.5</v>
      </c>
      <c r="HG160" s="27">
        <v>17.499999999999993</v>
      </c>
      <c r="HH160" s="27">
        <v>17.499999999999993</v>
      </c>
      <c r="HI160" s="27">
        <v>17.499999999999993</v>
      </c>
      <c r="HJ160" s="27">
        <v>17.499999999999993</v>
      </c>
      <c r="HK160" s="27">
        <v>17.499999999999993</v>
      </c>
      <c r="HL160" s="27">
        <v>17.499999999999993</v>
      </c>
      <c r="HM160" s="27">
        <v>17.499999999999993</v>
      </c>
      <c r="HN160" s="27">
        <v>17.499999999999993</v>
      </c>
      <c r="HO160" s="27">
        <v>17.499999999999993</v>
      </c>
      <c r="HP160" s="129">
        <v>17.5</v>
      </c>
      <c r="HR160" s="27">
        <v>17.499999999999993</v>
      </c>
      <c r="HS160" s="27">
        <v>17.499999999999993</v>
      </c>
      <c r="HT160" s="27">
        <v>17.499999999999993</v>
      </c>
      <c r="HU160" s="27">
        <v>17.499999999999993</v>
      </c>
      <c r="HV160" s="27">
        <v>17.499999999999993</v>
      </c>
      <c r="HW160" s="27">
        <v>17.499999999999993</v>
      </c>
      <c r="HX160" s="27">
        <v>17.499999999999993</v>
      </c>
      <c r="HY160" s="27">
        <v>17.499999999999993</v>
      </c>
      <c r="HZ160" s="27">
        <v>17.499999999999993</v>
      </c>
      <c r="IA160" s="129">
        <v>17.5</v>
      </c>
    </row>
    <row r="161" spans="15:235" ht="19.899999999999999" customHeight="1">
      <c r="O161" s="17"/>
      <c r="P161" s="17"/>
      <c r="Q161" s="17"/>
      <c r="R161" s="17"/>
      <c r="S161" s="17"/>
      <c r="T161" s="17"/>
      <c r="U161" s="17"/>
      <c r="V161" s="17"/>
      <c r="W161" s="17"/>
      <c r="X161" s="129">
        <v>15.6</v>
      </c>
      <c r="Y161" s="27"/>
      <c r="Z161" s="129">
        <v>9.4000000000000021</v>
      </c>
      <c r="AA161" s="129">
        <v>9.4000000000000021</v>
      </c>
      <c r="AB161" s="129">
        <v>9.4000000000000021</v>
      </c>
      <c r="AC161" s="129">
        <v>9.4000000000000021</v>
      </c>
      <c r="AD161" s="129">
        <v>9.4000000000000021</v>
      </c>
      <c r="AE161" s="129">
        <v>9.4000000000000021</v>
      </c>
      <c r="AF161" s="129">
        <v>9.4000000000000021</v>
      </c>
      <c r="AG161" s="129">
        <v>9.4000000000000021</v>
      </c>
      <c r="AH161" s="129">
        <v>9.4000000000000021</v>
      </c>
      <c r="AI161" s="129">
        <v>15.6</v>
      </c>
      <c r="AK161" s="129">
        <v>24</v>
      </c>
      <c r="AL161" s="129">
        <v>24</v>
      </c>
      <c r="AM161" s="129">
        <v>24</v>
      </c>
      <c r="AN161" s="129">
        <v>24</v>
      </c>
      <c r="AO161" s="129">
        <v>24</v>
      </c>
      <c r="AP161" s="129">
        <v>24</v>
      </c>
      <c r="AQ161" s="129">
        <v>24</v>
      </c>
      <c r="AR161" s="129">
        <v>24</v>
      </c>
      <c r="AS161" s="129">
        <v>24</v>
      </c>
      <c r="AT161" s="129">
        <v>15.6</v>
      </c>
      <c r="AV161" s="129">
        <v>31.600000000000009</v>
      </c>
      <c r="AW161" s="129">
        <v>31.600000000000009</v>
      </c>
      <c r="AX161" s="129">
        <v>31.600000000000009</v>
      </c>
      <c r="AY161" s="129">
        <v>31.600000000000009</v>
      </c>
      <c r="AZ161" s="129">
        <v>31.600000000000009</v>
      </c>
      <c r="BA161" s="129">
        <v>31.600000000000009</v>
      </c>
      <c r="BB161" s="129">
        <v>31.600000000000009</v>
      </c>
      <c r="BC161" s="129">
        <v>31.600000000000009</v>
      </c>
      <c r="BD161" s="129">
        <v>31.600000000000009</v>
      </c>
      <c r="BE161" s="129">
        <v>15.6</v>
      </c>
      <c r="BG161" s="129">
        <v>43.600000000000009</v>
      </c>
      <c r="BH161" s="129">
        <v>43.600000000000009</v>
      </c>
      <c r="BI161" s="129">
        <v>43.600000000000009</v>
      </c>
      <c r="BJ161" s="129">
        <v>43.600000000000009</v>
      </c>
      <c r="BK161" s="129">
        <v>43.600000000000009</v>
      </c>
      <c r="BL161" s="129">
        <v>43.600000000000009</v>
      </c>
      <c r="BM161" s="129">
        <v>43.600000000000009</v>
      </c>
      <c r="BN161" s="129">
        <v>43.600000000000009</v>
      </c>
      <c r="BO161" s="129">
        <v>43.600000000000009</v>
      </c>
      <c r="BP161" s="129">
        <v>15.6</v>
      </c>
      <c r="BR161" s="129">
        <v>43.600000000000009</v>
      </c>
      <c r="BS161" s="129">
        <v>43.600000000000009</v>
      </c>
      <c r="BT161" s="129">
        <v>43.600000000000009</v>
      </c>
      <c r="BU161" s="129">
        <v>43.600000000000009</v>
      </c>
      <c r="BV161" s="129">
        <v>43.600000000000009</v>
      </c>
      <c r="BW161" s="129">
        <v>43.600000000000009</v>
      </c>
      <c r="BX161" s="129">
        <v>43.600000000000009</v>
      </c>
      <c r="BY161" s="129">
        <v>43.600000000000009</v>
      </c>
      <c r="BZ161" s="129">
        <v>43.600000000000009</v>
      </c>
      <c r="CA161" s="129">
        <v>15.6</v>
      </c>
      <c r="CC161" s="129">
        <v>12.400000000000002</v>
      </c>
      <c r="CD161" s="129">
        <v>12.400000000000002</v>
      </c>
      <c r="CE161" s="129">
        <v>12.400000000000002</v>
      </c>
      <c r="CF161" s="129">
        <v>12.400000000000002</v>
      </c>
      <c r="CG161" s="129">
        <v>12.400000000000002</v>
      </c>
      <c r="CH161" s="129">
        <v>12.400000000000002</v>
      </c>
      <c r="CI161" s="129">
        <v>12.400000000000002</v>
      </c>
      <c r="CJ161" s="129">
        <v>12.400000000000002</v>
      </c>
      <c r="CK161" s="129">
        <v>12.400000000000002</v>
      </c>
      <c r="CL161" s="129">
        <v>15.6</v>
      </c>
      <c r="CN161" s="129">
        <v>14.400000000000002</v>
      </c>
      <c r="CO161" s="129">
        <v>14.400000000000002</v>
      </c>
      <c r="CP161" s="129">
        <v>14.400000000000002</v>
      </c>
      <c r="CQ161" s="129">
        <v>14.400000000000002</v>
      </c>
      <c r="CR161" s="129">
        <v>14.400000000000002</v>
      </c>
      <c r="CS161" s="129">
        <v>14.400000000000002</v>
      </c>
      <c r="CT161" s="129">
        <v>14.400000000000002</v>
      </c>
      <c r="CU161" s="129">
        <v>14.400000000000002</v>
      </c>
      <c r="CV161" s="129">
        <v>14.400000000000002</v>
      </c>
      <c r="CW161" s="129">
        <v>15.6</v>
      </c>
      <c r="CY161" s="129">
        <v>19.800000000000004</v>
      </c>
      <c r="CZ161" s="129">
        <v>19.800000000000004</v>
      </c>
      <c r="DA161" s="129">
        <v>19.800000000000004</v>
      </c>
      <c r="DB161" s="129">
        <v>19.800000000000004</v>
      </c>
      <c r="DC161" s="129">
        <v>19.800000000000004</v>
      </c>
      <c r="DD161" s="129">
        <v>19.800000000000004</v>
      </c>
      <c r="DE161" s="129">
        <v>19.800000000000004</v>
      </c>
      <c r="DF161" s="129">
        <v>19.800000000000004</v>
      </c>
      <c r="DG161" s="129">
        <v>19.800000000000004</v>
      </c>
      <c r="DH161" s="129">
        <v>15.6</v>
      </c>
      <c r="DJ161" s="129">
        <v>19.800000000000004</v>
      </c>
      <c r="DK161" s="129">
        <v>19.800000000000004</v>
      </c>
      <c r="DL161" s="129">
        <v>19.800000000000004</v>
      </c>
      <c r="DM161" s="129">
        <v>19.800000000000004</v>
      </c>
      <c r="DN161" s="129">
        <v>19.800000000000004</v>
      </c>
      <c r="DO161" s="129">
        <v>19.800000000000004</v>
      </c>
      <c r="DP161" s="129">
        <v>19.800000000000004</v>
      </c>
      <c r="DQ161" s="129">
        <v>19.800000000000004</v>
      </c>
      <c r="DR161" s="129">
        <v>19.800000000000004</v>
      </c>
      <c r="DS161" s="129">
        <v>15.6</v>
      </c>
      <c r="DW161" s="27">
        <v>7.4000000000000021</v>
      </c>
      <c r="DX161" s="27">
        <v>7.4000000000000021</v>
      </c>
      <c r="DY161" s="27">
        <v>7.4000000000000021</v>
      </c>
      <c r="DZ161" s="27">
        <v>7.4000000000000021</v>
      </c>
      <c r="EA161" s="27">
        <v>7.4000000000000021</v>
      </c>
      <c r="EB161" s="27">
        <v>7.4000000000000021</v>
      </c>
      <c r="EC161" s="27">
        <v>7.4000000000000021</v>
      </c>
      <c r="ED161" s="27">
        <v>7.4000000000000021</v>
      </c>
      <c r="EE161" s="27">
        <v>7.4000000000000021</v>
      </c>
      <c r="EF161" s="129">
        <v>17.600000000000001</v>
      </c>
      <c r="EH161" s="27">
        <v>15.800000000000004</v>
      </c>
      <c r="EI161" s="27">
        <v>15.800000000000004</v>
      </c>
      <c r="EJ161" s="27">
        <v>15.800000000000004</v>
      </c>
      <c r="EK161" s="27">
        <v>15.800000000000004</v>
      </c>
      <c r="EL161" s="27">
        <v>15.800000000000004</v>
      </c>
      <c r="EM161" s="27">
        <v>15.800000000000004</v>
      </c>
      <c r="EN161" s="27">
        <v>15.800000000000004</v>
      </c>
      <c r="EO161" s="27">
        <v>15.800000000000004</v>
      </c>
      <c r="EP161" s="27">
        <v>15.800000000000004</v>
      </c>
      <c r="EQ161" s="129">
        <v>17.600000000000001</v>
      </c>
      <c r="ES161" s="27">
        <v>27.800000000000004</v>
      </c>
      <c r="ET161" s="27">
        <v>27.800000000000004</v>
      </c>
      <c r="EU161" s="27">
        <v>27.800000000000004</v>
      </c>
      <c r="EV161" s="27">
        <v>27.800000000000004</v>
      </c>
      <c r="EW161" s="27">
        <v>27.800000000000004</v>
      </c>
      <c r="EX161" s="27">
        <v>27.800000000000004</v>
      </c>
      <c r="EY161" s="27">
        <v>27.800000000000004</v>
      </c>
      <c r="EZ161" s="27">
        <v>27.800000000000004</v>
      </c>
      <c r="FA161" s="27">
        <v>27.800000000000004</v>
      </c>
      <c r="FB161" s="129">
        <v>17.600000000000001</v>
      </c>
      <c r="FD161" s="27">
        <v>28.800000000000004</v>
      </c>
      <c r="FE161" s="27">
        <v>28.800000000000004</v>
      </c>
      <c r="FF161" s="27">
        <v>28.800000000000004</v>
      </c>
      <c r="FG161" s="27">
        <v>28.800000000000004</v>
      </c>
      <c r="FH161" s="27">
        <v>28.800000000000004</v>
      </c>
      <c r="FI161" s="27">
        <v>28.800000000000004</v>
      </c>
      <c r="FJ161" s="27">
        <v>28.800000000000004</v>
      </c>
      <c r="FK161" s="27">
        <v>28.800000000000004</v>
      </c>
      <c r="FL161" s="27">
        <v>28.800000000000004</v>
      </c>
      <c r="FM161" s="129">
        <v>17.600000000000001</v>
      </c>
      <c r="FO161" s="27">
        <v>44.799999999999983</v>
      </c>
      <c r="FP161" s="27">
        <v>44.799999999999983</v>
      </c>
      <c r="FQ161" s="27">
        <v>44.799999999999983</v>
      </c>
      <c r="FR161" s="27">
        <v>44.799999999999983</v>
      </c>
      <c r="FS161" s="27">
        <v>44.799999999999983</v>
      </c>
      <c r="FT161" s="27">
        <v>44.799999999999983</v>
      </c>
      <c r="FU161" s="27">
        <v>44.799999999999983</v>
      </c>
      <c r="FV161" s="27">
        <v>44.799999999999983</v>
      </c>
      <c r="FW161" s="27">
        <v>44.799999999999983</v>
      </c>
      <c r="FX161" s="129">
        <v>17.600000000000001</v>
      </c>
      <c r="FZ161" s="27">
        <v>44.799999999999983</v>
      </c>
      <c r="GA161" s="27">
        <v>44.799999999999983</v>
      </c>
      <c r="GB161" s="27">
        <v>44.799999999999983</v>
      </c>
      <c r="GC161" s="27">
        <v>44.799999999999983</v>
      </c>
      <c r="GD161" s="27">
        <v>44.799999999999983</v>
      </c>
      <c r="GE161" s="27">
        <v>44.799999999999983</v>
      </c>
      <c r="GF161" s="27">
        <v>44.799999999999983</v>
      </c>
      <c r="GG161" s="27">
        <v>44.799999999999983</v>
      </c>
      <c r="GH161" s="27">
        <v>44.799999999999983</v>
      </c>
      <c r="GI161" s="129">
        <v>17.600000000000001</v>
      </c>
      <c r="GJ161" s="27"/>
      <c r="GK161" s="27">
        <v>10.400000000000002</v>
      </c>
      <c r="GL161" s="27">
        <v>10.400000000000002</v>
      </c>
      <c r="GM161" s="27">
        <v>10.400000000000002</v>
      </c>
      <c r="GN161" s="27">
        <v>10.400000000000002</v>
      </c>
      <c r="GO161" s="27">
        <v>10.400000000000002</v>
      </c>
      <c r="GP161" s="27">
        <v>10.400000000000002</v>
      </c>
      <c r="GQ161" s="27">
        <v>10.400000000000002</v>
      </c>
      <c r="GR161" s="27">
        <v>10.400000000000002</v>
      </c>
      <c r="GS161" s="27">
        <v>10.400000000000002</v>
      </c>
      <c r="GT161" s="129">
        <v>17.600000000000001</v>
      </c>
      <c r="GV161" s="27">
        <v>13</v>
      </c>
      <c r="GW161" s="27">
        <v>13</v>
      </c>
      <c r="GX161" s="27">
        <v>13</v>
      </c>
      <c r="GY161" s="27">
        <v>13</v>
      </c>
      <c r="GZ161" s="27">
        <v>13</v>
      </c>
      <c r="HA161" s="27">
        <v>13</v>
      </c>
      <c r="HB161" s="27">
        <v>13</v>
      </c>
      <c r="HC161" s="27">
        <v>13</v>
      </c>
      <c r="HD161" s="27">
        <v>13</v>
      </c>
      <c r="HE161" s="129">
        <v>17.600000000000001</v>
      </c>
      <c r="HG161" s="27">
        <v>17.399999999999991</v>
      </c>
      <c r="HH161" s="27">
        <v>17.399999999999991</v>
      </c>
      <c r="HI161" s="27">
        <v>17.399999999999991</v>
      </c>
      <c r="HJ161" s="27">
        <v>17.399999999999991</v>
      </c>
      <c r="HK161" s="27">
        <v>17.399999999999991</v>
      </c>
      <c r="HL161" s="27">
        <v>17.399999999999991</v>
      </c>
      <c r="HM161" s="27">
        <v>17.399999999999991</v>
      </c>
      <c r="HN161" s="27">
        <v>17.399999999999991</v>
      </c>
      <c r="HO161" s="27">
        <v>17.399999999999991</v>
      </c>
      <c r="HP161" s="129">
        <v>17.600000000000001</v>
      </c>
      <c r="HR161" s="27">
        <v>17.399999999999991</v>
      </c>
      <c r="HS161" s="27">
        <v>17.399999999999991</v>
      </c>
      <c r="HT161" s="27">
        <v>17.399999999999991</v>
      </c>
      <c r="HU161" s="27">
        <v>17.399999999999991</v>
      </c>
      <c r="HV161" s="27">
        <v>17.399999999999991</v>
      </c>
      <c r="HW161" s="27">
        <v>17.399999999999991</v>
      </c>
      <c r="HX161" s="27">
        <v>17.399999999999991</v>
      </c>
      <c r="HY161" s="27">
        <v>17.399999999999991</v>
      </c>
      <c r="HZ161" s="27">
        <v>17.399999999999991</v>
      </c>
      <c r="IA161" s="129">
        <v>17.600000000000001</v>
      </c>
    </row>
    <row r="162" spans="15:235" ht="19.899999999999999" customHeight="1">
      <c r="O162" s="17"/>
      <c r="P162" s="17"/>
      <c r="Q162" s="17"/>
      <c r="R162" s="17"/>
      <c r="S162" s="17"/>
      <c r="T162" s="17"/>
      <c r="U162" s="17"/>
      <c r="V162" s="17"/>
      <c r="W162" s="17"/>
      <c r="X162" s="129">
        <v>15.7</v>
      </c>
      <c r="Y162" s="27"/>
      <c r="Z162" s="129">
        <v>9.3000000000000025</v>
      </c>
      <c r="AA162" s="129">
        <v>9.3000000000000025</v>
      </c>
      <c r="AB162" s="129">
        <v>9.3000000000000025</v>
      </c>
      <c r="AC162" s="129">
        <v>9.3000000000000025</v>
      </c>
      <c r="AD162" s="129">
        <v>9.3000000000000025</v>
      </c>
      <c r="AE162" s="129">
        <v>9.3000000000000025</v>
      </c>
      <c r="AF162" s="129">
        <v>9.3000000000000025</v>
      </c>
      <c r="AG162" s="129">
        <v>9.3000000000000025</v>
      </c>
      <c r="AH162" s="129">
        <v>9.3000000000000025</v>
      </c>
      <c r="AI162" s="129">
        <v>15.7</v>
      </c>
      <c r="AK162" s="129">
        <v>23.5</v>
      </c>
      <c r="AL162" s="129">
        <v>23.5</v>
      </c>
      <c r="AM162" s="129">
        <v>23.5</v>
      </c>
      <c r="AN162" s="129">
        <v>23.5</v>
      </c>
      <c r="AO162" s="129">
        <v>23.5</v>
      </c>
      <c r="AP162" s="129">
        <v>23.5</v>
      </c>
      <c r="AQ162" s="129">
        <v>23.5</v>
      </c>
      <c r="AR162" s="129">
        <v>23.5</v>
      </c>
      <c r="AS162" s="129">
        <v>23.5</v>
      </c>
      <c r="AT162" s="129">
        <v>15.7</v>
      </c>
      <c r="AV162" s="129">
        <v>31.20000000000001</v>
      </c>
      <c r="AW162" s="129">
        <v>31.20000000000001</v>
      </c>
      <c r="AX162" s="129">
        <v>31.20000000000001</v>
      </c>
      <c r="AY162" s="129">
        <v>31.20000000000001</v>
      </c>
      <c r="AZ162" s="129">
        <v>31.20000000000001</v>
      </c>
      <c r="BA162" s="129">
        <v>31.20000000000001</v>
      </c>
      <c r="BB162" s="129">
        <v>31.20000000000001</v>
      </c>
      <c r="BC162" s="129">
        <v>31.20000000000001</v>
      </c>
      <c r="BD162" s="129">
        <v>31.20000000000001</v>
      </c>
      <c r="BE162" s="129">
        <v>15.7</v>
      </c>
      <c r="BG162" s="129">
        <v>42.70000000000001</v>
      </c>
      <c r="BH162" s="129">
        <v>42.70000000000001</v>
      </c>
      <c r="BI162" s="129">
        <v>42.70000000000001</v>
      </c>
      <c r="BJ162" s="129">
        <v>42.70000000000001</v>
      </c>
      <c r="BK162" s="129">
        <v>42.70000000000001</v>
      </c>
      <c r="BL162" s="129">
        <v>42.70000000000001</v>
      </c>
      <c r="BM162" s="129">
        <v>42.70000000000001</v>
      </c>
      <c r="BN162" s="129">
        <v>42.70000000000001</v>
      </c>
      <c r="BO162" s="129">
        <v>42.70000000000001</v>
      </c>
      <c r="BP162" s="129">
        <v>15.7</v>
      </c>
      <c r="BR162" s="129">
        <v>42.70000000000001</v>
      </c>
      <c r="BS162" s="129">
        <v>42.70000000000001</v>
      </c>
      <c r="BT162" s="129">
        <v>42.70000000000001</v>
      </c>
      <c r="BU162" s="129">
        <v>42.70000000000001</v>
      </c>
      <c r="BV162" s="129">
        <v>42.70000000000001</v>
      </c>
      <c r="BW162" s="129">
        <v>42.70000000000001</v>
      </c>
      <c r="BX162" s="129">
        <v>42.70000000000001</v>
      </c>
      <c r="BY162" s="129">
        <v>42.70000000000001</v>
      </c>
      <c r="BZ162" s="129">
        <v>42.70000000000001</v>
      </c>
      <c r="CA162" s="129">
        <v>15.7</v>
      </c>
      <c r="CC162" s="129">
        <v>12.300000000000002</v>
      </c>
      <c r="CD162" s="129">
        <v>12.300000000000002</v>
      </c>
      <c r="CE162" s="129">
        <v>12.300000000000002</v>
      </c>
      <c r="CF162" s="129">
        <v>12.300000000000002</v>
      </c>
      <c r="CG162" s="129">
        <v>12.300000000000002</v>
      </c>
      <c r="CH162" s="129">
        <v>12.300000000000002</v>
      </c>
      <c r="CI162" s="129">
        <v>12.300000000000002</v>
      </c>
      <c r="CJ162" s="129">
        <v>12.300000000000002</v>
      </c>
      <c r="CK162" s="129">
        <v>12.300000000000002</v>
      </c>
      <c r="CL162" s="129">
        <v>15.7</v>
      </c>
      <c r="CN162" s="129">
        <v>14.300000000000002</v>
      </c>
      <c r="CO162" s="129">
        <v>14.300000000000002</v>
      </c>
      <c r="CP162" s="129">
        <v>14.300000000000002</v>
      </c>
      <c r="CQ162" s="129">
        <v>14.300000000000002</v>
      </c>
      <c r="CR162" s="129">
        <v>14.300000000000002</v>
      </c>
      <c r="CS162" s="129">
        <v>14.300000000000002</v>
      </c>
      <c r="CT162" s="129">
        <v>14.300000000000002</v>
      </c>
      <c r="CU162" s="129">
        <v>14.300000000000002</v>
      </c>
      <c r="CV162" s="129">
        <v>14.300000000000002</v>
      </c>
      <c r="CW162" s="129">
        <v>15.7</v>
      </c>
      <c r="CY162" s="129">
        <v>19.600000000000005</v>
      </c>
      <c r="CZ162" s="129">
        <v>19.600000000000005</v>
      </c>
      <c r="DA162" s="129">
        <v>19.600000000000005</v>
      </c>
      <c r="DB162" s="129">
        <v>19.600000000000005</v>
      </c>
      <c r="DC162" s="129">
        <v>19.600000000000005</v>
      </c>
      <c r="DD162" s="129">
        <v>19.600000000000005</v>
      </c>
      <c r="DE162" s="129">
        <v>19.600000000000005</v>
      </c>
      <c r="DF162" s="129">
        <v>19.600000000000005</v>
      </c>
      <c r="DG162" s="129">
        <v>19.600000000000005</v>
      </c>
      <c r="DH162" s="129">
        <v>15.7</v>
      </c>
      <c r="DJ162" s="129">
        <v>19.600000000000005</v>
      </c>
      <c r="DK162" s="129">
        <v>19.600000000000005</v>
      </c>
      <c r="DL162" s="129">
        <v>19.600000000000005</v>
      </c>
      <c r="DM162" s="129">
        <v>19.600000000000005</v>
      </c>
      <c r="DN162" s="129">
        <v>19.600000000000005</v>
      </c>
      <c r="DO162" s="129">
        <v>19.600000000000005</v>
      </c>
      <c r="DP162" s="129">
        <v>19.600000000000005</v>
      </c>
      <c r="DQ162" s="129">
        <v>19.600000000000005</v>
      </c>
      <c r="DR162" s="129">
        <v>19.600000000000005</v>
      </c>
      <c r="DS162" s="129">
        <v>15.7</v>
      </c>
      <c r="DW162" s="27">
        <v>7.3000000000000025</v>
      </c>
      <c r="DX162" s="27">
        <v>7.3000000000000025</v>
      </c>
      <c r="DY162" s="27">
        <v>7.3000000000000025</v>
      </c>
      <c r="DZ162" s="27">
        <v>7.3000000000000025</v>
      </c>
      <c r="EA162" s="27">
        <v>7.3000000000000025</v>
      </c>
      <c r="EB162" s="27">
        <v>7.3000000000000025</v>
      </c>
      <c r="EC162" s="27">
        <v>7.3000000000000025</v>
      </c>
      <c r="ED162" s="27">
        <v>7.3000000000000025</v>
      </c>
      <c r="EE162" s="27">
        <v>7.3000000000000025</v>
      </c>
      <c r="EF162" s="129">
        <v>17.7</v>
      </c>
      <c r="EH162" s="27">
        <v>15.600000000000005</v>
      </c>
      <c r="EI162" s="27">
        <v>15.600000000000005</v>
      </c>
      <c r="EJ162" s="27">
        <v>15.600000000000005</v>
      </c>
      <c r="EK162" s="27">
        <v>15.600000000000005</v>
      </c>
      <c r="EL162" s="27">
        <v>15.600000000000005</v>
      </c>
      <c r="EM162" s="27">
        <v>15.600000000000005</v>
      </c>
      <c r="EN162" s="27">
        <v>15.600000000000005</v>
      </c>
      <c r="EO162" s="27">
        <v>15.600000000000005</v>
      </c>
      <c r="EP162" s="27">
        <v>15.600000000000005</v>
      </c>
      <c r="EQ162" s="129">
        <v>17.7</v>
      </c>
      <c r="ES162" s="27">
        <v>27.600000000000005</v>
      </c>
      <c r="ET162" s="27">
        <v>27.600000000000005</v>
      </c>
      <c r="EU162" s="27">
        <v>27.600000000000005</v>
      </c>
      <c r="EV162" s="27">
        <v>27.600000000000005</v>
      </c>
      <c r="EW162" s="27">
        <v>27.600000000000005</v>
      </c>
      <c r="EX162" s="27">
        <v>27.600000000000005</v>
      </c>
      <c r="EY162" s="27">
        <v>27.600000000000005</v>
      </c>
      <c r="EZ162" s="27">
        <v>27.600000000000005</v>
      </c>
      <c r="FA162" s="27">
        <v>27.600000000000005</v>
      </c>
      <c r="FB162" s="129">
        <v>17.7</v>
      </c>
      <c r="FD162" s="27">
        <v>28.600000000000005</v>
      </c>
      <c r="FE162" s="27">
        <v>28.600000000000005</v>
      </c>
      <c r="FF162" s="27">
        <v>28.600000000000005</v>
      </c>
      <c r="FG162" s="27">
        <v>28.600000000000005</v>
      </c>
      <c r="FH162" s="27">
        <v>28.600000000000005</v>
      </c>
      <c r="FI162" s="27">
        <v>28.600000000000005</v>
      </c>
      <c r="FJ162" s="27">
        <v>28.600000000000005</v>
      </c>
      <c r="FK162" s="27">
        <v>28.600000000000005</v>
      </c>
      <c r="FL162" s="27">
        <v>28.600000000000005</v>
      </c>
      <c r="FM162" s="129">
        <v>17.7</v>
      </c>
      <c r="FO162" s="27">
        <v>44.59999999999998</v>
      </c>
      <c r="FP162" s="27">
        <v>44.59999999999998</v>
      </c>
      <c r="FQ162" s="27">
        <v>44.59999999999998</v>
      </c>
      <c r="FR162" s="27">
        <v>44.59999999999998</v>
      </c>
      <c r="FS162" s="27">
        <v>44.59999999999998</v>
      </c>
      <c r="FT162" s="27">
        <v>44.59999999999998</v>
      </c>
      <c r="FU162" s="27">
        <v>44.59999999999998</v>
      </c>
      <c r="FV162" s="27">
        <v>44.59999999999998</v>
      </c>
      <c r="FW162" s="27">
        <v>44.59999999999998</v>
      </c>
      <c r="FX162" s="129">
        <v>17.7</v>
      </c>
      <c r="FZ162" s="27">
        <v>44.59999999999998</v>
      </c>
      <c r="GA162" s="27">
        <v>44.59999999999998</v>
      </c>
      <c r="GB162" s="27">
        <v>44.59999999999998</v>
      </c>
      <c r="GC162" s="27">
        <v>44.59999999999998</v>
      </c>
      <c r="GD162" s="27">
        <v>44.59999999999998</v>
      </c>
      <c r="GE162" s="27">
        <v>44.59999999999998</v>
      </c>
      <c r="GF162" s="27">
        <v>44.59999999999998</v>
      </c>
      <c r="GG162" s="27">
        <v>44.59999999999998</v>
      </c>
      <c r="GH162" s="27">
        <v>44.59999999999998</v>
      </c>
      <c r="GI162" s="129">
        <v>17.7</v>
      </c>
      <c r="GJ162" s="27"/>
      <c r="GK162" s="27">
        <v>10.300000000000002</v>
      </c>
      <c r="GL162" s="27">
        <v>10.300000000000002</v>
      </c>
      <c r="GM162" s="27">
        <v>10.300000000000002</v>
      </c>
      <c r="GN162" s="27">
        <v>10.300000000000002</v>
      </c>
      <c r="GO162" s="27">
        <v>10.300000000000002</v>
      </c>
      <c r="GP162" s="27">
        <v>10.300000000000002</v>
      </c>
      <c r="GQ162" s="27">
        <v>10.300000000000002</v>
      </c>
      <c r="GR162" s="27">
        <v>10.300000000000002</v>
      </c>
      <c r="GS162" s="27">
        <v>10.300000000000002</v>
      </c>
      <c r="GT162" s="129">
        <v>17.7</v>
      </c>
      <c r="GV162" s="27">
        <v>13</v>
      </c>
      <c r="GW162" s="27">
        <v>13</v>
      </c>
      <c r="GX162" s="27">
        <v>13</v>
      </c>
      <c r="GY162" s="27">
        <v>13</v>
      </c>
      <c r="GZ162" s="27">
        <v>13</v>
      </c>
      <c r="HA162" s="27">
        <v>13</v>
      </c>
      <c r="HB162" s="27">
        <v>13</v>
      </c>
      <c r="HC162" s="27">
        <v>13</v>
      </c>
      <c r="HD162" s="27">
        <v>13</v>
      </c>
      <c r="HE162" s="129">
        <v>17.7</v>
      </c>
      <c r="HG162" s="27">
        <v>17.29999999999999</v>
      </c>
      <c r="HH162" s="27">
        <v>17.29999999999999</v>
      </c>
      <c r="HI162" s="27">
        <v>17.29999999999999</v>
      </c>
      <c r="HJ162" s="27">
        <v>17.29999999999999</v>
      </c>
      <c r="HK162" s="27">
        <v>17.29999999999999</v>
      </c>
      <c r="HL162" s="27">
        <v>17.29999999999999</v>
      </c>
      <c r="HM162" s="27">
        <v>17.29999999999999</v>
      </c>
      <c r="HN162" s="27">
        <v>17.29999999999999</v>
      </c>
      <c r="HO162" s="27">
        <v>17.29999999999999</v>
      </c>
      <c r="HP162" s="129">
        <v>17.7</v>
      </c>
      <c r="HR162" s="27">
        <v>17.29999999999999</v>
      </c>
      <c r="HS162" s="27">
        <v>17.29999999999999</v>
      </c>
      <c r="HT162" s="27">
        <v>17.29999999999999</v>
      </c>
      <c r="HU162" s="27">
        <v>17.29999999999999</v>
      </c>
      <c r="HV162" s="27">
        <v>17.29999999999999</v>
      </c>
      <c r="HW162" s="27">
        <v>17.29999999999999</v>
      </c>
      <c r="HX162" s="27">
        <v>17.29999999999999</v>
      </c>
      <c r="HY162" s="27">
        <v>17.29999999999999</v>
      </c>
      <c r="HZ162" s="27">
        <v>17.29999999999999</v>
      </c>
      <c r="IA162" s="129">
        <v>17.7</v>
      </c>
    </row>
    <row r="163" spans="15:235" ht="19.899999999999999" customHeight="1">
      <c r="O163" s="17"/>
      <c r="P163" s="17"/>
      <c r="Q163" s="17"/>
      <c r="R163" s="17"/>
      <c r="S163" s="17"/>
      <c r="T163" s="17"/>
      <c r="U163" s="17"/>
      <c r="V163" s="17"/>
      <c r="W163" s="17"/>
      <c r="X163" s="129">
        <v>15.8</v>
      </c>
      <c r="Y163" s="27"/>
      <c r="Z163" s="129">
        <v>9.2000000000000028</v>
      </c>
      <c r="AA163" s="129">
        <v>9.2000000000000028</v>
      </c>
      <c r="AB163" s="129">
        <v>9.2000000000000028</v>
      </c>
      <c r="AC163" s="129">
        <v>9.2000000000000028</v>
      </c>
      <c r="AD163" s="129">
        <v>9.2000000000000028</v>
      </c>
      <c r="AE163" s="129">
        <v>9.2000000000000028</v>
      </c>
      <c r="AF163" s="129">
        <v>9.2000000000000028</v>
      </c>
      <c r="AG163" s="129">
        <v>9.2000000000000028</v>
      </c>
      <c r="AH163" s="129">
        <v>9.2000000000000028</v>
      </c>
      <c r="AI163" s="129">
        <v>15.8</v>
      </c>
      <c r="AK163" s="129">
        <v>23</v>
      </c>
      <c r="AL163" s="129">
        <v>23</v>
      </c>
      <c r="AM163" s="129">
        <v>23</v>
      </c>
      <c r="AN163" s="129">
        <v>23</v>
      </c>
      <c r="AO163" s="129">
        <v>23</v>
      </c>
      <c r="AP163" s="129">
        <v>23</v>
      </c>
      <c r="AQ163" s="129">
        <v>23</v>
      </c>
      <c r="AR163" s="129">
        <v>23</v>
      </c>
      <c r="AS163" s="129">
        <v>23</v>
      </c>
      <c r="AT163" s="129">
        <v>15.8</v>
      </c>
      <c r="AV163" s="129">
        <v>30.800000000000011</v>
      </c>
      <c r="AW163" s="129">
        <v>30.800000000000011</v>
      </c>
      <c r="AX163" s="129">
        <v>30.800000000000011</v>
      </c>
      <c r="AY163" s="129">
        <v>30.800000000000011</v>
      </c>
      <c r="AZ163" s="129">
        <v>30.800000000000011</v>
      </c>
      <c r="BA163" s="129">
        <v>30.800000000000011</v>
      </c>
      <c r="BB163" s="129">
        <v>30.800000000000011</v>
      </c>
      <c r="BC163" s="129">
        <v>30.800000000000011</v>
      </c>
      <c r="BD163" s="129">
        <v>30.800000000000011</v>
      </c>
      <c r="BE163" s="129">
        <v>15.8</v>
      </c>
      <c r="BG163" s="129">
        <v>41.800000000000011</v>
      </c>
      <c r="BH163" s="129">
        <v>41.800000000000011</v>
      </c>
      <c r="BI163" s="129">
        <v>41.800000000000011</v>
      </c>
      <c r="BJ163" s="129">
        <v>41.800000000000011</v>
      </c>
      <c r="BK163" s="129">
        <v>41.800000000000011</v>
      </c>
      <c r="BL163" s="129">
        <v>41.800000000000011</v>
      </c>
      <c r="BM163" s="129">
        <v>41.800000000000011</v>
      </c>
      <c r="BN163" s="129">
        <v>41.800000000000011</v>
      </c>
      <c r="BO163" s="129">
        <v>41.800000000000011</v>
      </c>
      <c r="BP163" s="129">
        <v>15.8</v>
      </c>
      <c r="BR163" s="129">
        <v>41.800000000000011</v>
      </c>
      <c r="BS163" s="129">
        <v>41.800000000000011</v>
      </c>
      <c r="BT163" s="129">
        <v>41.800000000000011</v>
      </c>
      <c r="BU163" s="129">
        <v>41.800000000000011</v>
      </c>
      <c r="BV163" s="129">
        <v>41.800000000000011</v>
      </c>
      <c r="BW163" s="129">
        <v>41.800000000000011</v>
      </c>
      <c r="BX163" s="129">
        <v>41.800000000000011</v>
      </c>
      <c r="BY163" s="129">
        <v>41.800000000000011</v>
      </c>
      <c r="BZ163" s="129">
        <v>41.800000000000011</v>
      </c>
      <c r="CA163" s="129">
        <v>15.8</v>
      </c>
      <c r="CC163" s="129">
        <v>12.200000000000003</v>
      </c>
      <c r="CD163" s="129">
        <v>12.200000000000003</v>
      </c>
      <c r="CE163" s="129">
        <v>12.200000000000003</v>
      </c>
      <c r="CF163" s="129">
        <v>12.200000000000003</v>
      </c>
      <c r="CG163" s="129">
        <v>12.200000000000003</v>
      </c>
      <c r="CH163" s="129">
        <v>12.200000000000003</v>
      </c>
      <c r="CI163" s="129">
        <v>12.200000000000003</v>
      </c>
      <c r="CJ163" s="129">
        <v>12.200000000000003</v>
      </c>
      <c r="CK163" s="129">
        <v>12.200000000000003</v>
      </c>
      <c r="CL163" s="129">
        <v>15.8</v>
      </c>
      <c r="CN163" s="129">
        <v>14.200000000000003</v>
      </c>
      <c r="CO163" s="129">
        <v>14.200000000000003</v>
      </c>
      <c r="CP163" s="129">
        <v>14.200000000000003</v>
      </c>
      <c r="CQ163" s="129">
        <v>14.200000000000003</v>
      </c>
      <c r="CR163" s="129">
        <v>14.200000000000003</v>
      </c>
      <c r="CS163" s="129">
        <v>14.200000000000003</v>
      </c>
      <c r="CT163" s="129">
        <v>14.200000000000003</v>
      </c>
      <c r="CU163" s="129">
        <v>14.200000000000003</v>
      </c>
      <c r="CV163" s="129">
        <v>14.200000000000003</v>
      </c>
      <c r="CW163" s="129">
        <v>15.8</v>
      </c>
      <c r="CY163" s="129">
        <v>19.400000000000006</v>
      </c>
      <c r="CZ163" s="129">
        <v>19.400000000000006</v>
      </c>
      <c r="DA163" s="129">
        <v>19.400000000000006</v>
      </c>
      <c r="DB163" s="129">
        <v>19.400000000000006</v>
      </c>
      <c r="DC163" s="129">
        <v>19.400000000000006</v>
      </c>
      <c r="DD163" s="129">
        <v>19.400000000000006</v>
      </c>
      <c r="DE163" s="129">
        <v>19.400000000000006</v>
      </c>
      <c r="DF163" s="129">
        <v>19.400000000000006</v>
      </c>
      <c r="DG163" s="129">
        <v>19.400000000000006</v>
      </c>
      <c r="DH163" s="129">
        <v>15.8</v>
      </c>
      <c r="DJ163" s="129">
        <v>19.400000000000006</v>
      </c>
      <c r="DK163" s="129">
        <v>19.400000000000006</v>
      </c>
      <c r="DL163" s="129">
        <v>19.400000000000006</v>
      </c>
      <c r="DM163" s="129">
        <v>19.400000000000006</v>
      </c>
      <c r="DN163" s="129">
        <v>19.400000000000006</v>
      </c>
      <c r="DO163" s="129">
        <v>19.400000000000006</v>
      </c>
      <c r="DP163" s="129">
        <v>19.400000000000006</v>
      </c>
      <c r="DQ163" s="129">
        <v>19.400000000000006</v>
      </c>
      <c r="DR163" s="129">
        <v>19.400000000000006</v>
      </c>
      <c r="DS163" s="129">
        <v>15.8</v>
      </c>
      <c r="DW163" s="27">
        <v>7.2000000000000028</v>
      </c>
      <c r="DX163" s="27">
        <v>7.2000000000000028</v>
      </c>
      <c r="DY163" s="27">
        <v>7.2000000000000028</v>
      </c>
      <c r="DZ163" s="27">
        <v>7.2000000000000028</v>
      </c>
      <c r="EA163" s="27">
        <v>7.2000000000000028</v>
      </c>
      <c r="EB163" s="27">
        <v>7.2000000000000028</v>
      </c>
      <c r="EC163" s="27">
        <v>7.2000000000000028</v>
      </c>
      <c r="ED163" s="27">
        <v>7.2000000000000028</v>
      </c>
      <c r="EE163" s="27">
        <v>7.2000000000000028</v>
      </c>
      <c r="EF163" s="129">
        <v>17.8</v>
      </c>
      <c r="EH163" s="27">
        <v>15.400000000000006</v>
      </c>
      <c r="EI163" s="27">
        <v>15.400000000000006</v>
      </c>
      <c r="EJ163" s="27">
        <v>15.400000000000006</v>
      </c>
      <c r="EK163" s="27">
        <v>15.400000000000006</v>
      </c>
      <c r="EL163" s="27">
        <v>15.400000000000006</v>
      </c>
      <c r="EM163" s="27">
        <v>15.400000000000006</v>
      </c>
      <c r="EN163" s="27">
        <v>15.400000000000006</v>
      </c>
      <c r="EO163" s="27">
        <v>15.400000000000006</v>
      </c>
      <c r="EP163" s="27">
        <v>15.400000000000006</v>
      </c>
      <c r="EQ163" s="129">
        <v>17.8</v>
      </c>
      <c r="ES163" s="27">
        <v>27.400000000000006</v>
      </c>
      <c r="ET163" s="27">
        <v>27.400000000000006</v>
      </c>
      <c r="EU163" s="27">
        <v>27.400000000000006</v>
      </c>
      <c r="EV163" s="27">
        <v>27.400000000000006</v>
      </c>
      <c r="EW163" s="27">
        <v>27.400000000000006</v>
      </c>
      <c r="EX163" s="27">
        <v>27.400000000000006</v>
      </c>
      <c r="EY163" s="27">
        <v>27.400000000000006</v>
      </c>
      <c r="EZ163" s="27">
        <v>27.400000000000006</v>
      </c>
      <c r="FA163" s="27">
        <v>27.400000000000006</v>
      </c>
      <c r="FB163" s="129">
        <v>17.8</v>
      </c>
      <c r="FD163" s="27">
        <v>28.400000000000006</v>
      </c>
      <c r="FE163" s="27">
        <v>28.400000000000006</v>
      </c>
      <c r="FF163" s="27">
        <v>28.400000000000006</v>
      </c>
      <c r="FG163" s="27">
        <v>28.400000000000006</v>
      </c>
      <c r="FH163" s="27">
        <v>28.400000000000006</v>
      </c>
      <c r="FI163" s="27">
        <v>28.400000000000006</v>
      </c>
      <c r="FJ163" s="27">
        <v>28.400000000000006</v>
      </c>
      <c r="FK163" s="27">
        <v>28.400000000000006</v>
      </c>
      <c r="FL163" s="27">
        <v>28.400000000000006</v>
      </c>
      <c r="FM163" s="129">
        <v>17.8</v>
      </c>
      <c r="FO163" s="27">
        <v>44.399999999999977</v>
      </c>
      <c r="FP163" s="27">
        <v>44.399999999999977</v>
      </c>
      <c r="FQ163" s="27">
        <v>44.399999999999977</v>
      </c>
      <c r="FR163" s="27">
        <v>44.399999999999977</v>
      </c>
      <c r="FS163" s="27">
        <v>44.399999999999977</v>
      </c>
      <c r="FT163" s="27">
        <v>44.399999999999977</v>
      </c>
      <c r="FU163" s="27">
        <v>44.399999999999977</v>
      </c>
      <c r="FV163" s="27">
        <v>44.399999999999977</v>
      </c>
      <c r="FW163" s="27">
        <v>44.399999999999977</v>
      </c>
      <c r="FX163" s="129">
        <v>17.8</v>
      </c>
      <c r="FZ163" s="27">
        <v>44.399999999999977</v>
      </c>
      <c r="GA163" s="27">
        <v>44.399999999999977</v>
      </c>
      <c r="GB163" s="27">
        <v>44.399999999999977</v>
      </c>
      <c r="GC163" s="27">
        <v>44.399999999999977</v>
      </c>
      <c r="GD163" s="27">
        <v>44.399999999999977</v>
      </c>
      <c r="GE163" s="27">
        <v>44.399999999999977</v>
      </c>
      <c r="GF163" s="27">
        <v>44.399999999999977</v>
      </c>
      <c r="GG163" s="27">
        <v>44.399999999999977</v>
      </c>
      <c r="GH163" s="27">
        <v>44.399999999999977</v>
      </c>
      <c r="GI163" s="129">
        <v>17.8</v>
      </c>
      <c r="GJ163" s="27"/>
      <c r="GK163" s="27">
        <v>10.200000000000003</v>
      </c>
      <c r="GL163" s="27">
        <v>10.200000000000003</v>
      </c>
      <c r="GM163" s="27">
        <v>10.200000000000003</v>
      </c>
      <c r="GN163" s="27">
        <v>10.200000000000003</v>
      </c>
      <c r="GO163" s="27">
        <v>10.200000000000003</v>
      </c>
      <c r="GP163" s="27">
        <v>10.200000000000003</v>
      </c>
      <c r="GQ163" s="27">
        <v>10.200000000000003</v>
      </c>
      <c r="GR163" s="27">
        <v>10.200000000000003</v>
      </c>
      <c r="GS163" s="27">
        <v>10.200000000000003</v>
      </c>
      <c r="GT163" s="129">
        <v>17.8</v>
      </c>
      <c r="GV163" s="27">
        <v>13</v>
      </c>
      <c r="GW163" s="27">
        <v>13</v>
      </c>
      <c r="GX163" s="27">
        <v>13</v>
      </c>
      <c r="GY163" s="27">
        <v>13</v>
      </c>
      <c r="GZ163" s="27">
        <v>13</v>
      </c>
      <c r="HA163" s="27">
        <v>13</v>
      </c>
      <c r="HB163" s="27">
        <v>13</v>
      </c>
      <c r="HC163" s="27">
        <v>13</v>
      </c>
      <c r="HD163" s="27">
        <v>13</v>
      </c>
      <c r="HE163" s="129">
        <v>17.8</v>
      </c>
      <c r="HG163" s="27">
        <v>17.199999999999989</v>
      </c>
      <c r="HH163" s="27">
        <v>17.199999999999989</v>
      </c>
      <c r="HI163" s="27">
        <v>17.199999999999989</v>
      </c>
      <c r="HJ163" s="27">
        <v>17.199999999999989</v>
      </c>
      <c r="HK163" s="27">
        <v>17.199999999999989</v>
      </c>
      <c r="HL163" s="27">
        <v>17.199999999999989</v>
      </c>
      <c r="HM163" s="27">
        <v>17.199999999999989</v>
      </c>
      <c r="HN163" s="27">
        <v>17.199999999999989</v>
      </c>
      <c r="HO163" s="27">
        <v>17.199999999999989</v>
      </c>
      <c r="HP163" s="129">
        <v>17.8</v>
      </c>
      <c r="HR163" s="27">
        <v>17.199999999999989</v>
      </c>
      <c r="HS163" s="27">
        <v>17.199999999999989</v>
      </c>
      <c r="HT163" s="27">
        <v>17.199999999999989</v>
      </c>
      <c r="HU163" s="27">
        <v>17.199999999999989</v>
      </c>
      <c r="HV163" s="27">
        <v>17.199999999999989</v>
      </c>
      <c r="HW163" s="27">
        <v>17.199999999999989</v>
      </c>
      <c r="HX163" s="27">
        <v>17.199999999999989</v>
      </c>
      <c r="HY163" s="27">
        <v>17.199999999999989</v>
      </c>
      <c r="HZ163" s="27">
        <v>17.199999999999989</v>
      </c>
      <c r="IA163" s="129">
        <v>17.8</v>
      </c>
    </row>
    <row r="164" spans="15:235" ht="19.899999999999999" customHeight="1">
      <c r="O164" s="17"/>
      <c r="P164" s="17"/>
      <c r="Q164" s="17"/>
      <c r="R164" s="17"/>
      <c r="S164" s="17"/>
      <c r="T164" s="17"/>
      <c r="U164" s="17"/>
      <c r="V164" s="17"/>
      <c r="W164" s="17"/>
      <c r="X164" s="129">
        <v>15.9</v>
      </c>
      <c r="Y164" s="27"/>
      <c r="Z164" s="129">
        <v>9.1000000000000032</v>
      </c>
      <c r="AA164" s="129">
        <v>9.1000000000000032</v>
      </c>
      <c r="AB164" s="129">
        <v>9.1000000000000032</v>
      </c>
      <c r="AC164" s="129">
        <v>9.1000000000000032</v>
      </c>
      <c r="AD164" s="129">
        <v>9.1000000000000032</v>
      </c>
      <c r="AE164" s="129">
        <v>9.1000000000000032</v>
      </c>
      <c r="AF164" s="129">
        <v>9.1000000000000032</v>
      </c>
      <c r="AG164" s="129">
        <v>9.1000000000000032</v>
      </c>
      <c r="AH164" s="129">
        <v>9.1000000000000032</v>
      </c>
      <c r="AI164" s="129">
        <v>15.9</v>
      </c>
      <c r="AK164" s="129">
        <v>22.5</v>
      </c>
      <c r="AL164" s="129">
        <v>22.5</v>
      </c>
      <c r="AM164" s="129">
        <v>22.5</v>
      </c>
      <c r="AN164" s="129">
        <v>22.5</v>
      </c>
      <c r="AO164" s="129">
        <v>22.5</v>
      </c>
      <c r="AP164" s="129">
        <v>22.5</v>
      </c>
      <c r="AQ164" s="129">
        <v>22.5</v>
      </c>
      <c r="AR164" s="129">
        <v>22.5</v>
      </c>
      <c r="AS164" s="129">
        <v>22.5</v>
      </c>
      <c r="AT164" s="129">
        <v>15.9</v>
      </c>
      <c r="AV164" s="129">
        <v>30.400000000000013</v>
      </c>
      <c r="AW164" s="129">
        <v>30.400000000000013</v>
      </c>
      <c r="AX164" s="129">
        <v>30.400000000000013</v>
      </c>
      <c r="AY164" s="129">
        <v>30.400000000000013</v>
      </c>
      <c r="AZ164" s="129">
        <v>30.400000000000013</v>
      </c>
      <c r="BA164" s="129">
        <v>30.400000000000013</v>
      </c>
      <c r="BB164" s="129">
        <v>30.400000000000013</v>
      </c>
      <c r="BC164" s="129">
        <v>30.400000000000013</v>
      </c>
      <c r="BD164" s="129">
        <v>30.400000000000013</v>
      </c>
      <c r="BE164" s="129">
        <v>15.9</v>
      </c>
      <c r="BG164" s="129">
        <v>40.900000000000013</v>
      </c>
      <c r="BH164" s="129">
        <v>40.900000000000013</v>
      </c>
      <c r="BI164" s="129">
        <v>40.900000000000013</v>
      </c>
      <c r="BJ164" s="129">
        <v>40.900000000000013</v>
      </c>
      <c r="BK164" s="129">
        <v>40.900000000000013</v>
      </c>
      <c r="BL164" s="129">
        <v>40.900000000000013</v>
      </c>
      <c r="BM164" s="129">
        <v>40.900000000000013</v>
      </c>
      <c r="BN164" s="129">
        <v>40.900000000000013</v>
      </c>
      <c r="BO164" s="129">
        <v>40.900000000000013</v>
      </c>
      <c r="BP164" s="129">
        <v>15.9</v>
      </c>
      <c r="BR164" s="129">
        <v>40.900000000000013</v>
      </c>
      <c r="BS164" s="129">
        <v>40.900000000000013</v>
      </c>
      <c r="BT164" s="129">
        <v>40.900000000000013</v>
      </c>
      <c r="BU164" s="129">
        <v>40.900000000000013</v>
      </c>
      <c r="BV164" s="129">
        <v>40.900000000000013</v>
      </c>
      <c r="BW164" s="129">
        <v>40.900000000000013</v>
      </c>
      <c r="BX164" s="129">
        <v>40.900000000000013</v>
      </c>
      <c r="BY164" s="129">
        <v>40.900000000000013</v>
      </c>
      <c r="BZ164" s="129">
        <v>40.900000000000013</v>
      </c>
      <c r="CA164" s="129">
        <v>15.9</v>
      </c>
      <c r="CC164" s="129">
        <v>12.100000000000003</v>
      </c>
      <c r="CD164" s="129">
        <v>12.100000000000003</v>
      </c>
      <c r="CE164" s="129">
        <v>12.100000000000003</v>
      </c>
      <c r="CF164" s="129">
        <v>12.100000000000003</v>
      </c>
      <c r="CG164" s="129">
        <v>12.100000000000003</v>
      </c>
      <c r="CH164" s="129">
        <v>12.100000000000003</v>
      </c>
      <c r="CI164" s="129">
        <v>12.100000000000003</v>
      </c>
      <c r="CJ164" s="129">
        <v>12.100000000000003</v>
      </c>
      <c r="CK164" s="129">
        <v>12.100000000000003</v>
      </c>
      <c r="CL164" s="129">
        <v>15.9</v>
      </c>
      <c r="CN164" s="129">
        <v>14.100000000000003</v>
      </c>
      <c r="CO164" s="129">
        <v>14.100000000000003</v>
      </c>
      <c r="CP164" s="129">
        <v>14.100000000000003</v>
      </c>
      <c r="CQ164" s="129">
        <v>14.100000000000003</v>
      </c>
      <c r="CR164" s="129">
        <v>14.100000000000003</v>
      </c>
      <c r="CS164" s="129">
        <v>14.100000000000003</v>
      </c>
      <c r="CT164" s="129">
        <v>14.100000000000003</v>
      </c>
      <c r="CU164" s="129">
        <v>14.100000000000003</v>
      </c>
      <c r="CV164" s="129">
        <v>14.100000000000003</v>
      </c>
      <c r="CW164" s="129">
        <v>15.9</v>
      </c>
      <c r="CY164" s="129">
        <v>19.200000000000006</v>
      </c>
      <c r="CZ164" s="129">
        <v>19.200000000000006</v>
      </c>
      <c r="DA164" s="129">
        <v>19.200000000000006</v>
      </c>
      <c r="DB164" s="129">
        <v>19.200000000000006</v>
      </c>
      <c r="DC164" s="129">
        <v>19.200000000000006</v>
      </c>
      <c r="DD164" s="129">
        <v>19.200000000000006</v>
      </c>
      <c r="DE164" s="129">
        <v>19.200000000000006</v>
      </c>
      <c r="DF164" s="129">
        <v>19.200000000000006</v>
      </c>
      <c r="DG164" s="129">
        <v>19.200000000000006</v>
      </c>
      <c r="DH164" s="129">
        <v>15.9</v>
      </c>
      <c r="DJ164" s="129">
        <v>19.200000000000006</v>
      </c>
      <c r="DK164" s="129">
        <v>19.200000000000006</v>
      </c>
      <c r="DL164" s="129">
        <v>19.200000000000006</v>
      </c>
      <c r="DM164" s="129">
        <v>19.200000000000006</v>
      </c>
      <c r="DN164" s="129">
        <v>19.200000000000006</v>
      </c>
      <c r="DO164" s="129">
        <v>19.200000000000006</v>
      </c>
      <c r="DP164" s="129">
        <v>19.200000000000006</v>
      </c>
      <c r="DQ164" s="129">
        <v>19.200000000000006</v>
      </c>
      <c r="DR164" s="129">
        <v>19.200000000000006</v>
      </c>
      <c r="DS164" s="129">
        <v>15.9</v>
      </c>
      <c r="DW164" s="27">
        <v>7.1000000000000032</v>
      </c>
      <c r="DX164" s="27">
        <v>7.1000000000000032</v>
      </c>
      <c r="DY164" s="27">
        <v>7.1000000000000032</v>
      </c>
      <c r="DZ164" s="27">
        <v>7.1000000000000032</v>
      </c>
      <c r="EA164" s="27">
        <v>7.1000000000000032</v>
      </c>
      <c r="EB164" s="27">
        <v>7.1000000000000032</v>
      </c>
      <c r="EC164" s="27">
        <v>7.1000000000000032</v>
      </c>
      <c r="ED164" s="27">
        <v>7.1000000000000032</v>
      </c>
      <c r="EE164" s="27">
        <v>7.1000000000000032</v>
      </c>
      <c r="EF164" s="129">
        <v>17.899999999999999</v>
      </c>
      <c r="EH164" s="27">
        <v>15.200000000000006</v>
      </c>
      <c r="EI164" s="27">
        <v>15.200000000000006</v>
      </c>
      <c r="EJ164" s="27">
        <v>15.200000000000006</v>
      </c>
      <c r="EK164" s="27">
        <v>15.200000000000006</v>
      </c>
      <c r="EL164" s="27">
        <v>15.200000000000006</v>
      </c>
      <c r="EM164" s="27">
        <v>15.200000000000006</v>
      </c>
      <c r="EN164" s="27">
        <v>15.200000000000006</v>
      </c>
      <c r="EO164" s="27">
        <v>15.200000000000006</v>
      </c>
      <c r="EP164" s="27">
        <v>15.200000000000006</v>
      </c>
      <c r="EQ164" s="129">
        <v>17.899999999999999</v>
      </c>
      <c r="ES164" s="27">
        <v>27.200000000000006</v>
      </c>
      <c r="ET164" s="27">
        <v>27.200000000000006</v>
      </c>
      <c r="EU164" s="27">
        <v>27.200000000000006</v>
      </c>
      <c r="EV164" s="27">
        <v>27.200000000000006</v>
      </c>
      <c r="EW164" s="27">
        <v>27.200000000000006</v>
      </c>
      <c r="EX164" s="27">
        <v>27.200000000000006</v>
      </c>
      <c r="EY164" s="27">
        <v>27.200000000000006</v>
      </c>
      <c r="EZ164" s="27">
        <v>27.200000000000006</v>
      </c>
      <c r="FA164" s="27">
        <v>27.200000000000006</v>
      </c>
      <c r="FB164" s="129">
        <v>17.899999999999999</v>
      </c>
      <c r="FD164" s="27">
        <v>28.200000000000006</v>
      </c>
      <c r="FE164" s="27">
        <v>28.200000000000006</v>
      </c>
      <c r="FF164" s="27">
        <v>28.200000000000006</v>
      </c>
      <c r="FG164" s="27">
        <v>28.200000000000006</v>
      </c>
      <c r="FH164" s="27">
        <v>28.200000000000006</v>
      </c>
      <c r="FI164" s="27">
        <v>28.200000000000006</v>
      </c>
      <c r="FJ164" s="27">
        <v>28.200000000000006</v>
      </c>
      <c r="FK164" s="27">
        <v>28.200000000000006</v>
      </c>
      <c r="FL164" s="27">
        <v>28.200000000000006</v>
      </c>
      <c r="FM164" s="129">
        <v>17.899999999999999</v>
      </c>
      <c r="FO164" s="27">
        <v>44.199999999999974</v>
      </c>
      <c r="FP164" s="27">
        <v>44.199999999999974</v>
      </c>
      <c r="FQ164" s="27">
        <v>44.199999999999974</v>
      </c>
      <c r="FR164" s="27">
        <v>44.199999999999974</v>
      </c>
      <c r="FS164" s="27">
        <v>44.199999999999974</v>
      </c>
      <c r="FT164" s="27">
        <v>44.199999999999974</v>
      </c>
      <c r="FU164" s="27">
        <v>44.199999999999974</v>
      </c>
      <c r="FV164" s="27">
        <v>44.199999999999974</v>
      </c>
      <c r="FW164" s="27">
        <v>44.199999999999974</v>
      </c>
      <c r="FX164" s="129">
        <v>17.899999999999999</v>
      </c>
      <c r="FZ164" s="27">
        <v>44.199999999999974</v>
      </c>
      <c r="GA164" s="27">
        <v>44.199999999999974</v>
      </c>
      <c r="GB164" s="27">
        <v>44.199999999999974</v>
      </c>
      <c r="GC164" s="27">
        <v>44.199999999999974</v>
      </c>
      <c r="GD164" s="27">
        <v>44.199999999999974</v>
      </c>
      <c r="GE164" s="27">
        <v>44.199999999999974</v>
      </c>
      <c r="GF164" s="27">
        <v>44.199999999999974</v>
      </c>
      <c r="GG164" s="27">
        <v>44.199999999999974</v>
      </c>
      <c r="GH164" s="27">
        <v>44.199999999999974</v>
      </c>
      <c r="GI164" s="129">
        <v>17.899999999999999</v>
      </c>
      <c r="GJ164" s="27"/>
      <c r="GK164" s="27">
        <v>10.100000000000003</v>
      </c>
      <c r="GL164" s="27">
        <v>10.100000000000003</v>
      </c>
      <c r="GM164" s="27">
        <v>10.100000000000003</v>
      </c>
      <c r="GN164" s="27">
        <v>10.100000000000003</v>
      </c>
      <c r="GO164" s="27">
        <v>10.100000000000003</v>
      </c>
      <c r="GP164" s="27">
        <v>10.100000000000003</v>
      </c>
      <c r="GQ164" s="27">
        <v>10.100000000000003</v>
      </c>
      <c r="GR164" s="27">
        <v>10.100000000000003</v>
      </c>
      <c r="GS164" s="27">
        <v>10.100000000000003</v>
      </c>
      <c r="GT164" s="129">
        <v>17.899999999999999</v>
      </c>
      <c r="GV164" s="27">
        <v>13</v>
      </c>
      <c r="GW164" s="27">
        <v>13</v>
      </c>
      <c r="GX164" s="27">
        <v>13</v>
      </c>
      <c r="GY164" s="27">
        <v>13</v>
      </c>
      <c r="GZ164" s="27">
        <v>13</v>
      </c>
      <c r="HA164" s="27">
        <v>13</v>
      </c>
      <c r="HB164" s="27">
        <v>13</v>
      </c>
      <c r="HC164" s="27">
        <v>13</v>
      </c>
      <c r="HD164" s="27">
        <v>13</v>
      </c>
      <c r="HE164" s="129">
        <v>17.899999999999999</v>
      </c>
      <c r="HG164" s="27">
        <v>17.099999999999987</v>
      </c>
      <c r="HH164" s="27">
        <v>17.099999999999987</v>
      </c>
      <c r="HI164" s="27">
        <v>17.099999999999987</v>
      </c>
      <c r="HJ164" s="27">
        <v>17.099999999999987</v>
      </c>
      <c r="HK164" s="27">
        <v>17.099999999999987</v>
      </c>
      <c r="HL164" s="27">
        <v>17.099999999999987</v>
      </c>
      <c r="HM164" s="27">
        <v>17.099999999999987</v>
      </c>
      <c r="HN164" s="27">
        <v>17.099999999999987</v>
      </c>
      <c r="HO164" s="27">
        <v>17.099999999999987</v>
      </c>
      <c r="HP164" s="129">
        <v>17.899999999999999</v>
      </c>
      <c r="HR164" s="27">
        <v>17.099999999999987</v>
      </c>
      <c r="HS164" s="27">
        <v>17.099999999999987</v>
      </c>
      <c r="HT164" s="27">
        <v>17.099999999999987</v>
      </c>
      <c r="HU164" s="27">
        <v>17.099999999999987</v>
      </c>
      <c r="HV164" s="27">
        <v>17.099999999999987</v>
      </c>
      <c r="HW164" s="27">
        <v>17.099999999999987</v>
      </c>
      <c r="HX164" s="27">
        <v>17.099999999999987</v>
      </c>
      <c r="HY164" s="27">
        <v>17.099999999999987</v>
      </c>
      <c r="HZ164" s="27">
        <v>17.099999999999987</v>
      </c>
      <c r="IA164" s="129">
        <v>17.899999999999999</v>
      </c>
    </row>
    <row r="165" spans="15:235" ht="19.899999999999999" customHeight="1">
      <c r="O165" s="17"/>
      <c r="P165" s="17"/>
      <c r="Q165" s="17"/>
      <c r="R165" s="17"/>
      <c r="S165" s="17"/>
      <c r="T165" s="17"/>
      <c r="U165" s="17"/>
      <c r="V165" s="17"/>
      <c r="W165" s="17"/>
      <c r="X165" s="129">
        <v>16</v>
      </c>
      <c r="Y165" s="27"/>
      <c r="Z165" s="129">
        <v>9</v>
      </c>
      <c r="AA165" s="129">
        <v>9</v>
      </c>
      <c r="AB165" s="129">
        <v>9</v>
      </c>
      <c r="AC165" s="129">
        <v>9</v>
      </c>
      <c r="AD165" s="129">
        <v>9</v>
      </c>
      <c r="AE165" s="129">
        <v>9</v>
      </c>
      <c r="AF165" s="129">
        <v>9</v>
      </c>
      <c r="AG165" s="129">
        <v>9</v>
      </c>
      <c r="AH165" s="129">
        <v>9</v>
      </c>
      <c r="AI165" s="129">
        <v>16</v>
      </c>
      <c r="AK165" s="129">
        <v>22</v>
      </c>
      <c r="AL165" s="129">
        <v>22</v>
      </c>
      <c r="AM165" s="129">
        <v>22</v>
      </c>
      <c r="AN165" s="129">
        <v>22</v>
      </c>
      <c r="AO165" s="129">
        <v>22</v>
      </c>
      <c r="AP165" s="129">
        <v>22</v>
      </c>
      <c r="AQ165" s="129">
        <v>22</v>
      </c>
      <c r="AR165" s="129">
        <v>22</v>
      </c>
      <c r="AS165" s="129">
        <v>22</v>
      </c>
      <c r="AT165" s="129">
        <v>16</v>
      </c>
      <c r="AV165" s="129">
        <v>30</v>
      </c>
      <c r="AW165" s="129">
        <v>30</v>
      </c>
      <c r="AX165" s="129">
        <v>30</v>
      </c>
      <c r="AY165" s="129">
        <v>30</v>
      </c>
      <c r="AZ165" s="129">
        <v>30</v>
      </c>
      <c r="BA165" s="129">
        <v>30</v>
      </c>
      <c r="BB165" s="129">
        <v>30</v>
      </c>
      <c r="BC165" s="129">
        <v>30</v>
      </c>
      <c r="BD165" s="129">
        <v>30</v>
      </c>
      <c r="BE165" s="129">
        <v>16</v>
      </c>
      <c r="BG165" s="129">
        <v>40</v>
      </c>
      <c r="BH165" s="129">
        <v>40</v>
      </c>
      <c r="BI165" s="129">
        <v>40</v>
      </c>
      <c r="BJ165" s="129">
        <v>40</v>
      </c>
      <c r="BK165" s="129">
        <v>40</v>
      </c>
      <c r="BL165" s="129">
        <v>40</v>
      </c>
      <c r="BM165" s="129">
        <v>40</v>
      </c>
      <c r="BN165" s="129">
        <v>40</v>
      </c>
      <c r="BO165" s="129">
        <v>40</v>
      </c>
      <c r="BP165" s="129">
        <v>16</v>
      </c>
      <c r="BR165" s="129">
        <v>40</v>
      </c>
      <c r="BS165" s="129">
        <v>40</v>
      </c>
      <c r="BT165" s="129">
        <v>40</v>
      </c>
      <c r="BU165" s="129">
        <v>40</v>
      </c>
      <c r="BV165" s="129">
        <v>40</v>
      </c>
      <c r="BW165" s="129">
        <v>40</v>
      </c>
      <c r="BX165" s="129">
        <v>40</v>
      </c>
      <c r="BY165" s="129">
        <v>40</v>
      </c>
      <c r="BZ165" s="129">
        <v>40</v>
      </c>
      <c r="CA165" s="129">
        <v>16</v>
      </c>
      <c r="CC165" s="129">
        <v>12</v>
      </c>
      <c r="CD165" s="129">
        <v>12</v>
      </c>
      <c r="CE165" s="129">
        <v>12</v>
      </c>
      <c r="CF165" s="129">
        <v>12</v>
      </c>
      <c r="CG165" s="129">
        <v>12</v>
      </c>
      <c r="CH165" s="129">
        <v>12</v>
      </c>
      <c r="CI165" s="129">
        <v>12</v>
      </c>
      <c r="CJ165" s="129">
        <v>12</v>
      </c>
      <c r="CK165" s="129">
        <v>12</v>
      </c>
      <c r="CL165" s="129">
        <v>16</v>
      </c>
      <c r="CN165" s="129">
        <v>14</v>
      </c>
      <c r="CO165" s="129">
        <v>14</v>
      </c>
      <c r="CP165" s="129">
        <v>14</v>
      </c>
      <c r="CQ165" s="129">
        <v>14</v>
      </c>
      <c r="CR165" s="129">
        <v>14</v>
      </c>
      <c r="CS165" s="129">
        <v>14</v>
      </c>
      <c r="CT165" s="129">
        <v>14</v>
      </c>
      <c r="CU165" s="129">
        <v>14</v>
      </c>
      <c r="CV165" s="129">
        <v>14</v>
      </c>
      <c r="CW165" s="129">
        <v>16</v>
      </c>
      <c r="CY165" s="129">
        <v>19</v>
      </c>
      <c r="CZ165" s="129">
        <v>19</v>
      </c>
      <c r="DA165" s="129">
        <v>19</v>
      </c>
      <c r="DB165" s="129">
        <v>19</v>
      </c>
      <c r="DC165" s="129">
        <v>19</v>
      </c>
      <c r="DD165" s="129">
        <v>19</v>
      </c>
      <c r="DE165" s="129">
        <v>19</v>
      </c>
      <c r="DF165" s="129">
        <v>19</v>
      </c>
      <c r="DG165" s="129">
        <v>19</v>
      </c>
      <c r="DH165" s="129">
        <v>16</v>
      </c>
      <c r="DJ165" s="129">
        <v>19</v>
      </c>
      <c r="DK165" s="129">
        <v>19</v>
      </c>
      <c r="DL165" s="129">
        <v>19</v>
      </c>
      <c r="DM165" s="129">
        <v>19</v>
      </c>
      <c r="DN165" s="129">
        <v>19</v>
      </c>
      <c r="DO165" s="129">
        <v>19</v>
      </c>
      <c r="DP165" s="129">
        <v>19</v>
      </c>
      <c r="DQ165" s="129">
        <v>19</v>
      </c>
      <c r="DR165" s="129">
        <v>19</v>
      </c>
      <c r="DS165" s="129">
        <v>16</v>
      </c>
      <c r="DW165" s="27">
        <v>7</v>
      </c>
      <c r="DX165" s="27">
        <v>7</v>
      </c>
      <c r="DY165" s="27">
        <v>7</v>
      </c>
      <c r="DZ165" s="27">
        <v>7</v>
      </c>
      <c r="EA165" s="27">
        <v>7</v>
      </c>
      <c r="EB165" s="27">
        <v>7</v>
      </c>
      <c r="EC165" s="27">
        <v>7</v>
      </c>
      <c r="ED165" s="27">
        <v>7</v>
      </c>
      <c r="EE165" s="27">
        <v>7</v>
      </c>
      <c r="EF165" s="129">
        <v>18</v>
      </c>
      <c r="EH165" s="27">
        <v>15</v>
      </c>
      <c r="EI165" s="27">
        <v>15</v>
      </c>
      <c r="EJ165" s="27">
        <v>15</v>
      </c>
      <c r="EK165" s="27">
        <v>15</v>
      </c>
      <c r="EL165" s="27">
        <v>15</v>
      </c>
      <c r="EM165" s="27">
        <v>15</v>
      </c>
      <c r="EN165" s="27">
        <v>15</v>
      </c>
      <c r="EO165" s="27">
        <v>15</v>
      </c>
      <c r="EP165" s="27">
        <v>15</v>
      </c>
      <c r="EQ165" s="129">
        <v>18</v>
      </c>
      <c r="ES165" s="27">
        <v>27</v>
      </c>
      <c r="ET165" s="27">
        <v>27</v>
      </c>
      <c r="EU165" s="27">
        <v>27</v>
      </c>
      <c r="EV165" s="27">
        <v>27</v>
      </c>
      <c r="EW165" s="27">
        <v>27</v>
      </c>
      <c r="EX165" s="27">
        <v>27</v>
      </c>
      <c r="EY165" s="27">
        <v>27</v>
      </c>
      <c r="EZ165" s="27">
        <v>27</v>
      </c>
      <c r="FA165" s="27">
        <v>27</v>
      </c>
      <c r="FB165" s="129">
        <v>18</v>
      </c>
      <c r="FD165" s="27">
        <v>28</v>
      </c>
      <c r="FE165" s="27">
        <v>28</v>
      </c>
      <c r="FF165" s="27">
        <v>28</v>
      </c>
      <c r="FG165" s="27">
        <v>28</v>
      </c>
      <c r="FH165" s="27">
        <v>28</v>
      </c>
      <c r="FI165" s="27">
        <v>28</v>
      </c>
      <c r="FJ165" s="27">
        <v>28</v>
      </c>
      <c r="FK165" s="27">
        <v>28</v>
      </c>
      <c r="FL165" s="27">
        <v>28</v>
      </c>
      <c r="FM165" s="129">
        <v>18</v>
      </c>
      <c r="FO165" s="27">
        <v>44</v>
      </c>
      <c r="FP165" s="27">
        <v>44</v>
      </c>
      <c r="FQ165" s="27">
        <v>44</v>
      </c>
      <c r="FR165" s="27">
        <v>44</v>
      </c>
      <c r="FS165" s="27">
        <v>44</v>
      </c>
      <c r="FT165" s="27">
        <v>44</v>
      </c>
      <c r="FU165" s="27">
        <v>44</v>
      </c>
      <c r="FV165" s="27">
        <v>44</v>
      </c>
      <c r="FW165" s="27">
        <v>44</v>
      </c>
      <c r="FX165" s="129">
        <v>18</v>
      </c>
      <c r="FZ165" s="27">
        <v>44</v>
      </c>
      <c r="GA165" s="27">
        <v>44</v>
      </c>
      <c r="GB165" s="27">
        <v>44</v>
      </c>
      <c r="GC165" s="27">
        <v>44</v>
      </c>
      <c r="GD165" s="27">
        <v>44</v>
      </c>
      <c r="GE165" s="27">
        <v>44</v>
      </c>
      <c r="GF165" s="27">
        <v>44</v>
      </c>
      <c r="GG165" s="27">
        <v>44</v>
      </c>
      <c r="GH165" s="27">
        <v>44</v>
      </c>
      <c r="GI165" s="129">
        <v>18</v>
      </c>
      <c r="GJ165" s="27"/>
      <c r="GK165" s="27">
        <v>10</v>
      </c>
      <c r="GL165" s="27">
        <v>10</v>
      </c>
      <c r="GM165" s="27">
        <v>10</v>
      </c>
      <c r="GN165" s="27">
        <v>10</v>
      </c>
      <c r="GO165" s="27">
        <v>10</v>
      </c>
      <c r="GP165" s="27">
        <v>10</v>
      </c>
      <c r="GQ165" s="27">
        <v>10</v>
      </c>
      <c r="GR165" s="27">
        <v>10</v>
      </c>
      <c r="GS165" s="27">
        <v>10</v>
      </c>
      <c r="GT165" s="129">
        <v>18</v>
      </c>
      <c r="GV165" s="27">
        <v>13</v>
      </c>
      <c r="GW165" s="27">
        <v>13</v>
      </c>
      <c r="GX165" s="27">
        <v>13</v>
      </c>
      <c r="GY165" s="27">
        <v>13</v>
      </c>
      <c r="GZ165" s="27">
        <v>13</v>
      </c>
      <c r="HA165" s="27">
        <v>13</v>
      </c>
      <c r="HB165" s="27">
        <v>13</v>
      </c>
      <c r="HC165" s="27">
        <v>13</v>
      </c>
      <c r="HD165" s="27">
        <v>13</v>
      </c>
      <c r="HE165" s="129">
        <v>18</v>
      </c>
      <c r="HG165" s="27">
        <v>17</v>
      </c>
      <c r="HH165" s="27">
        <v>17</v>
      </c>
      <c r="HI165" s="27">
        <v>17</v>
      </c>
      <c r="HJ165" s="27">
        <v>17</v>
      </c>
      <c r="HK165" s="27">
        <v>17</v>
      </c>
      <c r="HL165" s="27">
        <v>17</v>
      </c>
      <c r="HM165" s="27">
        <v>17</v>
      </c>
      <c r="HN165" s="27">
        <v>17</v>
      </c>
      <c r="HO165" s="27">
        <v>17</v>
      </c>
      <c r="HP165" s="129">
        <v>18</v>
      </c>
      <c r="HR165" s="27">
        <v>17</v>
      </c>
      <c r="HS165" s="27">
        <v>17</v>
      </c>
      <c r="HT165" s="27">
        <v>17</v>
      </c>
      <c r="HU165" s="27">
        <v>17</v>
      </c>
      <c r="HV165" s="27">
        <v>17</v>
      </c>
      <c r="HW165" s="27">
        <v>17</v>
      </c>
      <c r="HX165" s="27">
        <v>17</v>
      </c>
      <c r="HY165" s="27">
        <v>17</v>
      </c>
      <c r="HZ165" s="27">
        <v>17</v>
      </c>
      <c r="IA165" s="129">
        <v>18</v>
      </c>
    </row>
    <row r="166" spans="15:235" ht="18" customHeight="1">
      <c r="O166" s="17"/>
      <c r="P166" s="17"/>
      <c r="Q166" s="17"/>
      <c r="R166" s="17"/>
      <c r="S166" s="17"/>
      <c r="T166" s="17"/>
      <c r="U166" s="17"/>
      <c r="V166" s="17"/>
      <c r="W166" s="17"/>
      <c r="X166" s="129">
        <v>16.100000000000001</v>
      </c>
      <c r="Y166" s="27"/>
      <c r="Z166" s="129">
        <v>8.8000000000000007</v>
      </c>
      <c r="AA166" s="129">
        <v>8.8000000000000007</v>
      </c>
      <c r="AB166" s="129">
        <v>8.8000000000000007</v>
      </c>
      <c r="AC166" s="129">
        <v>8.8000000000000007</v>
      </c>
      <c r="AD166" s="129">
        <v>8.8000000000000007</v>
      </c>
      <c r="AE166" s="129">
        <v>8.8000000000000007</v>
      </c>
      <c r="AF166" s="129">
        <v>8.8000000000000007</v>
      </c>
      <c r="AG166" s="129">
        <v>8.8000000000000007</v>
      </c>
      <c r="AH166" s="129">
        <v>8.8000000000000007</v>
      </c>
      <c r="AI166" s="129">
        <v>16.100000000000001</v>
      </c>
      <c r="AK166" s="129">
        <v>21.7</v>
      </c>
      <c r="AL166" s="129">
        <v>21.7</v>
      </c>
      <c r="AM166" s="129">
        <v>21.7</v>
      </c>
      <c r="AN166" s="129">
        <v>21.7</v>
      </c>
      <c r="AO166" s="129">
        <v>21.7</v>
      </c>
      <c r="AP166" s="129">
        <v>21.7</v>
      </c>
      <c r="AQ166" s="129">
        <v>21.7</v>
      </c>
      <c r="AR166" s="129">
        <v>21.7</v>
      </c>
      <c r="AS166" s="129">
        <v>21.7</v>
      </c>
      <c r="AT166" s="129">
        <v>16.100000000000001</v>
      </c>
      <c r="AV166" s="129">
        <v>29.5</v>
      </c>
      <c r="AW166" s="129">
        <v>29.5</v>
      </c>
      <c r="AX166" s="129">
        <v>29.5</v>
      </c>
      <c r="AY166" s="129">
        <v>29.5</v>
      </c>
      <c r="AZ166" s="129">
        <v>29.5</v>
      </c>
      <c r="BA166" s="129">
        <v>29.5</v>
      </c>
      <c r="BB166" s="129">
        <v>29.5</v>
      </c>
      <c r="BC166" s="129">
        <v>29.5</v>
      </c>
      <c r="BD166" s="129">
        <v>29.5</v>
      </c>
      <c r="BE166" s="129">
        <v>16.100000000000001</v>
      </c>
      <c r="BG166" s="129">
        <v>39.299999999999997</v>
      </c>
      <c r="BH166" s="129">
        <v>39.299999999999997</v>
      </c>
      <c r="BI166" s="129">
        <v>39.299999999999997</v>
      </c>
      <c r="BJ166" s="129">
        <v>39.299999999999997</v>
      </c>
      <c r="BK166" s="129">
        <v>39.299999999999997</v>
      </c>
      <c r="BL166" s="129">
        <v>39.299999999999997</v>
      </c>
      <c r="BM166" s="129">
        <v>39.299999999999997</v>
      </c>
      <c r="BN166" s="129">
        <v>39.299999999999997</v>
      </c>
      <c r="BO166" s="129">
        <v>39.299999999999997</v>
      </c>
      <c r="BP166" s="129">
        <v>16.100000000000001</v>
      </c>
      <c r="BR166" s="129">
        <v>39.299999999999997</v>
      </c>
      <c r="BS166" s="129">
        <v>39.299999999999997</v>
      </c>
      <c r="BT166" s="129">
        <v>39.299999999999997</v>
      </c>
      <c r="BU166" s="129">
        <v>39.299999999999997</v>
      </c>
      <c r="BV166" s="129">
        <v>39.299999999999997</v>
      </c>
      <c r="BW166" s="129">
        <v>39.299999999999997</v>
      </c>
      <c r="BX166" s="129">
        <v>39.299999999999997</v>
      </c>
      <c r="BY166" s="129">
        <v>39.299999999999997</v>
      </c>
      <c r="BZ166" s="129">
        <v>39.299999999999997</v>
      </c>
      <c r="CA166" s="129">
        <v>16.100000000000001</v>
      </c>
      <c r="CC166" s="129">
        <v>11.9</v>
      </c>
      <c r="CD166" s="129">
        <v>11.9</v>
      </c>
      <c r="CE166" s="129">
        <v>11.9</v>
      </c>
      <c r="CF166" s="129">
        <v>11.9</v>
      </c>
      <c r="CG166" s="129">
        <v>11.9</v>
      </c>
      <c r="CH166" s="129">
        <v>11.9</v>
      </c>
      <c r="CI166" s="129">
        <v>11.9</v>
      </c>
      <c r="CJ166" s="129">
        <v>11.9</v>
      </c>
      <c r="CK166" s="129">
        <v>11.9</v>
      </c>
      <c r="CL166" s="129">
        <v>16.100000000000001</v>
      </c>
      <c r="CN166" s="129">
        <v>13.9</v>
      </c>
      <c r="CO166" s="129">
        <v>13.9</v>
      </c>
      <c r="CP166" s="129">
        <v>13.9</v>
      </c>
      <c r="CQ166" s="129">
        <v>13.9</v>
      </c>
      <c r="CR166" s="129">
        <v>13.9</v>
      </c>
      <c r="CS166" s="129">
        <v>13.9</v>
      </c>
      <c r="CT166" s="129">
        <v>13.9</v>
      </c>
      <c r="CU166" s="129">
        <v>13.9</v>
      </c>
      <c r="CV166" s="129">
        <v>13.9</v>
      </c>
      <c r="CW166" s="129">
        <v>16.100000000000001</v>
      </c>
      <c r="CY166" s="129">
        <v>18.899999999999999</v>
      </c>
      <c r="CZ166" s="129">
        <v>18.899999999999999</v>
      </c>
      <c r="DA166" s="129">
        <v>18.899999999999999</v>
      </c>
      <c r="DB166" s="129">
        <v>18.899999999999999</v>
      </c>
      <c r="DC166" s="129">
        <v>18.899999999999999</v>
      </c>
      <c r="DD166" s="129">
        <v>18.899999999999999</v>
      </c>
      <c r="DE166" s="129">
        <v>18.899999999999999</v>
      </c>
      <c r="DF166" s="129">
        <v>18.899999999999999</v>
      </c>
      <c r="DG166" s="129">
        <v>18.899999999999999</v>
      </c>
      <c r="DH166" s="129">
        <v>16.100000000000001</v>
      </c>
      <c r="DJ166" s="129">
        <v>18.899999999999999</v>
      </c>
      <c r="DK166" s="129">
        <v>18.899999999999999</v>
      </c>
      <c r="DL166" s="129">
        <v>18.899999999999999</v>
      </c>
      <c r="DM166" s="129">
        <v>18.899999999999999</v>
      </c>
      <c r="DN166" s="129">
        <v>18.899999999999999</v>
      </c>
      <c r="DO166" s="129">
        <v>18.899999999999999</v>
      </c>
      <c r="DP166" s="129">
        <v>18.899999999999999</v>
      </c>
      <c r="DQ166" s="129">
        <v>18.899999999999999</v>
      </c>
      <c r="DR166" s="129">
        <v>18.899999999999999</v>
      </c>
      <c r="DS166" s="129">
        <v>16.100000000000001</v>
      </c>
      <c r="DW166" s="27">
        <v>6.9</v>
      </c>
      <c r="DX166" s="27">
        <v>6.9</v>
      </c>
      <c r="DY166" s="27">
        <v>6.9</v>
      </c>
      <c r="DZ166" s="27">
        <v>6.9</v>
      </c>
      <c r="EA166" s="27">
        <v>6.9</v>
      </c>
      <c r="EB166" s="27">
        <v>6.9</v>
      </c>
      <c r="EC166" s="27">
        <v>6.9</v>
      </c>
      <c r="ED166" s="27">
        <v>6.9</v>
      </c>
      <c r="EE166" s="27">
        <v>6.9</v>
      </c>
      <c r="EF166" s="129">
        <v>18.100000000000001</v>
      </c>
      <c r="EH166" s="27">
        <v>14.7</v>
      </c>
      <c r="EI166" s="27">
        <v>14.7</v>
      </c>
      <c r="EJ166" s="27">
        <v>14.7</v>
      </c>
      <c r="EK166" s="27">
        <v>14.7</v>
      </c>
      <c r="EL166" s="27">
        <v>14.7</v>
      </c>
      <c r="EM166" s="27">
        <v>14.7</v>
      </c>
      <c r="EN166" s="27">
        <v>14.7</v>
      </c>
      <c r="EO166" s="27">
        <v>14.7</v>
      </c>
      <c r="EP166" s="27">
        <v>14.7</v>
      </c>
      <c r="EQ166" s="129">
        <v>18.100000000000001</v>
      </c>
      <c r="ES166" s="27">
        <v>26.9</v>
      </c>
      <c r="ET166" s="27">
        <v>26.9</v>
      </c>
      <c r="EU166" s="27">
        <v>26.9</v>
      </c>
      <c r="EV166" s="27">
        <v>26.9</v>
      </c>
      <c r="EW166" s="27">
        <v>26.9</v>
      </c>
      <c r="EX166" s="27">
        <v>26.9</v>
      </c>
      <c r="EY166" s="27">
        <v>26.9</v>
      </c>
      <c r="EZ166" s="27">
        <v>26.9</v>
      </c>
      <c r="FA166" s="27">
        <v>26.9</v>
      </c>
      <c r="FB166" s="129">
        <v>18.100000000000001</v>
      </c>
      <c r="FD166" s="27">
        <v>27.9</v>
      </c>
      <c r="FE166" s="27">
        <v>27.9</v>
      </c>
      <c r="FF166" s="27">
        <v>27.9</v>
      </c>
      <c r="FG166" s="27">
        <v>27.9</v>
      </c>
      <c r="FH166" s="27">
        <v>27.9</v>
      </c>
      <c r="FI166" s="27">
        <v>27.9</v>
      </c>
      <c r="FJ166" s="27">
        <v>27.9</v>
      </c>
      <c r="FK166" s="27">
        <v>27.9</v>
      </c>
      <c r="FL166" s="27">
        <v>27.9</v>
      </c>
      <c r="FM166" s="129">
        <v>18.100000000000001</v>
      </c>
      <c r="FO166" s="27">
        <v>43.7</v>
      </c>
      <c r="FP166" s="27">
        <v>43.7</v>
      </c>
      <c r="FQ166" s="27">
        <v>43.7</v>
      </c>
      <c r="FR166" s="27">
        <v>43.7</v>
      </c>
      <c r="FS166" s="27">
        <v>43.7</v>
      </c>
      <c r="FT166" s="27">
        <v>43.7</v>
      </c>
      <c r="FU166" s="27">
        <v>43.7</v>
      </c>
      <c r="FV166" s="27">
        <v>43.7</v>
      </c>
      <c r="FW166" s="27">
        <v>43.7</v>
      </c>
      <c r="FX166" s="129">
        <v>18.100000000000001</v>
      </c>
      <c r="FZ166" s="27">
        <v>43.7</v>
      </c>
      <c r="GA166" s="27">
        <v>43.7</v>
      </c>
      <c r="GB166" s="27">
        <v>43.7</v>
      </c>
      <c r="GC166" s="27">
        <v>43.7</v>
      </c>
      <c r="GD166" s="27">
        <v>43.7</v>
      </c>
      <c r="GE166" s="27">
        <v>43.7</v>
      </c>
      <c r="GF166" s="27">
        <v>43.7</v>
      </c>
      <c r="GG166" s="27">
        <v>43.7</v>
      </c>
      <c r="GH166" s="27">
        <v>43.7</v>
      </c>
      <c r="GI166" s="129">
        <v>18.100000000000001</v>
      </c>
      <c r="GJ166" s="27"/>
      <c r="GK166" s="27">
        <v>10</v>
      </c>
      <c r="GL166" s="27">
        <v>10</v>
      </c>
      <c r="GM166" s="27">
        <v>10</v>
      </c>
      <c r="GN166" s="27">
        <v>10</v>
      </c>
      <c r="GO166" s="27">
        <v>10</v>
      </c>
      <c r="GP166" s="27">
        <v>10</v>
      </c>
      <c r="GQ166" s="27">
        <v>10</v>
      </c>
      <c r="GR166" s="27">
        <v>10</v>
      </c>
      <c r="GS166" s="27">
        <v>10</v>
      </c>
      <c r="GT166" s="129">
        <v>18.100000000000001</v>
      </c>
      <c r="GV166" s="27">
        <v>12.9</v>
      </c>
      <c r="GW166" s="27">
        <v>12.9</v>
      </c>
      <c r="GX166" s="27">
        <v>12.9</v>
      </c>
      <c r="GY166" s="27">
        <v>12.9</v>
      </c>
      <c r="GZ166" s="27">
        <v>12.9</v>
      </c>
      <c r="HA166" s="27">
        <v>12.9</v>
      </c>
      <c r="HB166" s="27">
        <v>12.9</v>
      </c>
      <c r="HC166" s="27">
        <v>12.9</v>
      </c>
      <c r="HD166" s="27">
        <v>12.9</v>
      </c>
      <c r="HE166" s="129">
        <v>18.100000000000001</v>
      </c>
      <c r="HG166" s="27">
        <v>16.899999999999999</v>
      </c>
      <c r="HH166" s="27">
        <v>16.899999999999999</v>
      </c>
      <c r="HI166" s="27">
        <v>16.899999999999999</v>
      </c>
      <c r="HJ166" s="27">
        <v>16.899999999999999</v>
      </c>
      <c r="HK166" s="27">
        <v>16.899999999999999</v>
      </c>
      <c r="HL166" s="27">
        <v>16.899999999999999</v>
      </c>
      <c r="HM166" s="27">
        <v>16.899999999999999</v>
      </c>
      <c r="HN166" s="27">
        <v>16.899999999999999</v>
      </c>
      <c r="HO166" s="27">
        <v>16.899999999999999</v>
      </c>
      <c r="HP166" s="129">
        <v>18.100000000000001</v>
      </c>
      <c r="HR166" s="27">
        <v>16.899999999999999</v>
      </c>
      <c r="HS166" s="27">
        <v>16.899999999999999</v>
      </c>
      <c r="HT166" s="27">
        <v>16.899999999999999</v>
      </c>
      <c r="HU166" s="27">
        <v>16.899999999999999</v>
      </c>
      <c r="HV166" s="27">
        <v>16.899999999999999</v>
      </c>
      <c r="HW166" s="27">
        <v>16.899999999999999</v>
      </c>
      <c r="HX166" s="27">
        <v>16.899999999999999</v>
      </c>
      <c r="HY166" s="27">
        <v>16.899999999999999</v>
      </c>
      <c r="HZ166" s="27">
        <v>16.899999999999999</v>
      </c>
      <c r="IA166" s="129">
        <v>18.100000000000001</v>
      </c>
    </row>
    <row r="167" spans="15:235" ht="18" customHeight="1">
      <c r="O167" s="17"/>
      <c r="P167" s="17"/>
      <c r="Q167" s="17"/>
      <c r="R167" s="17"/>
      <c r="S167" s="17"/>
      <c r="T167" s="17"/>
      <c r="U167" s="17"/>
      <c r="V167" s="17"/>
      <c r="W167" s="17"/>
      <c r="X167" s="129">
        <v>16.2</v>
      </c>
      <c r="Y167" s="27"/>
      <c r="Z167" s="129">
        <v>8.6000000000000014</v>
      </c>
      <c r="AA167" s="129">
        <v>8.6000000000000014</v>
      </c>
      <c r="AB167" s="129">
        <v>8.6000000000000014</v>
      </c>
      <c r="AC167" s="129">
        <v>8.6000000000000014</v>
      </c>
      <c r="AD167" s="129">
        <v>8.6000000000000014</v>
      </c>
      <c r="AE167" s="129">
        <v>8.6000000000000014</v>
      </c>
      <c r="AF167" s="129">
        <v>8.6000000000000014</v>
      </c>
      <c r="AG167" s="129">
        <v>8.6000000000000014</v>
      </c>
      <c r="AH167" s="129">
        <v>8.6000000000000014</v>
      </c>
      <c r="AI167" s="129">
        <v>16.2</v>
      </c>
      <c r="AK167" s="129">
        <v>21.4</v>
      </c>
      <c r="AL167" s="129">
        <v>21.4</v>
      </c>
      <c r="AM167" s="129">
        <v>21.4</v>
      </c>
      <c r="AN167" s="129">
        <v>21.4</v>
      </c>
      <c r="AO167" s="129">
        <v>21.4</v>
      </c>
      <c r="AP167" s="129">
        <v>21.4</v>
      </c>
      <c r="AQ167" s="129">
        <v>21.4</v>
      </c>
      <c r="AR167" s="129">
        <v>21.4</v>
      </c>
      <c r="AS167" s="129">
        <v>21.4</v>
      </c>
      <c r="AT167" s="129">
        <v>16.2</v>
      </c>
      <c r="AV167" s="129">
        <v>29</v>
      </c>
      <c r="AW167" s="129">
        <v>29</v>
      </c>
      <c r="AX167" s="129">
        <v>29</v>
      </c>
      <c r="AY167" s="129">
        <v>29</v>
      </c>
      <c r="AZ167" s="129">
        <v>29</v>
      </c>
      <c r="BA167" s="129">
        <v>29</v>
      </c>
      <c r="BB167" s="129">
        <v>29</v>
      </c>
      <c r="BC167" s="129">
        <v>29</v>
      </c>
      <c r="BD167" s="129">
        <v>29</v>
      </c>
      <c r="BE167" s="129">
        <v>16.2</v>
      </c>
      <c r="BG167" s="129">
        <v>38.599999999999994</v>
      </c>
      <c r="BH167" s="129">
        <v>38.599999999999994</v>
      </c>
      <c r="BI167" s="129">
        <v>38.599999999999994</v>
      </c>
      <c r="BJ167" s="129">
        <v>38.599999999999994</v>
      </c>
      <c r="BK167" s="129">
        <v>38.599999999999994</v>
      </c>
      <c r="BL167" s="129">
        <v>38.599999999999994</v>
      </c>
      <c r="BM167" s="129">
        <v>38.599999999999994</v>
      </c>
      <c r="BN167" s="129">
        <v>38.599999999999994</v>
      </c>
      <c r="BO167" s="129">
        <v>38.599999999999994</v>
      </c>
      <c r="BP167" s="129">
        <v>16.2</v>
      </c>
      <c r="BR167" s="129">
        <v>38.599999999999994</v>
      </c>
      <c r="BS167" s="129">
        <v>38.599999999999994</v>
      </c>
      <c r="BT167" s="129">
        <v>38.599999999999994</v>
      </c>
      <c r="BU167" s="129">
        <v>38.599999999999994</v>
      </c>
      <c r="BV167" s="129">
        <v>38.599999999999994</v>
      </c>
      <c r="BW167" s="129">
        <v>38.599999999999994</v>
      </c>
      <c r="BX167" s="129">
        <v>38.599999999999994</v>
      </c>
      <c r="BY167" s="129">
        <v>38.599999999999994</v>
      </c>
      <c r="BZ167" s="129">
        <v>38.599999999999994</v>
      </c>
      <c r="CA167" s="129">
        <v>16.2</v>
      </c>
      <c r="CC167" s="129">
        <v>11.8</v>
      </c>
      <c r="CD167" s="129">
        <v>11.8</v>
      </c>
      <c r="CE167" s="129">
        <v>11.8</v>
      </c>
      <c r="CF167" s="129">
        <v>11.8</v>
      </c>
      <c r="CG167" s="129">
        <v>11.8</v>
      </c>
      <c r="CH167" s="129">
        <v>11.8</v>
      </c>
      <c r="CI167" s="129">
        <v>11.8</v>
      </c>
      <c r="CJ167" s="129">
        <v>11.8</v>
      </c>
      <c r="CK167" s="129">
        <v>11.8</v>
      </c>
      <c r="CL167" s="129">
        <v>16.2</v>
      </c>
      <c r="CN167" s="129">
        <v>13.8</v>
      </c>
      <c r="CO167" s="129">
        <v>13.8</v>
      </c>
      <c r="CP167" s="129">
        <v>13.8</v>
      </c>
      <c r="CQ167" s="129">
        <v>13.8</v>
      </c>
      <c r="CR167" s="129">
        <v>13.8</v>
      </c>
      <c r="CS167" s="129">
        <v>13.8</v>
      </c>
      <c r="CT167" s="129">
        <v>13.8</v>
      </c>
      <c r="CU167" s="129">
        <v>13.8</v>
      </c>
      <c r="CV167" s="129">
        <v>13.8</v>
      </c>
      <c r="CW167" s="129">
        <v>16.2</v>
      </c>
      <c r="CY167" s="129">
        <v>18.799999999999997</v>
      </c>
      <c r="CZ167" s="129">
        <v>18.799999999999997</v>
      </c>
      <c r="DA167" s="129">
        <v>18.799999999999997</v>
      </c>
      <c r="DB167" s="129">
        <v>18.799999999999997</v>
      </c>
      <c r="DC167" s="129">
        <v>18.799999999999997</v>
      </c>
      <c r="DD167" s="129">
        <v>18.799999999999997</v>
      </c>
      <c r="DE167" s="129">
        <v>18.799999999999997</v>
      </c>
      <c r="DF167" s="129">
        <v>18.799999999999997</v>
      </c>
      <c r="DG167" s="129">
        <v>18.799999999999997</v>
      </c>
      <c r="DH167" s="129">
        <v>16.2</v>
      </c>
      <c r="DJ167" s="129">
        <v>18.799999999999997</v>
      </c>
      <c r="DK167" s="129">
        <v>18.799999999999997</v>
      </c>
      <c r="DL167" s="129">
        <v>18.799999999999997</v>
      </c>
      <c r="DM167" s="129">
        <v>18.799999999999997</v>
      </c>
      <c r="DN167" s="129">
        <v>18.799999999999997</v>
      </c>
      <c r="DO167" s="129">
        <v>18.799999999999997</v>
      </c>
      <c r="DP167" s="129">
        <v>18.799999999999997</v>
      </c>
      <c r="DQ167" s="129">
        <v>18.799999999999997</v>
      </c>
      <c r="DR167" s="129">
        <v>18.799999999999997</v>
      </c>
      <c r="DS167" s="129">
        <v>16.2</v>
      </c>
      <c r="DW167" s="27">
        <v>6.8000000000000007</v>
      </c>
      <c r="DX167" s="27">
        <v>6.8000000000000007</v>
      </c>
      <c r="DY167" s="27">
        <v>6.8000000000000007</v>
      </c>
      <c r="DZ167" s="27">
        <v>6.8000000000000007</v>
      </c>
      <c r="EA167" s="27">
        <v>6.8000000000000007</v>
      </c>
      <c r="EB167" s="27">
        <v>6.8000000000000007</v>
      </c>
      <c r="EC167" s="27">
        <v>6.8000000000000007</v>
      </c>
      <c r="ED167" s="27">
        <v>6.8000000000000007</v>
      </c>
      <c r="EE167" s="27">
        <v>6.8000000000000007</v>
      </c>
      <c r="EF167" s="129">
        <v>18.2</v>
      </c>
      <c r="EH167" s="27">
        <v>14.399999999999999</v>
      </c>
      <c r="EI167" s="27">
        <v>14.399999999999999</v>
      </c>
      <c r="EJ167" s="27">
        <v>14.399999999999999</v>
      </c>
      <c r="EK167" s="27">
        <v>14.399999999999999</v>
      </c>
      <c r="EL167" s="27">
        <v>14.399999999999999</v>
      </c>
      <c r="EM167" s="27">
        <v>14.399999999999999</v>
      </c>
      <c r="EN167" s="27">
        <v>14.399999999999999</v>
      </c>
      <c r="EO167" s="27">
        <v>14.399999999999999</v>
      </c>
      <c r="EP167" s="27">
        <v>14.399999999999999</v>
      </c>
      <c r="EQ167" s="129">
        <v>18.2</v>
      </c>
      <c r="ES167" s="27">
        <v>26.799999999999997</v>
      </c>
      <c r="ET167" s="27">
        <v>26.799999999999997</v>
      </c>
      <c r="EU167" s="27">
        <v>26.799999999999997</v>
      </c>
      <c r="EV167" s="27">
        <v>26.799999999999997</v>
      </c>
      <c r="EW167" s="27">
        <v>26.799999999999997</v>
      </c>
      <c r="EX167" s="27">
        <v>26.799999999999997</v>
      </c>
      <c r="EY167" s="27">
        <v>26.799999999999997</v>
      </c>
      <c r="EZ167" s="27">
        <v>26.799999999999997</v>
      </c>
      <c r="FA167" s="27">
        <v>26.799999999999997</v>
      </c>
      <c r="FB167" s="129">
        <v>18.2</v>
      </c>
      <c r="FD167" s="27">
        <v>27.799999999999997</v>
      </c>
      <c r="FE167" s="27">
        <v>27.799999999999997</v>
      </c>
      <c r="FF167" s="27">
        <v>27.799999999999997</v>
      </c>
      <c r="FG167" s="27">
        <v>27.799999999999997</v>
      </c>
      <c r="FH167" s="27">
        <v>27.799999999999997</v>
      </c>
      <c r="FI167" s="27">
        <v>27.799999999999997</v>
      </c>
      <c r="FJ167" s="27">
        <v>27.799999999999997</v>
      </c>
      <c r="FK167" s="27">
        <v>27.799999999999997</v>
      </c>
      <c r="FL167" s="27">
        <v>27.799999999999997</v>
      </c>
      <c r="FM167" s="129">
        <v>18.2</v>
      </c>
      <c r="FO167" s="27">
        <v>43.400000000000006</v>
      </c>
      <c r="FP167" s="27">
        <v>43.400000000000006</v>
      </c>
      <c r="FQ167" s="27">
        <v>43.400000000000006</v>
      </c>
      <c r="FR167" s="27">
        <v>43.400000000000006</v>
      </c>
      <c r="FS167" s="27">
        <v>43.400000000000006</v>
      </c>
      <c r="FT167" s="27">
        <v>43.400000000000006</v>
      </c>
      <c r="FU167" s="27">
        <v>43.400000000000006</v>
      </c>
      <c r="FV167" s="27">
        <v>43.400000000000006</v>
      </c>
      <c r="FW167" s="27">
        <v>43.400000000000006</v>
      </c>
      <c r="FX167" s="129">
        <v>18.2</v>
      </c>
      <c r="FZ167" s="27">
        <v>43.400000000000006</v>
      </c>
      <c r="GA167" s="27">
        <v>43.400000000000006</v>
      </c>
      <c r="GB167" s="27">
        <v>43.400000000000006</v>
      </c>
      <c r="GC167" s="27">
        <v>43.400000000000006</v>
      </c>
      <c r="GD167" s="27">
        <v>43.400000000000006</v>
      </c>
      <c r="GE167" s="27">
        <v>43.400000000000006</v>
      </c>
      <c r="GF167" s="27">
        <v>43.400000000000006</v>
      </c>
      <c r="GG167" s="27">
        <v>43.400000000000006</v>
      </c>
      <c r="GH167" s="27">
        <v>43.400000000000006</v>
      </c>
      <c r="GI167" s="129">
        <v>18.2</v>
      </c>
      <c r="GJ167" s="27"/>
      <c r="GK167" s="27">
        <v>10</v>
      </c>
      <c r="GL167" s="27">
        <v>10</v>
      </c>
      <c r="GM167" s="27">
        <v>10</v>
      </c>
      <c r="GN167" s="27">
        <v>10</v>
      </c>
      <c r="GO167" s="27">
        <v>10</v>
      </c>
      <c r="GP167" s="27">
        <v>10</v>
      </c>
      <c r="GQ167" s="27">
        <v>10</v>
      </c>
      <c r="GR167" s="27">
        <v>10</v>
      </c>
      <c r="GS167" s="27">
        <v>10</v>
      </c>
      <c r="GT167" s="129">
        <v>18.2</v>
      </c>
      <c r="GV167" s="27">
        <v>12.8</v>
      </c>
      <c r="GW167" s="27">
        <v>12.8</v>
      </c>
      <c r="GX167" s="27">
        <v>12.8</v>
      </c>
      <c r="GY167" s="27">
        <v>12.8</v>
      </c>
      <c r="GZ167" s="27">
        <v>12.8</v>
      </c>
      <c r="HA167" s="27">
        <v>12.8</v>
      </c>
      <c r="HB167" s="27">
        <v>12.8</v>
      </c>
      <c r="HC167" s="27">
        <v>12.8</v>
      </c>
      <c r="HD167" s="27">
        <v>12.8</v>
      </c>
      <c r="HE167" s="129">
        <v>18.2</v>
      </c>
      <c r="HG167" s="27">
        <v>16.799999999999997</v>
      </c>
      <c r="HH167" s="27">
        <v>16.799999999999997</v>
      </c>
      <c r="HI167" s="27">
        <v>16.799999999999997</v>
      </c>
      <c r="HJ167" s="27">
        <v>16.799999999999997</v>
      </c>
      <c r="HK167" s="27">
        <v>16.799999999999997</v>
      </c>
      <c r="HL167" s="27">
        <v>16.799999999999997</v>
      </c>
      <c r="HM167" s="27">
        <v>16.799999999999997</v>
      </c>
      <c r="HN167" s="27">
        <v>16.799999999999997</v>
      </c>
      <c r="HO167" s="27">
        <v>16.799999999999997</v>
      </c>
      <c r="HP167" s="129">
        <v>18.2</v>
      </c>
      <c r="HR167" s="27">
        <v>16.799999999999997</v>
      </c>
      <c r="HS167" s="27">
        <v>16.799999999999997</v>
      </c>
      <c r="HT167" s="27">
        <v>16.799999999999997</v>
      </c>
      <c r="HU167" s="27">
        <v>16.799999999999997</v>
      </c>
      <c r="HV167" s="27">
        <v>16.799999999999997</v>
      </c>
      <c r="HW167" s="27">
        <v>16.799999999999997</v>
      </c>
      <c r="HX167" s="27">
        <v>16.799999999999997</v>
      </c>
      <c r="HY167" s="27">
        <v>16.799999999999997</v>
      </c>
      <c r="HZ167" s="27">
        <v>16.799999999999997</v>
      </c>
      <c r="IA167" s="129">
        <v>18.2</v>
      </c>
    </row>
    <row r="168" spans="15:235" ht="18" customHeight="1">
      <c r="O168" s="17"/>
      <c r="P168" s="17"/>
      <c r="Q168" s="17"/>
      <c r="R168" s="17"/>
      <c r="S168" s="17"/>
      <c r="T168" s="17"/>
      <c r="U168" s="17"/>
      <c r="V168" s="17"/>
      <c r="W168" s="17"/>
      <c r="X168" s="129">
        <v>16.3</v>
      </c>
      <c r="Y168" s="27"/>
      <c r="Z168" s="129">
        <v>8.4000000000000021</v>
      </c>
      <c r="AA168" s="129">
        <v>8.4000000000000021</v>
      </c>
      <c r="AB168" s="129">
        <v>8.4000000000000021</v>
      </c>
      <c r="AC168" s="129">
        <v>8.4000000000000021</v>
      </c>
      <c r="AD168" s="129">
        <v>8.4000000000000021</v>
      </c>
      <c r="AE168" s="129">
        <v>8.4000000000000021</v>
      </c>
      <c r="AF168" s="129">
        <v>8.4000000000000021</v>
      </c>
      <c r="AG168" s="129">
        <v>8.4000000000000021</v>
      </c>
      <c r="AH168" s="129">
        <v>8.4000000000000021</v>
      </c>
      <c r="AI168" s="129">
        <v>16.3</v>
      </c>
      <c r="AK168" s="129">
        <v>21.099999999999998</v>
      </c>
      <c r="AL168" s="129">
        <v>21.099999999999998</v>
      </c>
      <c r="AM168" s="129">
        <v>21.099999999999998</v>
      </c>
      <c r="AN168" s="129">
        <v>21.099999999999998</v>
      </c>
      <c r="AO168" s="129">
        <v>21.099999999999998</v>
      </c>
      <c r="AP168" s="129">
        <v>21.099999999999998</v>
      </c>
      <c r="AQ168" s="129">
        <v>21.099999999999998</v>
      </c>
      <c r="AR168" s="129">
        <v>21.099999999999998</v>
      </c>
      <c r="AS168" s="129">
        <v>21.099999999999998</v>
      </c>
      <c r="AT168" s="129">
        <v>16.3</v>
      </c>
      <c r="AV168" s="129">
        <v>28.5</v>
      </c>
      <c r="AW168" s="129">
        <v>28.5</v>
      </c>
      <c r="AX168" s="129">
        <v>28.5</v>
      </c>
      <c r="AY168" s="129">
        <v>28.5</v>
      </c>
      <c r="AZ168" s="129">
        <v>28.5</v>
      </c>
      <c r="BA168" s="129">
        <v>28.5</v>
      </c>
      <c r="BB168" s="129">
        <v>28.5</v>
      </c>
      <c r="BC168" s="129">
        <v>28.5</v>
      </c>
      <c r="BD168" s="129">
        <v>28.5</v>
      </c>
      <c r="BE168" s="129">
        <v>16.3</v>
      </c>
      <c r="BG168" s="129">
        <v>37.899999999999991</v>
      </c>
      <c r="BH168" s="129">
        <v>37.899999999999991</v>
      </c>
      <c r="BI168" s="129">
        <v>37.899999999999991</v>
      </c>
      <c r="BJ168" s="129">
        <v>37.899999999999991</v>
      </c>
      <c r="BK168" s="129">
        <v>37.899999999999991</v>
      </c>
      <c r="BL168" s="129">
        <v>37.899999999999991</v>
      </c>
      <c r="BM168" s="129">
        <v>37.899999999999991</v>
      </c>
      <c r="BN168" s="129">
        <v>37.899999999999991</v>
      </c>
      <c r="BO168" s="129">
        <v>37.899999999999991</v>
      </c>
      <c r="BP168" s="129">
        <v>16.3</v>
      </c>
      <c r="BR168" s="129">
        <v>37.899999999999991</v>
      </c>
      <c r="BS168" s="129">
        <v>37.899999999999991</v>
      </c>
      <c r="BT168" s="129">
        <v>37.899999999999991</v>
      </c>
      <c r="BU168" s="129">
        <v>37.899999999999991</v>
      </c>
      <c r="BV168" s="129">
        <v>37.899999999999991</v>
      </c>
      <c r="BW168" s="129">
        <v>37.899999999999991</v>
      </c>
      <c r="BX168" s="129">
        <v>37.899999999999991</v>
      </c>
      <c r="BY168" s="129">
        <v>37.899999999999991</v>
      </c>
      <c r="BZ168" s="129">
        <v>37.899999999999991</v>
      </c>
      <c r="CA168" s="129">
        <v>16.3</v>
      </c>
      <c r="CC168" s="129">
        <v>11.700000000000001</v>
      </c>
      <c r="CD168" s="129">
        <v>11.700000000000001</v>
      </c>
      <c r="CE168" s="129">
        <v>11.700000000000001</v>
      </c>
      <c r="CF168" s="129">
        <v>11.700000000000001</v>
      </c>
      <c r="CG168" s="129">
        <v>11.700000000000001</v>
      </c>
      <c r="CH168" s="129">
        <v>11.700000000000001</v>
      </c>
      <c r="CI168" s="129">
        <v>11.700000000000001</v>
      </c>
      <c r="CJ168" s="129">
        <v>11.700000000000001</v>
      </c>
      <c r="CK168" s="129">
        <v>11.700000000000001</v>
      </c>
      <c r="CL168" s="129">
        <v>16.3</v>
      </c>
      <c r="CN168" s="129">
        <v>13.700000000000001</v>
      </c>
      <c r="CO168" s="129">
        <v>13.700000000000001</v>
      </c>
      <c r="CP168" s="129">
        <v>13.700000000000001</v>
      </c>
      <c r="CQ168" s="129">
        <v>13.700000000000001</v>
      </c>
      <c r="CR168" s="129">
        <v>13.700000000000001</v>
      </c>
      <c r="CS168" s="129">
        <v>13.700000000000001</v>
      </c>
      <c r="CT168" s="129">
        <v>13.700000000000001</v>
      </c>
      <c r="CU168" s="129">
        <v>13.700000000000001</v>
      </c>
      <c r="CV168" s="129">
        <v>13.700000000000001</v>
      </c>
      <c r="CW168" s="129">
        <v>16.3</v>
      </c>
      <c r="CY168" s="129">
        <v>18.699999999999996</v>
      </c>
      <c r="CZ168" s="129">
        <v>18.699999999999996</v>
      </c>
      <c r="DA168" s="129">
        <v>18.699999999999996</v>
      </c>
      <c r="DB168" s="129">
        <v>18.699999999999996</v>
      </c>
      <c r="DC168" s="129">
        <v>18.699999999999996</v>
      </c>
      <c r="DD168" s="129">
        <v>18.699999999999996</v>
      </c>
      <c r="DE168" s="129">
        <v>18.699999999999996</v>
      </c>
      <c r="DF168" s="129">
        <v>18.699999999999996</v>
      </c>
      <c r="DG168" s="129">
        <v>18.699999999999996</v>
      </c>
      <c r="DH168" s="129">
        <v>16.3</v>
      </c>
      <c r="DJ168" s="129">
        <v>18.699999999999996</v>
      </c>
      <c r="DK168" s="129">
        <v>18.699999999999996</v>
      </c>
      <c r="DL168" s="129">
        <v>18.699999999999996</v>
      </c>
      <c r="DM168" s="129">
        <v>18.699999999999996</v>
      </c>
      <c r="DN168" s="129">
        <v>18.699999999999996</v>
      </c>
      <c r="DO168" s="129">
        <v>18.699999999999996</v>
      </c>
      <c r="DP168" s="129">
        <v>18.699999999999996</v>
      </c>
      <c r="DQ168" s="129">
        <v>18.699999999999996</v>
      </c>
      <c r="DR168" s="129">
        <v>18.699999999999996</v>
      </c>
      <c r="DS168" s="129">
        <v>16.3</v>
      </c>
      <c r="DW168" s="27">
        <v>6.7000000000000011</v>
      </c>
      <c r="DX168" s="27">
        <v>6.7000000000000011</v>
      </c>
      <c r="DY168" s="27">
        <v>6.7000000000000011</v>
      </c>
      <c r="DZ168" s="27">
        <v>6.7000000000000011</v>
      </c>
      <c r="EA168" s="27">
        <v>6.7000000000000011</v>
      </c>
      <c r="EB168" s="27">
        <v>6.7000000000000011</v>
      </c>
      <c r="EC168" s="27">
        <v>6.7000000000000011</v>
      </c>
      <c r="ED168" s="27">
        <v>6.7000000000000011</v>
      </c>
      <c r="EE168" s="27">
        <v>6.7000000000000011</v>
      </c>
      <c r="EF168" s="129">
        <v>18.3</v>
      </c>
      <c r="EH168" s="27">
        <v>14.099999999999998</v>
      </c>
      <c r="EI168" s="27">
        <v>14.099999999999998</v>
      </c>
      <c r="EJ168" s="27">
        <v>14.099999999999998</v>
      </c>
      <c r="EK168" s="27">
        <v>14.099999999999998</v>
      </c>
      <c r="EL168" s="27">
        <v>14.099999999999998</v>
      </c>
      <c r="EM168" s="27">
        <v>14.099999999999998</v>
      </c>
      <c r="EN168" s="27">
        <v>14.099999999999998</v>
      </c>
      <c r="EO168" s="27">
        <v>14.099999999999998</v>
      </c>
      <c r="EP168" s="27">
        <v>14.099999999999998</v>
      </c>
      <c r="EQ168" s="129">
        <v>18.3</v>
      </c>
      <c r="ES168" s="27">
        <v>26.699999999999996</v>
      </c>
      <c r="ET168" s="27">
        <v>26.699999999999996</v>
      </c>
      <c r="EU168" s="27">
        <v>26.699999999999996</v>
      </c>
      <c r="EV168" s="27">
        <v>26.699999999999996</v>
      </c>
      <c r="EW168" s="27">
        <v>26.699999999999996</v>
      </c>
      <c r="EX168" s="27">
        <v>26.699999999999996</v>
      </c>
      <c r="EY168" s="27">
        <v>26.699999999999996</v>
      </c>
      <c r="EZ168" s="27">
        <v>26.699999999999996</v>
      </c>
      <c r="FA168" s="27">
        <v>26.699999999999996</v>
      </c>
      <c r="FB168" s="129">
        <v>18.3</v>
      </c>
      <c r="FD168" s="27">
        <v>27.699999999999996</v>
      </c>
      <c r="FE168" s="27">
        <v>27.699999999999996</v>
      </c>
      <c r="FF168" s="27">
        <v>27.699999999999996</v>
      </c>
      <c r="FG168" s="27">
        <v>27.699999999999996</v>
      </c>
      <c r="FH168" s="27">
        <v>27.699999999999996</v>
      </c>
      <c r="FI168" s="27">
        <v>27.699999999999996</v>
      </c>
      <c r="FJ168" s="27">
        <v>27.699999999999996</v>
      </c>
      <c r="FK168" s="27">
        <v>27.699999999999996</v>
      </c>
      <c r="FL168" s="27">
        <v>27.699999999999996</v>
      </c>
      <c r="FM168" s="129">
        <v>18.3</v>
      </c>
      <c r="FO168" s="27">
        <v>43.100000000000009</v>
      </c>
      <c r="FP168" s="27">
        <v>43.100000000000009</v>
      </c>
      <c r="FQ168" s="27">
        <v>43.100000000000009</v>
      </c>
      <c r="FR168" s="27">
        <v>43.100000000000009</v>
      </c>
      <c r="FS168" s="27">
        <v>43.100000000000009</v>
      </c>
      <c r="FT168" s="27">
        <v>43.100000000000009</v>
      </c>
      <c r="FU168" s="27">
        <v>43.100000000000009</v>
      </c>
      <c r="FV168" s="27">
        <v>43.100000000000009</v>
      </c>
      <c r="FW168" s="27">
        <v>43.100000000000009</v>
      </c>
      <c r="FX168" s="129">
        <v>18.3</v>
      </c>
      <c r="FZ168" s="27">
        <v>43.100000000000009</v>
      </c>
      <c r="GA168" s="27">
        <v>43.100000000000009</v>
      </c>
      <c r="GB168" s="27">
        <v>43.100000000000009</v>
      </c>
      <c r="GC168" s="27">
        <v>43.100000000000009</v>
      </c>
      <c r="GD168" s="27">
        <v>43.100000000000009</v>
      </c>
      <c r="GE168" s="27">
        <v>43.100000000000009</v>
      </c>
      <c r="GF168" s="27">
        <v>43.100000000000009</v>
      </c>
      <c r="GG168" s="27">
        <v>43.100000000000009</v>
      </c>
      <c r="GH168" s="27">
        <v>43.100000000000009</v>
      </c>
      <c r="GI168" s="129">
        <v>18.3</v>
      </c>
      <c r="GJ168" s="27"/>
      <c r="GK168" s="27">
        <v>10</v>
      </c>
      <c r="GL168" s="27">
        <v>10</v>
      </c>
      <c r="GM168" s="27">
        <v>10</v>
      </c>
      <c r="GN168" s="27">
        <v>10</v>
      </c>
      <c r="GO168" s="27">
        <v>10</v>
      </c>
      <c r="GP168" s="27">
        <v>10</v>
      </c>
      <c r="GQ168" s="27">
        <v>10</v>
      </c>
      <c r="GR168" s="27">
        <v>10</v>
      </c>
      <c r="GS168" s="27">
        <v>10</v>
      </c>
      <c r="GT168" s="129">
        <v>18.3</v>
      </c>
      <c r="GV168" s="27">
        <v>12.700000000000001</v>
      </c>
      <c r="GW168" s="27">
        <v>12.700000000000001</v>
      </c>
      <c r="GX168" s="27">
        <v>12.700000000000001</v>
      </c>
      <c r="GY168" s="27">
        <v>12.700000000000001</v>
      </c>
      <c r="GZ168" s="27">
        <v>12.700000000000001</v>
      </c>
      <c r="HA168" s="27">
        <v>12.700000000000001</v>
      </c>
      <c r="HB168" s="27">
        <v>12.700000000000001</v>
      </c>
      <c r="HC168" s="27">
        <v>12.700000000000001</v>
      </c>
      <c r="HD168" s="27">
        <v>12.700000000000001</v>
      </c>
      <c r="HE168" s="129">
        <v>18.3</v>
      </c>
      <c r="HG168" s="27">
        <v>16.699999999999996</v>
      </c>
      <c r="HH168" s="27">
        <v>16.699999999999996</v>
      </c>
      <c r="HI168" s="27">
        <v>16.699999999999996</v>
      </c>
      <c r="HJ168" s="27">
        <v>16.699999999999996</v>
      </c>
      <c r="HK168" s="27">
        <v>16.699999999999996</v>
      </c>
      <c r="HL168" s="27">
        <v>16.699999999999996</v>
      </c>
      <c r="HM168" s="27">
        <v>16.699999999999996</v>
      </c>
      <c r="HN168" s="27">
        <v>16.699999999999996</v>
      </c>
      <c r="HO168" s="27">
        <v>16.699999999999996</v>
      </c>
      <c r="HP168" s="129">
        <v>18.3</v>
      </c>
      <c r="HR168" s="27">
        <v>16.699999999999996</v>
      </c>
      <c r="HS168" s="27">
        <v>16.699999999999996</v>
      </c>
      <c r="HT168" s="27">
        <v>16.699999999999996</v>
      </c>
      <c r="HU168" s="27">
        <v>16.699999999999996</v>
      </c>
      <c r="HV168" s="27">
        <v>16.699999999999996</v>
      </c>
      <c r="HW168" s="27">
        <v>16.699999999999996</v>
      </c>
      <c r="HX168" s="27">
        <v>16.699999999999996</v>
      </c>
      <c r="HY168" s="27">
        <v>16.699999999999996</v>
      </c>
      <c r="HZ168" s="27">
        <v>16.699999999999996</v>
      </c>
      <c r="IA168" s="129">
        <v>18.3</v>
      </c>
    </row>
    <row r="169" spans="15:235" ht="18" customHeight="1">
      <c r="O169" s="17"/>
      <c r="P169" s="17"/>
      <c r="Q169" s="17"/>
      <c r="R169" s="17"/>
      <c r="S169" s="17"/>
      <c r="T169" s="17"/>
      <c r="U169" s="17"/>
      <c r="V169" s="17"/>
      <c r="W169" s="17"/>
      <c r="X169" s="129">
        <v>16.399999999999999</v>
      </c>
      <c r="Y169" s="27"/>
      <c r="Z169" s="129">
        <v>8.2000000000000028</v>
      </c>
      <c r="AA169" s="129">
        <v>8.2000000000000028</v>
      </c>
      <c r="AB169" s="129">
        <v>8.2000000000000028</v>
      </c>
      <c r="AC169" s="129">
        <v>8.2000000000000028</v>
      </c>
      <c r="AD169" s="129">
        <v>8.2000000000000028</v>
      </c>
      <c r="AE169" s="129">
        <v>8.2000000000000028</v>
      </c>
      <c r="AF169" s="129">
        <v>8.2000000000000028</v>
      </c>
      <c r="AG169" s="129">
        <v>8.2000000000000028</v>
      </c>
      <c r="AH169" s="129">
        <v>8.2000000000000028</v>
      </c>
      <c r="AI169" s="129">
        <v>16.399999999999999</v>
      </c>
      <c r="AK169" s="129">
        <v>20.799999999999997</v>
      </c>
      <c r="AL169" s="129">
        <v>20.799999999999997</v>
      </c>
      <c r="AM169" s="129">
        <v>20.799999999999997</v>
      </c>
      <c r="AN169" s="129">
        <v>20.799999999999997</v>
      </c>
      <c r="AO169" s="129">
        <v>20.799999999999997</v>
      </c>
      <c r="AP169" s="129">
        <v>20.799999999999997</v>
      </c>
      <c r="AQ169" s="129">
        <v>20.799999999999997</v>
      </c>
      <c r="AR169" s="129">
        <v>20.799999999999997</v>
      </c>
      <c r="AS169" s="129">
        <v>20.799999999999997</v>
      </c>
      <c r="AT169" s="129">
        <v>16.399999999999999</v>
      </c>
      <c r="AV169" s="129">
        <v>28</v>
      </c>
      <c r="AW169" s="129">
        <v>28</v>
      </c>
      <c r="AX169" s="129">
        <v>28</v>
      </c>
      <c r="AY169" s="129">
        <v>28</v>
      </c>
      <c r="AZ169" s="129">
        <v>28</v>
      </c>
      <c r="BA169" s="129">
        <v>28</v>
      </c>
      <c r="BB169" s="129">
        <v>28</v>
      </c>
      <c r="BC169" s="129">
        <v>28</v>
      </c>
      <c r="BD169" s="129">
        <v>28</v>
      </c>
      <c r="BE169" s="129">
        <v>16.399999999999999</v>
      </c>
      <c r="BG169" s="129">
        <v>37.199999999999989</v>
      </c>
      <c r="BH169" s="129">
        <v>37.199999999999989</v>
      </c>
      <c r="BI169" s="129">
        <v>37.199999999999989</v>
      </c>
      <c r="BJ169" s="129">
        <v>37.199999999999989</v>
      </c>
      <c r="BK169" s="129">
        <v>37.199999999999989</v>
      </c>
      <c r="BL169" s="129">
        <v>37.199999999999989</v>
      </c>
      <c r="BM169" s="129">
        <v>37.199999999999989</v>
      </c>
      <c r="BN169" s="129">
        <v>37.199999999999989</v>
      </c>
      <c r="BO169" s="129">
        <v>37.199999999999989</v>
      </c>
      <c r="BP169" s="129">
        <v>16.399999999999999</v>
      </c>
      <c r="BR169" s="129">
        <v>37.199999999999989</v>
      </c>
      <c r="BS169" s="129">
        <v>37.199999999999989</v>
      </c>
      <c r="BT169" s="129">
        <v>37.199999999999989</v>
      </c>
      <c r="BU169" s="129">
        <v>37.199999999999989</v>
      </c>
      <c r="BV169" s="129">
        <v>37.199999999999989</v>
      </c>
      <c r="BW169" s="129">
        <v>37.199999999999989</v>
      </c>
      <c r="BX169" s="129">
        <v>37.199999999999989</v>
      </c>
      <c r="BY169" s="129">
        <v>37.199999999999989</v>
      </c>
      <c r="BZ169" s="129">
        <v>37.199999999999989</v>
      </c>
      <c r="CA169" s="129">
        <v>16.399999999999999</v>
      </c>
      <c r="CC169" s="129">
        <v>11.600000000000001</v>
      </c>
      <c r="CD169" s="129">
        <v>11.600000000000001</v>
      </c>
      <c r="CE169" s="129">
        <v>11.600000000000001</v>
      </c>
      <c r="CF169" s="129">
        <v>11.600000000000001</v>
      </c>
      <c r="CG169" s="129">
        <v>11.600000000000001</v>
      </c>
      <c r="CH169" s="129">
        <v>11.600000000000001</v>
      </c>
      <c r="CI169" s="129">
        <v>11.600000000000001</v>
      </c>
      <c r="CJ169" s="129">
        <v>11.600000000000001</v>
      </c>
      <c r="CK169" s="129">
        <v>11.600000000000001</v>
      </c>
      <c r="CL169" s="129">
        <v>16.399999999999999</v>
      </c>
      <c r="CN169" s="129">
        <v>13.600000000000001</v>
      </c>
      <c r="CO169" s="129">
        <v>13.600000000000001</v>
      </c>
      <c r="CP169" s="129">
        <v>13.600000000000001</v>
      </c>
      <c r="CQ169" s="129">
        <v>13.600000000000001</v>
      </c>
      <c r="CR169" s="129">
        <v>13.600000000000001</v>
      </c>
      <c r="CS169" s="129">
        <v>13.600000000000001</v>
      </c>
      <c r="CT169" s="129">
        <v>13.600000000000001</v>
      </c>
      <c r="CU169" s="129">
        <v>13.600000000000001</v>
      </c>
      <c r="CV169" s="129">
        <v>13.600000000000001</v>
      </c>
      <c r="CW169" s="129">
        <v>16.399999999999999</v>
      </c>
      <c r="CY169" s="129">
        <v>18.599999999999994</v>
      </c>
      <c r="CZ169" s="129">
        <v>18.599999999999994</v>
      </c>
      <c r="DA169" s="129">
        <v>18.599999999999994</v>
      </c>
      <c r="DB169" s="129">
        <v>18.599999999999994</v>
      </c>
      <c r="DC169" s="129">
        <v>18.599999999999994</v>
      </c>
      <c r="DD169" s="129">
        <v>18.599999999999994</v>
      </c>
      <c r="DE169" s="129">
        <v>18.599999999999994</v>
      </c>
      <c r="DF169" s="129">
        <v>18.599999999999994</v>
      </c>
      <c r="DG169" s="129">
        <v>18.599999999999994</v>
      </c>
      <c r="DH169" s="129">
        <v>16.399999999999999</v>
      </c>
      <c r="DJ169" s="129">
        <v>18.599999999999994</v>
      </c>
      <c r="DK169" s="129">
        <v>18.599999999999994</v>
      </c>
      <c r="DL169" s="129">
        <v>18.599999999999994</v>
      </c>
      <c r="DM169" s="129">
        <v>18.599999999999994</v>
      </c>
      <c r="DN169" s="129">
        <v>18.599999999999994</v>
      </c>
      <c r="DO169" s="129">
        <v>18.599999999999994</v>
      </c>
      <c r="DP169" s="129">
        <v>18.599999999999994</v>
      </c>
      <c r="DQ169" s="129">
        <v>18.599999999999994</v>
      </c>
      <c r="DR169" s="129">
        <v>18.599999999999994</v>
      </c>
      <c r="DS169" s="129">
        <v>16.399999999999999</v>
      </c>
      <c r="DW169" s="27">
        <v>6.6000000000000014</v>
      </c>
      <c r="DX169" s="27">
        <v>6.6000000000000014</v>
      </c>
      <c r="DY169" s="27">
        <v>6.6000000000000014</v>
      </c>
      <c r="DZ169" s="27">
        <v>6.6000000000000014</v>
      </c>
      <c r="EA169" s="27">
        <v>6.6000000000000014</v>
      </c>
      <c r="EB169" s="27">
        <v>6.6000000000000014</v>
      </c>
      <c r="EC169" s="27">
        <v>6.6000000000000014</v>
      </c>
      <c r="ED169" s="27">
        <v>6.6000000000000014</v>
      </c>
      <c r="EE169" s="27">
        <v>6.6000000000000014</v>
      </c>
      <c r="EF169" s="129">
        <v>18.399999999999999</v>
      </c>
      <c r="EH169" s="27">
        <v>13.799999999999997</v>
      </c>
      <c r="EI169" s="27">
        <v>13.799999999999997</v>
      </c>
      <c r="EJ169" s="27">
        <v>13.799999999999997</v>
      </c>
      <c r="EK169" s="27">
        <v>13.799999999999997</v>
      </c>
      <c r="EL169" s="27">
        <v>13.799999999999997</v>
      </c>
      <c r="EM169" s="27">
        <v>13.799999999999997</v>
      </c>
      <c r="EN169" s="27">
        <v>13.799999999999997</v>
      </c>
      <c r="EO169" s="27">
        <v>13.799999999999997</v>
      </c>
      <c r="EP169" s="27">
        <v>13.799999999999997</v>
      </c>
      <c r="EQ169" s="129">
        <v>18.399999999999999</v>
      </c>
      <c r="ES169" s="27">
        <v>26.599999999999994</v>
      </c>
      <c r="ET169" s="27">
        <v>26.599999999999994</v>
      </c>
      <c r="EU169" s="27">
        <v>26.599999999999994</v>
      </c>
      <c r="EV169" s="27">
        <v>26.599999999999994</v>
      </c>
      <c r="EW169" s="27">
        <v>26.599999999999994</v>
      </c>
      <c r="EX169" s="27">
        <v>26.599999999999994</v>
      </c>
      <c r="EY169" s="27">
        <v>26.599999999999994</v>
      </c>
      <c r="EZ169" s="27">
        <v>26.599999999999994</v>
      </c>
      <c r="FA169" s="27">
        <v>26.599999999999994</v>
      </c>
      <c r="FB169" s="129">
        <v>18.399999999999999</v>
      </c>
      <c r="FD169" s="27">
        <v>27.599999999999994</v>
      </c>
      <c r="FE169" s="27">
        <v>27.599999999999994</v>
      </c>
      <c r="FF169" s="27">
        <v>27.599999999999994</v>
      </c>
      <c r="FG169" s="27">
        <v>27.599999999999994</v>
      </c>
      <c r="FH169" s="27">
        <v>27.599999999999994</v>
      </c>
      <c r="FI169" s="27">
        <v>27.599999999999994</v>
      </c>
      <c r="FJ169" s="27">
        <v>27.599999999999994</v>
      </c>
      <c r="FK169" s="27">
        <v>27.599999999999994</v>
      </c>
      <c r="FL169" s="27">
        <v>27.599999999999994</v>
      </c>
      <c r="FM169" s="129">
        <v>18.399999999999999</v>
      </c>
      <c r="FO169" s="27">
        <v>42.800000000000011</v>
      </c>
      <c r="FP169" s="27">
        <v>42.800000000000011</v>
      </c>
      <c r="FQ169" s="27">
        <v>42.800000000000011</v>
      </c>
      <c r="FR169" s="27">
        <v>42.800000000000011</v>
      </c>
      <c r="FS169" s="27">
        <v>42.800000000000011</v>
      </c>
      <c r="FT169" s="27">
        <v>42.800000000000011</v>
      </c>
      <c r="FU169" s="27">
        <v>42.800000000000011</v>
      </c>
      <c r="FV169" s="27">
        <v>42.800000000000011</v>
      </c>
      <c r="FW169" s="27">
        <v>42.800000000000011</v>
      </c>
      <c r="FX169" s="129">
        <v>18.399999999999999</v>
      </c>
      <c r="FZ169" s="27">
        <v>42.800000000000011</v>
      </c>
      <c r="GA169" s="27">
        <v>42.800000000000011</v>
      </c>
      <c r="GB169" s="27">
        <v>42.800000000000011</v>
      </c>
      <c r="GC169" s="27">
        <v>42.800000000000011</v>
      </c>
      <c r="GD169" s="27">
        <v>42.800000000000011</v>
      </c>
      <c r="GE169" s="27">
        <v>42.800000000000011</v>
      </c>
      <c r="GF169" s="27">
        <v>42.800000000000011</v>
      </c>
      <c r="GG169" s="27">
        <v>42.800000000000011</v>
      </c>
      <c r="GH169" s="27">
        <v>42.800000000000011</v>
      </c>
      <c r="GI169" s="129">
        <v>18.399999999999999</v>
      </c>
      <c r="GJ169" s="27"/>
      <c r="GK169" s="27">
        <v>10</v>
      </c>
      <c r="GL169" s="27">
        <v>10</v>
      </c>
      <c r="GM169" s="27">
        <v>10</v>
      </c>
      <c r="GN169" s="27">
        <v>10</v>
      </c>
      <c r="GO169" s="27">
        <v>10</v>
      </c>
      <c r="GP169" s="27">
        <v>10</v>
      </c>
      <c r="GQ169" s="27">
        <v>10</v>
      </c>
      <c r="GR169" s="27">
        <v>10</v>
      </c>
      <c r="GS169" s="27">
        <v>10</v>
      </c>
      <c r="GT169" s="129">
        <v>18.399999999999999</v>
      </c>
      <c r="GV169" s="27">
        <v>12.600000000000001</v>
      </c>
      <c r="GW169" s="27">
        <v>12.600000000000001</v>
      </c>
      <c r="GX169" s="27">
        <v>12.600000000000001</v>
      </c>
      <c r="GY169" s="27">
        <v>12.600000000000001</v>
      </c>
      <c r="GZ169" s="27">
        <v>12.600000000000001</v>
      </c>
      <c r="HA169" s="27">
        <v>12.600000000000001</v>
      </c>
      <c r="HB169" s="27">
        <v>12.600000000000001</v>
      </c>
      <c r="HC169" s="27">
        <v>12.600000000000001</v>
      </c>
      <c r="HD169" s="27">
        <v>12.600000000000001</v>
      </c>
      <c r="HE169" s="129">
        <v>18.399999999999999</v>
      </c>
      <c r="HG169" s="27">
        <v>16.599999999999994</v>
      </c>
      <c r="HH169" s="27">
        <v>16.599999999999994</v>
      </c>
      <c r="HI169" s="27">
        <v>16.599999999999994</v>
      </c>
      <c r="HJ169" s="27">
        <v>16.599999999999994</v>
      </c>
      <c r="HK169" s="27">
        <v>16.599999999999994</v>
      </c>
      <c r="HL169" s="27">
        <v>16.599999999999994</v>
      </c>
      <c r="HM169" s="27">
        <v>16.599999999999994</v>
      </c>
      <c r="HN169" s="27">
        <v>16.599999999999994</v>
      </c>
      <c r="HO169" s="27">
        <v>16.599999999999994</v>
      </c>
      <c r="HP169" s="129">
        <v>18.399999999999999</v>
      </c>
      <c r="HR169" s="27">
        <v>16.599999999999994</v>
      </c>
      <c r="HS169" s="27">
        <v>16.599999999999994</v>
      </c>
      <c r="HT169" s="27">
        <v>16.599999999999994</v>
      </c>
      <c r="HU169" s="27">
        <v>16.599999999999994</v>
      </c>
      <c r="HV169" s="27">
        <v>16.599999999999994</v>
      </c>
      <c r="HW169" s="27">
        <v>16.599999999999994</v>
      </c>
      <c r="HX169" s="27">
        <v>16.599999999999994</v>
      </c>
      <c r="HY169" s="27">
        <v>16.599999999999994</v>
      </c>
      <c r="HZ169" s="27">
        <v>16.599999999999994</v>
      </c>
      <c r="IA169" s="129">
        <v>18.399999999999999</v>
      </c>
    </row>
    <row r="170" spans="15:235" ht="18" customHeight="1">
      <c r="O170" s="17"/>
      <c r="P170" s="17"/>
      <c r="Q170" s="17"/>
      <c r="R170" s="17"/>
      <c r="S170" s="17"/>
      <c r="T170" s="17"/>
      <c r="U170" s="17"/>
      <c r="V170" s="17"/>
      <c r="W170" s="17"/>
      <c r="X170" s="129">
        <v>16.5</v>
      </c>
      <c r="Y170" s="27"/>
      <c r="Z170" s="129">
        <v>8.0000000000000036</v>
      </c>
      <c r="AA170" s="129">
        <v>8.0000000000000036</v>
      </c>
      <c r="AB170" s="129">
        <v>8.0000000000000036</v>
      </c>
      <c r="AC170" s="129">
        <v>8.0000000000000036</v>
      </c>
      <c r="AD170" s="129">
        <v>8.0000000000000036</v>
      </c>
      <c r="AE170" s="129">
        <v>8.0000000000000036</v>
      </c>
      <c r="AF170" s="129">
        <v>8.0000000000000036</v>
      </c>
      <c r="AG170" s="129">
        <v>8.0000000000000036</v>
      </c>
      <c r="AH170" s="129">
        <v>8.0000000000000036</v>
      </c>
      <c r="AI170" s="129">
        <v>16.5</v>
      </c>
      <c r="AK170" s="129">
        <v>20.499999999999996</v>
      </c>
      <c r="AL170" s="129">
        <v>20.499999999999996</v>
      </c>
      <c r="AM170" s="129">
        <v>20.499999999999996</v>
      </c>
      <c r="AN170" s="129">
        <v>20.499999999999996</v>
      </c>
      <c r="AO170" s="129">
        <v>20.499999999999996</v>
      </c>
      <c r="AP170" s="129">
        <v>20.499999999999996</v>
      </c>
      <c r="AQ170" s="129">
        <v>20.499999999999996</v>
      </c>
      <c r="AR170" s="129">
        <v>20.499999999999996</v>
      </c>
      <c r="AS170" s="129">
        <v>20.499999999999996</v>
      </c>
      <c r="AT170" s="129">
        <v>16.5</v>
      </c>
      <c r="AV170" s="129">
        <v>27.5</v>
      </c>
      <c r="AW170" s="129">
        <v>27.5</v>
      </c>
      <c r="AX170" s="129">
        <v>27.5</v>
      </c>
      <c r="AY170" s="129">
        <v>27.5</v>
      </c>
      <c r="AZ170" s="129">
        <v>27.5</v>
      </c>
      <c r="BA170" s="129">
        <v>27.5</v>
      </c>
      <c r="BB170" s="129">
        <v>27.5</v>
      </c>
      <c r="BC170" s="129">
        <v>27.5</v>
      </c>
      <c r="BD170" s="129">
        <v>27.5</v>
      </c>
      <c r="BE170" s="129">
        <v>16.5</v>
      </c>
      <c r="BG170" s="129">
        <v>36.499999999999986</v>
      </c>
      <c r="BH170" s="129">
        <v>36.499999999999986</v>
      </c>
      <c r="BI170" s="129">
        <v>36.499999999999986</v>
      </c>
      <c r="BJ170" s="129">
        <v>36.499999999999986</v>
      </c>
      <c r="BK170" s="129">
        <v>36.499999999999986</v>
      </c>
      <c r="BL170" s="129">
        <v>36.499999999999986</v>
      </c>
      <c r="BM170" s="129">
        <v>36.499999999999986</v>
      </c>
      <c r="BN170" s="129">
        <v>36.499999999999986</v>
      </c>
      <c r="BO170" s="129">
        <v>36.499999999999986</v>
      </c>
      <c r="BP170" s="129">
        <v>16.5</v>
      </c>
      <c r="BR170" s="129">
        <v>36.499999999999986</v>
      </c>
      <c r="BS170" s="129">
        <v>36.499999999999986</v>
      </c>
      <c r="BT170" s="129">
        <v>36.499999999999986</v>
      </c>
      <c r="BU170" s="129">
        <v>36.499999999999986</v>
      </c>
      <c r="BV170" s="129">
        <v>36.499999999999986</v>
      </c>
      <c r="BW170" s="129">
        <v>36.499999999999986</v>
      </c>
      <c r="BX170" s="129">
        <v>36.499999999999986</v>
      </c>
      <c r="BY170" s="129">
        <v>36.499999999999986</v>
      </c>
      <c r="BZ170" s="129">
        <v>36.499999999999986</v>
      </c>
      <c r="CA170" s="129">
        <v>16.5</v>
      </c>
      <c r="CC170" s="129">
        <v>11.500000000000002</v>
      </c>
      <c r="CD170" s="129">
        <v>11.500000000000002</v>
      </c>
      <c r="CE170" s="129">
        <v>11.500000000000002</v>
      </c>
      <c r="CF170" s="129">
        <v>11.500000000000002</v>
      </c>
      <c r="CG170" s="129">
        <v>11.500000000000002</v>
      </c>
      <c r="CH170" s="129">
        <v>11.500000000000002</v>
      </c>
      <c r="CI170" s="129">
        <v>11.500000000000002</v>
      </c>
      <c r="CJ170" s="129">
        <v>11.500000000000002</v>
      </c>
      <c r="CK170" s="129">
        <v>11.500000000000002</v>
      </c>
      <c r="CL170" s="129">
        <v>16.5</v>
      </c>
      <c r="CN170" s="129">
        <v>13.500000000000002</v>
      </c>
      <c r="CO170" s="129">
        <v>13.500000000000002</v>
      </c>
      <c r="CP170" s="129">
        <v>13.500000000000002</v>
      </c>
      <c r="CQ170" s="129">
        <v>13.500000000000002</v>
      </c>
      <c r="CR170" s="129">
        <v>13.500000000000002</v>
      </c>
      <c r="CS170" s="129">
        <v>13.500000000000002</v>
      </c>
      <c r="CT170" s="129">
        <v>13.500000000000002</v>
      </c>
      <c r="CU170" s="129">
        <v>13.500000000000002</v>
      </c>
      <c r="CV170" s="129">
        <v>13.500000000000002</v>
      </c>
      <c r="CW170" s="129">
        <v>16.5</v>
      </c>
      <c r="CY170" s="129">
        <v>18.499999999999993</v>
      </c>
      <c r="CZ170" s="129">
        <v>18.499999999999993</v>
      </c>
      <c r="DA170" s="129">
        <v>18.499999999999993</v>
      </c>
      <c r="DB170" s="129">
        <v>18.499999999999993</v>
      </c>
      <c r="DC170" s="129">
        <v>18.499999999999993</v>
      </c>
      <c r="DD170" s="129">
        <v>18.499999999999993</v>
      </c>
      <c r="DE170" s="129">
        <v>18.499999999999993</v>
      </c>
      <c r="DF170" s="129">
        <v>18.499999999999993</v>
      </c>
      <c r="DG170" s="129">
        <v>18.499999999999993</v>
      </c>
      <c r="DH170" s="129">
        <v>16.5</v>
      </c>
      <c r="DJ170" s="129">
        <v>18.499999999999993</v>
      </c>
      <c r="DK170" s="129">
        <v>18.499999999999993</v>
      </c>
      <c r="DL170" s="129">
        <v>18.499999999999993</v>
      </c>
      <c r="DM170" s="129">
        <v>18.499999999999993</v>
      </c>
      <c r="DN170" s="129">
        <v>18.499999999999993</v>
      </c>
      <c r="DO170" s="129">
        <v>18.499999999999993</v>
      </c>
      <c r="DP170" s="129">
        <v>18.499999999999993</v>
      </c>
      <c r="DQ170" s="129">
        <v>18.499999999999993</v>
      </c>
      <c r="DR170" s="129">
        <v>18.499999999999993</v>
      </c>
      <c r="DS170" s="129">
        <v>16.5</v>
      </c>
      <c r="DW170" s="27">
        <v>6.5000000000000018</v>
      </c>
      <c r="DX170" s="27">
        <v>6.5000000000000018</v>
      </c>
      <c r="DY170" s="27">
        <v>6.5000000000000018</v>
      </c>
      <c r="DZ170" s="27">
        <v>6.5000000000000018</v>
      </c>
      <c r="EA170" s="27">
        <v>6.5000000000000018</v>
      </c>
      <c r="EB170" s="27">
        <v>6.5000000000000018</v>
      </c>
      <c r="EC170" s="27">
        <v>6.5000000000000018</v>
      </c>
      <c r="ED170" s="27">
        <v>6.5000000000000018</v>
      </c>
      <c r="EE170" s="27">
        <v>6.5000000000000018</v>
      </c>
      <c r="EF170" s="129">
        <v>18.5</v>
      </c>
      <c r="EH170" s="27">
        <v>13.499999999999996</v>
      </c>
      <c r="EI170" s="27">
        <v>13.499999999999996</v>
      </c>
      <c r="EJ170" s="27">
        <v>13.499999999999996</v>
      </c>
      <c r="EK170" s="27">
        <v>13.499999999999996</v>
      </c>
      <c r="EL170" s="27">
        <v>13.499999999999996</v>
      </c>
      <c r="EM170" s="27">
        <v>13.499999999999996</v>
      </c>
      <c r="EN170" s="27">
        <v>13.499999999999996</v>
      </c>
      <c r="EO170" s="27">
        <v>13.499999999999996</v>
      </c>
      <c r="EP170" s="27">
        <v>13.499999999999996</v>
      </c>
      <c r="EQ170" s="129">
        <v>18.5</v>
      </c>
      <c r="ES170" s="27">
        <v>26.499999999999993</v>
      </c>
      <c r="ET170" s="27">
        <v>26.499999999999993</v>
      </c>
      <c r="EU170" s="27">
        <v>26.499999999999993</v>
      </c>
      <c r="EV170" s="27">
        <v>26.499999999999993</v>
      </c>
      <c r="EW170" s="27">
        <v>26.499999999999993</v>
      </c>
      <c r="EX170" s="27">
        <v>26.499999999999993</v>
      </c>
      <c r="EY170" s="27">
        <v>26.499999999999993</v>
      </c>
      <c r="EZ170" s="27">
        <v>26.499999999999993</v>
      </c>
      <c r="FA170" s="27">
        <v>26.499999999999993</v>
      </c>
      <c r="FB170" s="129">
        <v>18.5</v>
      </c>
      <c r="FD170" s="27">
        <v>27.499999999999993</v>
      </c>
      <c r="FE170" s="27">
        <v>27.499999999999993</v>
      </c>
      <c r="FF170" s="27">
        <v>27.499999999999993</v>
      </c>
      <c r="FG170" s="27">
        <v>27.499999999999993</v>
      </c>
      <c r="FH170" s="27">
        <v>27.499999999999993</v>
      </c>
      <c r="FI170" s="27">
        <v>27.499999999999993</v>
      </c>
      <c r="FJ170" s="27">
        <v>27.499999999999993</v>
      </c>
      <c r="FK170" s="27">
        <v>27.499999999999993</v>
      </c>
      <c r="FL170" s="27">
        <v>27.499999999999993</v>
      </c>
      <c r="FM170" s="129">
        <v>18.5</v>
      </c>
      <c r="FO170" s="27">
        <v>42.500000000000014</v>
      </c>
      <c r="FP170" s="27">
        <v>42.500000000000014</v>
      </c>
      <c r="FQ170" s="27">
        <v>42.500000000000014</v>
      </c>
      <c r="FR170" s="27">
        <v>42.500000000000014</v>
      </c>
      <c r="FS170" s="27">
        <v>42.500000000000014</v>
      </c>
      <c r="FT170" s="27">
        <v>42.500000000000014</v>
      </c>
      <c r="FU170" s="27">
        <v>42.500000000000014</v>
      </c>
      <c r="FV170" s="27">
        <v>42.500000000000014</v>
      </c>
      <c r="FW170" s="27">
        <v>42.500000000000014</v>
      </c>
      <c r="FX170" s="129">
        <v>18.5</v>
      </c>
      <c r="FZ170" s="27">
        <v>42.500000000000014</v>
      </c>
      <c r="GA170" s="27">
        <v>42.500000000000014</v>
      </c>
      <c r="GB170" s="27">
        <v>42.500000000000014</v>
      </c>
      <c r="GC170" s="27">
        <v>42.500000000000014</v>
      </c>
      <c r="GD170" s="27">
        <v>42.500000000000014</v>
      </c>
      <c r="GE170" s="27">
        <v>42.500000000000014</v>
      </c>
      <c r="GF170" s="27">
        <v>42.500000000000014</v>
      </c>
      <c r="GG170" s="27">
        <v>42.500000000000014</v>
      </c>
      <c r="GH170" s="27">
        <v>42.500000000000014</v>
      </c>
      <c r="GI170" s="129">
        <v>18.5</v>
      </c>
      <c r="GJ170" s="27"/>
      <c r="GK170" s="27">
        <v>10</v>
      </c>
      <c r="GL170" s="27">
        <v>10</v>
      </c>
      <c r="GM170" s="27">
        <v>10</v>
      </c>
      <c r="GN170" s="27">
        <v>10</v>
      </c>
      <c r="GO170" s="27">
        <v>10</v>
      </c>
      <c r="GP170" s="27">
        <v>10</v>
      </c>
      <c r="GQ170" s="27">
        <v>10</v>
      </c>
      <c r="GR170" s="27">
        <v>10</v>
      </c>
      <c r="GS170" s="27">
        <v>10</v>
      </c>
      <c r="GT170" s="129">
        <v>18.5</v>
      </c>
      <c r="GV170" s="27">
        <v>12.500000000000002</v>
      </c>
      <c r="GW170" s="27">
        <v>12.500000000000002</v>
      </c>
      <c r="GX170" s="27">
        <v>12.500000000000002</v>
      </c>
      <c r="GY170" s="27">
        <v>12.500000000000002</v>
      </c>
      <c r="GZ170" s="27">
        <v>12.500000000000002</v>
      </c>
      <c r="HA170" s="27">
        <v>12.500000000000002</v>
      </c>
      <c r="HB170" s="27">
        <v>12.500000000000002</v>
      </c>
      <c r="HC170" s="27">
        <v>12.500000000000002</v>
      </c>
      <c r="HD170" s="27">
        <v>12.500000000000002</v>
      </c>
      <c r="HE170" s="129">
        <v>18.5</v>
      </c>
      <c r="HG170" s="27">
        <v>16.499999999999993</v>
      </c>
      <c r="HH170" s="27">
        <v>16.499999999999993</v>
      </c>
      <c r="HI170" s="27">
        <v>16.499999999999993</v>
      </c>
      <c r="HJ170" s="27">
        <v>16.499999999999993</v>
      </c>
      <c r="HK170" s="27">
        <v>16.499999999999993</v>
      </c>
      <c r="HL170" s="27">
        <v>16.499999999999993</v>
      </c>
      <c r="HM170" s="27">
        <v>16.499999999999993</v>
      </c>
      <c r="HN170" s="27">
        <v>16.499999999999993</v>
      </c>
      <c r="HO170" s="27">
        <v>16.499999999999993</v>
      </c>
      <c r="HP170" s="129">
        <v>18.5</v>
      </c>
      <c r="HR170" s="27">
        <v>16.499999999999993</v>
      </c>
      <c r="HS170" s="27">
        <v>16.499999999999993</v>
      </c>
      <c r="HT170" s="27">
        <v>16.499999999999993</v>
      </c>
      <c r="HU170" s="27">
        <v>16.499999999999993</v>
      </c>
      <c r="HV170" s="27">
        <v>16.499999999999993</v>
      </c>
      <c r="HW170" s="27">
        <v>16.499999999999993</v>
      </c>
      <c r="HX170" s="27">
        <v>16.499999999999993</v>
      </c>
      <c r="HY170" s="27">
        <v>16.499999999999993</v>
      </c>
      <c r="HZ170" s="27">
        <v>16.499999999999993</v>
      </c>
      <c r="IA170" s="129">
        <v>18.5</v>
      </c>
    </row>
    <row r="171" spans="15:235" ht="18" customHeight="1">
      <c r="O171" s="17"/>
      <c r="P171" s="17"/>
      <c r="Q171" s="17"/>
      <c r="R171" s="17"/>
      <c r="S171" s="17"/>
      <c r="T171" s="17"/>
      <c r="U171" s="17"/>
      <c r="V171" s="17"/>
      <c r="W171" s="17"/>
      <c r="X171" s="129">
        <v>16.600000000000001</v>
      </c>
      <c r="Y171" s="27"/>
      <c r="Z171" s="129">
        <v>7.8000000000000034</v>
      </c>
      <c r="AA171" s="129">
        <v>7.8000000000000034</v>
      </c>
      <c r="AB171" s="129">
        <v>7.8000000000000034</v>
      </c>
      <c r="AC171" s="129">
        <v>7.8000000000000034</v>
      </c>
      <c r="AD171" s="129">
        <v>7.8000000000000034</v>
      </c>
      <c r="AE171" s="129">
        <v>7.8000000000000034</v>
      </c>
      <c r="AF171" s="129">
        <v>7.8000000000000034</v>
      </c>
      <c r="AG171" s="129">
        <v>7.8000000000000034</v>
      </c>
      <c r="AH171" s="129">
        <v>7.8000000000000034</v>
      </c>
      <c r="AI171" s="129">
        <v>16.600000000000001</v>
      </c>
      <c r="AK171" s="129">
        <v>20.199999999999996</v>
      </c>
      <c r="AL171" s="129">
        <v>20.199999999999996</v>
      </c>
      <c r="AM171" s="129">
        <v>20.199999999999996</v>
      </c>
      <c r="AN171" s="129">
        <v>20.199999999999996</v>
      </c>
      <c r="AO171" s="129">
        <v>20.199999999999996</v>
      </c>
      <c r="AP171" s="129">
        <v>20.199999999999996</v>
      </c>
      <c r="AQ171" s="129">
        <v>20.199999999999996</v>
      </c>
      <c r="AR171" s="129">
        <v>20.199999999999996</v>
      </c>
      <c r="AS171" s="129">
        <v>20.199999999999996</v>
      </c>
      <c r="AT171" s="129">
        <v>16.600000000000001</v>
      </c>
      <c r="AV171" s="129">
        <v>27</v>
      </c>
      <c r="AW171" s="129">
        <v>27</v>
      </c>
      <c r="AX171" s="129">
        <v>27</v>
      </c>
      <c r="AY171" s="129">
        <v>27</v>
      </c>
      <c r="AZ171" s="129">
        <v>27</v>
      </c>
      <c r="BA171" s="129">
        <v>27</v>
      </c>
      <c r="BB171" s="129">
        <v>27</v>
      </c>
      <c r="BC171" s="129">
        <v>27</v>
      </c>
      <c r="BD171" s="129">
        <v>27</v>
      </c>
      <c r="BE171" s="129">
        <v>16.600000000000001</v>
      </c>
      <c r="BG171" s="129">
        <v>35.799999999999983</v>
      </c>
      <c r="BH171" s="129">
        <v>35.799999999999983</v>
      </c>
      <c r="BI171" s="129">
        <v>35.799999999999983</v>
      </c>
      <c r="BJ171" s="129">
        <v>35.799999999999983</v>
      </c>
      <c r="BK171" s="129">
        <v>35.799999999999983</v>
      </c>
      <c r="BL171" s="129">
        <v>35.799999999999983</v>
      </c>
      <c r="BM171" s="129">
        <v>35.799999999999983</v>
      </c>
      <c r="BN171" s="129">
        <v>35.799999999999983</v>
      </c>
      <c r="BO171" s="129">
        <v>35.799999999999983</v>
      </c>
      <c r="BP171" s="129">
        <v>16.600000000000001</v>
      </c>
      <c r="BR171" s="129">
        <v>35.799999999999983</v>
      </c>
      <c r="BS171" s="129">
        <v>35.799999999999983</v>
      </c>
      <c r="BT171" s="129">
        <v>35.799999999999983</v>
      </c>
      <c r="BU171" s="129">
        <v>35.799999999999983</v>
      </c>
      <c r="BV171" s="129">
        <v>35.799999999999983</v>
      </c>
      <c r="BW171" s="129">
        <v>35.799999999999983</v>
      </c>
      <c r="BX171" s="129">
        <v>35.799999999999983</v>
      </c>
      <c r="BY171" s="129">
        <v>35.799999999999983</v>
      </c>
      <c r="BZ171" s="129">
        <v>35.799999999999983</v>
      </c>
      <c r="CA171" s="129">
        <v>16.600000000000001</v>
      </c>
      <c r="CC171" s="129">
        <v>11.400000000000002</v>
      </c>
      <c r="CD171" s="129">
        <v>11.400000000000002</v>
      </c>
      <c r="CE171" s="129">
        <v>11.400000000000002</v>
      </c>
      <c r="CF171" s="129">
        <v>11.400000000000002</v>
      </c>
      <c r="CG171" s="129">
        <v>11.400000000000002</v>
      </c>
      <c r="CH171" s="129">
        <v>11.400000000000002</v>
      </c>
      <c r="CI171" s="129">
        <v>11.400000000000002</v>
      </c>
      <c r="CJ171" s="129">
        <v>11.400000000000002</v>
      </c>
      <c r="CK171" s="129">
        <v>11.400000000000002</v>
      </c>
      <c r="CL171" s="129">
        <v>16.600000000000001</v>
      </c>
      <c r="CN171" s="129">
        <v>13.400000000000002</v>
      </c>
      <c r="CO171" s="129">
        <v>13.400000000000002</v>
      </c>
      <c r="CP171" s="129">
        <v>13.400000000000002</v>
      </c>
      <c r="CQ171" s="129">
        <v>13.400000000000002</v>
      </c>
      <c r="CR171" s="129">
        <v>13.400000000000002</v>
      </c>
      <c r="CS171" s="129">
        <v>13.400000000000002</v>
      </c>
      <c r="CT171" s="129">
        <v>13.400000000000002</v>
      </c>
      <c r="CU171" s="129">
        <v>13.400000000000002</v>
      </c>
      <c r="CV171" s="129">
        <v>13.400000000000002</v>
      </c>
      <c r="CW171" s="129">
        <v>16.600000000000001</v>
      </c>
      <c r="CY171" s="129">
        <v>18.399999999999991</v>
      </c>
      <c r="CZ171" s="129">
        <v>18.399999999999991</v>
      </c>
      <c r="DA171" s="129">
        <v>18.399999999999991</v>
      </c>
      <c r="DB171" s="129">
        <v>18.399999999999991</v>
      </c>
      <c r="DC171" s="129">
        <v>18.399999999999991</v>
      </c>
      <c r="DD171" s="129">
        <v>18.399999999999991</v>
      </c>
      <c r="DE171" s="129">
        <v>18.399999999999991</v>
      </c>
      <c r="DF171" s="129">
        <v>18.399999999999991</v>
      </c>
      <c r="DG171" s="129">
        <v>18.399999999999991</v>
      </c>
      <c r="DH171" s="129">
        <v>16.600000000000001</v>
      </c>
      <c r="DJ171" s="129">
        <v>18.399999999999991</v>
      </c>
      <c r="DK171" s="129">
        <v>18.399999999999991</v>
      </c>
      <c r="DL171" s="129">
        <v>18.399999999999991</v>
      </c>
      <c r="DM171" s="129">
        <v>18.399999999999991</v>
      </c>
      <c r="DN171" s="129">
        <v>18.399999999999991</v>
      </c>
      <c r="DO171" s="129">
        <v>18.399999999999991</v>
      </c>
      <c r="DP171" s="129">
        <v>18.399999999999991</v>
      </c>
      <c r="DQ171" s="129">
        <v>18.399999999999991</v>
      </c>
      <c r="DR171" s="129">
        <v>18.399999999999991</v>
      </c>
      <c r="DS171" s="129">
        <v>16.600000000000001</v>
      </c>
      <c r="DW171" s="27">
        <v>6.4000000000000021</v>
      </c>
      <c r="DX171" s="27">
        <v>6.4000000000000021</v>
      </c>
      <c r="DY171" s="27">
        <v>6.4000000000000021</v>
      </c>
      <c r="DZ171" s="27">
        <v>6.4000000000000021</v>
      </c>
      <c r="EA171" s="27">
        <v>6.4000000000000021</v>
      </c>
      <c r="EB171" s="27">
        <v>6.4000000000000021</v>
      </c>
      <c r="EC171" s="27">
        <v>6.4000000000000021</v>
      </c>
      <c r="ED171" s="27">
        <v>6.4000000000000021</v>
      </c>
      <c r="EE171" s="27">
        <v>6.4000000000000021</v>
      </c>
      <c r="EF171" s="129">
        <v>18.600000000000001</v>
      </c>
      <c r="EH171" s="27">
        <v>13.199999999999996</v>
      </c>
      <c r="EI171" s="27">
        <v>13.199999999999996</v>
      </c>
      <c r="EJ171" s="27">
        <v>13.199999999999996</v>
      </c>
      <c r="EK171" s="27">
        <v>13.199999999999996</v>
      </c>
      <c r="EL171" s="27">
        <v>13.199999999999996</v>
      </c>
      <c r="EM171" s="27">
        <v>13.199999999999996</v>
      </c>
      <c r="EN171" s="27">
        <v>13.199999999999996</v>
      </c>
      <c r="EO171" s="27">
        <v>13.199999999999996</v>
      </c>
      <c r="EP171" s="27">
        <v>13.199999999999996</v>
      </c>
      <c r="EQ171" s="129">
        <v>18.600000000000001</v>
      </c>
      <c r="ES171" s="27">
        <v>26.399999999999991</v>
      </c>
      <c r="ET171" s="27">
        <v>26.399999999999991</v>
      </c>
      <c r="EU171" s="27">
        <v>26.399999999999991</v>
      </c>
      <c r="EV171" s="27">
        <v>26.399999999999991</v>
      </c>
      <c r="EW171" s="27">
        <v>26.399999999999991</v>
      </c>
      <c r="EX171" s="27">
        <v>26.399999999999991</v>
      </c>
      <c r="EY171" s="27">
        <v>26.399999999999991</v>
      </c>
      <c r="EZ171" s="27">
        <v>26.399999999999991</v>
      </c>
      <c r="FA171" s="27">
        <v>26.399999999999991</v>
      </c>
      <c r="FB171" s="129">
        <v>18.600000000000001</v>
      </c>
      <c r="FD171" s="27">
        <v>27.399999999999991</v>
      </c>
      <c r="FE171" s="27">
        <v>27.399999999999991</v>
      </c>
      <c r="FF171" s="27">
        <v>27.399999999999991</v>
      </c>
      <c r="FG171" s="27">
        <v>27.399999999999991</v>
      </c>
      <c r="FH171" s="27">
        <v>27.399999999999991</v>
      </c>
      <c r="FI171" s="27">
        <v>27.399999999999991</v>
      </c>
      <c r="FJ171" s="27">
        <v>27.399999999999991</v>
      </c>
      <c r="FK171" s="27">
        <v>27.399999999999991</v>
      </c>
      <c r="FL171" s="27">
        <v>27.399999999999991</v>
      </c>
      <c r="FM171" s="129">
        <v>18.600000000000001</v>
      </c>
      <c r="FO171" s="27">
        <v>42.200000000000017</v>
      </c>
      <c r="FP171" s="27">
        <v>42.200000000000017</v>
      </c>
      <c r="FQ171" s="27">
        <v>42.200000000000017</v>
      </c>
      <c r="FR171" s="27">
        <v>42.200000000000017</v>
      </c>
      <c r="FS171" s="27">
        <v>42.200000000000017</v>
      </c>
      <c r="FT171" s="27">
        <v>42.200000000000017</v>
      </c>
      <c r="FU171" s="27">
        <v>42.200000000000017</v>
      </c>
      <c r="FV171" s="27">
        <v>42.200000000000017</v>
      </c>
      <c r="FW171" s="27">
        <v>42.200000000000017</v>
      </c>
      <c r="FX171" s="129">
        <v>18.600000000000001</v>
      </c>
      <c r="FZ171" s="27">
        <v>42.200000000000017</v>
      </c>
      <c r="GA171" s="27">
        <v>42.200000000000017</v>
      </c>
      <c r="GB171" s="27">
        <v>42.200000000000017</v>
      </c>
      <c r="GC171" s="27">
        <v>42.200000000000017</v>
      </c>
      <c r="GD171" s="27">
        <v>42.200000000000017</v>
      </c>
      <c r="GE171" s="27">
        <v>42.200000000000017</v>
      </c>
      <c r="GF171" s="27">
        <v>42.200000000000017</v>
      </c>
      <c r="GG171" s="27">
        <v>42.200000000000017</v>
      </c>
      <c r="GH171" s="27">
        <v>42.200000000000017</v>
      </c>
      <c r="GI171" s="129">
        <v>18.600000000000001</v>
      </c>
      <c r="GJ171" s="27"/>
      <c r="GK171" s="27">
        <v>10</v>
      </c>
      <c r="GL171" s="27">
        <v>10</v>
      </c>
      <c r="GM171" s="27">
        <v>10</v>
      </c>
      <c r="GN171" s="27">
        <v>10</v>
      </c>
      <c r="GO171" s="27">
        <v>10</v>
      </c>
      <c r="GP171" s="27">
        <v>10</v>
      </c>
      <c r="GQ171" s="27">
        <v>10</v>
      </c>
      <c r="GR171" s="27">
        <v>10</v>
      </c>
      <c r="GS171" s="27">
        <v>10</v>
      </c>
      <c r="GT171" s="129">
        <v>18.600000000000001</v>
      </c>
      <c r="GV171" s="27">
        <v>12.400000000000002</v>
      </c>
      <c r="GW171" s="27">
        <v>12.400000000000002</v>
      </c>
      <c r="GX171" s="27">
        <v>12.400000000000002</v>
      </c>
      <c r="GY171" s="27">
        <v>12.400000000000002</v>
      </c>
      <c r="GZ171" s="27">
        <v>12.400000000000002</v>
      </c>
      <c r="HA171" s="27">
        <v>12.400000000000002</v>
      </c>
      <c r="HB171" s="27">
        <v>12.400000000000002</v>
      </c>
      <c r="HC171" s="27">
        <v>12.400000000000002</v>
      </c>
      <c r="HD171" s="27">
        <v>12.400000000000002</v>
      </c>
      <c r="HE171" s="129">
        <v>18.600000000000001</v>
      </c>
      <c r="HG171" s="27">
        <v>16.399999999999991</v>
      </c>
      <c r="HH171" s="27">
        <v>16.399999999999991</v>
      </c>
      <c r="HI171" s="27">
        <v>16.399999999999991</v>
      </c>
      <c r="HJ171" s="27">
        <v>16.399999999999991</v>
      </c>
      <c r="HK171" s="27">
        <v>16.399999999999991</v>
      </c>
      <c r="HL171" s="27">
        <v>16.399999999999991</v>
      </c>
      <c r="HM171" s="27">
        <v>16.399999999999991</v>
      </c>
      <c r="HN171" s="27">
        <v>16.399999999999991</v>
      </c>
      <c r="HO171" s="27">
        <v>16.399999999999991</v>
      </c>
      <c r="HP171" s="129">
        <v>18.600000000000001</v>
      </c>
      <c r="HR171" s="27">
        <v>16.399999999999991</v>
      </c>
      <c r="HS171" s="27">
        <v>16.399999999999991</v>
      </c>
      <c r="HT171" s="27">
        <v>16.399999999999991</v>
      </c>
      <c r="HU171" s="27">
        <v>16.399999999999991</v>
      </c>
      <c r="HV171" s="27">
        <v>16.399999999999991</v>
      </c>
      <c r="HW171" s="27">
        <v>16.399999999999991</v>
      </c>
      <c r="HX171" s="27">
        <v>16.399999999999991</v>
      </c>
      <c r="HY171" s="27">
        <v>16.399999999999991</v>
      </c>
      <c r="HZ171" s="27">
        <v>16.399999999999991</v>
      </c>
      <c r="IA171" s="129">
        <v>18.600000000000001</v>
      </c>
    </row>
    <row r="172" spans="15:235" ht="18" customHeight="1">
      <c r="O172" s="17"/>
      <c r="P172" s="17"/>
      <c r="Q172" s="17"/>
      <c r="R172" s="17"/>
      <c r="S172" s="17"/>
      <c r="T172" s="17"/>
      <c r="U172" s="17"/>
      <c r="V172" s="17"/>
      <c r="W172" s="17"/>
      <c r="X172" s="129">
        <v>16.7</v>
      </c>
      <c r="Y172" s="27"/>
      <c r="Z172" s="129">
        <v>7.6000000000000032</v>
      </c>
      <c r="AA172" s="129">
        <v>7.6000000000000032</v>
      </c>
      <c r="AB172" s="129">
        <v>7.6000000000000032</v>
      </c>
      <c r="AC172" s="129">
        <v>7.6000000000000032</v>
      </c>
      <c r="AD172" s="129">
        <v>7.6000000000000032</v>
      </c>
      <c r="AE172" s="129">
        <v>7.6000000000000032</v>
      </c>
      <c r="AF172" s="129">
        <v>7.6000000000000032</v>
      </c>
      <c r="AG172" s="129">
        <v>7.6000000000000032</v>
      </c>
      <c r="AH172" s="129">
        <v>7.6000000000000032</v>
      </c>
      <c r="AI172" s="129">
        <v>16.7</v>
      </c>
      <c r="AK172" s="129">
        <v>19.899999999999995</v>
      </c>
      <c r="AL172" s="129">
        <v>19.899999999999995</v>
      </c>
      <c r="AM172" s="129">
        <v>19.899999999999995</v>
      </c>
      <c r="AN172" s="129">
        <v>19.899999999999995</v>
      </c>
      <c r="AO172" s="129">
        <v>19.899999999999995</v>
      </c>
      <c r="AP172" s="129">
        <v>19.899999999999995</v>
      </c>
      <c r="AQ172" s="129">
        <v>19.899999999999995</v>
      </c>
      <c r="AR172" s="129">
        <v>19.899999999999995</v>
      </c>
      <c r="AS172" s="129">
        <v>19.899999999999995</v>
      </c>
      <c r="AT172" s="129">
        <v>16.7</v>
      </c>
      <c r="AV172" s="129">
        <v>26.5</v>
      </c>
      <c r="AW172" s="129">
        <v>26.5</v>
      </c>
      <c r="AX172" s="129">
        <v>26.5</v>
      </c>
      <c r="AY172" s="129">
        <v>26.5</v>
      </c>
      <c r="AZ172" s="129">
        <v>26.5</v>
      </c>
      <c r="BA172" s="129">
        <v>26.5</v>
      </c>
      <c r="BB172" s="129">
        <v>26.5</v>
      </c>
      <c r="BC172" s="129">
        <v>26.5</v>
      </c>
      <c r="BD172" s="129">
        <v>26.5</v>
      </c>
      <c r="BE172" s="129">
        <v>16.7</v>
      </c>
      <c r="BG172" s="129">
        <v>35.09999999999998</v>
      </c>
      <c r="BH172" s="129">
        <v>35.09999999999998</v>
      </c>
      <c r="BI172" s="129">
        <v>35.09999999999998</v>
      </c>
      <c r="BJ172" s="129">
        <v>35.09999999999998</v>
      </c>
      <c r="BK172" s="129">
        <v>35.09999999999998</v>
      </c>
      <c r="BL172" s="129">
        <v>35.09999999999998</v>
      </c>
      <c r="BM172" s="129">
        <v>35.09999999999998</v>
      </c>
      <c r="BN172" s="129">
        <v>35.09999999999998</v>
      </c>
      <c r="BO172" s="129">
        <v>35.09999999999998</v>
      </c>
      <c r="BP172" s="129">
        <v>16.7</v>
      </c>
      <c r="BR172" s="129">
        <v>35.09999999999998</v>
      </c>
      <c r="BS172" s="129">
        <v>35.09999999999998</v>
      </c>
      <c r="BT172" s="129">
        <v>35.09999999999998</v>
      </c>
      <c r="BU172" s="129">
        <v>35.09999999999998</v>
      </c>
      <c r="BV172" s="129">
        <v>35.09999999999998</v>
      </c>
      <c r="BW172" s="129">
        <v>35.09999999999998</v>
      </c>
      <c r="BX172" s="129">
        <v>35.09999999999998</v>
      </c>
      <c r="BY172" s="129">
        <v>35.09999999999998</v>
      </c>
      <c r="BZ172" s="129">
        <v>35.09999999999998</v>
      </c>
      <c r="CA172" s="129">
        <v>16.7</v>
      </c>
      <c r="CC172" s="129">
        <v>11.300000000000002</v>
      </c>
      <c r="CD172" s="129">
        <v>11.300000000000002</v>
      </c>
      <c r="CE172" s="129">
        <v>11.300000000000002</v>
      </c>
      <c r="CF172" s="129">
        <v>11.300000000000002</v>
      </c>
      <c r="CG172" s="129">
        <v>11.300000000000002</v>
      </c>
      <c r="CH172" s="129">
        <v>11.300000000000002</v>
      </c>
      <c r="CI172" s="129">
        <v>11.300000000000002</v>
      </c>
      <c r="CJ172" s="129">
        <v>11.300000000000002</v>
      </c>
      <c r="CK172" s="129">
        <v>11.300000000000002</v>
      </c>
      <c r="CL172" s="129">
        <v>16.7</v>
      </c>
      <c r="CN172" s="129">
        <v>13.300000000000002</v>
      </c>
      <c r="CO172" s="129">
        <v>13.300000000000002</v>
      </c>
      <c r="CP172" s="129">
        <v>13.300000000000002</v>
      </c>
      <c r="CQ172" s="129">
        <v>13.300000000000002</v>
      </c>
      <c r="CR172" s="129">
        <v>13.300000000000002</v>
      </c>
      <c r="CS172" s="129">
        <v>13.300000000000002</v>
      </c>
      <c r="CT172" s="129">
        <v>13.300000000000002</v>
      </c>
      <c r="CU172" s="129">
        <v>13.300000000000002</v>
      </c>
      <c r="CV172" s="129">
        <v>13.300000000000002</v>
      </c>
      <c r="CW172" s="129">
        <v>16.7</v>
      </c>
      <c r="CY172" s="129">
        <v>18.29999999999999</v>
      </c>
      <c r="CZ172" s="129">
        <v>18.29999999999999</v>
      </c>
      <c r="DA172" s="129">
        <v>18.29999999999999</v>
      </c>
      <c r="DB172" s="129">
        <v>18.29999999999999</v>
      </c>
      <c r="DC172" s="129">
        <v>18.29999999999999</v>
      </c>
      <c r="DD172" s="129">
        <v>18.29999999999999</v>
      </c>
      <c r="DE172" s="129">
        <v>18.29999999999999</v>
      </c>
      <c r="DF172" s="129">
        <v>18.29999999999999</v>
      </c>
      <c r="DG172" s="129">
        <v>18.29999999999999</v>
      </c>
      <c r="DH172" s="129">
        <v>16.7</v>
      </c>
      <c r="DJ172" s="129">
        <v>18.29999999999999</v>
      </c>
      <c r="DK172" s="129">
        <v>18.29999999999999</v>
      </c>
      <c r="DL172" s="129">
        <v>18.29999999999999</v>
      </c>
      <c r="DM172" s="129">
        <v>18.29999999999999</v>
      </c>
      <c r="DN172" s="129">
        <v>18.29999999999999</v>
      </c>
      <c r="DO172" s="129">
        <v>18.29999999999999</v>
      </c>
      <c r="DP172" s="129">
        <v>18.29999999999999</v>
      </c>
      <c r="DQ172" s="129">
        <v>18.29999999999999</v>
      </c>
      <c r="DR172" s="129">
        <v>18.29999999999999</v>
      </c>
      <c r="DS172" s="129">
        <v>16.7</v>
      </c>
      <c r="DW172" s="27">
        <v>6.3000000000000025</v>
      </c>
      <c r="DX172" s="27">
        <v>6.3000000000000025</v>
      </c>
      <c r="DY172" s="27">
        <v>6.3000000000000025</v>
      </c>
      <c r="DZ172" s="27">
        <v>6.3000000000000025</v>
      </c>
      <c r="EA172" s="27">
        <v>6.3000000000000025</v>
      </c>
      <c r="EB172" s="27">
        <v>6.3000000000000025</v>
      </c>
      <c r="EC172" s="27">
        <v>6.3000000000000025</v>
      </c>
      <c r="ED172" s="27">
        <v>6.3000000000000025</v>
      </c>
      <c r="EE172" s="27">
        <v>6.3000000000000025</v>
      </c>
      <c r="EF172" s="129">
        <v>18.7</v>
      </c>
      <c r="EH172" s="27">
        <v>12.899999999999995</v>
      </c>
      <c r="EI172" s="27">
        <v>12.899999999999995</v>
      </c>
      <c r="EJ172" s="27">
        <v>12.899999999999995</v>
      </c>
      <c r="EK172" s="27">
        <v>12.899999999999995</v>
      </c>
      <c r="EL172" s="27">
        <v>12.899999999999995</v>
      </c>
      <c r="EM172" s="27">
        <v>12.899999999999995</v>
      </c>
      <c r="EN172" s="27">
        <v>12.899999999999995</v>
      </c>
      <c r="EO172" s="27">
        <v>12.899999999999995</v>
      </c>
      <c r="EP172" s="27">
        <v>12.899999999999995</v>
      </c>
      <c r="EQ172" s="129">
        <v>18.7</v>
      </c>
      <c r="ES172" s="27">
        <v>26.29999999999999</v>
      </c>
      <c r="ET172" s="27">
        <v>26.29999999999999</v>
      </c>
      <c r="EU172" s="27">
        <v>26.29999999999999</v>
      </c>
      <c r="EV172" s="27">
        <v>26.29999999999999</v>
      </c>
      <c r="EW172" s="27">
        <v>26.29999999999999</v>
      </c>
      <c r="EX172" s="27">
        <v>26.29999999999999</v>
      </c>
      <c r="EY172" s="27">
        <v>26.29999999999999</v>
      </c>
      <c r="EZ172" s="27">
        <v>26.29999999999999</v>
      </c>
      <c r="FA172" s="27">
        <v>26.29999999999999</v>
      </c>
      <c r="FB172" s="129">
        <v>18.7</v>
      </c>
      <c r="FD172" s="27">
        <v>27.29999999999999</v>
      </c>
      <c r="FE172" s="27">
        <v>27.29999999999999</v>
      </c>
      <c r="FF172" s="27">
        <v>27.29999999999999</v>
      </c>
      <c r="FG172" s="27">
        <v>27.29999999999999</v>
      </c>
      <c r="FH172" s="27">
        <v>27.29999999999999</v>
      </c>
      <c r="FI172" s="27">
        <v>27.29999999999999</v>
      </c>
      <c r="FJ172" s="27">
        <v>27.29999999999999</v>
      </c>
      <c r="FK172" s="27">
        <v>27.29999999999999</v>
      </c>
      <c r="FL172" s="27">
        <v>27.29999999999999</v>
      </c>
      <c r="FM172" s="129">
        <v>18.7</v>
      </c>
      <c r="FO172" s="27">
        <v>41.90000000000002</v>
      </c>
      <c r="FP172" s="27">
        <v>41.90000000000002</v>
      </c>
      <c r="FQ172" s="27">
        <v>41.90000000000002</v>
      </c>
      <c r="FR172" s="27">
        <v>41.90000000000002</v>
      </c>
      <c r="FS172" s="27">
        <v>41.90000000000002</v>
      </c>
      <c r="FT172" s="27">
        <v>41.90000000000002</v>
      </c>
      <c r="FU172" s="27">
        <v>41.90000000000002</v>
      </c>
      <c r="FV172" s="27">
        <v>41.90000000000002</v>
      </c>
      <c r="FW172" s="27">
        <v>41.90000000000002</v>
      </c>
      <c r="FX172" s="129">
        <v>18.7</v>
      </c>
      <c r="FZ172" s="27">
        <v>41.90000000000002</v>
      </c>
      <c r="GA172" s="27">
        <v>41.90000000000002</v>
      </c>
      <c r="GB172" s="27">
        <v>41.90000000000002</v>
      </c>
      <c r="GC172" s="27">
        <v>41.90000000000002</v>
      </c>
      <c r="GD172" s="27">
        <v>41.90000000000002</v>
      </c>
      <c r="GE172" s="27">
        <v>41.90000000000002</v>
      </c>
      <c r="GF172" s="27">
        <v>41.90000000000002</v>
      </c>
      <c r="GG172" s="27">
        <v>41.90000000000002</v>
      </c>
      <c r="GH172" s="27">
        <v>41.90000000000002</v>
      </c>
      <c r="GI172" s="129">
        <v>18.7</v>
      </c>
      <c r="GJ172" s="27"/>
      <c r="GK172" s="27">
        <v>10</v>
      </c>
      <c r="GL172" s="27">
        <v>10</v>
      </c>
      <c r="GM172" s="27">
        <v>10</v>
      </c>
      <c r="GN172" s="27">
        <v>10</v>
      </c>
      <c r="GO172" s="27">
        <v>10</v>
      </c>
      <c r="GP172" s="27">
        <v>10</v>
      </c>
      <c r="GQ172" s="27">
        <v>10</v>
      </c>
      <c r="GR172" s="27">
        <v>10</v>
      </c>
      <c r="GS172" s="27">
        <v>10</v>
      </c>
      <c r="GT172" s="129">
        <v>18.7</v>
      </c>
      <c r="GV172" s="27">
        <v>12.300000000000002</v>
      </c>
      <c r="GW172" s="27">
        <v>12.300000000000002</v>
      </c>
      <c r="GX172" s="27">
        <v>12.300000000000002</v>
      </c>
      <c r="GY172" s="27">
        <v>12.300000000000002</v>
      </c>
      <c r="GZ172" s="27">
        <v>12.300000000000002</v>
      </c>
      <c r="HA172" s="27">
        <v>12.300000000000002</v>
      </c>
      <c r="HB172" s="27">
        <v>12.300000000000002</v>
      </c>
      <c r="HC172" s="27">
        <v>12.300000000000002</v>
      </c>
      <c r="HD172" s="27">
        <v>12.300000000000002</v>
      </c>
      <c r="HE172" s="129">
        <v>18.7</v>
      </c>
      <c r="HG172" s="27">
        <v>16.29999999999999</v>
      </c>
      <c r="HH172" s="27">
        <v>16.29999999999999</v>
      </c>
      <c r="HI172" s="27">
        <v>16.29999999999999</v>
      </c>
      <c r="HJ172" s="27">
        <v>16.29999999999999</v>
      </c>
      <c r="HK172" s="27">
        <v>16.29999999999999</v>
      </c>
      <c r="HL172" s="27">
        <v>16.29999999999999</v>
      </c>
      <c r="HM172" s="27">
        <v>16.29999999999999</v>
      </c>
      <c r="HN172" s="27">
        <v>16.29999999999999</v>
      </c>
      <c r="HO172" s="27">
        <v>16.29999999999999</v>
      </c>
      <c r="HP172" s="129">
        <v>18.7</v>
      </c>
      <c r="HR172" s="27">
        <v>16.29999999999999</v>
      </c>
      <c r="HS172" s="27">
        <v>16.29999999999999</v>
      </c>
      <c r="HT172" s="27">
        <v>16.29999999999999</v>
      </c>
      <c r="HU172" s="27">
        <v>16.29999999999999</v>
      </c>
      <c r="HV172" s="27">
        <v>16.29999999999999</v>
      </c>
      <c r="HW172" s="27">
        <v>16.29999999999999</v>
      </c>
      <c r="HX172" s="27">
        <v>16.29999999999999</v>
      </c>
      <c r="HY172" s="27">
        <v>16.29999999999999</v>
      </c>
      <c r="HZ172" s="27">
        <v>16.29999999999999</v>
      </c>
      <c r="IA172" s="129">
        <v>18.7</v>
      </c>
    </row>
    <row r="173" spans="15:235" ht="18" customHeight="1">
      <c r="O173" s="17"/>
      <c r="P173" s="17"/>
      <c r="Q173" s="17"/>
      <c r="R173" s="17"/>
      <c r="S173" s="17"/>
      <c r="T173" s="17"/>
      <c r="U173" s="17"/>
      <c r="V173" s="17"/>
      <c r="W173" s="17"/>
      <c r="X173" s="129">
        <v>16.8</v>
      </c>
      <c r="Y173" s="27"/>
      <c r="Z173" s="129">
        <v>7.400000000000003</v>
      </c>
      <c r="AA173" s="129">
        <v>7.400000000000003</v>
      </c>
      <c r="AB173" s="129">
        <v>7.400000000000003</v>
      </c>
      <c r="AC173" s="129">
        <v>7.400000000000003</v>
      </c>
      <c r="AD173" s="129">
        <v>7.400000000000003</v>
      </c>
      <c r="AE173" s="129">
        <v>7.400000000000003</v>
      </c>
      <c r="AF173" s="129">
        <v>7.400000000000003</v>
      </c>
      <c r="AG173" s="129">
        <v>7.400000000000003</v>
      </c>
      <c r="AH173" s="129">
        <v>7.400000000000003</v>
      </c>
      <c r="AI173" s="129">
        <v>16.8</v>
      </c>
      <c r="AK173" s="129">
        <v>19.599999999999994</v>
      </c>
      <c r="AL173" s="129">
        <v>19.599999999999994</v>
      </c>
      <c r="AM173" s="129">
        <v>19.599999999999994</v>
      </c>
      <c r="AN173" s="129">
        <v>19.599999999999994</v>
      </c>
      <c r="AO173" s="129">
        <v>19.599999999999994</v>
      </c>
      <c r="AP173" s="129">
        <v>19.599999999999994</v>
      </c>
      <c r="AQ173" s="129">
        <v>19.599999999999994</v>
      </c>
      <c r="AR173" s="129">
        <v>19.599999999999994</v>
      </c>
      <c r="AS173" s="129">
        <v>19.599999999999994</v>
      </c>
      <c r="AT173" s="129">
        <v>16.8</v>
      </c>
      <c r="AV173" s="129">
        <v>26</v>
      </c>
      <c r="AW173" s="129">
        <v>26</v>
      </c>
      <c r="AX173" s="129">
        <v>26</v>
      </c>
      <c r="AY173" s="129">
        <v>26</v>
      </c>
      <c r="AZ173" s="129">
        <v>26</v>
      </c>
      <c r="BA173" s="129">
        <v>26</v>
      </c>
      <c r="BB173" s="129">
        <v>26</v>
      </c>
      <c r="BC173" s="129">
        <v>26</v>
      </c>
      <c r="BD173" s="129">
        <v>26</v>
      </c>
      <c r="BE173" s="129">
        <v>16.8</v>
      </c>
      <c r="BG173" s="129">
        <v>34.399999999999977</v>
      </c>
      <c r="BH173" s="129">
        <v>34.399999999999977</v>
      </c>
      <c r="BI173" s="129">
        <v>34.399999999999977</v>
      </c>
      <c r="BJ173" s="129">
        <v>34.399999999999977</v>
      </c>
      <c r="BK173" s="129">
        <v>34.399999999999977</v>
      </c>
      <c r="BL173" s="129">
        <v>34.399999999999977</v>
      </c>
      <c r="BM173" s="129">
        <v>34.399999999999977</v>
      </c>
      <c r="BN173" s="129">
        <v>34.399999999999977</v>
      </c>
      <c r="BO173" s="129">
        <v>34.399999999999977</v>
      </c>
      <c r="BP173" s="129">
        <v>16.8</v>
      </c>
      <c r="BR173" s="129">
        <v>34.399999999999977</v>
      </c>
      <c r="BS173" s="129">
        <v>34.399999999999977</v>
      </c>
      <c r="BT173" s="129">
        <v>34.399999999999977</v>
      </c>
      <c r="BU173" s="129">
        <v>34.399999999999977</v>
      </c>
      <c r="BV173" s="129">
        <v>34.399999999999977</v>
      </c>
      <c r="BW173" s="129">
        <v>34.399999999999977</v>
      </c>
      <c r="BX173" s="129">
        <v>34.399999999999977</v>
      </c>
      <c r="BY173" s="129">
        <v>34.399999999999977</v>
      </c>
      <c r="BZ173" s="129">
        <v>34.399999999999977</v>
      </c>
      <c r="CA173" s="129">
        <v>16.8</v>
      </c>
      <c r="CC173" s="129">
        <v>11.200000000000003</v>
      </c>
      <c r="CD173" s="129">
        <v>11.200000000000003</v>
      </c>
      <c r="CE173" s="129">
        <v>11.200000000000003</v>
      </c>
      <c r="CF173" s="129">
        <v>11.200000000000003</v>
      </c>
      <c r="CG173" s="129">
        <v>11.200000000000003</v>
      </c>
      <c r="CH173" s="129">
        <v>11.200000000000003</v>
      </c>
      <c r="CI173" s="129">
        <v>11.200000000000003</v>
      </c>
      <c r="CJ173" s="129">
        <v>11.200000000000003</v>
      </c>
      <c r="CK173" s="129">
        <v>11.200000000000003</v>
      </c>
      <c r="CL173" s="129">
        <v>16.8</v>
      </c>
      <c r="CN173" s="129">
        <v>13.200000000000003</v>
      </c>
      <c r="CO173" s="129">
        <v>13.200000000000003</v>
      </c>
      <c r="CP173" s="129">
        <v>13.200000000000003</v>
      </c>
      <c r="CQ173" s="129">
        <v>13.200000000000003</v>
      </c>
      <c r="CR173" s="129">
        <v>13.200000000000003</v>
      </c>
      <c r="CS173" s="129">
        <v>13.200000000000003</v>
      </c>
      <c r="CT173" s="129">
        <v>13.200000000000003</v>
      </c>
      <c r="CU173" s="129">
        <v>13.200000000000003</v>
      </c>
      <c r="CV173" s="129">
        <v>13.200000000000003</v>
      </c>
      <c r="CW173" s="129">
        <v>16.8</v>
      </c>
      <c r="CY173" s="129">
        <v>18.199999999999989</v>
      </c>
      <c r="CZ173" s="129">
        <v>18.199999999999989</v>
      </c>
      <c r="DA173" s="129">
        <v>18.199999999999989</v>
      </c>
      <c r="DB173" s="129">
        <v>18.199999999999989</v>
      </c>
      <c r="DC173" s="129">
        <v>18.199999999999989</v>
      </c>
      <c r="DD173" s="129">
        <v>18.199999999999989</v>
      </c>
      <c r="DE173" s="129">
        <v>18.199999999999989</v>
      </c>
      <c r="DF173" s="129">
        <v>18.199999999999989</v>
      </c>
      <c r="DG173" s="129">
        <v>18.199999999999989</v>
      </c>
      <c r="DH173" s="129">
        <v>16.8</v>
      </c>
      <c r="DJ173" s="129">
        <v>18.199999999999989</v>
      </c>
      <c r="DK173" s="129">
        <v>18.199999999999989</v>
      </c>
      <c r="DL173" s="129">
        <v>18.199999999999989</v>
      </c>
      <c r="DM173" s="129">
        <v>18.199999999999989</v>
      </c>
      <c r="DN173" s="129">
        <v>18.199999999999989</v>
      </c>
      <c r="DO173" s="129">
        <v>18.199999999999989</v>
      </c>
      <c r="DP173" s="129">
        <v>18.199999999999989</v>
      </c>
      <c r="DQ173" s="129">
        <v>18.199999999999989</v>
      </c>
      <c r="DR173" s="129">
        <v>18.199999999999989</v>
      </c>
      <c r="DS173" s="129">
        <v>16.8</v>
      </c>
      <c r="DW173" s="27">
        <v>6.2000000000000028</v>
      </c>
      <c r="DX173" s="27">
        <v>6.2000000000000028</v>
      </c>
      <c r="DY173" s="27">
        <v>6.2000000000000028</v>
      </c>
      <c r="DZ173" s="27">
        <v>6.2000000000000028</v>
      </c>
      <c r="EA173" s="27">
        <v>6.2000000000000028</v>
      </c>
      <c r="EB173" s="27">
        <v>6.2000000000000028</v>
      </c>
      <c r="EC173" s="27">
        <v>6.2000000000000028</v>
      </c>
      <c r="ED173" s="27">
        <v>6.2000000000000028</v>
      </c>
      <c r="EE173" s="27">
        <v>6.2000000000000028</v>
      </c>
      <c r="EF173" s="129">
        <v>18.8</v>
      </c>
      <c r="EH173" s="27">
        <v>12.599999999999994</v>
      </c>
      <c r="EI173" s="27">
        <v>12.599999999999994</v>
      </c>
      <c r="EJ173" s="27">
        <v>12.599999999999994</v>
      </c>
      <c r="EK173" s="27">
        <v>12.599999999999994</v>
      </c>
      <c r="EL173" s="27">
        <v>12.599999999999994</v>
      </c>
      <c r="EM173" s="27">
        <v>12.599999999999994</v>
      </c>
      <c r="EN173" s="27">
        <v>12.599999999999994</v>
      </c>
      <c r="EO173" s="27">
        <v>12.599999999999994</v>
      </c>
      <c r="EP173" s="27">
        <v>12.599999999999994</v>
      </c>
      <c r="EQ173" s="129">
        <v>18.8</v>
      </c>
      <c r="ES173" s="27">
        <v>26.199999999999989</v>
      </c>
      <c r="ET173" s="27">
        <v>26.199999999999989</v>
      </c>
      <c r="EU173" s="27">
        <v>26.199999999999989</v>
      </c>
      <c r="EV173" s="27">
        <v>26.199999999999989</v>
      </c>
      <c r="EW173" s="27">
        <v>26.199999999999989</v>
      </c>
      <c r="EX173" s="27">
        <v>26.199999999999989</v>
      </c>
      <c r="EY173" s="27">
        <v>26.199999999999989</v>
      </c>
      <c r="EZ173" s="27">
        <v>26.199999999999989</v>
      </c>
      <c r="FA173" s="27">
        <v>26.199999999999989</v>
      </c>
      <c r="FB173" s="129">
        <v>18.8</v>
      </c>
      <c r="FD173" s="27">
        <v>27.199999999999989</v>
      </c>
      <c r="FE173" s="27">
        <v>27.199999999999989</v>
      </c>
      <c r="FF173" s="27">
        <v>27.199999999999989</v>
      </c>
      <c r="FG173" s="27">
        <v>27.199999999999989</v>
      </c>
      <c r="FH173" s="27">
        <v>27.199999999999989</v>
      </c>
      <c r="FI173" s="27">
        <v>27.199999999999989</v>
      </c>
      <c r="FJ173" s="27">
        <v>27.199999999999989</v>
      </c>
      <c r="FK173" s="27">
        <v>27.199999999999989</v>
      </c>
      <c r="FL173" s="27">
        <v>27.199999999999989</v>
      </c>
      <c r="FM173" s="129">
        <v>18.8</v>
      </c>
      <c r="FO173" s="27">
        <v>41.600000000000023</v>
      </c>
      <c r="FP173" s="27">
        <v>41.600000000000023</v>
      </c>
      <c r="FQ173" s="27">
        <v>41.600000000000023</v>
      </c>
      <c r="FR173" s="27">
        <v>41.600000000000023</v>
      </c>
      <c r="FS173" s="27">
        <v>41.600000000000023</v>
      </c>
      <c r="FT173" s="27">
        <v>41.600000000000023</v>
      </c>
      <c r="FU173" s="27">
        <v>41.600000000000023</v>
      </c>
      <c r="FV173" s="27">
        <v>41.600000000000023</v>
      </c>
      <c r="FW173" s="27">
        <v>41.600000000000023</v>
      </c>
      <c r="FX173" s="129">
        <v>18.8</v>
      </c>
      <c r="FZ173" s="27">
        <v>41.600000000000023</v>
      </c>
      <c r="GA173" s="27">
        <v>41.600000000000023</v>
      </c>
      <c r="GB173" s="27">
        <v>41.600000000000023</v>
      </c>
      <c r="GC173" s="27">
        <v>41.600000000000023</v>
      </c>
      <c r="GD173" s="27">
        <v>41.600000000000023</v>
      </c>
      <c r="GE173" s="27">
        <v>41.600000000000023</v>
      </c>
      <c r="GF173" s="27">
        <v>41.600000000000023</v>
      </c>
      <c r="GG173" s="27">
        <v>41.600000000000023</v>
      </c>
      <c r="GH173" s="27">
        <v>41.600000000000023</v>
      </c>
      <c r="GI173" s="129">
        <v>18.8</v>
      </c>
      <c r="GJ173" s="27"/>
      <c r="GK173" s="27">
        <v>10</v>
      </c>
      <c r="GL173" s="27">
        <v>10</v>
      </c>
      <c r="GM173" s="27">
        <v>10</v>
      </c>
      <c r="GN173" s="27">
        <v>10</v>
      </c>
      <c r="GO173" s="27">
        <v>10</v>
      </c>
      <c r="GP173" s="27">
        <v>10</v>
      </c>
      <c r="GQ173" s="27">
        <v>10</v>
      </c>
      <c r="GR173" s="27">
        <v>10</v>
      </c>
      <c r="GS173" s="27">
        <v>10</v>
      </c>
      <c r="GT173" s="129">
        <v>18.8</v>
      </c>
      <c r="GV173" s="27">
        <v>12.200000000000003</v>
      </c>
      <c r="GW173" s="27">
        <v>12.200000000000003</v>
      </c>
      <c r="GX173" s="27">
        <v>12.200000000000003</v>
      </c>
      <c r="GY173" s="27">
        <v>12.200000000000003</v>
      </c>
      <c r="GZ173" s="27">
        <v>12.200000000000003</v>
      </c>
      <c r="HA173" s="27">
        <v>12.200000000000003</v>
      </c>
      <c r="HB173" s="27">
        <v>12.200000000000003</v>
      </c>
      <c r="HC173" s="27">
        <v>12.200000000000003</v>
      </c>
      <c r="HD173" s="27">
        <v>12.200000000000003</v>
      </c>
      <c r="HE173" s="129">
        <v>18.8</v>
      </c>
      <c r="HG173" s="27">
        <v>16.199999999999989</v>
      </c>
      <c r="HH173" s="27">
        <v>16.199999999999989</v>
      </c>
      <c r="HI173" s="27">
        <v>16.199999999999989</v>
      </c>
      <c r="HJ173" s="27">
        <v>16.199999999999989</v>
      </c>
      <c r="HK173" s="27">
        <v>16.199999999999989</v>
      </c>
      <c r="HL173" s="27">
        <v>16.199999999999989</v>
      </c>
      <c r="HM173" s="27">
        <v>16.199999999999989</v>
      </c>
      <c r="HN173" s="27">
        <v>16.199999999999989</v>
      </c>
      <c r="HO173" s="27">
        <v>16.199999999999989</v>
      </c>
      <c r="HP173" s="129">
        <v>18.8</v>
      </c>
      <c r="HR173" s="27">
        <v>16.199999999999989</v>
      </c>
      <c r="HS173" s="27">
        <v>16.199999999999989</v>
      </c>
      <c r="HT173" s="27">
        <v>16.199999999999989</v>
      </c>
      <c r="HU173" s="27">
        <v>16.199999999999989</v>
      </c>
      <c r="HV173" s="27">
        <v>16.199999999999989</v>
      </c>
      <c r="HW173" s="27">
        <v>16.199999999999989</v>
      </c>
      <c r="HX173" s="27">
        <v>16.199999999999989</v>
      </c>
      <c r="HY173" s="27">
        <v>16.199999999999989</v>
      </c>
      <c r="HZ173" s="27">
        <v>16.199999999999989</v>
      </c>
      <c r="IA173" s="129">
        <v>18.8</v>
      </c>
    </row>
    <row r="174" spans="15:235" ht="18" customHeight="1">
      <c r="O174" s="17"/>
      <c r="P174" s="17"/>
      <c r="Q174" s="17"/>
      <c r="R174" s="17"/>
      <c r="S174" s="17"/>
      <c r="T174" s="17"/>
      <c r="U174" s="17"/>
      <c r="V174" s="17"/>
      <c r="W174" s="17"/>
      <c r="X174" s="129">
        <v>16.899999999999999</v>
      </c>
      <c r="Y174" s="27"/>
      <c r="Z174" s="129">
        <v>7.2000000000000028</v>
      </c>
      <c r="AA174" s="129">
        <v>7.2000000000000028</v>
      </c>
      <c r="AB174" s="129">
        <v>7.2000000000000028</v>
      </c>
      <c r="AC174" s="129">
        <v>7.2000000000000028</v>
      </c>
      <c r="AD174" s="129">
        <v>7.2000000000000028</v>
      </c>
      <c r="AE174" s="129">
        <v>7.2000000000000028</v>
      </c>
      <c r="AF174" s="129">
        <v>7.2000000000000028</v>
      </c>
      <c r="AG174" s="129">
        <v>7.2000000000000028</v>
      </c>
      <c r="AH174" s="129">
        <v>7.2000000000000028</v>
      </c>
      <c r="AI174" s="129">
        <v>16.899999999999999</v>
      </c>
      <c r="AK174" s="129">
        <v>19.299999999999994</v>
      </c>
      <c r="AL174" s="129">
        <v>19.299999999999994</v>
      </c>
      <c r="AM174" s="129">
        <v>19.299999999999994</v>
      </c>
      <c r="AN174" s="129">
        <v>19.299999999999994</v>
      </c>
      <c r="AO174" s="129">
        <v>19.299999999999994</v>
      </c>
      <c r="AP174" s="129">
        <v>19.299999999999994</v>
      </c>
      <c r="AQ174" s="129">
        <v>19.299999999999994</v>
      </c>
      <c r="AR174" s="129">
        <v>19.299999999999994</v>
      </c>
      <c r="AS174" s="129">
        <v>19.299999999999994</v>
      </c>
      <c r="AT174" s="129">
        <v>16.899999999999999</v>
      </c>
      <c r="AV174" s="129">
        <v>25.5</v>
      </c>
      <c r="AW174" s="129">
        <v>25.5</v>
      </c>
      <c r="AX174" s="129">
        <v>25.5</v>
      </c>
      <c r="AY174" s="129">
        <v>25.5</v>
      </c>
      <c r="AZ174" s="129">
        <v>25.5</v>
      </c>
      <c r="BA174" s="129">
        <v>25.5</v>
      </c>
      <c r="BB174" s="129">
        <v>25.5</v>
      </c>
      <c r="BC174" s="129">
        <v>25.5</v>
      </c>
      <c r="BD174" s="129">
        <v>25.5</v>
      </c>
      <c r="BE174" s="129">
        <v>16.899999999999999</v>
      </c>
      <c r="BG174" s="129">
        <v>33.699999999999974</v>
      </c>
      <c r="BH174" s="129">
        <v>33.699999999999974</v>
      </c>
      <c r="BI174" s="129">
        <v>33.699999999999974</v>
      </c>
      <c r="BJ174" s="129">
        <v>33.699999999999974</v>
      </c>
      <c r="BK174" s="129">
        <v>33.699999999999974</v>
      </c>
      <c r="BL174" s="129">
        <v>33.699999999999974</v>
      </c>
      <c r="BM174" s="129">
        <v>33.699999999999974</v>
      </c>
      <c r="BN174" s="129">
        <v>33.699999999999974</v>
      </c>
      <c r="BO174" s="129">
        <v>33.699999999999974</v>
      </c>
      <c r="BP174" s="129">
        <v>16.899999999999999</v>
      </c>
      <c r="BR174" s="129">
        <v>33.699999999999974</v>
      </c>
      <c r="BS174" s="129">
        <v>33.699999999999974</v>
      </c>
      <c r="BT174" s="129">
        <v>33.699999999999974</v>
      </c>
      <c r="BU174" s="129">
        <v>33.699999999999974</v>
      </c>
      <c r="BV174" s="129">
        <v>33.699999999999974</v>
      </c>
      <c r="BW174" s="129">
        <v>33.699999999999974</v>
      </c>
      <c r="BX174" s="129">
        <v>33.699999999999974</v>
      </c>
      <c r="BY174" s="129">
        <v>33.699999999999974</v>
      </c>
      <c r="BZ174" s="129">
        <v>33.699999999999974</v>
      </c>
      <c r="CA174" s="129">
        <v>16.899999999999999</v>
      </c>
      <c r="CC174" s="129">
        <v>11.100000000000003</v>
      </c>
      <c r="CD174" s="129">
        <v>11.100000000000003</v>
      </c>
      <c r="CE174" s="129">
        <v>11.100000000000003</v>
      </c>
      <c r="CF174" s="129">
        <v>11.100000000000003</v>
      </c>
      <c r="CG174" s="129">
        <v>11.100000000000003</v>
      </c>
      <c r="CH174" s="129">
        <v>11.100000000000003</v>
      </c>
      <c r="CI174" s="129">
        <v>11.100000000000003</v>
      </c>
      <c r="CJ174" s="129">
        <v>11.100000000000003</v>
      </c>
      <c r="CK174" s="129">
        <v>11.100000000000003</v>
      </c>
      <c r="CL174" s="129">
        <v>16.899999999999999</v>
      </c>
      <c r="CN174" s="129">
        <v>13.100000000000003</v>
      </c>
      <c r="CO174" s="129">
        <v>13.100000000000003</v>
      </c>
      <c r="CP174" s="129">
        <v>13.100000000000003</v>
      </c>
      <c r="CQ174" s="129">
        <v>13.100000000000003</v>
      </c>
      <c r="CR174" s="129">
        <v>13.100000000000003</v>
      </c>
      <c r="CS174" s="129">
        <v>13.100000000000003</v>
      </c>
      <c r="CT174" s="129">
        <v>13.100000000000003</v>
      </c>
      <c r="CU174" s="129">
        <v>13.100000000000003</v>
      </c>
      <c r="CV174" s="129">
        <v>13.100000000000003</v>
      </c>
      <c r="CW174" s="129">
        <v>16.899999999999999</v>
      </c>
      <c r="CY174" s="129">
        <v>18.099999999999987</v>
      </c>
      <c r="CZ174" s="129">
        <v>18.099999999999987</v>
      </c>
      <c r="DA174" s="129">
        <v>18.099999999999987</v>
      </c>
      <c r="DB174" s="129">
        <v>18.099999999999987</v>
      </c>
      <c r="DC174" s="129">
        <v>18.099999999999987</v>
      </c>
      <c r="DD174" s="129">
        <v>18.099999999999987</v>
      </c>
      <c r="DE174" s="129">
        <v>18.099999999999987</v>
      </c>
      <c r="DF174" s="129">
        <v>18.099999999999987</v>
      </c>
      <c r="DG174" s="129">
        <v>18.099999999999987</v>
      </c>
      <c r="DH174" s="129">
        <v>16.899999999999999</v>
      </c>
      <c r="DJ174" s="129">
        <v>18.099999999999987</v>
      </c>
      <c r="DK174" s="129">
        <v>18.099999999999987</v>
      </c>
      <c r="DL174" s="129">
        <v>18.099999999999987</v>
      </c>
      <c r="DM174" s="129">
        <v>18.099999999999987</v>
      </c>
      <c r="DN174" s="129">
        <v>18.099999999999987</v>
      </c>
      <c r="DO174" s="129">
        <v>18.099999999999987</v>
      </c>
      <c r="DP174" s="129">
        <v>18.099999999999987</v>
      </c>
      <c r="DQ174" s="129">
        <v>18.099999999999987</v>
      </c>
      <c r="DR174" s="129">
        <v>18.099999999999987</v>
      </c>
      <c r="DS174" s="129">
        <v>16.899999999999999</v>
      </c>
      <c r="DW174" s="27">
        <v>6.1000000000000032</v>
      </c>
      <c r="DX174" s="27">
        <v>6.1000000000000032</v>
      </c>
      <c r="DY174" s="27">
        <v>6.1000000000000032</v>
      </c>
      <c r="DZ174" s="27">
        <v>6.1000000000000032</v>
      </c>
      <c r="EA174" s="27">
        <v>6.1000000000000032</v>
      </c>
      <c r="EB174" s="27">
        <v>6.1000000000000032</v>
      </c>
      <c r="EC174" s="27">
        <v>6.1000000000000032</v>
      </c>
      <c r="ED174" s="27">
        <v>6.1000000000000032</v>
      </c>
      <c r="EE174" s="27">
        <v>6.1000000000000032</v>
      </c>
      <c r="EF174" s="129">
        <v>18.899999999999999</v>
      </c>
      <c r="EH174" s="27">
        <v>12.299999999999994</v>
      </c>
      <c r="EI174" s="27">
        <v>12.299999999999994</v>
      </c>
      <c r="EJ174" s="27">
        <v>12.299999999999994</v>
      </c>
      <c r="EK174" s="27">
        <v>12.299999999999994</v>
      </c>
      <c r="EL174" s="27">
        <v>12.299999999999994</v>
      </c>
      <c r="EM174" s="27">
        <v>12.299999999999994</v>
      </c>
      <c r="EN174" s="27">
        <v>12.299999999999994</v>
      </c>
      <c r="EO174" s="27">
        <v>12.299999999999994</v>
      </c>
      <c r="EP174" s="27">
        <v>12.299999999999994</v>
      </c>
      <c r="EQ174" s="129">
        <v>18.899999999999999</v>
      </c>
      <c r="ES174" s="27">
        <v>26.099999999999987</v>
      </c>
      <c r="ET174" s="27">
        <v>26.099999999999987</v>
      </c>
      <c r="EU174" s="27">
        <v>26.099999999999987</v>
      </c>
      <c r="EV174" s="27">
        <v>26.099999999999987</v>
      </c>
      <c r="EW174" s="27">
        <v>26.099999999999987</v>
      </c>
      <c r="EX174" s="27">
        <v>26.099999999999987</v>
      </c>
      <c r="EY174" s="27">
        <v>26.099999999999987</v>
      </c>
      <c r="EZ174" s="27">
        <v>26.099999999999987</v>
      </c>
      <c r="FA174" s="27">
        <v>26.099999999999987</v>
      </c>
      <c r="FB174" s="129">
        <v>18.899999999999999</v>
      </c>
      <c r="FD174" s="27">
        <v>27.099999999999987</v>
      </c>
      <c r="FE174" s="27">
        <v>27.099999999999987</v>
      </c>
      <c r="FF174" s="27">
        <v>27.099999999999987</v>
      </c>
      <c r="FG174" s="27">
        <v>27.099999999999987</v>
      </c>
      <c r="FH174" s="27">
        <v>27.099999999999987</v>
      </c>
      <c r="FI174" s="27">
        <v>27.099999999999987</v>
      </c>
      <c r="FJ174" s="27">
        <v>27.099999999999987</v>
      </c>
      <c r="FK174" s="27">
        <v>27.099999999999987</v>
      </c>
      <c r="FL174" s="27">
        <v>27.099999999999987</v>
      </c>
      <c r="FM174" s="129">
        <v>18.899999999999999</v>
      </c>
      <c r="FO174" s="27">
        <v>41.300000000000026</v>
      </c>
      <c r="FP174" s="27">
        <v>41.300000000000026</v>
      </c>
      <c r="FQ174" s="27">
        <v>41.300000000000026</v>
      </c>
      <c r="FR174" s="27">
        <v>41.300000000000026</v>
      </c>
      <c r="FS174" s="27">
        <v>41.300000000000026</v>
      </c>
      <c r="FT174" s="27">
        <v>41.300000000000026</v>
      </c>
      <c r="FU174" s="27">
        <v>41.300000000000026</v>
      </c>
      <c r="FV174" s="27">
        <v>41.300000000000026</v>
      </c>
      <c r="FW174" s="27">
        <v>41.300000000000026</v>
      </c>
      <c r="FX174" s="129">
        <v>18.899999999999999</v>
      </c>
      <c r="FZ174" s="27">
        <v>41.300000000000026</v>
      </c>
      <c r="GA174" s="27">
        <v>41.300000000000026</v>
      </c>
      <c r="GB174" s="27">
        <v>41.300000000000026</v>
      </c>
      <c r="GC174" s="27">
        <v>41.300000000000026</v>
      </c>
      <c r="GD174" s="27">
        <v>41.300000000000026</v>
      </c>
      <c r="GE174" s="27">
        <v>41.300000000000026</v>
      </c>
      <c r="GF174" s="27">
        <v>41.300000000000026</v>
      </c>
      <c r="GG174" s="27">
        <v>41.300000000000026</v>
      </c>
      <c r="GH174" s="27">
        <v>41.300000000000026</v>
      </c>
      <c r="GI174" s="129">
        <v>18.899999999999999</v>
      </c>
      <c r="GJ174" s="27"/>
      <c r="GK174" s="27">
        <v>10</v>
      </c>
      <c r="GL174" s="27">
        <v>10</v>
      </c>
      <c r="GM174" s="27">
        <v>10</v>
      </c>
      <c r="GN174" s="27">
        <v>10</v>
      </c>
      <c r="GO174" s="27">
        <v>10</v>
      </c>
      <c r="GP174" s="27">
        <v>10</v>
      </c>
      <c r="GQ174" s="27">
        <v>10</v>
      </c>
      <c r="GR174" s="27">
        <v>10</v>
      </c>
      <c r="GS174" s="27">
        <v>10</v>
      </c>
      <c r="GT174" s="129">
        <v>18.899999999999999</v>
      </c>
      <c r="GV174" s="27">
        <v>12.100000000000003</v>
      </c>
      <c r="GW174" s="27">
        <v>12.100000000000003</v>
      </c>
      <c r="GX174" s="27">
        <v>12.100000000000003</v>
      </c>
      <c r="GY174" s="27">
        <v>12.100000000000003</v>
      </c>
      <c r="GZ174" s="27">
        <v>12.100000000000003</v>
      </c>
      <c r="HA174" s="27">
        <v>12.100000000000003</v>
      </c>
      <c r="HB174" s="27">
        <v>12.100000000000003</v>
      </c>
      <c r="HC174" s="27">
        <v>12.100000000000003</v>
      </c>
      <c r="HD174" s="27">
        <v>12.100000000000003</v>
      </c>
      <c r="HE174" s="129">
        <v>18.899999999999999</v>
      </c>
      <c r="HG174" s="27">
        <v>16.099999999999987</v>
      </c>
      <c r="HH174" s="27">
        <v>16.099999999999987</v>
      </c>
      <c r="HI174" s="27">
        <v>16.099999999999987</v>
      </c>
      <c r="HJ174" s="27">
        <v>16.099999999999987</v>
      </c>
      <c r="HK174" s="27">
        <v>16.099999999999987</v>
      </c>
      <c r="HL174" s="27">
        <v>16.099999999999987</v>
      </c>
      <c r="HM174" s="27">
        <v>16.099999999999987</v>
      </c>
      <c r="HN174" s="27">
        <v>16.099999999999987</v>
      </c>
      <c r="HO174" s="27">
        <v>16.099999999999987</v>
      </c>
      <c r="HP174" s="129">
        <v>18.899999999999999</v>
      </c>
      <c r="HR174" s="27">
        <v>16.099999999999987</v>
      </c>
      <c r="HS174" s="27">
        <v>16.099999999999987</v>
      </c>
      <c r="HT174" s="27">
        <v>16.099999999999987</v>
      </c>
      <c r="HU174" s="27">
        <v>16.099999999999987</v>
      </c>
      <c r="HV174" s="27">
        <v>16.099999999999987</v>
      </c>
      <c r="HW174" s="27">
        <v>16.099999999999987</v>
      </c>
      <c r="HX174" s="27">
        <v>16.099999999999987</v>
      </c>
      <c r="HY174" s="27">
        <v>16.099999999999987</v>
      </c>
      <c r="HZ174" s="27">
        <v>16.099999999999987</v>
      </c>
      <c r="IA174" s="129">
        <v>18.899999999999999</v>
      </c>
    </row>
    <row r="175" spans="15:235" ht="18" customHeight="1">
      <c r="O175" s="17"/>
      <c r="P175" s="17"/>
      <c r="Q175" s="17"/>
      <c r="R175" s="17"/>
      <c r="S175" s="17"/>
      <c r="T175" s="17"/>
      <c r="U175" s="17"/>
      <c r="V175" s="17"/>
      <c r="W175" s="17"/>
      <c r="X175" s="129">
        <v>17</v>
      </c>
      <c r="Y175" s="27"/>
      <c r="Z175" s="129">
        <v>7</v>
      </c>
      <c r="AA175" s="129">
        <v>7</v>
      </c>
      <c r="AB175" s="129">
        <v>7</v>
      </c>
      <c r="AC175" s="129">
        <v>7</v>
      </c>
      <c r="AD175" s="129">
        <v>7</v>
      </c>
      <c r="AE175" s="129">
        <v>7</v>
      </c>
      <c r="AF175" s="129">
        <v>7</v>
      </c>
      <c r="AG175" s="129">
        <v>7</v>
      </c>
      <c r="AH175" s="129">
        <v>7</v>
      </c>
      <c r="AI175" s="129">
        <v>17</v>
      </c>
      <c r="AK175" s="129">
        <v>19</v>
      </c>
      <c r="AL175" s="129">
        <v>19</v>
      </c>
      <c r="AM175" s="129">
        <v>19</v>
      </c>
      <c r="AN175" s="129">
        <v>19</v>
      </c>
      <c r="AO175" s="129">
        <v>19</v>
      </c>
      <c r="AP175" s="129">
        <v>19</v>
      </c>
      <c r="AQ175" s="129">
        <v>19</v>
      </c>
      <c r="AR175" s="129">
        <v>19</v>
      </c>
      <c r="AS175" s="129">
        <v>19</v>
      </c>
      <c r="AT175" s="129">
        <v>17</v>
      </c>
      <c r="AV175" s="129">
        <v>25</v>
      </c>
      <c r="AW175" s="129">
        <v>25</v>
      </c>
      <c r="AX175" s="129">
        <v>25</v>
      </c>
      <c r="AY175" s="129">
        <v>25</v>
      </c>
      <c r="AZ175" s="129">
        <v>25</v>
      </c>
      <c r="BA175" s="129">
        <v>25</v>
      </c>
      <c r="BB175" s="129">
        <v>25</v>
      </c>
      <c r="BC175" s="129">
        <v>25</v>
      </c>
      <c r="BD175" s="129">
        <v>25</v>
      </c>
      <c r="BE175" s="129">
        <v>17</v>
      </c>
      <c r="BG175" s="129">
        <v>33</v>
      </c>
      <c r="BH175" s="129">
        <v>33</v>
      </c>
      <c r="BI175" s="129">
        <v>33</v>
      </c>
      <c r="BJ175" s="129">
        <v>33</v>
      </c>
      <c r="BK175" s="129">
        <v>33</v>
      </c>
      <c r="BL175" s="129">
        <v>33</v>
      </c>
      <c r="BM175" s="129">
        <v>33</v>
      </c>
      <c r="BN175" s="129">
        <v>33</v>
      </c>
      <c r="BO175" s="129">
        <v>33</v>
      </c>
      <c r="BP175" s="129">
        <v>17</v>
      </c>
      <c r="BR175" s="129">
        <v>33</v>
      </c>
      <c r="BS175" s="129">
        <v>33</v>
      </c>
      <c r="BT175" s="129">
        <v>33</v>
      </c>
      <c r="BU175" s="129">
        <v>33</v>
      </c>
      <c r="BV175" s="129">
        <v>33</v>
      </c>
      <c r="BW175" s="129">
        <v>33</v>
      </c>
      <c r="BX175" s="129">
        <v>33</v>
      </c>
      <c r="BY175" s="129">
        <v>33</v>
      </c>
      <c r="BZ175" s="129">
        <v>33</v>
      </c>
      <c r="CA175" s="129">
        <v>17</v>
      </c>
      <c r="CC175" s="129">
        <v>11</v>
      </c>
      <c r="CD175" s="129">
        <v>11</v>
      </c>
      <c r="CE175" s="129">
        <v>11</v>
      </c>
      <c r="CF175" s="129">
        <v>11</v>
      </c>
      <c r="CG175" s="129">
        <v>11</v>
      </c>
      <c r="CH175" s="129">
        <v>11</v>
      </c>
      <c r="CI175" s="129">
        <v>11</v>
      </c>
      <c r="CJ175" s="129">
        <v>11</v>
      </c>
      <c r="CK175" s="129">
        <v>11</v>
      </c>
      <c r="CL175" s="129">
        <v>17</v>
      </c>
      <c r="CN175" s="129">
        <v>13</v>
      </c>
      <c r="CO175" s="129">
        <v>13</v>
      </c>
      <c r="CP175" s="129">
        <v>13</v>
      </c>
      <c r="CQ175" s="129">
        <v>13</v>
      </c>
      <c r="CR175" s="129">
        <v>13</v>
      </c>
      <c r="CS175" s="129">
        <v>13</v>
      </c>
      <c r="CT175" s="129">
        <v>13</v>
      </c>
      <c r="CU175" s="129">
        <v>13</v>
      </c>
      <c r="CV175" s="129">
        <v>13</v>
      </c>
      <c r="CW175" s="129">
        <v>17</v>
      </c>
      <c r="CY175" s="129">
        <v>18</v>
      </c>
      <c r="CZ175" s="129">
        <v>18</v>
      </c>
      <c r="DA175" s="129">
        <v>18</v>
      </c>
      <c r="DB175" s="129">
        <v>18</v>
      </c>
      <c r="DC175" s="129">
        <v>18</v>
      </c>
      <c r="DD175" s="129">
        <v>18</v>
      </c>
      <c r="DE175" s="129">
        <v>18</v>
      </c>
      <c r="DF175" s="129">
        <v>18</v>
      </c>
      <c r="DG175" s="129">
        <v>18</v>
      </c>
      <c r="DH175" s="129">
        <v>17</v>
      </c>
      <c r="DJ175" s="129">
        <v>18</v>
      </c>
      <c r="DK175" s="129">
        <v>18</v>
      </c>
      <c r="DL175" s="129">
        <v>18</v>
      </c>
      <c r="DM175" s="129">
        <v>18</v>
      </c>
      <c r="DN175" s="129">
        <v>18</v>
      </c>
      <c r="DO175" s="129">
        <v>18</v>
      </c>
      <c r="DP175" s="129">
        <v>18</v>
      </c>
      <c r="DQ175" s="129">
        <v>18</v>
      </c>
      <c r="DR175" s="129">
        <v>18</v>
      </c>
      <c r="DS175" s="129">
        <v>17</v>
      </c>
      <c r="DW175" s="27">
        <v>6</v>
      </c>
      <c r="DX175" s="27">
        <v>6</v>
      </c>
      <c r="DY175" s="27">
        <v>6</v>
      </c>
      <c r="DZ175" s="27">
        <v>6</v>
      </c>
      <c r="EA175" s="27">
        <v>6</v>
      </c>
      <c r="EB175" s="27">
        <v>6</v>
      </c>
      <c r="EC175" s="27">
        <v>6</v>
      </c>
      <c r="ED175" s="27">
        <v>6</v>
      </c>
      <c r="EE175" s="27">
        <v>6</v>
      </c>
      <c r="EF175" s="129">
        <v>19</v>
      </c>
      <c r="EH175" s="27">
        <v>12</v>
      </c>
      <c r="EI175" s="27">
        <v>12</v>
      </c>
      <c r="EJ175" s="27">
        <v>12</v>
      </c>
      <c r="EK175" s="27">
        <v>12</v>
      </c>
      <c r="EL175" s="27">
        <v>12</v>
      </c>
      <c r="EM175" s="27">
        <v>12</v>
      </c>
      <c r="EN175" s="27">
        <v>12</v>
      </c>
      <c r="EO175" s="27">
        <v>12</v>
      </c>
      <c r="EP175" s="27">
        <v>12</v>
      </c>
      <c r="EQ175" s="129">
        <v>19</v>
      </c>
      <c r="ES175" s="27">
        <v>26</v>
      </c>
      <c r="ET175" s="27">
        <v>26</v>
      </c>
      <c r="EU175" s="27">
        <v>26</v>
      </c>
      <c r="EV175" s="27">
        <v>26</v>
      </c>
      <c r="EW175" s="27">
        <v>26</v>
      </c>
      <c r="EX175" s="27">
        <v>26</v>
      </c>
      <c r="EY175" s="27">
        <v>26</v>
      </c>
      <c r="EZ175" s="27">
        <v>26</v>
      </c>
      <c r="FA175" s="27">
        <v>26</v>
      </c>
      <c r="FB175" s="129">
        <v>19</v>
      </c>
      <c r="FD175" s="27">
        <v>27</v>
      </c>
      <c r="FE175" s="27">
        <v>27</v>
      </c>
      <c r="FF175" s="27">
        <v>27</v>
      </c>
      <c r="FG175" s="27">
        <v>27</v>
      </c>
      <c r="FH175" s="27">
        <v>27</v>
      </c>
      <c r="FI175" s="27">
        <v>27</v>
      </c>
      <c r="FJ175" s="27">
        <v>27</v>
      </c>
      <c r="FK175" s="27">
        <v>27</v>
      </c>
      <c r="FL175" s="27">
        <v>27</v>
      </c>
      <c r="FM175" s="129">
        <v>19</v>
      </c>
      <c r="FO175" s="27">
        <v>41</v>
      </c>
      <c r="FP175" s="27">
        <v>41</v>
      </c>
      <c r="FQ175" s="27">
        <v>41</v>
      </c>
      <c r="FR175" s="27">
        <v>41</v>
      </c>
      <c r="FS175" s="27">
        <v>41</v>
      </c>
      <c r="FT175" s="27">
        <v>41</v>
      </c>
      <c r="FU175" s="27">
        <v>41</v>
      </c>
      <c r="FV175" s="27">
        <v>41</v>
      </c>
      <c r="FW175" s="27">
        <v>41</v>
      </c>
      <c r="FX175" s="129">
        <v>19</v>
      </c>
      <c r="FZ175" s="27">
        <v>41</v>
      </c>
      <c r="GA175" s="27">
        <v>41</v>
      </c>
      <c r="GB175" s="27">
        <v>41</v>
      </c>
      <c r="GC175" s="27">
        <v>41</v>
      </c>
      <c r="GD175" s="27">
        <v>41</v>
      </c>
      <c r="GE175" s="27">
        <v>41</v>
      </c>
      <c r="GF175" s="27">
        <v>41</v>
      </c>
      <c r="GG175" s="27">
        <v>41</v>
      </c>
      <c r="GH175" s="27">
        <v>41</v>
      </c>
      <c r="GI175" s="129">
        <v>19</v>
      </c>
      <c r="GJ175" s="27"/>
      <c r="GK175" s="27">
        <v>10</v>
      </c>
      <c r="GL175" s="27">
        <v>10</v>
      </c>
      <c r="GM175" s="27">
        <v>10</v>
      </c>
      <c r="GN175" s="27">
        <v>10</v>
      </c>
      <c r="GO175" s="27">
        <v>10</v>
      </c>
      <c r="GP175" s="27">
        <v>10</v>
      </c>
      <c r="GQ175" s="27">
        <v>10</v>
      </c>
      <c r="GR175" s="27">
        <v>10</v>
      </c>
      <c r="GS175" s="27">
        <v>10</v>
      </c>
      <c r="GT175" s="129">
        <v>19</v>
      </c>
      <c r="GV175" s="27">
        <v>12</v>
      </c>
      <c r="GW175" s="27">
        <v>12</v>
      </c>
      <c r="GX175" s="27">
        <v>12</v>
      </c>
      <c r="GY175" s="27">
        <v>12</v>
      </c>
      <c r="GZ175" s="27">
        <v>12</v>
      </c>
      <c r="HA175" s="27">
        <v>12</v>
      </c>
      <c r="HB175" s="27">
        <v>12</v>
      </c>
      <c r="HC175" s="27">
        <v>12</v>
      </c>
      <c r="HD175" s="27">
        <v>12</v>
      </c>
      <c r="HE175" s="129">
        <v>19</v>
      </c>
      <c r="HG175" s="27">
        <v>16</v>
      </c>
      <c r="HH175" s="27">
        <v>16</v>
      </c>
      <c r="HI175" s="27">
        <v>16</v>
      </c>
      <c r="HJ175" s="27">
        <v>16</v>
      </c>
      <c r="HK175" s="27">
        <v>16</v>
      </c>
      <c r="HL175" s="27">
        <v>16</v>
      </c>
      <c r="HM175" s="27">
        <v>16</v>
      </c>
      <c r="HN175" s="27">
        <v>16</v>
      </c>
      <c r="HO175" s="27">
        <v>16</v>
      </c>
      <c r="HP175" s="129">
        <v>19</v>
      </c>
      <c r="HR175" s="27">
        <v>16</v>
      </c>
      <c r="HS175" s="27">
        <v>16</v>
      </c>
      <c r="HT175" s="27">
        <v>16</v>
      </c>
      <c r="HU175" s="27">
        <v>16</v>
      </c>
      <c r="HV175" s="27">
        <v>16</v>
      </c>
      <c r="HW175" s="27">
        <v>16</v>
      </c>
      <c r="HX175" s="27">
        <v>16</v>
      </c>
      <c r="HY175" s="27">
        <v>16</v>
      </c>
      <c r="HZ175" s="27">
        <v>16</v>
      </c>
      <c r="IA175" s="129">
        <v>19</v>
      </c>
    </row>
    <row r="176" spans="15:235" ht="18" customHeight="1">
      <c r="O176" s="515"/>
      <c r="P176" s="515"/>
      <c r="Q176" s="515"/>
      <c r="R176" s="515"/>
      <c r="S176" s="515"/>
      <c r="T176" s="515"/>
      <c r="U176" s="515"/>
      <c r="V176" s="515"/>
      <c r="W176" s="515"/>
      <c r="X176" s="129">
        <v>17.100000000000001</v>
      </c>
      <c r="Y176" s="27"/>
      <c r="Z176" s="129">
        <v>6.9</v>
      </c>
      <c r="AA176" s="129">
        <v>6.9</v>
      </c>
      <c r="AB176" s="129">
        <v>6.9</v>
      </c>
      <c r="AC176" s="129">
        <v>6.9</v>
      </c>
      <c r="AD176" s="129">
        <v>6.9</v>
      </c>
      <c r="AE176" s="129">
        <v>6.9</v>
      </c>
      <c r="AF176" s="129">
        <v>6.9</v>
      </c>
      <c r="AG176" s="129">
        <v>6.9</v>
      </c>
      <c r="AH176" s="129">
        <v>6.9</v>
      </c>
      <c r="AI176" s="129">
        <v>17.100000000000001</v>
      </c>
      <c r="AK176" s="129">
        <v>18.7</v>
      </c>
      <c r="AL176" s="129">
        <v>18.7</v>
      </c>
      <c r="AM176" s="129">
        <v>18.7</v>
      </c>
      <c r="AN176" s="129">
        <v>18.7</v>
      </c>
      <c r="AO176" s="129">
        <v>18.7</v>
      </c>
      <c r="AP176" s="129">
        <v>18.7</v>
      </c>
      <c r="AQ176" s="129">
        <v>18.7</v>
      </c>
      <c r="AR176" s="129">
        <v>18.7</v>
      </c>
      <c r="AS176" s="129">
        <v>18.7</v>
      </c>
      <c r="AT176" s="129">
        <v>17.100000000000001</v>
      </c>
      <c r="AV176" s="129">
        <v>24.6</v>
      </c>
      <c r="AW176" s="129">
        <v>24.6</v>
      </c>
      <c r="AX176" s="129">
        <v>24.6</v>
      </c>
      <c r="AY176" s="129">
        <v>24.6</v>
      </c>
      <c r="AZ176" s="129">
        <v>24.6</v>
      </c>
      <c r="BA176" s="129">
        <v>24.6</v>
      </c>
      <c r="BB176" s="129">
        <v>24.6</v>
      </c>
      <c r="BC176" s="129">
        <v>24.6</v>
      </c>
      <c r="BD176" s="129">
        <v>24.6</v>
      </c>
      <c r="BE176" s="129">
        <v>17.100000000000001</v>
      </c>
      <c r="BG176" s="129">
        <v>32.5</v>
      </c>
      <c r="BH176" s="129">
        <v>32.5</v>
      </c>
      <c r="BI176" s="129">
        <v>32.5</v>
      </c>
      <c r="BJ176" s="129">
        <v>32.5</v>
      </c>
      <c r="BK176" s="129">
        <v>32.5</v>
      </c>
      <c r="BL176" s="129">
        <v>32.5</v>
      </c>
      <c r="BM176" s="129">
        <v>32.5</v>
      </c>
      <c r="BN176" s="129">
        <v>32.5</v>
      </c>
      <c r="BO176" s="129">
        <v>32.5</v>
      </c>
      <c r="BP176" s="129">
        <v>17.100000000000001</v>
      </c>
      <c r="BR176" s="129">
        <v>32.5</v>
      </c>
      <c r="BS176" s="129">
        <v>32.5</v>
      </c>
      <c r="BT176" s="129">
        <v>32.5</v>
      </c>
      <c r="BU176" s="129">
        <v>32.5</v>
      </c>
      <c r="BV176" s="129">
        <v>32.5</v>
      </c>
      <c r="BW176" s="129">
        <v>32.5</v>
      </c>
      <c r="BX176" s="129">
        <v>32.5</v>
      </c>
      <c r="BY176" s="129">
        <v>32.5</v>
      </c>
      <c r="BZ176" s="129">
        <v>32.5</v>
      </c>
      <c r="CA176" s="129">
        <v>17.100000000000001</v>
      </c>
      <c r="CC176" s="129">
        <v>10.9</v>
      </c>
      <c r="CD176" s="129">
        <v>10.9</v>
      </c>
      <c r="CE176" s="129">
        <v>10.9</v>
      </c>
      <c r="CF176" s="129">
        <v>10.9</v>
      </c>
      <c r="CG176" s="129">
        <v>10.9</v>
      </c>
      <c r="CH176" s="129">
        <v>10.9</v>
      </c>
      <c r="CI176" s="129">
        <v>10.9</v>
      </c>
      <c r="CJ176" s="129">
        <v>10.9</v>
      </c>
      <c r="CK176" s="129">
        <v>10.9</v>
      </c>
      <c r="CL176" s="129">
        <v>17.100000000000001</v>
      </c>
      <c r="CN176" s="129">
        <v>13</v>
      </c>
      <c r="CO176" s="129">
        <v>13</v>
      </c>
      <c r="CP176" s="129">
        <v>13</v>
      </c>
      <c r="CQ176" s="129">
        <v>13</v>
      </c>
      <c r="CR176" s="129">
        <v>13</v>
      </c>
      <c r="CS176" s="129">
        <v>13</v>
      </c>
      <c r="CT176" s="129">
        <v>13</v>
      </c>
      <c r="CU176" s="129">
        <v>13</v>
      </c>
      <c r="CV176" s="129">
        <v>13</v>
      </c>
      <c r="CW176" s="129">
        <v>17.100000000000001</v>
      </c>
      <c r="CY176" s="129">
        <v>17.899999999999999</v>
      </c>
      <c r="CZ176" s="129">
        <v>17.899999999999999</v>
      </c>
      <c r="DA176" s="129">
        <v>17.899999999999999</v>
      </c>
      <c r="DB176" s="129">
        <v>17.899999999999999</v>
      </c>
      <c r="DC176" s="129">
        <v>17.899999999999999</v>
      </c>
      <c r="DD176" s="129">
        <v>17.899999999999999</v>
      </c>
      <c r="DE176" s="129">
        <v>17.899999999999999</v>
      </c>
      <c r="DF176" s="129">
        <v>17.899999999999999</v>
      </c>
      <c r="DG176" s="129">
        <v>17.899999999999999</v>
      </c>
      <c r="DH176" s="129">
        <v>17.100000000000001</v>
      </c>
      <c r="DJ176" s="129">
        <v>17.899999999999999</v>
      </c>
      <c r="DK176" s="129">
        <v>17.899999999999999</v>
      </c>
      <c r="DL176" s="129">
        <v>17.899999999999999</v>
      </c>
      <c r="DM176" s="129">
        <v>17.899999999999999</v>
      </c>
      <c r="DN176" s="129">
        <v>17.899999999999999</v>
      </c>
      <c r="DO176" s="129">
        <v>17.899999999999999</v>
      </c>
      <c r="DP176" s="129">
        <v>17.899999999999999</v>
      </c>
      <c r="DQ176" s="129">
        <v>17.899999999999999</v>
      </c>
      <c r="DR176" s="129">
        <v>17.899999999999999</v>
      </c>
      <c r="DS176" s="129">
        <v>17.100000000000001</v>
      </c>
      <c r="DW176" s="27">
        <v>5.9</v>
      </c>
      <c r="DX176" s="27">
        <v>5.9</v>
      </c>
      <c r="DY176" s="27">
        <v>5.9</v>
      </c>
      <c r="DZ176" s="27">
        <v>5.9</v>
      </c>
      <c r="EA176" s="27">
        <v>5.9</v>
      </c>
      <c r="EB176" s="27">
        <v>5.9</v>
      </c>
      <c r="EC176" s="27">
        <v>5.9</v>
      </c>
      <c r="ED176" s="27">
        <v>5.9</v>
      </c>
      <c r="EE176" s="27">
        <v>5.9</v>
      </c>
      <c r="EF176" s="129">
        <v>19.100000000000001</v>
      </c>
      <c r="EH176" s="27">
        <v>11.9</v>
      </c>
      <c r="EI176" s="27">
        <v>11.9</v>
      </c>
      <c r="EJ176" s="27">
        <v>11.9</v>
      </c>
      <c r="EK176" s="27">
        <v>11.9</v>
      </c>
      <c r="EL176" s="27">
        <v>11.9</v>
      </c>
      <c r="EM176" s="27">
        <v>11.9</v>
      </c>
      <c r="EN176" s="27">
        <v>11.9</v>
      </c>
      <c r="EO176" s="27">
        <v>11.9</v>
      </c>
      <c r="EP176" s="27">
        <v>11.9</v>
      </c>
      <c r="EQ176" s="129">
        <v>19.100000000000001</v>
      </c>
      <c r="ES176" s="27">
        <v>25.8</v>
      </c>
      <c r="ET176" s="27">
        <v>25.8</v>
      </c>
      <c r="EU176" s="27">
        <v>25.8</v>
      </c>
      <c r="EV176" s="27">
        <v>25.8</v>
      </c>
      <c r="EW176" s="27">
        <v>25.8</v>
      </c>
      <c r="EX176" s="27">
        <v>25.8</v>
      </c>
      <c r="EY176" s="27">
        <v>25.8</v>
      </c>
      <c r="EZ176" s="27">
        <v>25.8</v>
      </c>
      <c r="FA176" s="27">
        <v>25.8</v>
      </c>
      <c r="FB176" s="129">
        <v>19.100000000000001</v>
      </c>
      <c r="FD176" s="27">
        <v>26.8</v>
      </c>
      <c r="FE176" s="27">
        <v>26.8</v>
      </c>
      <c r="FF176" s="27">
        <v>26.8</v>
      </c>
      <c r="FG176" s="27">
        <v>26.8</v>
      </c>
      <c r="FH176" s="27">
        <v>26.8</v>
      </c>
      <c r="FI176" s="27">
        <v>26.8</v>
      </c>
      <c r="FJ176" s="27">
        <v>26.8</v>
      </c>
      <c r="FK176" s="27">
        <v>26.8</v>
      </c>
      <c r="FL176" s="27">
        <v>26.8</v>
      </c>
      <c r="FM176" s="129">
        <v>19.100000000000001</v>
      </c>
      <c r="FO176" s="27">
        <v>40.799999999999997</v>
      </c>
      <c r="FP176" s="27">
        <v>40.799999999999997</v>
      </c>
      <c r="FQ176" s="27">
        <v>40.799999999999997</v>
      </c>
      <c r="FR176" s="27">
        <v>40.799999999999997</v>
      </c>
      <c r="FS176" s="27">
        <v>40.799999999999997</v>
      </c>
      <c r="FT176" s="27">
        <v>40.799999999999997</v>
      </c>
      <c r="FU176" s="27">
        <v>40.799999999999997</v>
      </c>
      <c r="FV176" s="27">
        <v>40.799999999999997</v>
      </c>
      <c r="FW176" s="27">
        <v>40.799999999999997</v>
      </c>
      <c r="FX176" s="129">
        <v>19.100000000000001</v>
      </c>
      <c r="FZ176" s="27">
        <v>40.799999999999997</v>
      </c>
      <c r="GA176" s="27">
        <v>40.799999999999997</v>
      </c>
      <c r="GB176" s="27">
        <v>40.799999999999997</v>
      </c>
      <c r="GC176" s="27">
        <v>40.799999999999997</v>
      </c>
      <c r="GD176" s="27">
        <v>40.799999999999997</v>
      </c>
      <c r="GE176" s="27">
        <v>40.799999999999997</v>
      </c>
      <c r="GF176" s="27">
        <v>40.799999999999997</v>
      </c>
      <c r="GG176" s="27">
        <v>40.799999999999997</v>
      </c>
      <c r="GH176" s="27">
        <v>40.799999999999997</v>
      </c>
      <c r="GI176" s="129">
        <v>19.100000000000001</v>
      </c>
      <c r="GJ176" s="27"/>
      <c r="GK176" s="27">
        <v>9.9</v>
      </c>
      <c r="GL176" s="27">
        <v>9.9</v>
      </c>
      <c r="GM176" s="27">
        <v>9.9</v>
      </c>
      <c r="GN176" s="27">
        <v>9.9</v>
      </c>
      <c r="GO176" s="27">
        <v>9.9</v>
      </c>
      <c r="GP176" s="27">
        <v>9.9</v>
      </c>
      <c r="GQ176" s="27">
        <v>9.9</v>
      </c>
      <c r="GR176" s="27">
        <v>9.9</v>
      </c>
      <c r="GS176" s="27">
        <v>9.9</v>
      </c>
      <c r="GT176" s="129">
        <v>19.100000000000001</v>
      </c>
      <c r="GV176" s="27">
        <v>11.9</v>
      </c>
      <c r="GW176" s="27">
        <v>11.9</v>
      </c>
      <c r="GX176" s="27">
        <v>11.9</v>
      </c>
      <c r="GY176" s="27">
        <v>11.9</v>
      </c>
      <c r="GZ176" s="27">
        <v>11.9</v>
      </c>
      <c r="HA176" s="27">
        <v>11.9</v>
      </c>
      <c r="HB176" s="27">
        <v>11.9</v>
      </c>
      <c r="HC176" s="27">
        <v>11.9</v>
      </c>
      <c r="HD176" s="27">
        <v>11.9</v>
      </c>
      <c r="HE176" s="129">
        <v>19.100000000000001</v>
      </c>
      <c r="HG176" s="27">
        <v>16</v>
      </c>
      <c r="HH176" s="27">
        <v>16</v>
      </c>
      <c r="HI176" s="27">
        <v>16</v>
      </c>
      <c r="HJ176" s="27">
        <v>16</v>
      </c>
      <c r="HK176" s="27">
        <v>16</v>
      </c>
      <c r="HL176" s="27">
        <v>16</v>
      </c>
      <c r="HM176" s="27">
        <v>16</v>
      </c>
      <c r="HN176" s="27">
        <v>16</v>
      </c>
      <c r="HO176" s="27">
        <v>16</v>
      </c>
      <c r="HP176" s="129">
        <v>19.100000000000001</v>
      </c>
      <c r="HR176" s="27">
        <v>16</v>
      </c>
      <c r="HS176" s="27">
        <v>16</v>
      </c>
      <c r="HT176" s="27">
        <v>16</v>
      </c>
      <c r="HU176" s="27">
        <v>16</v>
      </c>
      <c r="HV176" s="27">
        <v>16</v>
      </c>
      <c r="HW176" s="27">
        <v>16</v>
      </c>
      <c r="HX176" s="27">
        <v>16</v>
      </c>
      <c r="HY176" s="27">
        <v>16</v>
      </c>
      <c r="HZ176" s="27">
        <v>16</v>
      </c>
      <c r="IA176" s="129">
        <v>19.100000000000001</v>
      </c>
    </row>
    <row r="177" spans="15:235" ht="18" customHeight="1">
      <c r="O177" s="515"/>
      <c r="P177" s="515"/>
      <c r="Q177" s="515"/>
      <c r="R177" s="515"/>
      <c r="S177" s="515"/>
      <c r="T177" s="515"/>
      <c r="U177" s="515"/>
      <c r="V177" s="515"/>
      <c r="W177" s="515"/>
      <c r="X177" s="129">
        <v>17.2</v>
      </c>
      <c r="Y177" s="27"/>
      <c r="Z177" s="129">
        <v>6.8000000000000007</v>
      </c>
      <c r="AA177" s="129">
        <v>6.8000000000000007</v>
      </c>
      <c r="AB177" s="129">
        <v>6.8000000000000007</v>
      </c>
      <c r="AC177" s="129">
        <v>6.8000000000000007</v>
      </c>
      <c r="AD177" s="129">
        <v>6.8000000000000007</v>
      </c>
      <c r="AE177" s="129">
        <v>6.8000000000000007</v>
      </c>
      <c r="AF177" s="129">
        <v>6.8000000000000007</v>
      </c>
      <c r="AG177" s="129">
        <v>6.8000000000000007</v>
      </c>
      <c r="AH177" s="129">
        <v>6.8000000000000007</v>
      </c>
      <c r="AI177" s="129">
        <v>17.2</v>
      </c>
      <c r="AK177" s="129">
        <v>18.399999999999999</v>
      </c>
      <c r="AL177" s="129">
        <v>18.399999999999999</v>
      </c>
      <c r="AM177" s="129">
        <v>18.399999999999999</v>
      </c>
      <c r="AN177" s="129">
        <v>18.399999999999999</v>
      </c>
      <c r="AO177" s="129">
        <v>18.399999999999999</v>
      </c>
      <c r="AP177" s="129">
        <v>18.399999999999999</v>
      </c>
      <c r="AQ177" s="129">
        <v>18.399999999999999</v>
      </c>
      <c r="AR177" s="129">
        <v>18.399999999999999</v>
      </c>
      <c r="AS177" s="129">
        <v>18.399999999999999</v>
      </c>
      <c r="AT177" s="129">
        <v>17.2</v>
      </c>
      <c r="AV177" s="129">
        <v>24.200000000000003</v>
      </c>
      <c r="AW177" s="129">
        <v>24.200000000000003</v>
      </c>
      <c r="AX177" s="129">
        <v>24.200000000000003</v>
      </c>
      <c r="AY177" s="129">
        <v>24.200000000000003</v>
      </c>
      <c r="AZ177" s="129">
        <v>24.200000000000003</v>
      </c>
      <c r="BA177" s="129">
        <v>24.200000000000003</v>
      </c>
      <c r="BB177" s="129">
        <v>24.200000000000003</v>
      </c>
      <c r="BC177" s="129">
        <v>24.200000000000003</v>
      </c>
      <c r="BD177" s="129">
        <v>24.200000000000003</v>
      </c>
      <c r="BE177" s="129">
        <v>17.2</v>
      </c>
      <c r="BG177" s="129">
        <v>32</v>
      </c>
      <c r="BH177" s="129">
        <v>32</v>
      </c>
      <c r="BI177" s="129">
        <v>32</v>
      </c>
      <c r="BJ177" s="129">
        <v>32</v>
      </c>
      <c r="BK177" s="129">
        <v>32</v>
      </c>
      <c r="BL177" s="129">
        <v>32</v>
      </c>
      <c r="BM177" s="129">
        <v>32</v>
      </c>
      <c r="BN177" s="129">
        <v>32</v>
      </c>
      <c r="BO177" s="129">
        <v>32</v>
      </c>
      <c r="BP177" s="129">
        <v>17.2</v>
      </c>
      <c r="BR177" s="129">
        <v>32</v>
      </c>
      <c r="BS177" s="129">
        <v>32</v>
      </c>
      <c r="BT177" s="129">
        <v>32</v>
      </c>
      <c r="BU177" s="129">
        <v>32</v>
      </c>
      <c r="BV177" s="129">
        <v>32</v>
      </c>
      <c r="BW177" s="129">
        <v>32</v>
      </c>
      <c r="BX177" s="129">
        <v>32</v>
      </c>
      <c r="BY177" s="129">
        <v>32</v>
      </c>
      <c r="BZ177" s="129">
        <v>32</v>
      </c>
      <c r="CA177" s="129">
        <v>17.2</v>
      </c>
      <c r="CC177" s="129">
        <v>10.8</v>
      </c>
      <c r="CD177" s="129">
        <v>10.8</v>
      </c>
      <c r="CE177" s="129">
        <v>10.8</v>
      </c>
      <c r="CF177" s="129">
        <v>10.8</v>
      </c>
      <c r="CG177" s="129">
        <v>10.8</v>
      </c>
      <c r="CH177" s="129">
        <v>10.8</v>
      </c>
      <c r="CI177" s="129">
        <v>10.8</v>
      </c>
      <c r="CJ177" s="129">
        <v>10.8</v>
      </c>
      <c r="CK177" s="129">
        <v>10.8</v>
      </c>
      <c r="CL177" s="129">
        <v>17.2</v>
      </c>
      <c r="CN177" s="129">
        <v>13</v>
      </c>
      <c r="CO177" s="129">
        <v>13</v>
      </c>
      <c r="CP177" s="129">
        <v>13</v>
      </c>
      <c r="CQ177" s="129">
        <v>13</v>
      </c>
      <c r="CR177" s="129">
        <v>13</v>
      </c>
      <c r="CS177" s="129">
        <v>13</v>
      </c>
      <c r="CT177" s="129">
        <v>13</v>
      </c>
      <c r="CU177" s="129">
        <v>13</v>
      </c>
      <c r="CV177" s="129">
        <v>13</v>
      </c>
      <c r="CW177" s="129">
        <v>17.2</v>
      </c>
      <c r="CY177" s="129">
        <v>17.799999999999997</v>
      </c>
      <c r="CZ177" s="129">
        <v>17.799999999999997</v>
      </c>
      <c r="DA177" s="129">
        <v>17.799999999999997</v>
      </c>
      <c r="DB177" s="129">
        <v>17.799999999999997</v>
      </c>
      <c r="DC177" s="129">
        <v>17.799999999999997</v>
      </c>
      <c r="DD177" s="129">
        <v>17.799999999999997</v>
      </c>
      <c r="DE177" s="129">
        <v>17.799999999999997</v>
      </c>
      <c r="DF177" s="129">
        <v>17.799999999999997</v>
      </c>
      <c r="DG177" s="129">
        <v>17.799999999999997</v>
      </c>
      <c r="DH177" s="129">
        <v>17.2</v>
      </c>
      <c r="DJ177" s="129">
        <v>17.799999999999997</v>
      </c>
      <c r="DK177" s="129">
        <v>17.799999999999997</v>
      </c>
      <c r="DL177" s="129">
        <v>17.799999999999997</v>
      </c>
      <c r="DM177" s="129">
        <v>17.799999999999997</v>
      </c>
      <c r="DN177" s="129">
        <v>17.799999999999997</v>
      </c>
      <c r="DO177" s="129">
        <v>17.799999999999997</v>
      </c>
      <c r="DP177" s="129">
        <v>17.799999999999997</v>
      </c>
      <c r="DQ177" s="129">
        <v>17.799999999999997</v>
      </c>
      <c r="DR177" s="129">
        <v>17.799999999999997</v>
      </c>
      <c r="DS177" s="129">
        <v>17.2</v>
      </c>
      <c r="DW177" s="27">
        <v>5.8000000000000007</v>
      </c>
      <c r="DX177" s="27">
        <v>5.8000000000000007</v>
      </c>
      <c r="DY177" s="27">
        <v>5.8000000000000007</v>
      </c>
      <c r="DZ177" s="27">
        <v>5.8000000000000007</v>
      </c>
      <c r="EA177" s="27">
        <v>5.8000000000000007</v>
      </c>
      <c r="EB177" s="27">
        <v>5.8000000000000007</v>
      </c>
      <c r="EC177" s="27">
        <v>5.8000000000000007</v>
      </c>
      <c r="ED177" s="27">
        <v>5.8000000000000007</v>
      </c>
      <c r="EE177" s="27">
        <v>5.8000000000000007</v>
      </c>
      <c r="EF177" s="129">
        <v>19.2</v>
      </c>
      <c r="EH177" s="27">
        <v>11.8</v>
      </c>
      <c r="EI177" s="27">
        <v>11.8</v>
      </c>
      <c r="EJ177" s="27">
        <v>11.8</v>
      </c>
      <c r="EK177" s="27">
        <v>11.8</v>
      </c>
      <c r="EL177" s="27">
        <v>11.8</v>
      </c>
      <c r="EM177" s="27">
        <v>11.8</v>
      </c>
      <c r="EN177" s="27">
        <v>11.8</v>
      </c>
      <c r="EO177" s="27">
        <v>11.8</v>
      </c>
      <c r="EP177" s="27">
        <v>11.8</v>
      </c>
      <c r="EQ177" s="129">
        <v>19.2</v>
      </c>
      <c r="ES177" s="27">
        <v>25.6</v>
      </c>
      <c r="ET177" s="27">
        <v>25.6</v>
      </c>
      <c r="EU177" s="27">
        <v>25.6</v>
      </c>
      <c r="EV177" s="27">
        <v>25.6</v>
      </c>
      <c r="EW177" s="27">
        <v>25.6</v>
      </c>
      <c r="EX177" s="27">
        <v>25.6</v>
      </c>
      <c r="EY177" s="27">
        <v>25.6</v>
      </c>
      <c r="EZ177" s="27">
        <v>25.6</v>
      </c>
      <c r="FA177" s="27">
        <v>25.6</v>
      </c>
      <c r="FB177" s="129">
        <v>19.2</v>
      </c>
      <c r="FD177" s="27">
        <v>26.6</v>
      </c>
      <c r="FE177" s="27">
        <v>26.6</v>
      </c>
      <c r="FF177" s="27">
        <v>26.6</v>
      </c>
      <c r="FG177" s="27">
        <v>26.6</v>
      </c>
      <c r="FH177" s="27">
        <v>26.6</v>
      </c>
      <c r="FI177" s="27">
        <v>26.6</v>
      </c>
      <c r="FJ177" s="27">
        <v>26.6</v>
      </c>
      <c r="FK177" s="27">
        <v>26.6</v>
      </c>
      <c r="FL177" s="27">
        <v>26.6</v>
      </c>
      <c r="FM177" s="129">
        <v>19.2</v>
      </c>
      <c r="FO177" s="27">
        <v>40.599999999999994</v>
      </c>
      <c r="FP177" s="27">
        <v>40.599999999999994</v>
      </c>
      <c r="FQ177" s="27">
        <v>40.599999999999994</v>
      </c>
      <c r="FR177" s="27">
        <v>40.599999999999994</v>
      </c>
      <c r="FS177" s="27">
        <v>40.599999999999994</v>
      </c>
      <c r="FT177" s="27">
        <v>40.599999999999994</v>
      </c>
      <c r="FU177" s="27">
        <v>40.599999999999994</v>
      </c>
      <c r="FV177" s="27">
        <v>40.599999999999994</v>
      </c>
      <c r="FW177" s="27">
        <v>40.599999999999994</v>
      </c>
      <c r="FX177" s="129">
        <v>19.2</v>
      </c>
      <c r="FZ177" s="27">
        <v>40.599999999999994</v>
      </c>
      <c r="GA177" s="27">
        <v>40.599999999999994</v>
      </c>
      <c r="GB177" s="27">
        <v>40.599999999999994</v>
      </c>
      <c r="GC177" s="27">
        <v>40.599999999999994</v>
      </c>
      <c r="GD177" s="27">
        <v>40.599999999999994</v>
      </c>
      <c r="GE177" s="27">
        <v>40.599999999999994</v>
      </c>
      <c r="GF177" s="27">
        <v>40.599999999999994</v>
      </c>
      <c r="GG177" s="27">
        <v>40.599999999999994</v>
      </c>
      <c r="GH177" s="27">
        <v>40.599999999999994</v>
      </c>
      <c r="GI177" s="129">
        <v>19.2</v>
      </c>
      <c r="GJ177" s="27"/>
      <c r="GK177" s="27">
        <v>9.8000000000000007</v>
      </c>
      <c r="GL177" s="27">
        <v>9.8000000000000007</v>
      </c>
      <c r="GM177" s="27">
        <v>9.8000000000000007</v>
      </c>
      <c r="GN177" s="27">
        <v>9.8000000000000007</v>
      </c>
      <c r="GO177" s="27">
        <v>9.8000000000000007</v>
      </c>
      <c r="GP177" s="27">
        <v>9.8000000000000007</v>
      </c>
      <c r="GQ177" s="27">
        <v>9.8000000000000007</v>
      </c>
      <c r="GR177" s="27">
        <v>9.8000000000000007</v>
      </c>
      <c r="GS177" s="27">
        <v>9.8000000000000007</v>
      </c>
      <c r="GT177" s="129">
        <v>19.2</v>
      </c>
      <c r="GV177" s="27">
        <v>11.8</v>
      </c>
      <c r="GW177" s="27">
        <v>11.8</v>
      </c>
      <c r="GX177" s="27">
        <v>11.8</v>
      </c>
      <c r="GY177" s="27">
        <v>11.8</v>
      </c>
      <c r="GZ177" s="27">
        <v>11.8</v>
      </c>
      <c r="HA177" s="27">
        <v>11.8</v>
      </c>
      <c r="HB177" s="27">
        <v>11.8</v>
      </c>
      <c r="HC177" s="27">
        <v>11.8</v>
      </c>
      <c r="HD177" s="27">
        <v>11.8</v>
      </c>
      <c r="HE177" s="129">
        <v>19.2</v>
      </c>
      <c r="HG177" s="27">
        <v>16</v>
      </c>
      <c r="HH177" s="27">
        <v>16</v>
      </c>
      <c r="HI177" s="27">
        <v>16</v>
      </c>
      <c r="HJ177" s="27">
        <v>16</v>
      </c>
      <c r="HK177" s="27">
        <v>16</v>
      </c>
      <c r="HL177" s="27">
        <v>16</v>
      </c>
      <c r="HM177" s="27">
        <v>16</v>
      </c>
      <c r="HN177" s="27">
        <v>16</v>
      </c>
      <c r="HO177" s="27">
        <v>16</v>
      </c>
      <c r="HP177" s="129">
        <v>19.2</v>
      </c>
      <c r="HR177" s="27">
        <v>16</v>
      </c>
      <c r="HS177" s="27">
        <v>16</v>
      </c>
      <c r="HT177" s="27">
        <v>16</v>
      </c>
      <c r="HU177" s="27">
        <v>16</v>
      </c>
      <c r="HV177" s="27">
        <v>16</v>
      </c>
      <c r="HW177" s="27">
        <v>16</v>
      </c>
      <c r="HX177" s="27">
        <v>16</v>
      </c>
      <c r="HY177" s="27">
        <v>16</v>
      </c>
      <c r="HZ177" s="27">
        <v>16</v>
      </c>
      <c r="IA177" s="129">
        <v>19.2</v>
      </c>
    </row>
    <row r="178" spans="15:235" ht="18" customHeight="1">
      <c r="O178" s="515"/>
      <c r="P178" s="515"/>
      <c r="Q178" s="515"/>
      <c r="R178" s="515"/>
      <c r="S178" s="515"/>
      <c r="T178" s="515"/>
      <c r="U178" s="515"/>
      <c r="V178" s="515"/>
      <c r="W178" s="515"/>
      <c r="X178" s="129">
        <v>17.3</v>
      </c>
      <c r="Y178" s="27"/>
      <c r="Z178" s="129">
        <v>6.7000000000000011</v>
      </c>
      <c r="AA178" s="129">
        <v>6.7000000000000011</v>
      </c>
      <c r="AB178" s="129">
        <v>6.7000000000000011</v>
      </c>
      <c r="AC178" s="129">
        <v>6.7000000000000011</v>
      </c>
      <c r="AD178" s="129">
        <v>6.7000000000000011</v>
      </c>
      <c r="AE178" s="129">
        <v>6.7000000000000011</v>
      </c>
      <c r="AF178" s="129">
        <v>6.7000000000000011</v>
      </c>
      <c r="AG178" s="129">
        <v>6.7000000000000011</v>
      </c>
      <c r="AH178" s="129">
        <v>6.7000000000000011</v>
      </c>
      <c r="AI178" s="129">
        <v>17.3</v>
      </c>
      <c r="AK178" s="129">
        <v>18.099999999999998</v>
      </c>
      <c r="AL178" s="129">
        <v>18.099999999999998</v>
      </c>
      <c r="AM178" s="129">
        <v>18.099999999999998</v>
      </c>
      <c r="AN178" s="129">
        <v>18.099999999999998</v>
      </c>
      <c r="AO178" s="129">
        <v>18.099999999999998</v>
      </c>
      <c r="AP178" s="129">
        <v>18.099999999999998</v>
      </c>
      <c r="AQ178" s="129">
        <v>18.099999999999998</v>
      </c>
      <c r="AR178" s="129">
        <v>18.099999999999998</v>
      </c>
      <c r="AS178" s="129">
        <v>18.099999999999998</v>
      </c>
      <c r="AT178" s="129">
        <v>17.3</v>
      </c>
      <c r="AV178" s="129">
        <v>23.800000000000004</v>
      </c>
      <c r="AW178" s="129">
        <v>23.800000000000004</v>
      </c>
      <c r="AX178" s="129">
        <v>23.800000000000004</v>
      </c>
      <c r="AY178" s="129">
        <v>23.800000000000004</v>
      </c>
      <c r="AZ178" s="129">
        <v>23.800000000000004</v>
      </c>
      <c r="BA178" s="129">
        <v>23.800000000000004</v>
      </c>
      <c r="BB178" s="129">
        <v>23.800000000000004</v>
      </c>
      <c r="BC178" s="129">
        <v>23.800000000000004</v>
      </c>
      <c r="BD178" s="129">
        <v>23.800000000000004</v>
      </c>
      <c r="BE178" s="129">
        <v>17.3</v>
      </c>
      <c r="BG178" s="129">
        <v>31.5</v>
      </c>
      <c r="BH178" s="129">
        <v>31.5</v>
      </c>
      <c r="BI178" s="129">
        <v>31.5</v>
      </c>
      <c r="BJ178" s="129">
        <v>31.5</v>
      </c>
      <c r="BK178" s="129">
        <v>31.5</v>
      </c>
      <c r="BL178" s="129">
        <v>31.5</v>
      </c>
      <c r="BM178" s="129">
        <v>31.5</v>
      </c>
      <c r="BN178" s="129">
        <v>31.5</v>
      </c>
      <c r="BO178" s="129">
        <v>31.5</v>
      </c>
      <c r="BP178" s="129">
        <v>17.3</v>
      </c>
      <c r="BR178" s="129">
        <v>31.5</v>
      </c>
      <c r="BS178" s="129">
        <v>31.5</v>
      </c>
      <c r="BT178" s="129">
        <v>31.5</v>
      </c>
      <c r="BU178" s="129">
        <v>31.5</v>
      </c>
      <c r="BV178" s="129">
        <v>31.5</v>
      </c>
      <c r="BW178" s="129">
        <v>31.5</v>
      </c>
      <c r="BX178" s="129">
        <v>31.5</v>
      </c>
      <c r="BY178" s="129">
        <v>31.5</v>
      </c>
      <c r="BZ178" s="129">
        <v>31.5</v>
      </c>
      <c r="CA178" s="129">
        <v>17.3</v>
      </c>
      <c r="CC178" s="129">
        <v>10.700000000000001</v>
      </c>
      <c r="CD178" s="129">
        <v>10.700000000000001</v>
      </c>
      <c r="CE178" s="129">
        <v>10.700000000000001</v>
      </c>
      <c r="CF178" s="129">
        <v>10.700000000000001</v>
      </c>
      <c r="CG178" s="129">
        <v>10.700000000000001</v>
      </c>
      <c r="CH178" s="129">
        <v>10.700000000000001</v>
      </c>
      <c r="CI178" s="129">
        <v>10.700000000000001</v>
      </c>
      <c r="CJ178" s="129">
        <v>10.700000000000001</v>
      </c>
      <c r="CK178" s="129">
        <v>10.700000000000001</v>
      </c>
      <c r="CL178" s="129">
        <v>17.3</v>
      </c>
      <c r="CN178" s="129">
        <v>13</v>
      </c>
      <c r="CO178" s="129">
        <v>13</v>
      </c>
      <c r="CP178" s="129">
        <v>13</v>
      </c>
      <c r="CQ178" s="129">
        <v>13</v>
      </c>
      <c r="CR178" s="129">
        <v>13</v>
      </c>
      <c r="CS178" s="129">
        <v>13</v>
      </c>
      <c r="CT178" s="129">
        <v>13</v>
      </c>
      <c r="CU178" s="129">
        <v>13</v>
      </c>
      <c r="CV178" s="129">
        <v>13</v>
      </c>
      <c r="CW178" s="129">
        <v>17.3</v>
      </c>
      <c r="CY178" s="129">
        <v>17.699999999999996</v>
      </c>
      <c r="CZ178" s="129">
        <v>17.699999999999996</v>
      </c>
      <c r="DA178" s="129">
        <v>17.699999999999996</v>
      </c>
      <c r="DB178" s="129">
        <v>17.699999999999996</v>
      </c>
      <c r="DC178" s="129">
        <v>17.699999999999996</v>
      </c>
      <c r="DD178" s="129">
        <v>17.699999999999996</v>
      </c>
      <c r="DE178" s="129">
        <v>17.699999999999996</v>
      </c>
      <c r="DF178" s="129">
        <v>17.699999999999996</v>
      </c>
      <c r="DG178" s="129">
        <v>17.699999999999996</v>
      </c>
      <c r="DH178" s="129">
        <v>17.3</v>
      </c>
      <c r="DJ178" s="129">
        <v>17.699999999999996</v>
      </c>
      <c r="DK178" s="129">
        <v>17.699999999999996</v>
      </c>
      <c r="DL178" s="129">
        <v>17.699999999999996</v>
      </c>
      <c r="DM178" s="129">
        <v>17.699999999999996</v>
      </c>
      <c r="DN178" s="129">
        <v>17.699999999999996</v>
      </c>
      <c r="DO178" s="129">
        <v>17.699999999999996</v>
      </c>
      <c r="DP178" s="129">
        <v>17.699999999999996</v>
      </c>
      <c r="DQ178" s="129">
        <v>17.699999999999996</v>
      </c>
      <c r="DR178" s="129">
        <v>17.699999999999996</v>
      </c>
      <c r="DS178" s="129">
        <v>17.3</v>
      </c>
      <c r="DW178" s="27">
        <v>5.7000000000000011</v>
      </c>
      <c r="DX178" s="27">
        <v>5.7000000000000011</v>
      </c>
      <c r="DY178" s="27">
        <v>5.7000000000000011</v>
      </c>
      <c r="DZ178" s="27">
        <v>5.7000000000000011</v>
      </c>
      <c r="EA178" s="27">
        <v>5.7000000000000011</v>
      </c>
      <c r="EB178" s="27">
        <v>5.7000000000000011</v>
      </c>
      <c r="EC178" s="27">
        <v>5.7000000000000011</v>
      </c>
      <c r="ED178" s="27">
        <v>5.7000000000000011</v>
      </c>
      <c r="EE178" s="27">
        <v>5.7000000000000011</v>
      </c>
      <c r="EF178" s="129">
        <v>19.3</v>
      </c>
      <c r="EH178" s="27">
        <v>11.700000000000001</v>
      </c>
      <c r="EI178" s="27">
        <v>11.700000000000001</v>
      </c>
      <c r="EJ178" s="27">
        <v>11.700000000000001</v>
      </c>
      <c r="EK178" s="27">
        <v>11.700000000000001</v>
      </c>
      <c r="EL178" s="27">
        <v>11.700000000000001</v>
      </c>
      <c r="EM178" s="27">
        <v>11.700000000000001</v>
      </c>
      <c r="EN178" s="27">
        <v>11.700000000000001</v>
      </c>
      <c r="EO178" s="27">
        <v>11.700000000000001</v>
      </c>
      <c r="EP178" s="27">
        <v>11.700000000000001</v>
      </c>
      <c r="EQ178" s="129">
        <v>19.3</v>
      </c>
      <c r="ES178" s="27">
        <v>25.400000000000002</v>
      </c>
      <c r="ET178" s="27">
        <v>25.400000000000002</v>
      </c>
      <c r="EU178" s="27">
        <v>25.400000000000002</v>
      </c>
      <c r="EV178" s="27">
        <v>25.400000000000002</v>
      </c>
      <c r="EW178" s="27">
        <v>25.400000000000002</v>
      </c>
      <c r="EX178" s="27">
        <v>25.400000000000002</v>
      </c>
      <c r="EY178" s="27">
        <v>25.400000000000002</v>
      </c>
      <c r="EZ178" s="27">
        <v>25.400000000000002</v>
      </c>
      <c r="FA178" s="27">
        <v>25.400000000000002</v>
      </c>
      <c r="FB178" s="129">
        <v>19.3</v>
      </c>
      <c r="FD178" s="27">
        <v>26.400000000000002</v>
      </c>
      <c r="FE178" s="27">
        <v>26.400000000000002</v>
      </c>
      <c r="FF178" s="27">
        <v>26.400000000000002</v>
      </c>
      <c r="FG178" s="27">
        <v>26.400000000000002</v>
      </c>
      <c r="FH178" s="27">
        <v>26.400000000000002</v>
      </c>
      <c r="FI178" s="27">
        <v>26.400000000000002</v>
      </c>
      <c r="FJ178" s="27">
        <v>26.400000000000002</v>
      </c>
      <c r="FK178" s="27">
        <v>26.400000000000002</v>
      </c>
      <c r="FL178" s="27">
        <v>26.400000000000002</v>
      </c>
      <c r="FM178" s="129">
        <v>19.3</v>
      </c>
      <c r="FO178" s="27">
        <v>40.399999999999991</v>
      </c>
      <c r="FP178" s="27">
        <v>40.399999999999991</v>
      </c>
      <c r="FQ178" s="27">
        <v>40.399999999999991</v>
      </c>
      <c r="FR178" s="27">
        <v>40.399999999999991</v>
      </c>
      <c r="FS178" s="27">
        <v>40.399999999999991</v>
      </c>
      <c r="FT178" s="27">
        <v>40.399999999999991</v>
      </c>
      <c r="FU178" s="27">
        <v>40.399999999999991</v>
      </c>
      <c r="FV178" s="27">
        <v>40.399999999999991</v>
      </c>
      <c r="FW178" s="27">
        <v>40.399999999999991</v>
      </c>
      <c r="FX178" s="129">
        <v>19.3</v>
      </c>
      <c r="FZ178" s="27">
        <v>40.399999999999991</v>
      </c>
      <c r="GA178" s="27">
        <v>40.399999999999991</v>
      </c>
      <c r="GB178" s="27">
        <v>40.399999999999991</v>
      </c>
      <c r="GC178" s="27">
        <v>40.399999999999991</v>
      </c>
      <c r="GD178" s="27">
        <v>40.399999999999991</v>
      </c>
      <c r="GE178" s="27">
        <v>40.399999999999991</v>
      </c>
      <c r="GF178" s="27">
        <v>40.399999999999991</v>
      </c>
      <c r="GG178" s="27">
        <v>40.399999999999991</v>
      </c>
      <c r="GH178" s="27">
        <v>40.399999999999991</v>
      </c>
      <c r="GI178" s="129">
        <v>19.3</v>
      </c>
      <c r="GJ178" s="27"/>
      <c r="GK178" s="27">
        <v>9.7000000000000011</v>
      </c>
      <c r="GL178" s="27">
        <v>9.7000000000000011</v>
      </c>
      <c r="GM178" s="27">
        <v>9.7000000000000011</v>
      </c>
      <c r="GN178" s="27">
        <v>9.7000000000000011</v>
      </c>
      <c r="GO178" s="27">
        <v>9.7000000000000011</v>
      </c>
      <c r="GP178" s="27">
        <v>9.7000000000000011</v>
      </c>
      <c r="GQ178" s="27">
        <v>9.7000000000000011</v>
      </c>
      <c r="GR178" s="27">
        <v>9.7000000000000011</v>
      </c>
      <c r="GS178" s="27">
        <v>9.7000000000000011</v>
      </c>
      <c r="GT178" s="129">
        <v>19.3</v>
      </c>
      <c r="GV178" s="27">
        <v>11.700000000000001</v>
      </c>
      <c r="GW178" s="27">
        <v>11.700000000000001</v>
      </c>
      <c r="GX178" s="27">
        <v>11.700000000000001</v>
      </c>
      <c r="GY178" s="27">
        <v>11.700000000000001</v>
      </c>
      <c r="GZ178" s="27">
        <v>11.700000000000001</v>
      </c>
      <c r="HA178" s="27">
        <v>11.700000000000001</v>
      </c>
      <c r="HB178" s="27">
        <v>11.700000000000001</v>
      </c>
      <c r="HC178" s="27">
        <v>11.700000000000001</v>
      </c>
      <c r="HD178" s="27">
        <v>11.700000000000001</v>
      </c>
      <c r="HE178" s="129">
        <v>19.3</v>
      </c>
      <c r="HG178" s="27">
        <v>16</v>
      </c>
      <c r="HH178" s="27">
        <v>16</v>
      </c>
      <c r="HI178" s="27">
        <v>16</v>
      </c>
      <c r="HJ178" s="27">
        <v>16</v>
      </c>
      <c r="HK178" s="27">
        <v>16</v>
      </c>
      <c r="HL178" s="27">
        <v>16</v>
      </c>
      <c r="HM178" s="27">
        <v>16</v>
      </c>
      <c r="HN178" s="27">
        <v>16</v>
      </c>
      <c r="HO178" s="27">
        <v>16</v>
      </c>
      <c r="HP178" s="129">
        <v>19.3</v>
      </c>
      <c r="HR178" s="27">
        <v>16</v>
      </c>
      <c r="HS178" s="27">
        <v>16</v>
      </c>
      <c r="HT178" s="27">
        <v>16</v>
      </c>
      <c r="HU178" s="27">
        <v>16</v>
      </c>
      <c r="HV178" s="27">
        <v>16</v>
      </c>
      <c r="HW178" s="27">
        <v>16</v>
      </c>
      <c r="HX178" s="27">
        <v>16</v>
      </c>
      <c r="HY178" s="27">
        <v>16</v>
      </c>
      <c r="HZ178" s="27">
        <v>16</v>
      </c>
      <c r="IA178" s="129">
        <v>19.3</v>
      </c>
    </row>
    <row r="179" spans="15:235" ht="18" customHeight="1">
      <c r="O179" s="515"/>
      <c r="P179" s="515"/>
      <c r="Q179" s="515"/>
      <c r="R179" s="515"/>
      <c r="S179" s="515"/>
      <c r="T179" s="515"/>
      <c r="U179" s="515"/>
      <c r="V179" s="515"/>
      <c r="W179" s="515"/>
      <c r="X179" s="129">
        <v>17.399999999999999</v>
      </c>
      <c r="Y179" s="27"/>
      <c r="Z179" s="129">
        <v>6.6000000000000014</v>
      </c>
      <c r="AA179" s="129">
        <v>6.6000000000000014</v>
      </c>
      <c r="AB179" s="129">
        <v>6.6000000000000014</v>
      </c>
      <c r="AC179" s="129">
        <v>6.6000000000000014</v>
      </c>
      <c r="AD179" s="129">
        <v>6.6000000000000014</v>
      </c>
      <c r="AE179" s="129">
        <v>6.6000000000000014</v>
      </c>
      <c r="AF179" s="129">
        <v>6.6000000000000014</v>
      </c>
      <c r="AG179" s="129">
        <v>6.6000000000000014</v>
      </c>
      <c r="AH179" s="129">
        <v>6.6000000000000014</v>
      </c>
      <c r="AI179" s="129">
        <v>17.399999999999999</v>
      </c>
      <c r="AK179" s="129">
        <v>17.799999999999997</v>
      </c>
      <c r="AL179" s="129">
        <v>17.799999999999997</v>
      </c>
      <c r="AM179" s="129">
        <v>17.799999999999997</v>
      </c>
      <c r="AN179" s="129">
        <v>17.799999999999997</v>
      </c>
      <c r="AO179" s="129">
        <v>17.799999999999997</v>
      </c>
      <c r="AP179" s="129">
        <v>17.799999999999997</v>
      </c>
      <c r="AQ179" s="129">
        <v>17.799999999999997</v>
      </c>
      <c r="AR179" s="129">
        <v>17.799999999999997</v>
      </c>
      <c r="AS179" s="129">
        <v>17.799999999999997</v>
      </c>
      <c r="AT179" s="129">
        <v>17.399999999999999</v>
      </c>
      <c r="AV179" s="129">
        <v>23.400000000000006</v>
      </c>
      <c r="AW179" s="129">
        <v>23.400000000000006</v>
      </c>
      <c r="AX179" s="129">
        <v>23.400000000000006</v>
      </c>
      <c r="AY179" s="129">
        <v>23.400000000000006</v>
      </c>
      <c r="AZ179" s="129">
        <v>23.400000000000006</v>
      </c>
      <c r="BA179" s="129">
        <v>23.400000000000006</v>
      </c>
      <c r="BB179" s="129">
        <v>23.400000000000006</v>
      </c>
      <c r="BC179" s="129">
        <v>23.400000000000006</v>
      </c>
      <c r="BD179" s="129">
        <v>23.400000000000006</v>
      </c>
      <c r="BE179" s="129">
        <v>17.399999999999999</v>
      </c>
      <c r="BG179" s="129">
        <v>31</v>
      </c>
      <c r="BH179" s="129">
        <v>31</v>
      </c>
      <c r="BI179" s="129">
        <v>31</v>
      </c>
      <c r="BJ179" s="129">
        <v>31</v>
      </c>
      <c r="BK179" s="129">
        <v>31</v>
      </c>
      <c r="BL179" s="129">
        <v>31</v>
      </c>
      <c r="BM179" s="129">
        <v>31</v>
      </c>
      <c r="BN179" s="129">
        <v>31</v>
      </c>
      <c r="BO179" s="129">
        <v>31</v>
      </c>
      <c r="BP179" s="129">
        <v>17.399999999999999</v>
      </c>
      <c r="BR179" s="129">
        <v>31</v>
      </c>
      <c r="BS179" s="129">
        <v>31</v>
      </c>
      <c r="BT179" s="129">
        <v>31</v>
      </c>
      <c r="BU179" s="129">
        <v>31</v>
      </c>
      <c r="BV179" s="129">
        <v>31</v>
      </c>
      <c r="BW179" s="129">
        <v>31</v>
      </c>
      <c r="BX179" s="129">
        <v>31</v>
      </c>
      <c r="BY179" s="129">
        <v>31</v>
      </c>
      <c r="BZ179" s="129">
        <v>31</v>
      </c>
      <c r="CA179" s="129">
        <v>17.399999999999999</v>
      </c>
      <c r="CC179" s="129">
        <v>10.600000000000001</v>
      </c>
      <c r="CD179" s="129">
        <v>10.600000000000001</v>
      </c>
      <c r="CE179" s="129">
        <v>10.600000000000001</v>
      </c>
      <c r="CF179" s="129">
        <v>10.600000000000001</v>
      </c>
      <c r="CG179" s="129">
        <v>10.600000000000001</v>
      </c>
      <c r="CH179" s="129">
        <v>10.600000000000001</v>
      </c>
      <c r="CI179" s="129">
        <v>10.600000000000001</v>
      </c>
      <c r="CJ179" s="129">
        <v>10.600000000000001</v>
      </c>
      <c r="CK179" s="129">
        <v>10.600000000000001</v>
      </c>
      <c r="CL179" s="129">
        <v>17.399999999999999</v>
      </c>
      <c r="CN179" s="129">
        <v>13</v>
      </c>
      <c r="CO179" s="129">
        <v>13</v>
      </c>
      <c r="CP179" s="129">
        <v>13</v>
      </c>
      <c r="CQ179" s="129">
        <v>13</v>
      </c>
      <c r="CR179" s="129">
        <v>13</v>
      </c>
      <c r="CS179" s="129">
        <v>13</v>
      </c>
      <c r="CT179" s="129">
        <v>13</v>
      </c>
      <c r="CU179" s="129">
        <v>13</v>
      </c>
      <c r="CV179" s="129">
        <v>13</v>
      </c>
      <c r="CW179" s="129">
        <v>17.399999999999999</v>
      </c>
      <c r="CY179" s="129">
        <v>17.599999999999994</v>
      </c>
      <c r="CZ179" s="129">
        <v>17.599999999999994</v>
      </c>
      <c r="DA179" s="129">
        <v>17.599999999999994</v>
      </c>
      <c r="DB179" s="129">
        <v>17.599999999999994</v>
      </c>
      <c r="DC179" s="129">
        <v>17.599999999999994</v>
      </c>
      <c r="DD179" s="129">
        <v>17.599999999999994</v>
      </c>
      <c r="DE179" s="129">
        <v>17.599999999999994</v>
      </c>
      <c r="DF179" s="129">
        <v>17.599999999999994</v>
      </c>
      <c r="DG179" s="129">
        <v>17.599999999999994</v>
      </c>
      <c r="DH179" s="129">
        <v>17.399999999999999</v>
      </c>
      <c r="DJ179" s="129">
        <v>17.599999999999994</v>
      </c>
      <c r="DK179" s="129">
        <v>17.599999999999994</v>
      </c>
      <c r="DL179" s="129">
        <v>17.599999999999994</v>
      </c>
      <c r="DM179" s="129">
        <v>17.599999999999994</v>
      </c>
      <c r="DN179" s="129">
        <v>17.599999999999994</v>
      </c>
      <c r="DO179" s="129">
        <v>17.599999999999994</v>
      </c>
      <c r="DP179" s="129">
        <v>17.599999999999994</v>
      </c>
      <c r="DQ179" s="129">
        <v>17.599999999999994</v>
      </c>
      <c r="DR179" s="129">
        <v>17.599999999999994</v>
      </c>
      <c r="DS179" s="129">
        <v>17.399999999999999</v>
      </c>
      <c r="DW179" s="27">
        <v>5.6000000000000014</v>
      </c>
      <c r="DX179" s="27">
        <v>5.6000000000000014</v>
      </c>
      <c r="DY179" s="27">
        <v>5.6000000000000014</v>
      </c>
      <c r="DZ179" s="27">
        <v>5.6000000000000014</v>
      </c>
      <c r="EA179" s="27">
        <v>5.6000000000000014</v>
      </c>
      <c r="EB179" s="27">
        <v>5.6000000000000014</v>
      </c>
      <c r="EC179" s="27">
        <v>5.6000000000000014</v>
      </c>
      <c r="ED179" s="27">
        <v>5.6000000000000014</v>
      </c>
      <c r="EE179" s="27">
        <v>5.6000000000000014</v>
      </c>
      <c r="EF179" s="129">
        <v>19.399999999999999</v>
      </c>
      <c r="EH179" s="27">
        <v>11.600000000000001</v>
      </c>
      <c r="EI179" s="27">
        <v>11.600000000000001</v>
      </c>
      <c r="EJ179" s="27">
        <v>11.600000000000001</v>
      </c>
      <c r="EK179" s="27">
        <v>11.600000000000001</v>
      </c>
      <c r="EL179" s="27">
        <v>11.600000000000001</v>
      </c>
      <c r="EM179" s="27">
        <v>11.600000000000001</v>
      </c>
      <c r="EN179" s="27">
        <v>11.600000000000001</v>
      </c>
      <c r="EO179" s="27">
        <v>11.600000000000001</v>
      </c>
      <c r="EP179" s="27">
        <v>11.600000000000001</v>
      </c>
      <c r="EQ179" s="129">
        <v>19.399999999999999</v>
      </c>
      <c r="ES179" s="27">
        <v>25.200000000000003</v>
      </c>
      <c r="ET179" s="27">
        <v>25.200000000000003</v>
      </c>
      <c r="EU179" s="27">
        <v>25.200000000000003</v>
      </c>
      <c r="EV179" s="27">
        <v>25.200000000000003</v>
      </c>
      <c r="EW179" s="27">
        <v>25.200000000000003</v>
      </c>
      <c r="EX179" s="27">
        <v>25.200000000000003</v>
      </c>
      <c r="EY179" s="27">
        <v>25.200000000000003</v>
      </c>
      <c r="EZ179" s="27">
        <v>25.200000000000003</v>
      </c>
      <c r="FA179" s="27">
        <v>25.200000000000003</v>
      </c>
      <c r="FB179" s="129">
        <v>19.399999999999999</v>
      </c>
      <c r="FD179" s="27">
        <v>26.200000000000003</v>
      </c>
      <c r="FE179" s="27">
        <v>26.200000000000003</v>
      </c>
      <c r="FF179" s="27">
        <v>26.200000000000003</v>
      </c>
      <c r="FG179" s="27">
        <v>26.200000000000003</v>
      </c>
      <c r="FH179" s="27">
        <v>26.200000000000003</v>
      </c>
      <c r="FI179" s="27">
        <v>26.200000000000003</v>
      </c>
      <c r="FJ179" s="27">
        <v>26.200000000000003</v>
      </c>
      <c r="FK179" s="27">
        <v>26.200000000000003</v>
      </c>
      <c r="FL179" s="27">
        <v>26.200000000000003</v>
      </c>
      <c r="FM179" s="129">
        <v>19.399999999999999</v>
      </c>
      <c r="FO179" s="27">
        <v>40.199999999999989</v>
      </c>
      <c r="FP179" s="27">
        <v>40.199999999999989</v>
      </c>
      <c r="FQ179" s="27">
        <v>40.199999999999989</v>
      </c>
      <c r="FR179" s="27">
        <v>40.199999999999989</v>
      </c>
      <c r="FS179" s="27">
        <v>40.199999999999989</v>
      </c>
      <c r="FT179" s="27">
        <v>40.199999999999989</v>
      </c>
      <c r="FU179" s="27">
        <v>40.199999999999989</v>
      </c>
      <c r="FV179" s="27">
        <v>40.199999999999989</v>
      </c>
      <c r="FW179" s="27">
        <v>40.199999999999989</v>
      </c>
      <c r="FX179" s="129">
        <v>19.399999999999999</v>
      </c>
      <c r="FZ179" s="27">
        <v>40.199999999999989</v>
      </c>
      <c r="GA179" s="27">
        <v>40.199999999999989</v>
      </c>
      <c r="GB179" s="27">
        <v>40.199999999999989</v>
      </c>
      <c r="GC179" s="27">
        <v>40.199999999999989</v>
      </c>
      <c r="GD179" s="27">
        <v>40.199999999999989</v>
      </c>
      <c r="GE179" s="27">
        <v>40.199999999999989</v>
      </c>
      <c r="GF179" s="27">
        <v>40.199999999999989</v>
      </c>
      <c r="GG179" s="27">
        <v>40.199999999999989</v>
      </c>
      <c r="GH179" s="27">
        <v>40.199999999999989</v>
      </c>
      <c r="GI179" s="129">
        <v>19.399999999999999</v>
      </c>
      <c r="GJ179" s="27"/>
      <c r="GK179" s="27">
        <v>9.6000000000000014</v>
      </c>
      <c r="GL179" s="27">
        <v>9.6000000000000014</v>
      </c>
      <c r="GM179" s="27">
        <v>9.6000000000000014</v>
      </c>
      <c r="GN179" s="27">
        <v>9.6000000000000014</v>
      </c>
      <c r="GO179" s="27">
        <v>9.6000000000000014</v>
      </c>
      <c r="GP179" s="27">
        <v>9.6000000000000014</v>
      </c>
      <c r="GQ179" s="27">
        <v>9.6000000000000014</v>
      </c>
      <c r="GR179" s="27">
        <v>9.6000000000000014</v>
      </c>
      <c r="GS179" s="27">
        <v>9.6000000000000014</v>
      </c>
      <c r="GT179" s="129">
        <v>19.399999999999999</v>
      </c>
      <c r="GV179" s="27">
        <v>11.600000000000001</v>
      </c>
      <c r="GW179" s="27">
        <v>11.600000000000001</v>
      </c>
      <c r="GX179" s="27">
        <v>11.600000000000001</v>
      </c>
      <c r="GY179" s="27">
        <v>11.600000000000001</v>
      </c>
      <c r="GZ179" s="27">
        <v>11.600000000000001</v>
      </c>
      <c r="HA179" s="27">
        <v>11.600000000000001</v>
      </c>
      <c r="HB179" s="27">
        <v>11.600000000000001</v>
      </c>
      <c r="HC179" s="27">
        <v>11.600000000000001</v>
      </c>
      <c r="HD179" s="27">
        <v>11.600000000000001</v>
      </c>
      <c r="HE179" s="129">
        <v>19.399999999999999</v>
      </c>
      <c r="HG179" s="27">
        <v>16</v>
      </c>
      <c r="HH179" s="27">
        <v>16</v>
      </c>
      <c r="HI179" s="27">
        <v>16</v>
      </c>
      <c r="HJ179" s="27">
        <v>16</v>
      </c>
      <c r="HK179" s="27">
        <v>16</v>
      </c>
      <c r="HL179" s="27">
        <v>16</v>
      </c>
      <c r="HM179" s="27">
        <v>16</v>
      </c>
      <c r="HN179" s="27">
        <v>16</v>
      </c>
      <c r="HO179" s="27">
        <v>16</v>
      </c>
      <c r="HP179" s="129">
        <v>19.399999999999999</v>
      </c>
      <c r="HR179" s="27">
        <v>16</v>
      </c>
      <c r="HS179" s="27">
        <v>16</v>
      </c>
      <c r="HT179" s="27">
        <v>16</v>
      </c>
      <c r="HU179" s="27">
        <v>16</v>
      </c>
      <c r="HV179" s="27">
        <v>16</v>
      </c>
      <c r="HW179" s="27">
        <v>16</v>
      </c>
      <c r="HX179" s="27">
        <v>16</v>
      </c>
      <c r="HY179" s="27">
        <v>16</v>
      </c>
      <c r="HZ179" s="27">
        <v>16</v>
      </c>
      <c r="IA179" s="129">
        <v>19.399999999999999</v>
      </c>
    </row>
    <row r="180" spans="15:235" ht="3" customHeight="1">
      <c r="O180" s="515"/>
      <c r="P180" s="515"/>
      <c r="Q180" s="515"/>
      <c r="R180" s="515"/>
      <c r="S180" s="515"/>
      <c r="T180" s="515"/>
      <c r="U180" s="515"/>
      <c r="V180" s="515"/>
      <c r="W180" s="515"/>
      <c r="X180" s="129">
        <v>17.5</v>
      </c>
      <c r="Y180" s="27"/>
      <c r="Z180" s="129">
        <v>6.5000000000000018</v>
      </c>
      <c r="AA180" s="129">
        <v>6.5000000000000018</v>
      </c>
      <c r="AB180" s="129">
        <v>6.5000000000000018</v>
      </c>
      <c r="AC180" s="129">
        <v>6.5000000000000018</v>
      </c>
      <c r="AD180" s="129">
        <v>6.5000000000000018</v>
      </c>
      <c r="AE180" s="129">
        <v>6.5000000000000018</v>
      </c>
      <c r="AF180" s="129">
        <v>6.5000000000000018</v>
      </c>
      <c r="AG180" s="129">
        <v>6.5000000000000018</v>
      </c>
      <c r="AH180" s="129">
        <v>6.5000000000000018</v>
      </c>
      <c r="AI180" s="129">
        <v>17.5</v>
      </c>
      <c r="AK180" s="129">
        <v>17.499999999999996</v>
      </c>
      <c r="AL180" s="129">
        <v>17.499999999999996</v>
      </c>
      <c r="AM180" s="129">
        <v>17.499999999999996</v>
      </c>
      <c r="AN180" s="129">
        <v>17.499999999999996</v>
      </c>
      <c r="AO180" s="129">
        <v>17.499999999999996</v>
      </c>
      <c r="AP180" s="129">
        <v>17.499999999999996</v>
      </c>
      <c r="AQ180" s="129">
        <v>17.499999999999996</v>
      </c>
      <c r="AR180" s="129">
        <v>17.499999999999996</v>
      </c>
      <c r="AS180" s="129">
        <v>17.499999999999996</v>
      </c>
      <c r="AT180" s="129">
        <v>17.5</v>
      </c>
      <c r="AV180" s="129">
        <v>23.000000000000007</v>
      </c>
      <c r="AW180" s="129">
        <v>23.000000000000007</v>
      </c>
      <c r="AX180" s="129">
        <v>23.000000000000007</v>
      </c>
      <c r="AY180" s="129">
        <v>23.000000000000007</v>
      </c>
      <c r="AZ180" s="129">
        <v>23.000000000000007</v>
      </c>
      <c r="BA180" s="129">
        <v>23.000000000000007</v>
      </c>
      <c r="BB180" s="129">
        <v>23.000000000000007</v>
      </c>
      <c r="BC180" s="129">
        <v>23.000000000000007</v>
      </c>
      <c r="BD180" s="129">
        <v>23.000000000000007</v>
      </c>
      <c r="BE180" s="129">
        <v>17.5</v>
      </c>
      <c r="BG180" s="129">
        <v>30.5</v>
      </c>
      <c r="BH180" s="129">
        <v>30.5</v>
      </c>
      <c r="BI180" s="129">
        <v>30.5</v>
      </c>
      <c r="BJ180" s="129">
        <v>30.5</v>
      </c>
      <c r="BK180" s="129">
        <v>30.5</v>
      </c>
      <c r="BL180" s="129">
        <v>30.5</v>
      </c>
      <c r="BM180" s="129">
        <v>30.5</v>
      </c>
      <c r="BN180" s="129">
        <v>30.5</v>
      </c>
      <c r="BO180" s="129">
        <v>30.5</v>
      </c>
      <c r="BP180" s="129">
        <v>17.5</v>
      </c>
      <c r="BR180" s="129">
        <v>30.5</v>
      </c>
      <c r="BS180" s="129">
        <v>30.5</v>
      </c>
      <c r="BT180" s="129">
        <v>30.5</v>
      </c>
      <c r="BU180" s="129">
        <v>30.5</v>
      </c>
      <c r="BV180" s="129">
        <v>30.5</v>
      </c>
      <c r="BW180" s="129">
        <v>30.5</v>
      </c>
      <c r="BX180" s="129">
        <v>30.5</v>
      </c>
      <c r="BY180" s="129">
        <v>30.5</v>
      </c>
      <c r="BZ180" s="129">
        <v>30.5</v>
      </c>
      <c r="CA180" s="129">
        <v>17.5</v>
      </c>
      <c r="CC180" s="129">
        <v>10.500000000000002</v>
      </c>
      <c r="CD180" s="129">
        <v>10.500000000000002</v>
      </c>
      <c r="CE180" s="129">
        <v>10.500000000000002</v>
      </c>
      <c r="CF180" s="129">
        <v>10.500000000000002</v>
      </c>
      <c r="CG180" s="129">
        <v>10.500000000000002</v>
      </c>
      <c r="CH180" s="129">
        <v>10.500000000000002</v>
      </c>
      <c r="CI180" s="129">
        <v>10.500000000000002</v>
      </c>
      <c r="CJ180" s="129">
        <v>10.500000000000002</v>
      </c>
      <c r="CK180" s="129">
        <v>10.500000000000002</v>
      </c>
      <c r="CL180" s="129">
        <v>17.5</v>
      </c>
      <c r="CN180" s="129">
        <v>13</v>
      </c>
      <c r="CO180" s="129">
        <v>13</v>
      </c>
      <c r="CP180" s="129">
        <v>13</v>
      </c>
      <c r="CQ180" s="129">
        <v>13</v>
      </c>
      <c r="CR180" s="129">
        <v>13</v>
      </c>
      <c r="CS180" s="129">
        <v>13</v>
      </c>
      <c r="CT180" s="129">
        <v>13</v>
      </c>
      <c r="CU180" s="129">
        <v>13</v>
      </c>
      <c r="CV180" s="129">
        <v>13</v>
      </c>
      <c r="CW180" s="129">
        <v>17.5</v>
      </c>
      <c r="CY180" s="129">
        <v>17.499999999999993</v>
      </c>
      <c r="CZ180" s="129">
        <v>17.499999999999993</v>
      </c>
      <c r="DA180" s="129">
        <v>17.499999999999993</v>
      </c>
      <c r="DB180" s="129">
        <v>17.499999999999993</v>
      </c>
      <c r="DC180" s="129">
        <v>17.499999999999993</v>
      </c>
      <c r="DD180" s="129">
        <v>17.499999999999993</v>
      </c>
      <c r="DE180" s="129">
        <v>17.499999999999993</v>
      </c>
      <c r="DF180" s="129">
        <v>17.499999999999993</v>
      </c>
      <c r="DG180" s="129">
        <v>17.499999999999993</v>
      </c>
      <c r="DH180" s="129">
        <v>17.5</v>
      </c>
      <c r="DJ180" s="129">
        <v>17.499999999999993</v>
      </c>
      <c r="DK180" s="129">
        <v>17.499999999999993</v>
      </c>
      <c r="DL180" s="129">
        <v>17.499999999999993</v>
      </c>
      <c r="DM180" s="129">
        <v>17.499999999999993</v>
      </c>
      <c r="DN180" s="129">
        <v>17.499999999999993</v>
      </c>
      <c r="DO180" s="129">
        <v>17.499999999999993</v>
      </c>
      <c r="DP180" s="129">
        <v>17.499999999999993</v>
      </c>
      <c r="DQ180" s="129">
        <v>17.499999999999993</v>
      </c>
      <c r="DR180" s="129">
        <v>17.499999999999993</v>
      </c>
      <c r="DS180" s="129">
        <v>17.5</v>
      </c>
      <c r="DW180" s="27">
        <v>5.5000000000000018</v>
      </c>
      <c r="DX180" s="27">
        <v>5.5000000000000018</v>
      </c>
      <c r="DY180" s="27">
        <v>5.5000000000000018</v>
      </c>
      <c r="DZ180" s="27">
        <v>5.5000000000000018</v>
      </c>
      <c r="EA180" s="27">
        <v>5.5000000000000018</v>
      </c>
      <c r="EB180" s="27">
        <v>5.5000000000000018</v>
      </c>
      <c r="EC180" s="27">
        <v>5.5000000000000018</v>
      </c>
      <c r="ED180" s="27">
        <v>5.5000000000000018</v>
      </c>
      <c r="EE180" s="27">
        <v>5.5000000000000018</v>
      </c>
      <c r="EF180" s="129">
        <v>19.5</v>
      </c>
      <c r="EH180" s="27">
        <v>11.500000000000002</v>
      </c>
      <c r="EI180" s="27">
        <v>11.500000000000002</v>
      </c>
      <c r="EJ180" s="27">
        <v>11.500000000000002</v>
      </c>
      <c r="EK180" s="27">
        <v>11.500000000000002</v>
      </c>
      <c r="EL180" s="27">
        <v>11.500000000000002</v>
      </c>
      <c r="EM180" s="27">
        <v>11.500000000000002</v>
      </c>
      <c r="EN180" s="27">
        <v>11.500000000000002</v>
      </c>
      <c r="EO180" s="27">
        <v>11.500000000000002</v>
      </c>
      <c r="EP180" s="27">
        <v>11.500000000000002</v>
      </c>
      <c r="EQ180" s="129">
        <v>19.5</v>
      </c>
      <c r="ES180" s="27">
        <v>25.000000000000004</v>
      </c>
      <c r="ET180" s="27">
        <v>25.000000000000004</v>
      </c>
      <c r="EU180" s="27">
        <v>25.000000000000004</v>
      </c>
      <c r="EV180" s="27">
        <v>25.000000000000004</v>
      </c>
      <c r="EW180" s="27">
        <v>25.000000000000004</v>
      </c>
      <c r="EX180" s="27">
        <v>25.000000000000004</v>
      </c>
      <c r="EY180" s="27">
        <v>25.000000000000004</v>
      </c>
      <c r="EZ180" s="27">
        <v>25.000000000000004</v>
      </c>
      <c r="FA180" s="27">
        <v>25.000000000000004</v>
      </c>
      <c r="FB180" s="129">
        <v>19.5</v>
      </c>
      <c r="FD180" s="27">
        <v>26.000000000000004</v>
      </c>
      <c r="FE180" s="27">
        <v>26.000000000000004</v>
      </c>
      <c r="FF180" s="27">
        <v>26.000000000000004</v>
      </c>
      <c r="FG180" s="27">
        <v>26.000000000000004</v>
      </c>
      <c r="FH180" s="27">
        <v>26.000000000000004</v>
      </c>
      <c r="FI180" s="27">
        <v>26.000000000000004</v>
      </c>
      <c r="FJ180" s="27">
        <v>26.000000000000004</v>
      </c>
      <c r="FK180" s="27">
        <v>26.000000000000004</v>
      </c>
      <c r="FL180" s="27">
        <v>26.000000000000004</v>
      </c>
      <c r="FM180" s="129">
        <v>19.5</v>
      </c>
      <c r="FO180" s="27">
        <v>39.999999999999986</v>
      </c>
      <c r="FP180" s="27">
        <v>39.999999999999986</v>
      </c>
      <c r="FQ180" s="27">
        <v>39.999999999999986</v>
      </c>
      <c r="FR180" s="27">
        <v>39.999999999999986</v>
      </c>
      <c r="FS180" s="27">
        <v>39.999999999999986</v>
      </c>
      <c r="FT180" s="27">
        <v>39.999999999999986</v>
      </c>
      <c r="FU180" s="27">
        <v>39.999999999999986</v>
      </c>
      <c r="FV180" s="27">
        <v>39.999999999999986</v>
      </c>
      <c r="FW180" s="27">
        <v>39.999999999999986</v>
      </c>
      <c r="FX180" s="129">
        <v>19.5</v>
      </c>
      <c r="FZ180" s="27">
        <v>39.999999999999986</v>
      </c>
      <c r="GA180" s="27">
        <v>39.999999999999986</v>
      </c>
      <c r="GB180" s="27">
        <v>39.999999999999986</v>
      </c>
      <c r="GC180" s="27">
        <v>39.999999999999986</v>
      </c>
      <c r="GD180" s="27">
        <v>39.999999999999986</v>
      </c>
      <c r="GE180" s="27">
        <v>39.999999999999986</v>
      </c>
      <c r="GF180" s="27">
        <v>39.999999999999986</v>
      </c>
      <c r="GG180" s="27">
        <v>39.999999999999986</v>
      </c>
      <c r="GH180" s="27">
        <v>39.999999999999986</v>
      </c>
      <c r="GI180" s="129">
        <v>19.5</v>
      </c>
      <c r="GJ180" s="27"/>
      <c r="GK180" s="27">
        <v>9.5000000000000018</v>
      </c>
      <c r="GL180" s="27">
        <v>9.5000000000000018</v>
      </c>
      <c r="GM180" s="27">
        <v>9.5000000000000018</v>
      </c>
      <c r="GN180" s="27">
        <v>9.5000000000000018</v>
      </c>
      <c r="GO180" s="27">
        <v>9.5000000000000018</v>
      </c>
      <c r="GP180" s="27">
        <v>9.5000000000000018</v>
      </c>
      <c r="GQ180" s="27">
        <v>9.5000000000000018</v>
      </c>
      <c r="GR180" s="27">
        <v>9.5000000000000018</v>
      </c>
      <c r="GS180" s="27">
        <v>9.5000000000000018</v>
      </c>
      <c r="GT180" s="129">
        <v>19.5</v>
      </c>
      <c r="GV180" s="27">
        <v>11.500000000000002</v>
      </c>
      <c r="GW180" s="27">
        <v>11.500000000000002</v>
      </c>
      <c r="GX180" s="27">
        <v>11.500000000000002</v>
      </c>
      <c r="GY180" s="27">
        <v>11.500000000000002</v>
      </c>
      <c r="GZ180" s="27">
        <v>11.500000000000002</v>
      </c>
      <c r="HA180" s="27">
        <v>11.500000000000002</v>
      </c>
      <c r="HB180" s="27">
        <v>11.500000000000002</v>
      </c>
      <c r="HC180" s="27">
        <v>11.500000000000002</v>
      </c>
      <c r="HD180" s="27">
        <v>11.500000000000002</v>
      </c>
      <c r="HE180" s="129">
        <v>19.5</v>
      </c>
      <c r="HG180" s="27">
        <v>16</v>
      </c>
      <c r="HH180" s="27">
        <v>16</v>
      </c>
      <c r="HI180" s="27">
        <v>16</v>
      </c>
      <c r="HJ180" s="27">
        <v>16</v>
      </c>
      <c r="HK180" s="27">
        <v>16</v>
      </c>
      <c r="HL180" s="27">
        <v>16</v>
      </c>
      <c r="HM180" s="27">
        <v>16</v>
      </c>
      <c r="HN180" s="27">
        <v>16</v>
      </c>
      <c r="HO180" s="27">
        <v>16</v>
      </c>
      <c r="HP180" s="129">
        <v>19.5</v>
      </c>
      <c r="HR180" s="27">
        <v>16</v>
      </c>
      <c r="HS180" s="27">
        <v>16</v>
      </c>
      <c r="HT180" s="27">
        <v>16</v>
      </c>
      <c r="HU180" s="27">
        <v>16</v>
      </c>
      <c r="HV180" s="27">
        <v>16</v>
      </c>
      <c r="HW180" s="27">
        <v>16</v>
      </c>
      <c r="HX180" s="27">
        <v>16</v>
      </c>
      <c r="HY180" s="27">
        <v>16</v>
      </c>
      <c r="HZ180" s="27">
        <v>16</v>
      </c>
      <c r="IA180" s="129">
        <v>19.5</v>
      </c>
    </row>
    <row r="181" spans="15:235" ht="3" customHeight="1">
      <c r="O181" s="515"/>
      <c r="P181" s="515"/>
      <c r="Q181" s="515"/>
      <c r="R181" s="515"/>
      <c r="S181" s="515"/>
      <c r="T181" s="515"/>
      <c r="U181" s="515"/>
      <c r="V181" s="515"/>
      <c r="W181" s="515"/>
      <c r="X181" s="129">
        <v>17.600000000000001</v>
      </c>
      <c r="Y181" s="27"/>
      <c r="Z181" s="129">
        <v>6.4000000000000021</v>
      </c>
      <c r="AA181" s="129">
        <v>6.4000000000000021</v>
      </c>
      <c r="AB181" s="129">
        <v>6.4000000000000021</v>
      </c>
      <c r="AC181" s="129">
        <v>6.4000000000000021</v>
      </c>
      <c r="AD181" s="129">
        <v>6.4000000000000021</v>
      </c>
      <c r="AE181" s="129">
        <v>6.4000000000000021</v>
      </c>
      <c r="AF181" s="129">
        <v>6.4000000000000021</v>
      </c>
      <c r="AG181" s="129">
        <v>6.4000000000000021</v>
      </c>
      <c r="AH181" s="129">
        <v>6.4000000000000021</v>
      </c>
      <c r="AI181" s="129">
        <v>17.600000000000001</v>
      </c>
      <c r="AK181" s="129">
        <v>17.199999999999996</v>
      </c>
      <c r="AL181" s="129">
        <v>17.199999999999996</v>
      </c>
      <c r="AM181" s="129">
        <v>17.199999999999996</v>
      </c>
      <c r="AN181" s="129">
        <v>17.199999999999996</v>
      </c>
      <c r="AO181" s="129">
        <v>17.199999999999996</v>
      </c>
      <c r="AP181" s="129">
        <v>17.199999999999996</v>
      </c>
      <c r="AQ181" s="129">
        <v>17.199999999999996</v>
      </c>
      <c r="AR181" s="129">
        <v>17.199999999999996</v>
      </c>
      <c r="AS181" s="129">
        <v>17.199999999999996</v>
      </c>
      <c r="AT181" s="129">
        <v>17.600000000000001</v>
      </c>
      <c r="AV181" s="129">
        <v>22.600000000000009</v>
      </c>
      <c r="AW181" s="129">
        <v>22.600000000000009</v>
      </c>
      <c r="AX181" s="129">
        <v>22.600000000000009</v>
      </c>
      <c r="AY181" s="129">
        <v>22.600000000000009</v>
      </c>
      <c r="AZ181" s="129">
        <v>22.600000000000009</v>
      </c>
      <c r="BA181" s="129">
        <v>22.600000000000009</v>
      </c>
      <c r="BB181" s="129">
        <v>22.600000000000009</v>
      </c>
      <c r="BC181" s="129">
        <v>22.600000000000009</v>
      </c>
      <c r="BD181" s="129">
        <v>22.600000000000009</v>
      </c>
      <c r="BE181" s="129">
        <v>17.600000000000001</v>
      </c>
      <c r="BG181" s="129">
        <v>30</v>
      </c>
      <c r="BH181" s="129">
        <v>30</v>
      </c>
      <c r="BI181" s="129">
        <v>30</v>
      </c>
      <c r="BJ181" s="129">
        <v>30</v>
      </c>
      <c r="BK181" s="129">
        <v>30</v>
      </c>
      <c r="BL181" s="129">
        <v>30</v>
      </c>
      <c r="BM181" s="129">
        <v>30</v>
      </c>
      <c r="BN181" s="129">
        <v>30</v>
      </c>
      <c r="BO181" s="129">
        <v>30</v>
      </c>
      <c r="BP181" s="129">
        <v>17.600000000000001</v>
      </c>
      <c r="BR181" s="129">
        <v>30</v>
      </c>
      <c r="BS181" s="129">
        <v>30</v>
      </c>
      <c r="BT181" s="129">
        <v>30</v>
      </c>
      <c r="BU181" s="129">
        <v>30</v>
      </c>
      <c r="BV181" s="129">
        <v>30</v>
      </c>
      <c r="BW181" s="129">
        <v>30</v>
      </c>
      <c r="BX181" s="129">
        <v>30</v>
      </c>
      <c r="BY181" s="129">
        <v>30</v>
      </c>
      <c r="BZ181" s="129">
        <v>30</v>
      </c>
      <c r="CA181" s="129">
        <v>17.600000000000001</v>
      </c>
      <c r="CC181" s="129">
        <v>10.400000000000002</v>
      </c>
      <c r="CD181" s="129">
        <v>10.400000000000002</v>
      </c>
      <c r="CE181" s="129">
        <v>10.400000000000002</v>
      </c>
      <c r="CF181" s="129">
        <v>10.400000000000002</v>
      </c>
      <c r="CG181" s="129">
        <v>10.400000000000002</v>
      </c>
      <c r="CH181" s="129">
        <v>10.400000000000002</v>
      </c>
      <c r="CI181" s="129">
        <v>10.400000000000002</v>
      </c>
      <c r="CJ181" s="129">
        <v>10.400000000000002</v>
      </c>
      <c r="CK181" s="129">
        <v>10.400000000000002</v>
      </c>
      <c r="CL181" s="129">
        <v>17.600000000000001</v>
      </c>
      <c r="CN181" s="129">
        <v>13</v>
      </c>
      <c r="CO181" s="129">
        <v>13</v>
      </c>
      <c r="CP181" s="129">
        <v>13</v>
      </c>
      <c r="CQ181" s="129">
        <v>13</v>
      </c>
      <c r="CR181" s="129">
        <v>13</v>
      </c>
      <c r="CS181" s="129">
        <v>13</v>
      </c>
      <c r="CT181" s="129">
        <v>13</v>
      </c>
      <c r="CU181" s="129">
        <v>13</v>
      </c>
      <c r="CV181" s="129">
        <v>13</v>
      </c>
      <c r="CW181" s="129">
        <v>17.600000000000001</v>
      </c>
      <c r="CY181" s="129">
        <v>17.399999999999991</v>
      </c>
      <c r="CZ181" s="129">
        <v>17.399999999999991</v>
      </c>
      <c r="DA181" s="129">
        <v>17.399999999999991</v>
      </c>
      <c r="DB181" s="129">
        <v>17.399999999999991</v>
      </c>
      <c r="DC181" s="129">
        <v>17.399999999999991</v>
      </c>
      <c r="DD181" s="129">
        <v>17.399999999999991</v>
      </c>
      <c r="DE181" s="129">
        <v>17.399999999999991</v>
      </c>
      <c r="DF181" s="129">
        <v>17.399999999999991</v>
      </c>
      <c r="DG181" s="129">
        <v>17.399999999999991</v>
      </c>
      <c r="DH181" s="129">
        <v>17.600000000000001</v>
      </c>
      <c r="DJ181" s="129">
        <v>17.399999999999991</v>
      </c>
      <c r="DK181" s="129">
        <v>17.399999999999991</v>
      </c>
      <c r="DL181" s="129">
        <v>17.399999999999991</v>
      </c>
      <c r="DM181" s="129">
        <v>17.399999999999991</v>
      </c>
      <c r="DN181" s="129">
        <v>17.399999999999991</v>
      </c>
      <c r="DO181" s="129">
        <v>17.399999999999991</v>
      </c>
      <c r="DP181" s="129">
        <v>17.399999999999991</v>
      </c>
      <c r="DQ181" s="129">
        <v>17.399999999999991</v>
      </c>
      <c r="DR181" s="129">
        <v>17.399999999999991</v>
      </c>
      <c r="DS181" s="129">
        <v>17.600000000000001</v>
      </c>
      <c r="DW181" s="27">
        <v>5.4000000000000021</v>
      </c>
      <c r="DX181" s="27">
        <v>5.4000000000000021</v>
      </c>
      <c r="DY181" s="27">
        <v>5.4000000000000021</v>
      </c>
      <c r="DZ181" s="27">
        <v>5.4000000000000021</v>
      </c>
      <c r="EA181" s="27">
        <v>5.4000000000000021</v>
      </c>
      <c r="EB181" s="27">
        <v>5.4000000000000021</v>
      </c>
      <c r="EC181" s="27">
        <v>5.4000000000000021</v>
      </c>
      <c r="ED181" s="27">
        <v>5.4000000000000021</v>
      </c>
      <c r="EE181" s="27">
        <v>5.4000000000000021</v>
      </c>
      <c r="EF181" s="129">
        <v>19.600000000000001</v>
      </c>
      <c r="EH181" s="27">
        <v>11.400000000000002</v>
      </c>
      <c r="EI181" s="27">
        <v>11.400000000000002</v>
      </c>
      <c r="EJ181" s="27">
        <v>11.400000000000002</v>
      </c>
      <c r="EK181" s="27">
        <v>11.400000000000002</v>
      </c>
      <c r="EL181" s="27">
        <v>11.400000000000002</v>
      </c>
      <c r="EM181" s="27">
        <v>11.400000000000002</v>
      </c>
      <c r="EN181" s="27">
        <v>11.400000000000002</v>
      </c>
      <c r="EO181" s="27">
        <v>11.400000000000002</v>
      </c>
      <c r="EP181" s="27">
        <v>11.400000000000002</v>
      </c>
      <c r="EQ181" s="129">
        <v>19.600000000000001</v>
      </c>
      <c r="ES181" s="27">
        <v>24.800000000000004</v>
      </c>
      <c r="ET181" s="27">
        <v>24.800000000000004</v>
      </c>
      <c r="EU181" s="27">
        <v>24.800000000000004</v>
      </c>
      <c r="EV181" s="27">
        <v>24.800000000000004</v>
      </c>
      <c r="EW181" s="27">
        <v>24.800000000000004</v>
      </c>
      <c r="EX181" s="27">
        <v>24.800000000000004</v>
      </c>
      <c r="EY181" s="27">
        <v>24.800000000000004</v>
      </c>
      <c r="EZ181" s="27">
        <v>24.800000000000004</v>
      </c>
      <c r="FA181" s="27">
        <v>24.800000000000004</v>
      </c>
      <c r="FB181" s="129">
        <v>19.600000000000001</v>
      </c>
      <c r="FD181" s="27">
        <v>25.800000000000004</v>
      </c>
      <c r="FE181" s="27">
        <v>25.800000000000004</v>
      </c>
      <c r="FF181" s="27">
        <v>25.800000000000004</v>
      </c>
      <c r="FG181" s="27">
        <v>25.800000000000004</v>
      </c>
      <c r="FH181" s="27">
        <v>25.800000000000004</v>
      </c>
      <c r="FI181" s="27">
        <v>25.800000000000004</v>
      </c>
      <c r="FJ181" s="27">
        <v>25.800000000000004</v>
      </c>
      <c r="FK181" s="27">
        <v>25.800000000000004</v>
      </c>
      <c r="FL181" s="27">
        <v>25.800000000000004</v>
      </c>
      <c r="FM181" s="129">
        <v>19.600000000000001</v>
      </c>
      <c r="FO181" s="27">
        <v>39.799999999999983</v>
      </c>
      <c r="FP181" s="27">
        <v>39.799999999999983</v>
      </c>
      <c r="FQ181" s="27">
        <v>39.799999999999983</v>
      </c>
      <c r="FR181" s="27">
        <v>39.799999999999983</v>
      </c>
      <c r="FS181" s="27">
        <v>39.799999999999983</v>
      </c>
      <c r="FT181" s="27">
        <v>39.799999999999983</v>
      </c>
      <c r="FU181" s="27">
        <v>39.799999999999983</v>
      </c>
      <c r="FV181" s="27">
        <v>39.799999999999983</v>
      </c>
      <c r="FW181" s="27">
        <v>39.799999999999983</v>
      </c>
      <c r="FX181" s="129">
        <v>19.600000000000001</v>
      </c>
      <c r="FZ181" s="27">
        <v>39.799999999999983</v>
      </c>
      <c r="GA181" s="27">
        <v>39.799999999999983</v>
      </c>
      <c r="GB181" s="27">
        <v>39.799999999999983</v>
      </c>
      <c r="GC181" s="27">
        <v>39.799999999999983</v>
      </c>
      <c r="GD181" s="27">
        <v>39.799999999999983</v>
      </c>
      <c r="GE181" s="27">
        <v>39.799999999999983</v>
      </c>
      <c r="GF181" s="27">
        <v>39.799999999999983</v>
      </c>
      <c r="GG181" s="27">
        <v>39.799999999999983</v>
      </c>
      <c r="GH181" s="27">
        <v>39.799999999999983</v>
      </c>
      <c r="GI181" s="129">
        <v>19.600000000000001</v>
      </c>
      <c r="GJ181" s="27"/>
      <c r="GK181" s="27">
        <v>9.4000000000000021</v>
      </c>
      <c r="GL181" s="27">
        <v>9.4000000000000021</v>
      </c>
      <c r="GM181" s="27">
        <v>9.4000000000000021</v>
      </c>
      <c r="GN181" s="27">
        <v>9.4000000000000021</v>
      </c>
      <c r="GO181" s="27">
        <v>9.4000000000000021</v>
      </c>
      <c r="GP181" s="27">
        <v>9.4000000000000021</v>
      </c>
      <c r="GQ181" s="27">
        <v>9.4000000000000021</v>
      </c>
      <c r="GR181" s="27">
        <v>9.4000000000000021</v>
      </c>
      <c r="GS181" s="27">
        <v>9.4000000000000021</v>
      </c>
      <c r="GT181" s="129">
        <v>19.600000000000001</v>
      </c>
      <c r="GV181" s="27">
        <v>11.400000000000002</v>
      </c>
      <c r="GW181" s="27">
        <v>11.400000000000002</v>
      </c>
      <c r="GX181" s="27">
        <v>11.400000000000002</v>
      </c>
      <c r="GY181" s="27">
        <v>11.400000000000002</v>
      </c>
      <c r="GZ181" s="27">
        <v>11.400000000000002</v>
      </c>
      <c r="HA181" s="27">
        <v>11.400000000000002</v>
      </c>
      <c r="HB181" s="27">
        <v>11.400000000000002</v>
      </c>
      <c r="HC181" s="27">
        <v>11.400000000000002</v>
      </c>
      <c r="HD181" s="27">
        <v>11.400000000000002</v>
      </c>
      <c r="HE181" s="129">
        <v>19.600000000000001</v>
      </c>
      <c r="HG181" s="27">
        <v>16</v>
      </c>
      <c r="HH181" s="27">
        <v>16</v>
      </c>
      <c r="HI181" s="27">
        <v>16</v>
      </c>
      <c r="HJ181" s="27">
        <v>16</v>
      </c>
      <c r="HK181" s="27">
        <v>16</v>
      </c>
      <c r="HL181" s="27">
        <v>16</v>
      </c>
      <c r="HM181" s="27">
        <v>16</v>
      </c>
      <c r="HN181" s="27">
        <v>16</v>
      </c>
      <c r="HO181" s="27">
        <v>16</v>
      </c>
      <c r="HP181" s="129">
        <v>19.600000000000001</v>
      </c>
      <c r="HR181" s="27">
        <v>16</v>
      </c>
      <c r="HS181" s="27">
        <v>16</v>
      </c>
      <c r="HT181" s="27">
        <v>16</v>
      </c>
      <c r="HU181" s="27">
        <v>16</v>
      </c>
      <c r="HV181" s="27">
        <v>16</v>
      </c>
      <c r="HW181" s="27">
        <v>16</v>
      </c>
      <c r="HX181" s="27">
        <v>16</v>
      </c>
      <c r="HY181" s="27">
        <v>16</v>
      </c>
      <c r="HZ181" s="27">
        <v>16</v>
      </c>
      <c r="IA181" s="129">
        <v>19.600000000000001</v>
      </c>
    </row>
    <row r="182" spans="15:235" ht="3" customHeight="1">
      <c r="O182" s="515"/>
      <c r="P182" s="515"/>
      <c r="Q182" s="515"/>
      <c r="R182" s="515"/>
      <c r="S182" s="515"/>
      <c r="T182" s="515"/>
      <c r="U182" s="515"/>
      <c r="V182" s="515"/>
      <c r="W182" s="515"/>
      <c r="X182" s="129">
        <v>17.7</v>
      </c>
      <c r="Y182" s="27"/>
      <c r="Z182" s="129">
        <v>6.3000000000000025</v>
      </c>
      <c r="AA182" s="129">
        <v>6.3000000000000025</v>
      </c>
      <c r="AB182" s="129">
        <v>6.3000000000000025</v>
      </c>
      <c r="AC182" s="129">
        <v>6.3000000000000025</v>
      </c>
      <c r="AD182" s="129">
        <v>6.3000000000000025</v>
      </c>
      <c r="AE182" s="129">
        <v>6.3000000000000025</v>
      </c>
      <c r="AF182" s="129">
        <v>6.3000000000000025</v>
      </c>
      <c r="AG182" s="129">
        <v>6.3000000000000025</v>
      </c>
      <c r="AH182" s="129">
        <v>6.3000000000000025</v>
      </c>
      <c r="AI182" s="129">
        <v>17.7</v>
      </c>
      <c r="AK182" s="129">
        <v>16.899999999999995</v>
      </c>
      <c r="AL182" s="129">
        <v>16.899999999999995</v>
      </c>
      <c r="AM182" s="129">
        <v>16.899999999999995</v>
      </c>
      <c r="AN182" s="129">
        <v>16.899999999999995</v>
      </c>
      <c r="AO182" s="129">
        <v>16.899999999999995</v>
      </c>
      <c r="AP182" s="129">
        <v>16.899999999999995</v>
      </c>
      <c r="AQ182" s="129">
        <v>16.899999999999995</v>
      </c>
      <c r="AR182" s="129">
        <v>16.899999999999995</v>
      </c>
      <c r="AS182" s="129">
        <v>16.899999999999995</v>
      </c>
      <c r="AT182" s="129">
        <v>17.7</v>
      </c>
      <c r="AV182" s="129">
        <v>22.20000000000001</v>
      </c>
      <c r="AW182" s="129">
        <v>22.20000000000001</v>
      </c>
      <c r="AX182" s="129">
        <v>22.20000000000001</v>
      </c>
      <c r="AY182" s="129">
        <v>22.20000000000001</v>
      </c>
      <c r="AZ182" s="129">
        <v>22.20000000000001</v>
      </c>
      <c r="BA182" s="129">
        <v>22.20000000000001</v>
      </c>
      <c r="BB182" s="129">
        <v>22.20000000000001</v>
      </c>
      <c r="BC182" s="129">
        <v>22.20000000000001</v>
      </c>
      <c r="BD182" s="129">
        <v>22.20000000000001</v>
      </c>
      <c r="BE182" s="129">
        <v>17.7</v>
      </c>
      <c r="BG182" s="129">
        <v>29.5</v>
      </c>
      <c r="BH182" s="129">
        <v>29.5</v>
      </c>
      <c r="BI182" s="129">
        <v>29.5</v>
      </c>
      <c r="BJ182" s="129">
        <v>29.5</v>
      </c>
      <c r="BK182" s="129">
        <v>29.5</v>
      </c>
      <c r="BL182" s="129">
        <v>29.5</v>
      </c>
      <c r="BM182" s="129">
        <v>29.5</v>
      </c>
      <c r="BN182" s="129">
        <v>29.5</v>
      </c>
      <c r="BO182" s="129">
        <v>29.5</v>
      </c>
      <c r="BP182" s="129">
        <v>17.7</v>
      </c>
      <c r="BR182" s="129">
        <v>29.5</v>
      </c>
      <c r="BS182" s="129">
        <v>29.5</v>
      </c>
      <c r="BT182" s="129">
        <v>29.5</v>
      </c>
      <c r="BU182" s="129">
        <v>29.5</v>
      </c>
      <c r="BV182" s="129">
        <v>29.5</v>
      </c>
      <c r="BW182" s="129">
        <v>29.5</v>
      </c>
      <c r="BX182" s="129">
        <v>29.5</v>
      </c>
      <c r="BY182" s="129">
        <v>29.5</v>
      </c>
      <c r="BZ182" s="129">
        <v>29.5</v>
      </c>
      <c r="CA182" s="129">
        <v>17.7</v>
      </c>
      <c r="CC182" s="129">
        <v>10.300000000000002</v>
      </c>
      <c r="CD182" s="129">
        <v>10.300000000000002</v>
      </c>
      <c r="CE182" s="129">
        <v>10.300000000000002</v>
      </c>
      <c r="CF182" s="129">
        <v>10.300000000000002</v>
      </c>
      <c r="CG182" s="129">
        <v>10.300000000000002</v>
      </c>
      <c r="CH182" s="129">
        <v>10.300000000000002</v>
      </c>
      <c r="CI182" s="129">
        <v>10.300000000000002</v>
      </c>
      <c r="CJ182" s="129">
        <v>10.300000000000002</v>
      </c>
      <c r="CK182" s="129">
        <v>10.300000000000002</v>
      </c>
      <c r="CL182" s="129">
        <v>17.7</v>
      </c>
      <c r="CN182" s="129">
        <v>13</v>
      </c>
      <c r="CO182" s="129">
        <v>13</v>
      </c>
      <c r="CP182" s="129">
        <v>13</v>
      </c>
      <c r="CQ182" s="129">
        <v>13</v>
      </c>
      <c r="CR182" s="129">
        <v>13</v>
      </c>
      <c r="CS182" s="129">
        <v>13</v>
      </c>
      <c r="CT182" s="129">
        <v>13</v>
      </c>
      <c r="CU182" s="129">
        <v>13</v>
      </c>
      <c r="CV182" s="129">
        <v>13</v>
      </c>
      <c r="CW182" s="129">
        <v>17.7</v>
      </c>
      <c r="CY182" s="129">
        <v>17.29999999999999</v>
      </c>
      <c r="CZ182" s="129">
        <v>17.29999999999999</v>
      </c>
      <c r="DA182" s="129">
        <v>17.29999999999999</v>
      </c>
      <c r="DB182" s="129">
        <v>17.29999999999999</v>
      </c>
      <c r="DC182" s="129">
        <v>17.29999999999999</v>
      </c>
      <c r="DD182" s="129">
        <v>17.29999999999999</v>
      </c>
      <c r="DE182" s="129">
        <v>17.29999999999999</v>
      </c>
      <c r="DF182" s="129">
        <v>17.29999999999999</v>
      </c>
      <c r="DG182" s="129">
        <v>17.29999999999999</v>
      </c>
      <c r="DH182" s="129">
        <v>17.7</v>
      </c>
      <c r="DJ182" s="129">
        <v>17.29999999999999</v>
      </c>
      <c r="DK182" s="129">
        <v>17.29999999999999</v>
      </c>
      <c r="DL182" s="129">
        <v>17.29999999999999</v>
      </c>
      <c r="DM182" s="129">
        <v>17.29999999999999</v>
      </c>
      <c r="DN182" s="129">
        <v>17.29999999999999</v>
      </c>
      <c r="DO182" s="129">
        <v>17.29999999999999</v>
      </c>
      <c r="DP182" s="129">
        <v>17.29999999999999</v>
      </c>
      <c r="DQ182" s="129">
        <v>17.29999999999999</v>
      </c>
      <c r="DR182" s="129">
        <v>17.29999999999999</v>
      </c>
      <c r="DS182" s="129">
        <v>17.7</v>
      </c>
      <c r="DW182" s="27">
        <v>5.3000000000000025</v>
      </c>
      <c r="DX182" s="27">
        <v>5.3000000000000025</v>
      </c>
      <c r="DY182" s="27">
        <v>5.3000000000000025</v>
      </c>
      <c r="DZ182" s="27">
        <v>5.3000000000000025</v>
      </c>
      <c r="EA182" s="27">
        <v>5.3000000000000025</v>
      </c>
      <c r="EB182" s="27">
        <v>5.3000000000000025</v>
      </c>
      <c r="EC182" s="27">
        <v>5.3000000000000025</v>
      </c>
      <c r="ED182" s="27">
        <v>5.3000000000000025</v>
      </c>
      <c r="EE182" s="27">
        <v>5.3000000000000025</v>
      </c>
      <c r="EF182" s="129">
        <v>19.7</v>
      </c>
      <c r="EH182" s="27">
        <v>11.300000000000002</v>
      </c>
      <c r="EI182" s="27">
        <v>11.300000000000002</v>
      </c>
      <c r="EJ182" s="27">
        <v>11.300000000000002</v>
      </c>
      <c r="EK182" s="27">
        <v>11.300000000000002</v>
      </c>
      <c r="EL182" s="27">
        <v>11.300000000000002</v>
      </c>
      <c r="EM182" s="27">
        <v>11.300000000000002</v>
      </c>
      <c r="EN182" s="27">
        <v>11.300000000000002</v>
      </c>
      <c r="EO182" s="27">
        <v>11.300000000000002</v>
      </c>
      <c r="EP182" s="27">
        <v>11.300000000000002</v>
      </c>
      <c r="EQ182" s="129">
        <v>19.7</v>
      </c>
      <c r="ES182" s="27">
        <v>24.600000000000005</v>
      </c>
      <c r="ET182" s="27">
        <v>24.600000000000005</v>
      </c>
      <c r="EU182" s="27">
        <v>24.600000000000005</v>
      </c>
      <c r="EV182" s="27">
        <v>24.600000000000005</v>
      </c>
      <c r="EW182" s="27">
        <v>24.600000000000005</v>
      </c>
      <c r="EX182" s="27">
        <v>24.600000000000005</v>
      </c>
      <c r="EY182" s="27">
        <v>24.600000000000005</v>
      </c>
      <c r="EZ182" s="27">
        <v>24.600000000000005</v>
      </c>
      <c r="FA182" s="27">
        <v>24.600000000000005</v>
      </c>
      <c r="FB182" s="129">
        <v>19.7</v>
      </c>
      <c r="FD182" s="27">
        <v>25.600000000000005</v>
      </c>
      <c r="FE182" s="27">
        <v>25.600000000000005</v>
      </c>
      <c r="FF182" s="27">
        <v>25.600000000000005</v>
      </c>
      <c r="FG182" s="27">
        <v>25.600000000000005</v>
      </c>
      <c r="FH182" s="27">
        <v>25.600000000000005</v>
      </c>
      <c r="FI182" s="27">
        <v>25.600000000000005</v>
      </c>
      <c r="FJ182" s="27">
        <v>25.600000000000005</v>
      </c>
      <c r="FK182" s="27">
        <v>25.600000000000005</v>
      </c>
      <c r="FL182" s="27">
        <v>25.600000000000005</v>
      </c>
      <c r="FM182" s="129">
        <v>19.7</v>
      </c>
      <c r="FO182" s="27">
        <v>39.59999999999998</v>
      </c>
      <c r="FP182" s="27">
        <v>39.59999999999998</v>
      </c>
      <c r="FQ182" s="27">
        <v>39.59999999999998</v>
      </c>
      <c r="FR182" s="27">
        <v>39.59999999999998</v>
      </c>
      <c r="FS182" s="27">
        <v>39.59999999999998</v>
      </c>
      <c r="FT182" s="27">
        <v>39.59999999999998</v>
      </c>
      <c r="FU182" s="27">
        <v>39.59999999999998</v>
      </c>
      <c r="FV182" s="27">
        <v>39.59999999999998</v>
      </c>
      <c r="FW182" s="27">
        <v>39.59999999999998</v>
      </c>
      <c r="FX182" s="129">
        <v>19.7</v>
      </c>
      <c r="FZ182" s="27">
        <v>39.59999999999998</v>
      </c>
      <c r="GA182" s="27">
        <v>39.59999999999998</v>
      </c>
      <c r="GB182" s="27">
        <v>39.59999999999998</v>
      </c>
      <c r="GC182" s="27">
        <v>39.59999999999998</v>
      </c>
      <c r="GD182" s="27">
        <v>39.59999999999998</v>
      </c>
      <c r="GE182" s="27">
        <v>39.59999999999998</v>
      </c>
      <c r="GF182" s="27">
        <v>39.59999999999998</v>
      </c>
      <c r="GG182" s="27">
        <v>39.59999999999998</v>
      </c>
      <c r="GH182" s="27">
        <v>39.59999999999998</v>
      </c>
      <c r="GI182" s="129">
        <v>19.7</v>
      </c>
      <c r="GJ182" s="27"/>
      <c r="GK182" s="27">
        <v>9.3000000000000025</v>
      </c>
      <c r="GL182" s="27">
        <v>9.3000000000000025</v>
      </c>
      <c r="GM182" s="27">
        <v>9.3000000000000025</v>
      </c>
      <c r="GN182" s="27">
        <v>9.3000000000000025</v>
      </c>
      <c r="GO182" s="27">
        <v>9.3000000000000025</v>
      </c>
      <c r="GP182" s="27">
        <v>9.3000000000000025</v>
      </c>
      <c r="GQ182" s="27">
        <v>9.3000000000000025</v>
      </c>
      <c r="GR182" s="27">
        <v>9.3000000000000025</v>
      </c>
      <c r="GS182" s="27">
        <v>9.3000000000000025</v>
      </c>
      <c r="GT182" s="129">
        <v>19.7</v>
      </c>
      <c r="GV182" s="27">
        <v>11.300000000000002</v>
      </c>
      <c r="GW182" s="27">
        <v>11.300000000000002</v>
      </c>
      <c r="GX182" s="27">
        <v>11.300000000000002</v>
      </c>
      <c r="GY182" s="27">
        <v>11.300000000000002</v>
      </c>
      <c r="GZ182" s="27">
        <v>11.300000000000002</v>
      </c>
      <c r="HA182" s="27">
        <v>11.300000000000002</v>
      </c>
      <c r="HB182" s="27">
        <v>11.300000000000002</v>
      </c>
      <c r="HC182" s="27">
        <v>11.300000000000002</v>
      </c>
      <c r="HD182" s="27">
        <v>11.300000000000002</v>
      </c>
      <c r="HE182" s="129">
        <v>19.7</v>
      </c>
      <c r="HG182" s="27">
        <v>16</v>
      </c>
      <c r="HH182" s="27">
        <v>16</v>
      </c>
      <c r="HI182" s="27">
        <v>16</v>
      </c>
      <c r="HJ182" s="27">
        <v>16</v>
      </c>
      <c r="HK182" s="27">
        <v>16</v>
      </c>
      <c r="HL182" s="27">
        <v>16</v>
      </c>
      <c r="HM182" s="27">
        <v>16</v>
      </c>
      <c r="HN182" s="27">
        <v>16</v>
      </c>
      <c r="HO182" s="27">
        <v>16</v>
      </c>
      <c r="HP182" s="129">
        <v>19.7</v>
      </c>
      <c r="HR182" s="27">
        <v>16</v>
      </c>
      <c r="HS182" s="27">
        <v>16</v>
      </c>
      <c r="HT182" s="27">
        <v>16</v>
      </c>
      <c r="HU182" s="27">
        <v>16</v>
      </c>
      <c r="HV182" s="27">
        <v>16</v>
      </c>
      <c r="HW182" s="27">
        <v>16</v>
      </c>
      <c r="HX182" s="27">
        <v>16</v>
      </c>
      <c r="HY182" s="27">
        <v>16</v>
      </c>
      <c r="HZ182" s="27">
        <v>16</v>
      </c>
      <c r="IA182" s="129">
        <v>19.7</v>
      </c>
    </row>
    <row r="183" spans="15:235" ht="3" customHeight="1">
      <c r="O183" s="515"/>
      <c r="P183" s="515"/>
      <c r="Q183" s="515"/>
      <c r="R183" s="515"/>
      <c r="S183" s="515"/>
      <c r="T183" s="515"/>
      <c r="U183" s="515"/>
      <c r="V183" s="515"/>
      <c r="W183" s="515"/>
      <c r="X183" s="129">
        <v>17.8</v>
      </c>
      <c r="Y183" s="27"/>
      <c r="Z183" s="129">
        <v>6.2000000000000028</v>
      </c>
      <c r="AA183" s="129">
        <v>6.2000000000000028</v>
      </c>
      <c r="AB183" s="129">
        <v>6.2000000000000028</v>
      </c>
      <c r="AC183" s="129">
        <v>6.2000000000000028</v>
      </c>
      <c r="AD183" s="129">
        <v>6.2000000000000028</v>
      </c>
      <c r="AE183" s="129">
        <v>6.2000000000000028</v>
      </c>
      <c r="AF183" s="129">
        <v>6.2000000000000028</v>
      </c>
      <c r="AG183" s="129">
        <v>6.2000000000000028</v>
      </c>
      <c r="AH183" s="129">
        <v>6.2000000000000028</v>
      </c>
      <c r="AI183" s="129">
        <v>17.8</v>
      </c>
      <c r="AK183" s="129">
        <v>16.599999999999994</v>
      </c>
      <c r="AL183" s="129">
        <v>16.599999999999994</v>
      </c>
      <c r="AM183" s="129">
        <v>16.599999999999994</v>
      </c>
      <c r="AN183" s="129">
        <v>16.599999999999994</v>
      </c>
      <c r="AO183" s="129">
        <v>16.599999999999994</v>
      </c>
      <c r="AP183" s="129">
        <v>16.599999999999994</v>
      </c>
      <c r="AQ183" s="129">
        <v>16.599999999999994</v>
      </c>
      <c r="AR183" s="129">
        <v>16.599999999999994</v>
      </c>
      <c r="AS183" s="129">
        <v>16.599999999999994</v>
      </c>
      <c r="AT183" s="129">
        <v>17.8</v>
      </c>
      <c r="AV183" s="129">
        <v>21.800000000000011</v>
      </c>
      <c r="AW183" s="129">
        <v>21.800000000000011</v>
      </c>
      <c r="AX183" s="129">
        <v>21.800000000000011</v>
      </c>
      <c r="AY183" s="129">
        <v>21.800000000000011</v>
      </c>
      <c r="AZ183" s="129">
        <v>21.800000000000011</v>
      </c>
      <c r="BA183" s="129">
        <v>21.800000000000011</v>
      </c>
      <c r="BB183" s="129">
        <v>21.800000000000011</v>
      </c>
      <c r="BC183" s="129">
        <v>21.800000000000011</v>
      </c>
      <c r="BD183" s="129">
        <v>21.800000000000011</v>
      </c>
      <c r="BE183" s="129">
        <v>17.8</v>
      </c>
      <c r="BG183" s="129">
        <v>29</v>
      </c>
      <c r="BH183" s="129">
        <v>29</v>
      </c>
      <c r="BI183" s="129">
        <v>29</v>
      </c>
      <c r="BJ183" s="129">
        <v>29</v>
      </c>
      <c r="BK183" s="129">
        <v>29</v>
      </c>
      <c r="BL183" s="129">
        <v>29</v>
      </c>
      <c r="BM183" s="129">
        <v>29</v>
      </c>
      <c r="BN183" s="129">
        <v>29</v>
      </c>
      <c r="BO183" s="129">
        <v>29</v>
      </c>
      <c r="BP183" s="129">
        <v>17.8</v>
      </c>
      <c r="BR183" s="129">
        <v>29</v>
      </c>
      <c r="BS183" s="129">
        <v>29</v>
      </c>
      <c r="BT183" s="129">
        <v>29</v>
      </c>
      <c r="BU183" s="129">
        <v>29</v>
      </c>
      <c r="BV183" s="129">
        <v>29</v>
      </c>
      <c r="BW183" s="129">
        <v>29</v>
      </c>
      <c r="BX183" s="129">
        <v>29</v>
      </c>
      <c r="BY183" s="129">
        <v>29</v>
      </c>
      <c r="BZ183" s="129">
        <v>29</v>
      </c>
      <c r="CA183" s="129">
        <v>17.8</v>
      </c>
      <c r="CC183" s="129">
        <v>10.200000000000003</v>
      </c>
      <c r="CD183" s="129">
        <v>10.200000000000003</v>
      </c>
      <c r="CE183" s="129">
        <v>10.200000000000003</v>
      </c>
      <c r="CF183" s="129">
        <v>10.200000000000003</v>
      </c>
      <c r="CG183" s="129">
        <v>10.200000000000003</v>
      </c>
      <c r="CH183" s="129">
        <v>10.200000000000003</v>
      </c>
      <c r="CI183" s="129">
        <v>10.200000000000003</v>
      </c>
      <c r="CJ183" s="129">
        <v>10.200000000000003</v>
      </c>
      <c r="CK183" s="129">
        <v>10.200000000000003</v>
      </c>
      <c r="CL183" s="129">
        <v>17.8</v>
      </c>
      <c r="CN183" s="129">
        <v>13</v>
      </c>
      <c r="CO183" s="129">
        <v>13</v>
      </c>
      <c r="CP183" s="129">
        <v>13</v>
      </c>
      <c r="CQ183" s="129">
        <v>13</v>
      </c>
      <c r="CR183" s="129">
        <v>13</v>
      </c>
      <c r="CS183" s="129">
        <v>13</v>
      </c>
      <c r="CT183" s="129">
        <v>13</v>
      </c>
      <c r="CU183" s="129">
        <v>13</v>
      </c>
      <c r="CV183" s="129">
        <v>13</v>
      </c>
      <c r="CW183" s="129">
        <v>17.8</v>
      </c>
      <c r="CY183" s="129">
        <v>17.199999999999989</v>
      </c>
      <c r="CZ183" s="129">
        <v>17.199999999999989</v>
      </c>
      <c r="DA183" s="129">
        <v>17.199999999999989</v>
      </c>
      <c r="DB183" s="129">
        <v>17.199999999999989</v>
      </c>
      <c r="DC183" s="129">
        <v>17.199999999999989</v>
      </c>
      <c r="DD183" s="129">
        <v>17.199999999999989</v>
      </c>
      <c r="DE183" s="129">
        <v>17.199999999999989</v>
      </c>
      <c r="DF183" s="129">
        <v>17.199999999999989</v>
      </c>
      <c r="DG183" s="129">
        <v>17.199999999999989</v>
      </c>
      <c r="DH183" s="129">
        <v>17.8</v>
      </c>
      <c r="DJ183" s="129">
        <v>17.199999999999989</v>
      </c>
      <c r="DK183" s="129">
        <v>17.199999999999989</v>
      </c>
      <c r="DL183" s="129">
        <v>17.199999999999989</v>
      </c>
      <c r="DM183" s="129">
        <v>17.199999999999989</v>
      </c>
      <c r="DN183" s="129">
        <v>17.199999999999989</v>
      </c>
      <c r="DO183" s="129">
        <v>17.199999999999989</v>
      </c>
      <c r="DP183" s="129">
        <v>17.199999999999989</v>
      </c>
      <c r="DQ183" s="129">
        <v>17.199999999999989</v>
      </c>
      <c r="DR183" s="129">
        <v>17.199999999999989</v>
      </c>
      <c r="DS183" s="129">
        <v>17.8</v>
      </c>
      <c r="DW183" s="27">
        <v>5.2000000000000028</v>
      </c>
      <c r="DX183" s="27">
        <v>5.2000000000000028</v>
      </c>
      <c r="DY183" s="27">
        <v>5.2000000000000028</v>
      </c>
      <c r="DZ183" s="27">
        <v>5.2000000000000028</v>
      </c>
      <c r="EA183" s="27">
        <v>5.2000000000000028</v>
      </c>
      <c r="EB183" s="27">
        <v>5.2000000000000028</v>
      </c>
      <c r="EC183" s="27">
        <v>5.2000000000000028</v>
      </c>
      <c r="ED183" s="27">
        <v>5.2000000000000028</v>
      </c>
      <c r="EE183" s="27">
        <v>5.2000000000000028</v>
      </c>
      <c r="EF183" s="129">
        <v>19.8</v>
      </c>
      <c r="EH183" s="27">
        <v>11.200000000000003</v>
      </c>
      <c r="EI183" s="27">
        <v>11.200000000000003</v>
      </c>
      <c r="EJ183" s="27">
        <v>11.200000000000003</v>
      </c>
      <c r="EK183" s="27">
        <v>11.200000000000003</v>
      </c>
      <c r="EL183" s="27">
        <v>11.200000000000003</v>
      </c>
      <c r="EM183" s="27">
        <v>11.200000000000003</v>
      </c>
      <c r="EN183" s="27">
        <v>11.200000000000003</v>
      </c>
      <c r="EO183" s="27">
        <v>11.200000000000003</v>
      </c>
      <c r="EP183" s="27">
        <v>11.200000000000003</v>
      </c>
      <c r="EQ183" s="129">
        <v>19.8</v>
      </c>
      <c r="ES183" s="27">
        <v>24.400000000000006</v>
      </c>
      <c r="ET183" s="27">
        <v>24.400000000000006</v>
      </c>
      <c r="EU183" s="27">
        <v>24.400000000000006</v>
      </c>
      <c r="EV183" s="27">
        <v>24.400000000000006</v>
      </c>
      <c r="EW183" s="27">
        <v>24.400000000000006</v>
      </c>
      <c r="EX183" s="27">
        <v>24.400000000000006</v>
      </c>
      <c r="EY183" s="27">
        <v>24.400000000000006</v>
      </c>
      <c r="EZ183" s="27">
        <v>24.400000000000006</v>
      </c>
      <c r="FA183" s="27">
        <v>24.400000000000006</v>
      </c>
      <c r="FB183" s="129">
        <v>19.8</v>
      </c>
      <c r="FD183" s="27">
        <v>25.400000000000006</v>
      </c>
      <c r="FE183" s="27">
        <v>25.400000000000006</v>
      </c>
      <c r="FF183" s="27">
        <v>25.400000000000006</v>
      </c>
      <c r="FG183" s="27">
        <v>25.400000000000006</v>
      </c>
      <c r="FH183" s="27">
        <v>25.400000000000006</v>
      </c>
      <c r="FI183" s="27">
        <v>25.400000000000006</v>
      </c>
      <c r="FJ183" s="27">
        <v>25.400000000000006</v>
      </c>
      <c r="FK183" s="27">
        <v>25.400000000000006</v>
      </c>
      <c r="FL183" s="27">
        <v>25.400000000000006</v>
      </c>
      <c r="FM183" s="129">
        <v>19.8</v>
      </c>
      <c r="FO183" s="27">
        <v>39.399999999999977</v>
      </c>
      <c r="FP183" s="27">
        <v>39.399999999999977</v>
      </c>
      <c r="FQ183" s="27">
        <v>39.399999999999977</v>
      </c>
      <c r="FR183" s="27">
        <v>39.399999999999977</v>
      </c>
      <c r="FS183" s="27">
        <v>39.399999999999977</v>
      </c>
      <c r="FT183" s="27">
        <v>39.399999999999977</v>
      </c>
      <c r="FU183" s="27">
        <v>39.399999999999977</v>
      </c>
      <c r="FV183" s="27">
        <v>39.399999999999977</v>
      </c>
      <c r="FW183" s="27">
        <v>39.399999999999977</v>
      </c>
      <c r="FX183" s="129">
        <v>19.8</v>
      </c>
      <c r="FZ183" s="27">
        <v>39.399999999999977</v>
      </c>
      <c r="GA183" s="27">
        <v>39.399999999999977</v>
      </c>
      <c r="GB183" s="27">
        <v>39.399999999999977</v>
      </c>
      <c r="GC183" s="27">
        <v>39.399999999999977</v>
      </c>
      <c r="GD183" s="27">
        <v>39.399999999999977</v>
      </c>
      <c r="GE183" s="27">
        <v>39.399999999999977</v>
      </c>
      <c r="GF183" s="27">
        <v>39.399999999999977</v>
      </c>
      <c r="GG183" s="27">
        <v>39.399999999999977</v>
      </c>
      <c r="GH183" s="27">
        <v>39.399999999999977</v>
      </c>
      <c r="GI183" s="129">
        <v>19.8</v>
      </c>
      <c r="GJ183" s="27"/>
      <c r="GK183" s="27">
        <v>9.2000000000000028</v>
      </c>
      <c r="GL183" s="27">
        <v>9.2000000000000028</v>
      </c>
      <c r="GM183" s="27">
        <v>9.2000000000000028</v>
      </c>
      <c r="GN183" s="27">
        <v>9.2000000000000028</v>
      </c>
      <c r="GO183" s="27">
        <v>9.2000000000000028</v>
      </c>
      <c r="GP183" s="27">
        <v>9.2000000000000028</v>
      </c>
      <c r="GQ183" s="27">
        <v>9.2000000000000028</v>
      </c>
      <c r="GR183" s="27">
        <v>9.2000000000000028</v>
      </c>
      <c r="GS183" s="27">
        <v>9.2000000000000028</v>
      </c>
      <c r="GT183" s="129">
        <v>19.8</v>
      </c>
      <c r="GV183" s="27">
        <v>11.200000000000003</v>
      </c>
      <c r="GW183" s="27">
        <v>11.200000000000003</v>
      </c>
      <c r="GX183" s="27">
        <v>11.200000000000003</v>
      </c>
      <c r="GY183" s="27">
        <v>11.200000000000003</v>
      </c>
      <c r="GZ183" s="27">
        <v>11.200000000000003</v>
      </c>
      <c r="HA183" s="27">
        <v>11.200000000000003</v>
      </c>
      <c r="HB183" s="27">
        <v>11.200000000000003</v>
      </c>
      <c r="HC183" s="27">
        <v>11.200000000000003</v>
      </c>
      <c r="HD183" s="27">
        <v>11.200000000000003</v>
      </c>
      <c r="HE183" s="129">
        <v>19.8</v>
      </c>
      <c r="HG183" s="27">
        <v>16</v>
      </c>
      <c r="HH183" s="27">
        <v>16</v>
      </c>
      <c r="HI183" s="27">
        <v>16</v>
      </c>
      <c r="HJ183" s="27">
        <v>16</v>
      </c>
      <c r="HK183" s="27">
        <v>16</v>
      </c>
      <c r="HL183" s="27">
        <v>16</v>
      </c>
      <c r="HM183" s="27">
        <v>16</v>
      </c>
      <c r="HN183" s="27">
        <v>16</v>
      </c>
      <c r="HO183" s="27">
        <v>16</v>
      </c>
      <c r="HP183" s="129">
        <v>19.8</v>
      </c>
      <c r="HR183" s="27">
        <v>16</v>
      </c>
      <c r="HS183" s="27">
        <v>16</v>
      </c>
      <c r="HT183" s="27">
        <v>16</v>
      </c>
      <c r="HU183" s="27">
        <v>16</v>
      </c>
      <c r="HV183" s="27">
        <v>16</v>
      </c>
      <c r="HW183" s="27">
        <v>16</v>
      </c>
      <c r="HX183" s="27">
        <v>16</v>
      </c>
      <c r="HY183" s="27">
        <v>16</v>
      </c>
      <c r="HZ183" s="27">
        <v>16</v>
      </c>
      <c r="IA183" s="129">
        <v>19.8</v>
      </c>
    </row>
    <row r="184" spans="15:235" ht="3" customHeight="1">
      <c r="O184" s="515"/>
      <c r="P184" s="515"/>
      <c r="Q184" s="515"/>
      <c r="R184" s="515"/>
      <c r="S184" s="515"/>
      <c r="T184" s="515"/>
      <c r="U184" s="515"/>
      <c r="V184" s="515"/>
      <c r="W184" s="515"/>
      <c r="X184" s="129">
        <v>17.899999999999999</v>
      </c>
      <c r="Y184" s="27"/>
      <c r="Z184" s="129">
        <v>6.1000000000000032</v>
      </c>
      <c r="AA184" s="129">
        <v>6.1000000000000032</v>
      </c>
      <c r="AB184" s="129">
        <v>6.1000000000000032</v>
      </c>
      <c r="AC184" s="129">
        <v>6.1000000000000032</v>
      </c>
      <c r="AD184" s="129">
        <v>6.1000000000000032</v>
      </c>
      <c r="AE184" s="129">
        <v>6.1000000000000032</v>
      </c>
      <c r="AF184" s="129">
        <v>6.1000000000000032</v>
      </c>
      <c r="AG184" s="129">
        <v>6.1000000000000032</v>
      </c>
      <c r="AH184" s="129">
        <v>6.1000000000000032</v>
      </c>
      <c r="AI184" s="129">
        <v>17.899999999999999</v>
      </c>
      <c r="AK184" s="129">
        <v>16.299999999999994</v>
      </c>
      <c r="AL184" s="129">
        <v>16.299999999999994</v>
      </c>
      <c r="AM184" s="129">
        <v>16.299999999999994</v>
      </c>
      <c r="AN184" s="129">
        <v>16.299999999999994</v>
      </c>
      <c r="AO184" s="129">
        <v>16.299999999999994</v>
      </c>
      <c r="AP184" s="129">
        <v>16.299999999999994</v>
      </c>
      <c r="AQ184" s="129">
        <v>16.299999999999994</v>
      </c>
      <c r="AR184" s="129">
        <v>16.299999999999994</v>
      </c>
      <c r="AS184" s="129">
        <v>16.299999999999994</v>
      </c>
      <c r="AT184" s="129">
        <v>17.899999999999999</v>
      </c>
      <c r="AV184" s="129">
        <v>21.400000000000013</v>
      </c>
      <c r="AW184" s="129">
        <v>21.400000000000013</v>
      </c>
      <c r="AX184" s="129">
        <v>21.400000000000013</v>
      </c>
      <c r="AY184" s="129">
        <v>21.400000000000013</v>
      </c>
      <c r="AZ184" s="129">
        <v>21.400000000000013</v>
      </c>
      <c r="BA184" s="129">
        <v>21.400000000000013</v>
      </c>
      <c r="BB184" s="129">
        <v>21.400000000000013</v>
      </c>
      <c r="BC184" s="129">
        <v>21.400000000000013</v>
      </c>
      <c r="BD184" s="129">
        <v>21.400000000000013</v>
      </c>
      <c r="BE184" s="129">
        <v>17.899999999999999</v>
      </c>
      <c r="BG184" s="129">
        <v>28.5</v>
      </c>
      <c r="BH184" s="129">
        <v>28.5</v>
      </c>
      <c r="BI184" s="129">
        <v>28.5</v>
      </c>
      <c r="BJ184" s="129">
        <v>28.5</v>
      </c>
      <c r="BK184" s="129">
        <v>28.5</v>
      </c>
      <c r="BL184" s="129">
        <v>28.5</v>
      </c>
      <c r="BM184" s="129">
        <v>28.5</v>
      </c>
      <c r="BN184" s="129">
        <v>28.5</v>
      </c>
      <c r="BO184" s="129">
        <v>28.5</v>
      </c>
      <c r="BP184" s="129">
        <v>17.899999999999999</v>
      </c>
      <c r="BR184" s="129">
        <v>28.5</v>
      </c>
      <c r="BS184" s="129">
        <v>28.5</v>
      </c>
      <c r="BT184" s="129">
        <v>28.5</v>
      </c>
      <c r="BU184" s="129">
        <v>28.5</v>
      </c>
      <c r="BV184" s="129">
        <v>28.5</v>
      </c>
      <c r="BW184" s="129">
        <v>28.5</v>
      </c>
      <c r="BX184" s="129">
        <v>28.5</v>
      </c>
      <c r="BY184" s="129">
        <v>28.5</v>
      </c>
      <c r="BZ184" s="129">
        <v>28.5</v>
      </c>
      <c r="CA184" s="129">
        <v>17.899999999999999</v>
      </c>
      <c r="CC184" s="129">
        <v>10.100000000000003</v>
      </c>
      <c r="CD184" s="129">
        <v>10.100000000000003</v>
      </c>
      <c r="CE184" s="129">
        <v>10.100000000000003</v>
      </c>
      <c r="CF184" s="129">
        <v>10.100000000000003</v>
      </c>
      <c r="CG184" s="129">
        <v>10.100000000000003</v>
      </c>
      <c r="CH184" s="129">
        <v>10.100000000000003</v>
      </c>
      <c r="CI184" s="129">
        <v>10.100000000000003</v>
      </c>
      <c r="CJ184" s="129">
        <v>10.100000000000003</v>
      </c>
      <c r="CK184" s="129">
        <v>10.100000000000003</v>
      </c>
      <c r="CL184" s="129">
        <v>17.899999999999999</v>
      </c>
      <c r="CN184" s="129">
        <v>13</v>
      </c>
      <c r="CO184" s="129">
        <v>13</v>
      </c>
      <c r="CP184" s="129">
        <v>13</v>
      </c>
      <c r="CQ184" s="129">
        <v>13</v>
      </c>
      <c r="CR184" s="129">
        <v>13</v>
      </c>
      <c r="CS184" s="129">
        <v>13</v>
      </c>
      <c r="CT184" s="129">
        <v>13</v>
      </c>
      <c r="CU184" s="129">
        <v>13</v>
      </c>
      <c r="CV184" s="129">
        <v>13</v>
      </c>
      <c r="CW184" s="129">
        <v>17.899999999999999</v>
      </c>
      <c r="CY184" s="129">
        <v>17.099999999999987</v>
      </c>
      <c r="CZ184" s="129">
        <v>17.099999999999987</v>
      </c>
      <c r="DA184" s="129">
        <v>17.099999999999987</v>
      </c>
      <c r="DB184" s="129">
        <v>17.099999999999987</v>
      </c>
      <c r="DC184" s="129">
        <v>17.099999999999987</v>
      </c>
      <c r="DD184" s="129">
        <v>17.099999999999987</v>
      </c>
      <c r="DE184" s="129">
        <v>17.099999999999987</v>
      </c>
      <c r="DF184" s="129">
        <v>17.099999999999987</v>
      </c>
      <c r="DG184" s="129">
        <v>17.099999999999987</v>
      </c>
      <c r="DH184" s="129">
        <v>17.899999999999999</v>
      </c>
      <c r="DJ184" s="129">
        <v>17.099999999999987</v>
      </c>
      <c r="DK184" s="129">
        <v>17.099999999999987</v>
      </c>
      <c r="DL184" s="129">
        <v>17.099999999999987</v>
      </c>
      <c r="DM184" s="129">
        <v>17.099999999999987</v>
      </c>
      <c r="DN184" s="129">
        <v>17.099999999999987</v>
      </c>
      <c r="DO184" s="129">
        <v>17.099999999999987</v>
      </c>
      <c r="DP184" s="129">
        <v>17.099999999999987</v>
      </c>
      <c r="DQ184" s="129">
        <v>17.099999999999987</v>
      </c>
      <c r="DR184" s="129">
        <v>17.099999999999987</v>
      </c>
      <c r="DS184" s="129">
        <v>17.899999999999999</v>
      </c>
      <c r="DW184" s="27">
        <v>5.1000000000000032</v>
      </c>
      <c r="DX184" s="27">
        <v>5.1000000000000032</v>
      </c>
      <c r="DY184" s="27">
        <v>5.1000000000000032</v>
      </c>
      <c r="DZ184" s="27">
        <v>5.1000000000000032</v>
      </c>
      <c r="EA184" s="27">
        <v>5.1000000000000032</v>
      </c>
      <c r="EB184" s="27">
        <v>5.1000000000000032</v>
      </c>
      <c r="EC184" s="27">
        <v>5.1000000000000032</v>
      </c>
      <c r="ED184" s="27">
        <v>5.1000000000000032</v>
      </c>
      <c r="EE184" s="27">
        <v>5.1000000000000032</v>
      </c>
      <c r="EF184" s="129">
        <v>19.899999999999999</v>
      </c>
      <c r="EH184" s="27">
        <v>11.100000000000003</v>
      </c>
      <c r="EI184" s="27">
        <v>11.100000000000003</v>
      </c>
      <c r="EJ184" s="27">
        <v>11.100000000000003</v>
      </c>
      <c r="EK184" s="27">
        <v>11.100000000000003</v>
      </c>
      <c r="EL184" s="27">
        <v>11.100000000000003</v>
      </c>
      <c r="EM184" s="27">
        <v>11.100000000000003</v>
      </c>
      <c r="EN184" s="27">
        <v>11.100000000000003</v>
      </c>
      <c r="EO184" s="27">
        <v>11.100000000000003</v>
      </c>
      <c r="EP184" s="27">
        <v>11.100000000000003</v>
      </c>
      <c r="EQ184" s="129">
        <v>19.899999999999999</v>
      </c>
      <c r="ES184" s="27">
        <v>24.200000000000006</v>
      </c>
      <c r="ET184" s="27">
        <v>24.200000000000006</v>
      </c>
      <c r="EU184" s="27">
        <v>24.200000000000006</v>
      </c>
      <c r="EV184" s="27">
        <v>24.200000000000006</v>
      </c>
      <c r="EW184" s="27">
        <v>24.200000000000006</v>
      </c>
      <c r="EX184" s="27">
        <v>24.200000000000006</v>
      </c>
      <c r="EY184" s="27">
        <v>24.200000000000006</v>
      </c>
      <c r="EZ184" s="27">
        <v>24.200000000000006</v>
      </c>
      <c r="FA184" s="27">
        <v>24.200000000000006</v>
      </c>
      <c r="FB184" s="129">
        <v>19.899999999999999</v>
      </c>
      <c r="FD184" s="27">
        <v>25.200000000000006</v>
      </c>
      <c r="FE184" s="27">
        <v>25.200000000000006</v>
      </c>
      <c r="FF184" s="27">
        <v>25.200000000000006</v>
      </c>
      <c r="FG184" s="27">
        <v>25.200000000000006</v>
      </c>
      <c r="FH184" s="27">
        <v>25.200000000000006</v>
      </c>
      <c r="FI184" s="27">
        <v>25.200000000000006</v>
      </c>
      <c r="FJ184" s="27">
        <v>25.200000000000006</v>
      </c>
      <c r="FK184" s="27">
        <v>25.200000000000006</v>
      </c>
      <c r="FL184" s="27">
        <v>25.200000000000006</v>
      </c>
      <c r="FM184" s="129">
        <v>19.899999999999999</v>
      </c>
      <c r="FO184" s="27">
        <v>39.199999999999974</v>
      </c>
      <c r="FP184" s="27">
        <v>39.199999999999974</v>
      </c>
      <c r="FQ184" s="27">
        <v>39.199999999999974</v>
      </c>
      <c r="FR184" s="27">
        <v>39.199999999999974</v>
      </c>
      <c r="FS184" s="27">
        <v>39.199999999999974</v>
      </c>
      <c r="FT184" s="27">
        <v>39.199999999999974</v>
      </c>
      <c r="FU184" s="27">
        <v>39.199999999999974</v>
      </c>
      <c r="FV184" s="27">
        <v>39.199999999999974</v>
      </c>
      <c r="FW184" s="27">
        <v>39.199999999999974</v>
      </c>
      <c r="FX184" s="129">
        <v>19.899999999999999</v>
      </c>
      <c r="FZ184" s="27">
        <v>39.199999999999974</v>
      </c>
      <c r="GA184" s="27">
        <v>39.199999999999974</v>
      </c>
      <c r="GB184" s="27">
        <v>39.199999999999974</v>
      </c>
      <c r="GC184" s="27">
        <v>39.199999999999974</v>
      </c>
      <c r="GD184" s="27">
        <v>39.199999999999974</v>
      </c>
      <c r="GE184" s="27">
        <v>39.199999999999974</v>
      </c>
      <c r="GF184" s="27">
        <v>39.199999999999974</v>
      </c>
      <c r="GG184" s="27">
        <v>39.199999999999974</v>
      </c>
      <c r="GH184" s="27">
        <v>39.199999999999974</v>
      </c>
      <c r="GI184" s="129">
        <v>19.899999999999999</v>
      </c>
      <c r="GJ184" s="27"/>
      <c r="GK184" s="27">
        <v>9.1000000000000032</v>
      </c>
      <c r="GL184" s="27">
        <v>9.1000000000000032</v>
      </c>
      <c r="GM184" s="27">
        <v>9.1000000000000032</v>
      </c>
      <c r="GN184" s="27">
        <v>9.1000000000000032</v>
      </c>
      <c r="GO184" s="27">
        <v>9.1000000000000032</v>
      </c>
      <c r="GP184" s="27">
        <v>9.1000000000000032</v>
      </c>
      <c r="GQ184" s="27">
        <v>9.1000000000000032</v>
      </c>
      <c r="GR184" s="27">
        <v>9.1000000000000032</v>
      </c>
      <c r="GS184" s="27">
        <v>9.1000000000000032</v>
      </c>
      <c r="GT184" s="129">
        <v>19.899999999999999</v>
      </c>
      <c r="GV184" s="27">
        <v>11.100000000000003</v>
      </c>
      <c r="GW184" s="27">
        <v>11.100000000000003</v>
      </c>
      <c r="GX184" s="27">
        <v>11.100000000000003</v>
      </c>
      <c r="GY184" s="27">
        <v>11.100000000000003</v>
      </c>
      <c r="GZ184" s="27">
        <v>11.100000000000003</v>
      </c>
      <c r="HA184" s="27">
        <v>11.100000000000003</v>
      </c>
      <c r="HB184" s="27">
        <v>11.100000000000003</v>
      </c>
      <c r="HC184" s="27">
        <v>11.100000000000003</v>
      </c>
      <c r="HD184" s="27">
        <v>11.100000000000003</v>
      </c>
      <c r="HE184" s="129">
        <v>19.899999999999999</v>
      </c>
      <c r="HG184" s="27">
        <v>16</v>
      </c>
      <c r="HH184" s="27">
        <v>16</v>
      </c>
      <c r="HI184" s="27">
        <v>16</v>
      </c>
      <c r="HJ184" s="27">
        <v>16</v>
      </c>
      <c r="HK184" s="27">
        <v>16</v>
      </c>
      <c r="HL184" s="27">
        <v>16</v>
      </c>
      <c r="HM184" s="27">
        <v>16</v>
      </c>
      <c r="HN184" s="27">
        <v>16</v>
      </c>
      <c r="HO184" s="27">
        <v>16</v>
      </c>
      <c r="HP184" s="129">
        <v>19.899999999999999</v>
      </c>
      <c r="HR184" s="27">
        <v>16</v>
      </c>
      <c r="HS184" s="27">
        <v>16</v>
      </c>
      <c r="HT184" s="27">
        <v>16</v>
      </c>
      <c r="HU184" s="27">
        <v>16</v>
      </c>
      <c r="HV184" s="27">
        <v>16</v>
      </c>
      <c r="HW184" s="27">
        <v>16</v>
      </c>
      <c r="HX184" s="27">
        <v>16</v>
      </c>
      <c r="HY184" s="27">
        <v>16</v>
      </c>
      <c r="HZ184" s="27">
        <v>16</v>
      </c>
      <c r="IA184" s="129">
        <v>19.899999999999999</v>
      </c>
    </row>
    <row r="185" spans="15:235" ht="3" customHeight="1">
      <c r="O185" s="17"/>
      <c r="P185" s="17"/>
      <c r="Q185" s="17"/>
      <c r="R185" s="17"/>
      <c r="S185" s="17"/>
      <c r="T185" s="17"/>
      <c r="U185" s="17"/>
      <c r="V185" s="17"/>
      <c r="W185" s="17"/>
      <c r="X185" s="129">
        <v>18</v>
      </c>
      <c r="Y185" s="27"/>
      <c r="Z185" s="129">
        <v>6</v>
      </c>
      <c r="AA185" s="129">
        <v>6</v>
      </c>
      <c r="AB185" s="129">
        <v>6</v>
      </c>
      <c r="AC185" s="129">
        <v>6</v>
      </c>
      <c r="AD185" s="129">
        <v>6</v>
      </c>
      <c r="AE185" s="129">
        <v>6</v>
      </c>
      <c r="AF185" s="129">
        <v>6</v>
      </c>
      <c r="AG185" s="129">
        <v>6</v>
      </c>
      <c r="AH185" s="129">
        <v>6</v>
      </c>
      <c r="AI185" s="129">
        <v>18</v>
      </c>
      <c r="AK185" s="129">
        <v>16</v>
      </c>
      <c r="AL185" s="129">
        <v>16</v>
      </c>
      <c r="AM185" s="129">
        <v>16</v>
      </c>
      <c r="AN185" s="129">
        <v>16</v>
      </c>
      <c r="AO185" s="129">
        <v>16</v>
      </c>
      <c r="AP185" s="129">
        <v>16</v>
      </c>
      <c r="AQ185" s="129">
        <v>16</v>
      </c>
      <c r="AR185" s="129">
        <v>16</v>
      </c>
      <c r="AS185" s="129">
        <v>16</v>
      </c>
      <c r="AT185" s="129">
        <v>18</v>
      </c>
      <c r="AV185" s="129">
        <v>21</v>
      </c>
      <c r="AW185" s="129">
        <v>21</v>
      </c>
      <c r="AX185" s="129">
        <v>21</v>
      </c>
      <c r="AY185" s="129">
        <v>21</v>
      </c>
      <c r="AZ185" s="129">
        <v>21</v>
      </c>
      <c r="BA185" s="129">
        <v>21</v>
      </c>
      <c r="BB185" s="129">
        <v>21</v>
      </c>
      <c r="BC185" s="129">
        <v>21</v>
      </c>
      <c r="BD185" s="129">
        <v>21</v>
      </c>
      <c r="BE185" s="129">
        <v>18</v>
      </c>
      <c r="BG185" s="129">
        <v>28</v>
      </c>
      <c r="BH185" s="129">
        <v>28</v>
      </c>
      <c r="BI185" s="129">
        <v>28</v>
      </c>
      <c r="BJ185" s="129">
        <v>28</v>
      </c>
      <c r="BK185" s="129">
        <v>28</v>
      </c>
      <c r="BL185" s="129">
        <v>28</v>
      </c>
      <c r="BM185" s="129">
        <v>28</v>
      </c>
      <c r="BN185" s="129">
        <v>28</v>
      </c>
      <c r="BO185" s="129">
        <v>28</v>
      </c>
      <c r="BP185" s="129">
        <v>18</v>
      </c>
      <c r="BR185" s="129">
        <v>28</v>
      </c>
      <c r="BS185" s="129">
        <v>28</v>
      </c>
      <c r="BT185" s="129">
        <v>28</v>
      </c>
      <c r="BU185" s="129">
        <v>28</v>
      </c>
      <c r="BV185" s="129">
        <v>28</v>
      </c>
      <c r="BW185" s="129">
        <v>28</v>
      </c>
      <c r="BX185" s="129">
        <v>28</v>
      </c>
      <c r="BY185" s="129">
        <v>28</v>
      </c>
      <c r="BZ185" s="129">
        <v>28</v>
      </c>
      <c r="CA185" s="129">
        <v>18</v>
      </c>
      <c r="CC185" s="129">
        <v>10</v>
      </c>
      <c r="CD185" s="129">
        <v>10</v>
      </c>
      <c r="CE185" s="129">
        <v>10</v>
      </c>
      <c r="CF185" s="129">
        <v>10</v>
      </c>
      <c r="CG185" s="129">
        <v>10</v>
      </c>
      <c r="CH185" s="129">
        <v>10</v>
      </c>
      <c r="CI185" s="129">
        <v>10</v>
      </c>
      <c r="CJ185" s="129">
        <v>10</v>
      </c>
      <c r="CK185" s="129">
        <v>10</v>
      </c>
      <c r="CL185" s="129">
        <v>18</v>
      </c>
      <c r="CN185" s="129">
        <v>13</v>
      </c>
      <c r="CO185" s="129">
        <v>13</v>
      </c>
      <c r="CP185" s="129">
        <v>13</v>
      </c>
      <c r="CQ185" s="129">
        <v>13</v>
      </c>
      <c r="CR185" s="129">
        <v>13</v>
      </c>
      <c r="CS185" s="129">
        <v>13</v>
      </c>
      <c r="CT185" s="129">
        <v>13</v>
      </c>
      <c r="CU185" s="129">
        <v>13</v>
      </c>
      <c r="CV185" s="129">
        <v>13</v>
      </c>
      <c r="CW185" s="129">
        <v>18</v>
      </c>
      <c r="CY185" s="129">
        <v>17</v>
      </c>
      <c r="CZ185" s="129">
        <v>17</v>
      </c>
      <c r="DA185" s="129">
        <v>17</v>
      </c>
      <c r="DB185" s="129">
        <v>17</v>
      </c>
      <c r="DC185" s="129">
        <v>17</v>
      </c>
      <c r="DD185" s="129">
        <v>17</v>
      </c>
      <c r="DE185" s="129">
        <v>17</v>
      </c>
      <c r="DF185" s="129">
        <v>17</v>
      </c>
      <c r="DG185" s="129">
        <v>17</v>
      </c>
      <c r="DH185" s="129">
        <v>18</v>
      </c>
      <c r="DJ185" s="129">
        <v>17</v>
      </c>
      <c r="DK185" s="129">
        <v>17</v>
      </c>
      <c r="DL185" s="129">
        <v>17</v>
      </c>
      <c r="DM185" s="129">
        <v>17</v>
      </c>
      <c r="DN185" s="129">
        <v>17</v>
      </c>
      <c r="DO185" s="129">
        <v>17</v>
      </c>
      <c r="DP185" s="129">
        <v>17</v>
      </c>
      <c r="DQ185" s="129">
        <v>17</v>
      </c>
      <c r="DR185" s="129">
        <v>17</v>
      </c>
      <c r="DS185" s="129">
        <v>18</v>
      </c>
      <c r="DW185" s="27">
        <v>5</v>
      </c>
      <c r="DX185" s="27">
        <v>5</v>
      </c>
      <c r="DY185" s="27">
        <v>5</v>
      </c>
      <c r="DZ185" s="27">
        <v>5</v>
      </c>
      <c r="EA185" s="27">
        <v>5</v>
      </c>
      <c r="EB185" s="27">
        <v>5</v>
      </c>
      <c r="EC185" s="27">
        <v>5</v>
      </c>
      <c r="ED185" s="27">
        <v>5</v>
      </c>
      <c r="EE185" s="27">
        <v>5</v>
      </c>
      <c r="EF185" s="129">
        <v>20</v>
      </c>
      <c r="EH185" s="27">
        <v>11</v>
      </c>
      <c r="EI185" s="27">
        <v>11</v>
      </c>
      <c r="EJ185" s="27">
        <v>11</v>
      </c>
      <c r="EK185" s="27">
        <v>11</v>
      </c>
      <c r="EL185" s="27">
        <v>11</v>
      </c>
      <c r="EM185" s="27">
        <v>11</v>
      </c>
      <c r="EN185" s="27">
        <v>11</v>
      </c>
      <c r="EO185" s="27">
        <v>11</v>
      </c>
      <c r="EP185" s="27">
        <v>11</v>
      </c>
      <c r="EQ185" s="129">
        <v>20</v>
      </c>
      <c r="ES185" s="27">
        <v>24</v>
      </c>
      <c r="ET185" s="27">
        <v>24</v>
      </c>
      <c r="EU185" s="27">
        <v>24</v>
      </c>
      <c r="EV185" s="27">
        <v>24</v>
      </c>
      <c r="EW185" s="27">
        <v>24</v>
      </c>
      <c r="EX185" s="27">
        <v>24</v>
      </c>
      <c r="EY185" s="27">
        <v>24</v>
      </c>
      <c r="EZ185" s="27">
        <v>24</v>
      </c>
      <c r="FA185" s="27">
        <v>24</v>
      </c>
      <c r="FB185" s="129">
        <v>20</v>
      </c>
      <c r="FD185" s="27">
        <v>25</v>
      </c>
      <c r="FE185" s="27">
        <v>25</v>
      </c>
      <c r="FF185" s="27">
        <v>25</v>
      </c>
      <c r="FG185" s="27">
        <v>25</v>
      </c>
      <c r="FH185" s="27">
        <v>25</v>
      </c>
      <c r="FI185" s="27">
        <v>25</v>
      </c>
      <c r="FJ185" s="27">
        <v>25</v>
      </c>
      <c r="FK185" s="27">
        <v>25</v>
      </c>
      <c r="FL185" s="27">
        <v>25</v>
      </c>
      <c r="FM185" s="129">
        <v>20</v>
      </c>
      <c r="FO185" s="27">
        <v>39</v>
      </c>
      <c r="FP185" s="27">
        <v>39</v>
      </c>
      <c r="FQ185" s="27">
        <v>39</v>
      </c>
      <c r="FR185" s="27">
        <v>39</v>
      </c>
      <c r="FS185" s="27">
        <v>39</v>
      </c>
      <c r="FT185" s="27">
        <v>39</v>
      </c>
      <c r="FU185" s="27">
        <v>39</v>
      </c>
      <c r="FV185" s="27">
        <v>39</v>
      </c>
      <c r="FW185" s="27">
        <v>39</v>
      </c>
      <c r="FX185" s="129">
        <v>20</v>
      </c>
      <c r="FZ185" s="27">
        <v>39</v>
      </c>
      <c r="GA185" s="27">
        <v>39</v>
      </c>
      <c r="GB185" s="27">
        <v>39</v>
      </c>
      <c r="GC185" s="27">
        <v>39</v>
      </c>
      <c r="GD185" s="27">
        <v>39</v>
      </c>
      <c r="GE185" s="27">
        <v>39</v>
      </c>
      <c r="GF185" s="27">
        <v>39</v>
      </c>
      <c r="GG185" s="27">
        <v>39</v>
      </c>
      <c r="GH185" s="27">
        <v>39</v>
      </c>
      <c r="GI185" s="129">
        <v>20</v>
      </c>
      <c r="GJ185" s="27"/>
      <c r="GK185" s="27">
        <v>9</v>
      </c>
      <c r="GL185" s="27">
        <v>9</v>
      </c>
      <c r="GM185" s="27">
        <v>9</v>
      </c>
      <c r="GN185" s="27">
        <v>9</v>
      </c>
      <c r="GO185" s="27">
        <v>9</v>
      </c>
      <c r="GP185" s="27">
        <v>9</v>
      </c>
      <c r="GQ185" s="27">
        <v>9</v>
      </c>
      <c r="GR185" s="27">
        <v>9</v>
      </c>
      <c r="GS185" s="27">
        <v>9</v>
      </c>
      <c r="GT185" s="129">
        <v>20</v>
      </c>
      <c r="GV185" s="27">
        <v>11</v>
      </c>
      <c r="GW185" s="27">
        <v>11</v>
      </c>
      <c r="GX185" s="27">
        <v>11</v>
      </c>
      <c r="GY185" s="27">
        <v>11</v>
      </c>
      <c r="GZ185" s="27">
        <v>11</v>
      </c>
      <c r="HA185" s="27">
        <v>11</v>
      </c>
      <c r="HB185" s="27">
        <v>11</v>
      </c>
      <c r="HC185" s="27">
        <v>11</v>
      </c>
      <c r="HD185" s="27">
        <v>11</v>
      </c>
      <c r="HE185" s="129">
        <v>20</v>
      </c>
      <c r="HG185" s="27">
        <v>16</v>
      </c>
      <c r="HH185" s="27">
        <v>16</v>
      </c>
      <c r="HI185" s="27">
        <v>16</v>
      </c>
      <c r="HJ185" s="27">
        <v>16</v>
      </c>
      <c r="HK185" s="27">
        <v>16</v>
      </c>
      <c r="HL185" s="27">
        <v>16</v>
      </c>
      <c r="HM185" s="27">
        <v>16</v>
      </c>
      <c r="HN185" s="27">
        <v>16</v>
      </c>
      <c r="HO185" s="27">
        <v>16</v>
      </c>
      <c r="HP185" s="129">
        <v>20</v>
      </c>
      <c r="HR185" s="27">
        <v>16</v>
      </c>
      <c r="HS185" s="27">
        <v>16</v>
      </c>
      <c r="HT185" s="27">
        <v>16</v>
      </c>
      <c r="HU185" s="27">
        <v>16</v>
      </c>
      <c r="HV185" s="27">
        <v>16</v>
      </c>
      <c r="HW185" s="27">
        <v>16</v>
      </c>
      <c r="HX185" s="27">
        <v>16</v>
      </c>
      <c r="HY185" s="27">
        <v>16</v>
      </c>
      <c r="HZ185" s="27">
        <v>16</v>
      </c>
      <c r="IA185" s="129">
        <v>20</v>
      </c>
    </row>
    <row r="186" spans="15:235">
      <c r="O186" s="17"/>
      <c r="P186" s="17"/>
      <c r="Q186" s="17"/>
      <c r="R186" s="17"/>
      <c r="S186" s="17"/>
      <c r="T186" s="17"/>
      <c r="U186" s="17"/>
      <c r="V186" s="17"/>
      <c r="W186" s="17"/>
      <c r="X186" s="129">
        <v>18.100000000000001</v>
      </c>
      <c r="Y186" s="27"/>
      <c r="Z186" s="129">
        <v>5.9</v>
      </c>
      <c r="AA186" s="129">
        <v>5.9</v>
      </c>
      <c r="AB186" s="129">
        <v>5.9</v>
      </c>
      <c r="AC186" s="129">
        <v>5.9</v>
      </c>
      <c r="AD186" s="129">
        <v>5.9</v>
      </c>
      <c r="AE186" s="129">
        <v>5.9</v>
      </c>
      <c r="AF186" s="129">
        <v>5.9</v>
      </c>
      <c r="AG186" s="129">
        <v>5.9</v>
      </c>
      <c r="AH186" s="129">
        <v>5.9</v>
      </c>
      <c r="AI186" s="129">
        <v>18.100000000000001</v>
      </c>
      <c r="AK186" s="129">
        <v>15.7</v>
      </c>
      <c r="AL186" s="129">
        <v>15.7</v>
      </c>
      <c r="AM186" s="129">
        <v>15.7</v>
      </c>
      <c r="AN186" s="129">
        <v>15.7</v>
      </c>
      <c r="AO186" s="129">
        <v>15.7</v>
      </c>
      <c r="AP186" s="129">
        <v>15.7</v>
      </c>
      <c r="AQ186" s="129">
        <v>15.7</v>
      </c>
      <c r="AR186" s="129">
        <v>15.7</v>
      </c>
      <c r="AS186" s="129">
        <v>15.7</v>
      </c>
      <c r="AT186" s="129">
        <v>18.100000000000001</v>
      </c>
      <c r="AV186" s="129">
        <v>20.7</v>
      </c>
      <c r="AW186" s="129">
        <v>20.7</v>
      </c>
      <c r="AX186" s="129">
        <v>20.7</v>
      </c>
      <c r="AY186" s="129">
        <v>20.7</v>
      </c>
      <c r="AZ186" s="129">
        <v>20.7</v>
      </c>
      <c r="BA186" s="129">
        <v>20.7</v>
      </c>
      <c r="BB186" s="129">
        <v>20.7</v>
      </c>
      <c r="BC186" s="129">
        <v>20.7</v>
      </c>
      <c r="BD186" s="129">
        <v>20.7</v>
      </c>
      <c r="BE186" s="129">
        <v>18.100000000000001</v>
      </c>
      <c r="BG186" s="129">
        <v>27.6</v>
      </c>
      <c r="BH186" s="129">
        <v>27.6</v>
      </c>
      <c r="BI186" s="129">
        <v>27.6</v>
      </c>
      <c r="BJ186" s="129">
        <v>27.6</v>
      </c>
      <c r="BK186" s="129">
        <v>27.6</v>
      </c>
      <c r="BL186" s="129">
        <v>27.6</v>
      </c>
      <c r="BM186" s="129">
        <v>27.6</v>
      </c>
      <c r="BN186" s="129">
        <v>27.6</v>
      </c>
      <c r="BO186" s="129">
        <v>27.6</v>
      </c>
      <c r="BP186" s="129">
        <v>18.100000000000001</v>
      </c>
      <c r="BR186" s="129">
        <v>27.6</v>
      </c>
      <c r="BS186" s="129">
        <v>27.6</v>
      </c>
      <c r="BT186" s="129">
        <v>27.6</v>
      </c>
      <c r="BU186" s="129">
        <v>27.6</v>
      </c>
      <c r="BV186" s="129">
        <v>27.6</v>
      </c>
      <c r="BW186" s="129">
        <v>27.6</v>
      </c>
      <c r="BX186" s="129">
        <v>27.6</v>
      </c>
      <c r="BY186" s="129">
        <v>27.6</v>
      </c>
      <c r="BZ186" s="129">
        <v>27.6</v>
      </c>
      <c r="CA186" s="129">
        <v>18.100000000000001</v>
      </c>
      <c r="CC186" s="129">
        <v>10</v>
      </c>
      <c r="CD186" s="129">
        <v>10</v>
      </c>
      <c r="CE186" s="129">
        <v>10</v>
      </c>
      <c r="CF186" s="129">
        <v>10</v>
      </c>
      <c r="CG186" s="129">
        <v>10</v>
      </c>
      <c r="CH186" s="129">
        <v>10</v>
      </c>
      <c r="CI186" s="129">
        <v>10</v>
      </c>
      <c r="CJ186" s="129">
        <v>10</v>
      </c>
      <c r="CK186" s="129">
        <v>10</v>
      </c>
      <c r="CL186" s="129">
        <v>18.100000000000001</v>
      </c>
      <c r="CN186" s="129">
        <v>12.9</v>
      </c>
      <c r="CO186" s="129">
        <v>12.9</v>
      </c>
      <c r="CP186" s="129">
        <v>12.9</v>
      </c>
      <c r="CQ186" s="129">
        <v>12.9</v>
      </c>
      <c r="CR186" s="129">
        <v>12.9</v>
      </c>
      <c r="CS186" s="129">
        <v>12.9</v>
      </c>
      <c r="CT186" s="129">
        <v>12.9</v>
      </c>
      <c r="CU186" s="129">
        <v>12.9</v>
      </c>
      <c r="CV186" s="129">
        <v>12.9</v>
      </c>
      <c r="CW186" s="129">
        <v>18.100000000000001</v>
      </c>
      <c r="CY186" s="129">
        <v>16.899999999999999</v>
      </c>
      <c r="CZ186" s="129">
        <v>16.899999999999999</v>
      </c>
      <c r="DA186" s="129">
        <v>16.899999999999999</v>
      </c>
      <c r="DB186" s="129">
        <v>16.899999999999999</v>
      </c>
      <c r="DC186" s="129">
        <v>16.899999999999999</v>
      </c>
      <c r="DD186" s="129">
        <v>16.899999999999999</v>
      </c>
      <c r="DE186" s="129">
        <v>16.899999999999999</v>
      </c>
      <c r="DF186" s="129">
        <v>16.899999999999999</v>
      </c>
      <c r="DG186" s="129">
        <v>16.899999999999999</v>
      </c>
      <c r="DH186" s="129">
        <v>18.100000000000001</v>
      </c>
      <c r="DJ186" s="129">
        <v>16.899999999999999</v>
      </c>
      <c r="DK186" s="129">
        <v>16.899999999999999</v>
      </c>
      <c r="DL186" s="129">
        <v>16.899999999999999</v>
      </c>
      <c r="DM186" s="129">
        <v>16.899999999999999</v>
      </c>
      <c r="DN186" s="129">
        <v>16.899999999999999</v>
      </c>
      <c r="DO186" s="129">
        <v>16.899999999999999</v>
      </c>
      <c r="DP186" s="129">
        <v>16.899999999999999</v>
      </c>
      <c r="DQ186" s="129">
        <v>16.899999999999999</v>
      </c>
      <c r="DR186" s="129">
        <v>16.899999999999999</v>
      </c>
      <c r="DS186" s="129">
        <v>18.100000000000001</v>
      </c>
      <c r="DW186" s="27"/>
      <c r="DX186" s="27"/>
      <c r="DY186" s="27"/>
      <c r="DZ186" s="27"/>
      <c r="EA186" s="27"/>
      <c r="EB186" s="27"/>
      <c r="EC186" s="27"/>
      <c r="ED186" s="27"/>
      <c r="EE186" s="27"/>
      <c r="EF186" s="129">
        <v>20.100000000000001</v>
      </c>
      <c r="EH186" s="27">
        <v>10.8</v>
      </c>
      <c r="EI186" s="27">
        <v>10.8</v>
      </c>
      <c r="EJ186" s="27">
        <v>10.8</v>
      </c>
      <c r="EK186" s="27">
        <v>10.8</v>
      </c>
      <c r="EL186" s="27">
        <v>10.8</v>
      </c>
      <c r="EM186" s="27">
        <v>10.8</v>
      </c>
      <c r="EN186" s="27">
        <v>10.8</v>
      </c>
      <c r="EO186" s="27">
        <v>10.8</v>
      </c>
      <c r="EP186" s="27">
        <v>10.8</v>
      </c>
      <c r="EQ186" s="129">
        <v>20.100000000000001</v>
      </c>
      <c r="ES186" s="27">
        <v>23.9</v>
      </c>
      <c r="ET186" s="27">
        <v>23.9</v>
      </c>
      <c r="EU186" s="27">
        <v>23.9</v>
      </c>
      <c r="EV186" s="27">
        <v>23.9</v>
      </c>
      <c r="EW186" s="27">
        <v>23.9</v>
      </c>
      <c r="EX186" s="27">
        <v>23.9</v>
      </c>
      <c r="EY186" s="27">
        <v>23.9</v>
      </c>
      <c r="EZ186" s="27">
        <v>23.9</v>
      </c>
      <c r="FA186" s="27">
        <v>23.9</v>
      </c>
      <c r="FB186" s="129">
        <v>20.100000000000001</v>
      </c>
      <c r="FD186" s="27">
        <v>24.9</v>
      </c>
      <c r="FE186" s="27">
        <v>24.9</v>
      </c>
      <c r="FF186" s="27">
        <v>24.9</v>
      </c>
      <c r="FG186" s="27">
        <v>24.9</v>
      </c>
      <c r="FH186" s="27">
        <v>24.9</v>
      </c>
      <c r="FI186" s="27">
        <v>24.9</v>
      </c>
      <c r="FJ186" s="27">
        <v>24.9</v>
      </c>
      <c r="FK186" s="27">
        <v>24.9</v>
      </c>
      <c r="FL186" s="27">
        <v>24.9</v>
      </c>
      <c r="FM186" s="129">
        <v>20.100000000000001</v>
      </c>
      <c r="FO186" s="27">
        <v>38.9</v>
      </c>
      <c r="FP186" s="27">
        <v>38.9</v>
      </c>
      <c r="FQ186" s="27">
        <v>38.9</v>
      </c>
      <c r="FR186" s="27">
        <v>38.9</v>
      </c>
      <c r="FS186" s="27">
        <v>38.9</v>
      </c>
      <c r="FT186" s="27">
        <v>38.9</v>
      </c>
      <c r="FU186" s="27">
        <v>38.9</v>
      </c>
      <c r="FV186" s="27">
        <v>38.9</v>
      </c>
      <c r="FW186" s="27">
        <v>38.9</v>
      </c>
      <c r="FX186" s="129">
        <v>20.100000000000001</v>
      </c>
      <c r="FZ186" s="27">
        <v>38.9</v>
      </c>
      <c r="GA186" s="27">
        <v>38.9</v>
      </c>
      <c r="GB186" s="27">
        <v>38.9</v>
      </c>
      <c r="GC186" s="27">
        <v>38.9</v>
      </c>
      <c r="GD186" s="27">
        <v>38.9</v>
      </c>
      <c r="GE186" s="27">
        <v>38.9</v>
      </c>
      <c r="GF186" s="27">
        <v>38.9</v>
      </c>
      <c r="GG186" s="27">
        <v>38.9</v>
      </c>
      <c r="GH186" s="27">
        <v>38.9</v>
      </c>
      <c r="GI186" s="129">
        <v>20.100000000000001</v>
      </c>
      <c r="GJ186" s="27"/>
      <c r="GK186" s="27">
        <v>9</v>
      </c>
      <c r="GL186" s="27">
        <v>9</v>
      </c>
      <c r="GM186" s="27">
        <v>9</v>
      </c>
      <c r="GN186" s="27">
        <v>9</v>
      </c>
      <c r="GO186" s="27">
        <v>9</v>
      </c>
      <c r="GP186" s="27">
        <v>9</v>
      </c>
      <c r="GQ186" s="27">
        <v>9</v>
      </c>
      <c r="GR186" s="27">
        <v>9</v>
      </c>
      <c r="GS186" s="27">
        <v>9</v>
      </c>
      <c r="GT186" s="129">
        <v>20.100000000000001</v>
      </c>
      <c r="GV186" s="27">
        <v>11</v>
      </c>
      <c r="GW186" s="27">
        <v>11</v>
      </c>
      <c r="GX186" s="27">
        <v>11</v>
      </c>
      <c r="GY186" s="27">
        <v>11</v>
      </c>
      <c r="GZ186" s="27">
        <v>11</v>
      </c>
      <c r="HA186" s="27">
        <v>11</v>
      </c>
      <c r="HB186" s="27">
        <v>11</v>
      </c>
      <c r="HC186" s="27">
        <v>11</v>
      </c>
      <c r="HD186" s="27">
        <v>11</v>
      </c>
      <c r="HE186" s="129">
        <v>20.100000000000001</v>
      </c>
      <c r="HG186" s="27">
        <v>15.9</v>
      </c>
      <c r="HH186" s="27">
        <v>15.9</v>
      </c>
      <c r="HI186" s="27">
        <v>15.9</v>
      </c>
      <c r="HJ186" s="27">
        <v>15.9</v>
      </c>
      <c r="HK186" s="27">
        <v>15.9</v>
      </c>
      <c r="HL186" s="27">
        <v>15.9</v>
      </c>
      <c r="HM186" s="27">
        <v>15.9</v>
      </c>
      <c r="HN186" s="27">
        <v>15.9</v>
      </c>
      <c r="HO186" s="27">
        <v>15.9</v>
      </c>
      <c r="HP186" s="129">
        <v>20.100000000000001</v>
      </c>
      <c r="HR186" s="27">
        <v>15.9</v>
      </c>
      <c r="HS186" s="27">
        <v>15.9</v>
      </c>
      <c r="HT186" s="27">
        <v>15.9</v>
      </c>
      <c r="HU186" s="27">
        <v>15.9</v>
      </c>
      <c r="HV186" s="27">
        <v>15.9</v>
      </c>
      <c r="HW186" s="27">
        <v>15.9</v>
      </c>
      <c r="HX186" s="27">
        <v>15.9</v>
      </c>
      <c r="HY186" s="27">
        <v>15.9</v>
      </c>
      <c r="HZ186" s="27">
        <v>15.9</v>
      </c>
      <c r="IA186" s="129">
        <v>20.100000000000001</v>
      </c>
    </row>
    <row r="187" spans="15:235" ht="3" customHeight="1">
      <c r="O187" s="17"/>
      <c r="P187" s="17"/>
      <c r="Q187" s="17"/>
      <c r="R187" s="17"/>
      <c r="S187" s="17"/>
      <c r="T187" s="17"/>
      <c r="U187" s="17"/>
      <c r="V187" s="17"/>
      <c r="W187" s="17"/>
      <c r="X187" s="129">
        <v>18.2</v>
      </c>
      <c r="Y187" s="27"/>
      <c r="Z187" s="129">
        <v>5.8000000000000007</v>
      </c>
      <c r="AA187" s="129">
        <v>5.8000000000000007</v>
      </c>
      <c r="AB187" s="129">
        <v>5.8000000000000007</v>
      </c>
      <c r="AC187" s="129">
        <v>5.8000000000000007</v>
      </c>
      <c r="AD187" s="129">
        <v>5.8000000000000007</v>
      </c>
      <c r="AE187" s="129">
        <v>5.8000000000000007</v>
      </c>
      <c r="AF187" s="129">
        <v>5.8000000000000007</v>
      </c>
      <c r="AG187" s="129">
        <v>5.8000000000000007</v>
      </c>
      <c r="AH187" s="129">
        <v>5.8000000000000007</v>
      </c>
      <c r="AI187" s="129">
        <v>18.2</v>
      </c>
      <c r="AK187" s="129">
        <v>15.399999999999999</v>
      </c>
      <c r="AL187" s="129">
        <v>15.399999999999999</v>
      </c>
      <c r="AM187" s="129">
        <v>15.399999999999999</v>
      </c>
      <c r="AN187" s="129">
        <v>15.399999999999999</v>
      </c>
      <c r="AO187" s="129">
        <v>15.399999999999999</v>
      </c>
      <c r="AP187" s="129">
        <v>15.399999999999999</v>
      </c>
      <c r="AQ187" s="129">
        <v>15.399999999999999</v>
      </c>
      <c r="AR187" s="129">
        <v>15.399999999999999</v>
      </c>
      <c r="AS187" s="129">
        <v>15.399999999999999</v>
      </c>
      <c r="AT187" s="129">
        <v>18.2</v>
      </c>
      <c r="AV187" s="129">
        <v>20.399999999999999</v>
      </c>
      <c r="AW187" s="129">
        <v>20.399999999999999</v>
      </c>
      <c r="AX187" s="129">
        <v>20.399999999999999</v>
      </c>
      <c r="AY187" s="129">
        <v>20.399999999999999</v>
      </c>
      <c r="AZ187" s="129">
        <v>20.399999999999999</v>
      </c>
      <c r="BA187" s="129">
        <v>20.399999999999999</v>
      </c>
      <c r="BB187" s="129">
        <v>20.399999999999999</v>
      </c>
      <c r="BC187" s="129">
        <v>20.399999999999999</v>
      </c>
      <c r="BD187" s="129">
        <v>20.399999999999999</v>
      </c>
      <c r="BE187" s="129">
        <v>18.2</v>
      </c>
      <c r="BG187" s="129">
        <v>27.200000000000003</v>
      </c>
      <c r="BH187" s="129">
        <v>27.200000000000003</v>
      </c>
      <c r="BI187" s="129">
        <v>27.200000000000003</v>
      </c>
      <c r="BJ187" s="129">
        <v>27.200000000000003</v>
      </c>
      <c r="BK187" s="129">
        <v>27.200000000000003</v>
      </c>
      <c r="BL187" s="129">
        <v>27.200000000000003</v>
      </c>
      <c r="BM187" s="129">
        <v>27.200000000000003</v>
      </c>
      <c r="BN187" s="129">
        <v>27.200000000000003</v>
      </c>
      <c r="BO187" s="129">
        <v>27.200000000000003</v>
      </c>
      <c r="BP187" s="129">
        <v>18.2</v>
      </c>
      <c r="BR187" s="129">
        <v>27.200000000000003</v>
      </c>
      <c r="BS187" s="129">
        <v>27.200000000000003</v>
      </c>
      <c r="BT187" s="129">
        <v>27.200000000000003</v>
      </c>
      <c r="BU187" s="129">
        <v>27.200000000000003</v>
      </c>
      <c r="BV187" s="129">
        <v>27.200000000000003</v>
      </c>
      <c r="BW187" s="129">
        <v>27.200000000000003</v>
      </c>
      <c r="BX187" s="129">
        <v>27.200000000000003</v>
      </c>
      <c r="BY187" s="129">
        <v>27.200000000000003</v>
      </c>
      <c r="BZ187" s="129">
        <v>27.200000000000003</v>
      </c>
      <c r="CA187" s="129">
        <v>18.2</v>
      </c>
      <c r="CC187" s="129">
        <v>10</v>
      </c>
      <c r="CD187" s="129">
        <v>10</v>
      </c>
      <c r="CE187" s="129">
        <v>10</v>
      </c>
      <c r="CF187" s="129">
        <v>10</v>
      </c>
      <c r="CG187" s="129">
        <v>10</v>
      </c>
      <c r="CH187" s="129">
        <v>10</v>
      </c>
      <c r="CI187" s="129">
        <v>10</v>
      </c>
      <c r="CJ187" s="129">
        <v>10</v>
      </c>
      <c r="CK187" s="129">
        <v>10</v>
      </c>
      <c r="CL187" s="129">
        <v>18.2</v>
      </c>
      <c r="CN187" s="129">
        <v>12.8</v>
      </c>
      <c r="CO187" s="129">
        <v>12.8</v>
      </c>
      <c r="CP187" s="129">
        <v>12.8</v>
      </c>
      <c r="CQ187" s="129">
        <v>12.8</v>
      </c>
      <c r="CR187" s="129">
        <v>12.8</v>
      </c>
      <c r="CS187" s="129">
        <v>12.8</v>
      </c>
      <c r="CT187" s="129">
        <v>12.8</v>
      </c>
      <c r="CU187" s="129">
        <v>12.8</v>
      </c>
      <c r="CV187" s="129">
        <v>12.8</v>
      </c>
      <c r="CW187" s="129">
        <v>18.2</v>
      </c>
      <c r="CY187" s="129">
        <v>16.799999999999997</v>
      </c>
      <c r="CZ187" s="129">
        <v>16.799999999999997</v>
      </c>
      <c r="DA187" s="129">
        <v>16.799999999999997</v>
      </c>
      <c r="DB187" s="129">
        <v>16.799999999999997</v>
      </c>
      <c r="DC187" s="129">
        <v>16.799999999999997</v>
      </c>
      <c r="DD187" s="129">
        <v>16.799999999999997</v>
      </c>
      <c r="DE187" s="129">
        <v>16.799999999999997</v>
      </c>
      <c r="DF187" s="129">
        <v>16.799999999999997</v>
      </c>
      <c r="DG187" s="129">
        <v>16.799999999999997</v>
      </c>
      <c r="DH187" s="129">
        <v>18.2</v>
      </c>
      <c r="DJ187" s="129">
        <v>16.799999999999997</v>
      </c>
      <c r="DK187" s="129">
        <v>16.799999999999997</v>
      </c>
      <c r="DL187" s="129">
        <v>16.799999999999997</v>
      </c>
      <c r="DM187" s="129">
        <v>16.799999999999997</v>
      </c>
      <c r="DN187" s="129">
        <v>16.799999999999997</v>
      </c>
      <c r="DO187" s="129">
        <v>16.799999999999997</v>
      </c>
      <c r="DP187" s="129">
        <v>16.799999999999997</v>
      </c>
      <c r="DQ187" s="129">
        <v>16.799999999999997</v>
      </c>
      <c r="DR187" s="129">
        <v>16.799999999999997</v>
      </c>
      <c r="DS187" s="129">
        <v>18.2</v>
      </c>
      <c r="DW187" s="27"/>
      <c r="DX187" s="27"/>
      <c r="DY187" s="27"/>
      <c r="DZ187" s="27"/>
      <c r="EA187" s="27"/>
      <c r="EB187" s="27"/>
      <c r="EC187" s="27"/>
      <c r="ED187" s="27"/>
      <c r="EE187" s="27"/>
      <c r="EF187" s="129">
        <v>20.2</v>
      </c>
      <c r="EH187" s="27">
        <v>10.600000000000001</v>
      </c>
      <c r="EI187" s="27">
        <v>10.600000000000001</v>
      </c>
      <c r="EJ187" s="27">
        <v>10.600000000000001</v>
      </c>
      <c r="EK187" s="27">
        <v>10.600000000000001</v>
      </c>
      <c r="EL187" s="27">
        <v>10.600000000000001</v>
      </c>
      <c r="EM187" s="27">
        <v>10.600000000000001</v>
      </c>
      <c r="EN187" s="27">
        <v>10.600000000000001</v>
      </c>
      <c r="EO187" s="27">
        <v>10.600000000000001</v>
      </c>
      <c r="EP187" s="27">
        <v>10.600000000000001</v>
      </c>
      <c r="EQ187" s="129">
        <v>20.2</v>
      </c>
      <c r="ES187" s="27">
        <v>23.799999999999997</v>
      </c>
      <c r="ET187" s="27">
        <v>23.799999999999997</v>
      </c>
      <c r="EU187" s="27">
        <v>23.799999999999997</v>
      </c>
      <c r="EV187" s="27">
        <v>23.799999999999997</v>
      </c>
      <c r="EW187" s="27">
        <v>23.799999999999997</v>
      </c>
      <c r="EX187" s="27">
        <v>23.799999999999997</v>
      </c>
      <c r="EY187" s="27">
        <v>23.799999999999997</v>
      </c>
      <c r="EZ187" s="27">
        <v>23.799999999999997</v>
      </c>
      <c r="FA187" s="27">
        <v>23.799999999999997</v>
      </c>
      <c r="FB187" s="129">
        <v>20.2</v>
      </c>
      <c r="FD187" s="27">
        <v>24.799999999999997</v>
      </c>
      <c r="FE187" s="27">
        <v>24.799999999999997</v>
      </c>
      <c r="FF187" s="27">
        <v>24.799999999999997</v>
      </c>
      <c r="FG187" s="27">
        <v>24.799999999999997</v>
      </c>
      <c r="FH187" s="27">
        <v>24.799999999999997</v>
      </c>
      <c r="FI187" s="27">
        <v>24.799999999999997</v>
      </c>
      <c r="FJ187" s="27">
        <v>24.799999999999997</v>
      </c>
      <c r="FK187" s="27">
        <v>24.799999999999997</v>
      </c>
      <c r="FL187" s="27">
        <v>24.799999999999997</v>
      </c>
      <c r="FM187" s="129">
        <v>20.2</v>
      </c>
      <c r="FO187" s="27">
        <v>38.799999999999997</v>
      </c>
      <c r="FP187" s="27">
        <v>38.799999999999997</v>
      </c>
      <c r="FQ187" s="27">
        <v>38.799999999999997</v>
      </c>
      <c r="FR187" s="27">
        <v>38.799999999999997</v>
      </c>
      <c r="FS187" s="27">
        <v>38.799999999999997</v>
      </c>
      <c r="FT187" s="27">
        <v>38.799999999999997</v>
      </c>
      <c r="FU187" s="27">
        <v>38.799999999999997</v>
      </c>
      <c r="FV187" s="27">
        <v>38.799999999999997</v>
      </c>
      <c r="FW187" s="27">
        <v>38.799999999999997</v>
      </c>
      <c r="FX187" s="129">
        <v>20.2</v>
      </c>
      <c r="FZ187" s="27">
        <v>38.799999999999997</v>
      </c>
      <c r="GA187" s="27">
        <v>38.799999999999997</v>
      </c>
      <c r="GB187" s="27">
        <v>38.799999999999997</v>
      </c>
      <c r="GC187" s="27">
        <v>38.799999999999997</v>
      </c>
      <c r="GD187" s="27">
        <v>38.799999999999997</v>
      </c>
      <c r="GE187" s="27">
        <v>38.799999999999997</v>
      </c>
      <c r="GF187" s="27">
        <v>38.799999999999997</v>
      </c>
      <c r="GG187" s="27">
        <v>38.799999999999997</v>
      </c>
      <c r="GH187" s="27">
        <v>38.799999999999997</v>
      </c>
      <c r="GI187" s="129">
        <v>20.2</v>
      </c>
      <c r="GJ187" s="27"/>
      <c r="GK187" s="27">
        <v>9</v>
      </c>
      <c r="GL187" s="27">
        <v>9</v>
      </c>
      <c r="GM187" s="27">
        <v>9</v>
      </c>
      <c r="GN187" s="27">
        <v>9</v>
      </c>
      <c r="GO187" s="27">
        <v>9</v>
      </c>
      <c r="GP187" s="27">
        <v>9</v>
      </c>
      <c r="GQ187" s="27">
        <v>9</v>
      </c>
      <c r="GR187" s="27">
        <v>9</v>
      </c>
      <c r="GS187" s="27">
        <v>9</v>
      </c>
      <c r="GT187" s="129">
        <v>20.2</v>
      </c>
      <c r="GV187" s="27">
        <v>11</v>
      </c>
      <c r="GW187" s="27">
        <v>11</v>
      </c>
      <c r="GX187" s="27">
        <v>11</v>
      </c>
      <c r="GY187" s="27">
        <v>11</v>
      </c>
      <c r="GZ187" s="27">
        <v>11</v>
      </c>
      <c r="HA187" s="27">
        <v>11</v>
      </c>
      <c r="HB187" s="27">
        <v>11</v>
      </c>
      <c r="HC187" s="27">
        <v>11</v>
      </c>
      <c r="HD187" s="27">
        <v>11</v>
      </c>
      <c r="HE187" s="129">
        <v>20.2</v>
      </c>
      <c r="HG187" s="27">
        <v>15.8</v>
      </c>
      <c r="HH187" s="27">
        <v>15.8</v>
      </c>
      <c r="HI187" s="27">
        <v>15.8</v>
      </c>
      <c r="HJ187" s="27">
        <v>15.8</v>
      </c>
      <c r="HK187" s="27">
        <v>15.8</v>
      </c>
      <c r="HL187" s="27">
        <v>15.8</v>
      </c>
      <c r="HM187" s="27">
        <v>15.8</v>
      </c>
      <c r="HN187" s="27">
        <v>15.8</v>
      </c>
      <c r="HO187" s="27">
        <v>15.8</v>
      </c>
      <c r="HP187" s="129">
        <v>20.2</v>
      </c>
      <c r="HR187" s="27">
        <v>15.8</v>
      </c>
      <c r="HS187" s="27">
        <v>15.8</v>
      </c>
      <c r="HT187" s="27">
        <v>15.8</v>
      </c>
      <c r="HU187" s="27">
        <v>15.8</v>
      </c>
      <c r="HV187" s="27">
        <v>15.8</v>
      </c>
      <c r="HW187" s="27">
        <v>15.8</v>
      </c>
      <c r="HX187" s="27">
        <v>15.8</v>
      </c>
      <c r="HY187" s="27">
        <v>15.8</v>
      </c>
      <c r="HZ187" s="27">
        <v>15.8</v>
      </c>
      <c r="IA187" s="129">
        <v>20.2</v>
      </c>
    </row>
    <row r="188" spans="15:235" ht="3" customHeight="1">
      <c r="O188" s="17"/>
      <c r="P188" s="17"/>
      <c r="Q188" s="17"/>
      <c r="R188" s="17"/>
      <c r="S188" s="17"/>
      <c r="T188" s="17"/>
      <c r="U188" s="17"/>
      <c r="V188" s="17"/>
      <c r="W188" s="17"/>
      <c r="X188" s="129">
        <v>18.3</v>
      </c>
      <c r="Y188" s="27"/>
      <c r="Z188" s="129">
        <v>5.7000000000000011</v>
      </c>
      <c r="AA188" s="129">
        <v>5.7000000000000011</v>
      </c>
      <c r="AB188" s="129">
        <v>5.7000000000000011</v>
      </c>
      <c r="AC188" s="129">
        <v>5.7000000000000011</v>
      </c>
      <c r="AD188" s="129">
        <v>5.7000000000000011</v>
      </c>
      <c r="AE188" s="129">
        <v>5.7000000000000011</v>
      </c>
      <c r="AF188" s="129">
        <v>5.7000000000000011</v>
      </c>
      <c r="AG188" s="129">
        <v>5.7000000000000011</v>
      </c>
      <c r="AH188" s="129">
        <v>5.7000000000000011</v>
      </c>
      <c r="AI188" s="129">
        <v>18.3</v>
      </c>
      <c r="AK188" s="129">
        <v>15.099999999999998</v>
      </c>
      <c r="AL188" s="129">
        <v>15.099999999999998</v>
      </c>
      <c r="AM188" s="129">
        <v>15.099999999999998</v>
      </c>
      <c r="AN188" s="129">
        <v>15.099999999999998</v>
      </c>
      <c r="AO188" s="129">
        <v>15.099999999999998</v>
      </c>
      <c r="AP188" s="129">
        <v>15.099999999999998</v>
      </c>
      <c r="AQ188" s="129">
        <v>15.099999999999998</v>
      </c>
      <c r="AR188" s="129">
        <v>15.099999999999998</v>
      </c>
      <c r="AS188" s="129">
        <v>15.099999999999998</v>
      </c>
      <c r="AT188" s="129">
        <v>18.3</v>
      </c>
      <c r="AV188" s="129">
        <v>20.099999999999998</v>
      </c>
      <c r="AW188" s="129">
        <v>20.099999999999998</v>
      </c>
      <c r="AX188" s="129">
        <v>20.099999999999998</v>
      </c>
      <c r="AY188" s="129">
        <v>20.099999999999998</v>
      </c>
      <c r="AZ188" s="129">
        <v>20.099999999999998</v>
      </c>
      <c r="BA188" s="129">
        <v>20.099999999999998</v>
      </c>
      <c r="BB188" s="129">
        <v>20.099999999999998</v>
      </c>
      <c r="BC188" s="129">
        <v>20.099999999999998</v>
      </c>
      <c r="BD188" s="129">
        <v>20.099999999999998</v>
      </c>
      <c r="BE188" s="129">
        <v>18.3</v>
      </c>
      <c r="BG188" s="129">
        <v>26.800000000000004</v>
      </c>
      <c r="BH188" s="129">
        <v>26.800000000000004</v>
      </c>
      <c r="BI188" s="129">
        <v>26.800000000000004</v>
      </c>
      <c r="BJ188" s="129">
        <v>26.800000000000004</v>
      </c>
      <c r="BK188" s="129">
        <v>26.800000000000004</v>
      </c>
      <c r="BL188" s="129">
        <v>26.800000000000004</v>
      </c>
      <c r="BM188" s="129">
        <v>26.800000000000004</v>
      </c>
      <c r="BN188" s="129">
        <v>26.800000000000004</v>
      </c>
      <c r="BO188" s="129">
        <v>26.800000000000004</v>
      </c>
      <c r="BP188" s="129">
        <v>18.3</v>
      </c>
      <c r="BR188" s="129">
        <v>26.800000000000004</v>
      </c>
      <c r="BS188" s="129">
        <v>26.800000000000004</v>
      </c>
      <c r="BT188" s="129">
        <v>26.800000000000004</v>
      </c>
      <c r="BU188" s="129">
        <v>26.800000000000004</v>
      </c>
      <c r="BV188" s="129">
        <v>26.800000000000004</v>
      </c>
      <c r="BW188" s="129">
        <v>26.800000000000004</v>
      </c>
      <c r="BX188" s="129">
        <v>26.800000000000004</v>
      </c>
      <c r="BY188" s="129">
        <v>26.800000000000004</v>
      </c>
      <c r="BZ188" s="129">
        <v>26.800000000000004</v>
      </c>
      <c r="CA188" s="129">
        <v>18.3</v>
      </c>
      <c r="CC188" s="129">
        <v>10</v>
      </c>
      <c r="CD188" s="129">
        <v>10</v>
      </c>
      <c r="CE188" s="129">
        <v>10</v>
      </c>
      <c r="CF188" s="129">
        <v>10</v>
      </c>
      <c r="CG188" s="129">
        <v>10</v>
      </c>
      <c r="CH188" s="129">
        <v>10</v>
      </c>
      <c r="CI188" s="129">
        <v>10</v>
      </c>
      <c r="CJ188" s="129">
        <v>10</v>
      </c>
      <c r="CK188" s="129">
        <v>10</v>
      </c>
      <c r="CL188" s="129">
        <v>18.3</v>
      </c>
      <c r="CN188" s="129">
        <v>12.700000000000001</v>
      </c>
      <c r="CO188" s="129">
        <v>12.700000000000001</v>
      </c>
      <c r="CP188" s="129">
        <v>12.700000000000001</v>
      </c>
      <c r="CQ188" s="129">
        <v>12.700000000000001</v>
      </c>
      <c r="CR188" s="129">
        <v>12.700000000000001</v>
      </c>
      <c r="CS188" s="129">
        <v>12.700000000000001</v>
      </c>
      <c r="CT188" s="129">
        <v>12.700000000000001</v>
      </c>
      <c r="CU188" s="129">
        <v>12.700000000000001</v>
      </c>
      <c r="CV188" s="129">
        <v>12.700000000000001</v>
      </c>
      <c r="CW188" s="129">
        <v>18.3</v>
      </c>
      <c r="CY188" s="129">
        <v>16.699999999999996</v>
      </c>
      <c r="CZ188" s="129">
        <v>16.699999999999996</v>
      </c>
      <c r="DA188" s="129">
        <v>16.699999999999996</v>
      </c>
      <c r="DB188" s="129">
        <v>16.699999999999996</v>
      </c>
      <c r="DC188" s="129">
        <v>16.699999999999996</v>
      </c>
      <c r="DD188" s="129">
        <v>16.699999999999996</v>
      </c>
      <c r="DE188" s="129">
        <v>16.699999999999996</v>
      </c>
      <c r="DF188" s="129">
        <v>16.699999999999996</v>
      </c>
      <c r="DG188" s="129">
        <v>16.699999999999996</v>
      </c>
      <c r="DH188" s="129">
        <v>18.3</v>
      </c>
      <c r="DJ188" s="129">
        <v>16.699999999999996</v>
      </c>
      <c r="DK188" s="129">
        <v>16.699999999999996</v>
      </c>
      <c r="DL188" s="129">
        <v>16.699999999999996</v>
      </c>
      <c r="DM188" s="129">
        <v>16.699999999999996</v>
      </c>
      <c r="DN188" s="129">
        <v>16.699999999999996</v>
      </c>
      <c r="DO188" s="129">
        <v>16.699999999999996</v>
      </c>
      <c r="DP188" s="129">
        <v>16.699999999999996</v>
      </c>
      <c r="DQ188" s="129">
        <v>16.699999999999996</v>
      </c>
      <c r="DR188" s="129">
        <v>16.699999999999996</v>
      </c>
      <c r="DS188" s="129">
        <v>18.3</v>
      </c>
      <c r="DW188" s="27"/>
      <c r="DX188" s="27"/>
      <c r="DY188" s="27"/>
      <c r="DZ188" s="27"/>
      <c r="EA188" s="27"/>
      <c r="EB188" s="27"/>
      <c r="EC188" s="27"/>
      <c r="ED188" s="27"/>
      <c r="EE188" s="27"/>
      <c r="EF188" s="129">
        <v>20.3</v>
      </c>
      <c r="EH188" s="27">
        <v>10.400000000000002</v>
      </c>
      <c r="EI188" s="27">
        <v>10.400000000000002</v>
      </c>
      <c r="EJ188" s="27">
        <v>10.400000000000002</v>
      </c>
      <c r="EK188" s="27">
        <v>10.400000000000002</v>
      </c>
      <c r="EL188" s="27">
        <v>10.400000000000002</v>
      </c>
      <c r="EM188" s="27">
        <v>10.400000000000002</v>
      </c>
      <c r="EN188" s="27">
        <v>10.400000000000002</v>
      </c>
      <c r="EO188" s="27">
        <v>10.400000000000002</v>
      </c>
      <c r="EP188" s="27">
        <v>10.400000000000002</v>
      </c>
      <c r="EQ188" s="129">
        <v>20.3</v>
      </c>
      <c r="ES188" s="27">
        <v>23.699999999999996</v>
      </c>
      <c r="ET188" s="27">
        <v>23.699999999999996</v>
      </c>
      <c r="EU188" s="27">
        <v>23.699999999999996</v>
      </c>
      <c r="EV188" s="27">
        <v>23.699999999999996</v>
      </c>
      <c r="EW188" s="27">
        <v>23.699999999999996</v>
      </c>
      <c r="EX188" s="27">
        <v>23.699999999999996</v>
      </c>
      <c r="EY188" s="27">
        <v>23.699999999999996</v>
      </c>
      <c r="EZ188" s="27">
        <v>23.699999999999996</v>
      </c>
      <c r="FA188" s="27">
        <v>23.699999999999996</v>
      </c>
      <c r="FB188" s="129">
        <v>20.3</v>
      </c>
      <c r="FD188" s="27">
        <v>24.699999999999996</v>
      </c>
      <c r="FE188" s="27">
        <v>24.699999999999996</v>
      </c>
      <c r="FF188" s="27">
        <v>24.699999999999996</v>
      </c>
      <c r="FG188" s="27">
        <v>24.699999999999996</v>
      </c>
      <c r="FH188" s="27">
        <v>24.699999999999996</v>
      </c>
      <c r="FI188" s="27">
        <v>24.699999999999996</v>
      </c>
      <c r="FJ188" s="27">
        <v>24.699999999999996</v>
      </c>
      <c r="FK188" s="27">
        <v>24.699999999999996</v>
      </c>
      <c r="FL188" s="27">
        <v>24.699999999999996</v>
      </c>
      <c r="FM188" s="129">
        <v>20.3</v>
      </c>
      <c r="FO188" s="27">
        <v>38.699999999999996</v>
      </c>
      <c r="FP188" s="27">
        <v>38.699999999999996</v>
      </c>
      <c r="FQ188" s="27">
        <v>38.699999999999996</v>
      </c>
      <c r="FR188" s="27">
        <v>38.699999999999996</v>
      </c>
      <c r="FS188" s="27">
        <v>38.699999999999996</v>
      </c>
      <c r="FT188" s="27">
        <v>38.699999999999996</v>
      </c>
      <c r="FU188" s="27">
        <v>38.699999999999996</v>
      </c>
      <c r="FV188" s="27">
        <v>38.699999999999996</v>
      </c>
      <c r="FW188" s="27">
        <v>38.699999999999996</v>
      </c>
      <c r="FX188" s="129">
        <v>20.3</v>
      </c>
      <c r="FZ188" s="27">
        <v>38.699999999999996</v>
      </c>
      <c r="GA188" s="27">
        <v>38.699999999999996</v>
      </c>
      <c r="GB188" s="27">
        <v>38.699999999999996</v>
      </c>
      <c r="GC188" s="27">
        <v>38.699999999999996</v>
      </c>
      <c r="GD188" s="27">
        <v>38.699999999999996</v>
      </c>
      <c r="GE188" s="27">
        <v>38.699999999999996</v>
      </c>
      <c r="GF188" s="27">
        <v>38.699999999999996</v>
      </c>
      <c r="GG188" s="27">
        <v>38.699999999999996</v>
      </c>
      <c r="GH188" s="27">
        <v>38.699999999999996</v>
      </c>
      <c r="GI188" s="129">
        <v>20.3</v>
      </c>
      <c r="GJ188" s="27"/>
      <c r="GK188" s="27">
        <v>9</v>
      </c>
      <c r="GL188" s="27">
        <v>9</v>
      </c>
      <c r="GM188" s="27">
        <v>9</v>
      </c>
      <c r="GN188" s="27">
        <v>9</v>
      </c>
      <c r="GO188" s="27">
        <v>9</v>
      </c>
      <c r="GP188" s="27">
        <v>9</v>
      </c>
      <c r="GQ188" s="27">
        <v>9</v>
      </c>
      <c r="GR188" s="27">
        <v>9</v>
      </c>
      <c r="GS188" s="27">
        <v>9</v>
      </c>
      <c r="GT188" s="129">
        <v>20.3</v>
      </c>
      <c r="GV188" s="27">
        <v>11</v>
      </c>
      <c r="GW188" s="27">
        <v>11</v>
      </c>
      <c r="GX188" s="27">
        <v>11</v>
      </c>
      <c r="GY188" s="27">
        <v>11</v>
      </c>
      <c r="GZ188" s="27">
        <v>11</v>
      </c>
      <c r="HA188" s="27">
        <v>11</v>
      </c>
      <c r="HB188" s="27">
        <v>11</v>
      </c>
      <c r="HC188" s="27">
        <v>11</v>
      </c>
      <c r="HD188" s="27">
        <v>11</v>
      </c>
      <c r="HE188" s="129">
        <v>20.3</v>
      </c>
      <c r="HG188" s="27">
        <v>15.700000000000001</v>
      </c>
      <c r="HH188" s="27">
        <v>15.700000000000001</v>
      </c>
      <c r="HI188" s="27">
        <v>15.700000000000001</v>
      </c>
      <c r="HJ188" s="27">
        <v>15.700000000000001</v>
      </c>
      <c r="HK188" s="27">
        <v>15.700000000000001</v>
      </c>
      <c r="HL188" s="27">
        <v>15.700000000000001</v>
      </c>
      <c r="HM188" s="27">
        <v>15.700000000000001</v>
      </c>
      <c r="HN188" s="27">
        <v>15.700000000000001</v>
      </c>
      <c r="HO188" s="27">
        <v>15.700000000000001</v>
      </c>
      <c r="HP188" s="129">
        <v>20.3</v>
      </c>
      <c r="HR188" s="27">
        <v>15.700000000000001</v>
      </c>
      <c r="HS188" s="27">
        <v>15.700000000000001</v>
      </c>
      <c r="HT188" s="27">
        <v>15.700000000000001</v>
      </c>
      <c r="HU188" s="27">
        <v>15.700000000000001</v>
      </c>
      <c r="HV188" s="27">
        <v>15.700000000000001</v>
      </c>
      <c r="HW188" s="27">
        <v>15.700000000000001</v>
      </c>
      <c r="HX188" s="27">
        <v>15.700000000000001</v>
      </c>
      <c r="HY188" s="27">
        <v>15.700000000000001</v>
      </c>
      <c r="HZ188" s="27">
        <v>15.700000000000001</v>
      </c>
      <c r="IA188" s="129">
        <v>20.3</v>
      </c>
    </row>
    <row r="189" spans="15:235" ht="3" customHeight="1">
      <c r="O189" s="17"/>
      <c r="P189" s="17"/>
      <c r="Q189" s="17"/>
      <c r="R189" s="17"/>
      <c r="S189" s="17"/>
      <c r="T189" s="17"/>
      <c r="U189" s="17"/>
      <c r="V189" s="17"/>
      <c r="W189" s="17"/>
      <c r="X189" s="129">
        <v>18.399999999999999</v>
      </c>
      <c r="Y189" s="27"/>
      <c r="Z189" s="129">
        <v>5.6000000000000014</v>
      </c>
      <c r="AA189" s="129">
        <v>5.6000000000000014</v>
      </c>
      <c r="AB189" s="129">
        <v>5.6000000000000014</v>
      </c>
      <c r="AC189" s="129">
        <v>5.6000000000000014</v>
      </c>
      <c r="AD189" s="129">
        <v>5.6000000000000014</v>
      </c>
      <c r="AE189" s="129">
        <v>5.6000000000000014</v>
      </c>
      <c r="AF189" s="129">
        <v>5.6000000000000014</v>
      </c>
      <c r="AG189" s="129">
        <v>5.6000000000000014</v>
      </c>
      <c r="AH189" s="129">
        <v>5.6000000000000014</v>
      </c>
      <c r="AI189" s="129">
        <v>18.399999999999999</v>
      </c>
      <c r="AK189" s="129">
        <v>14.799999999999997</v>
      </c>
      <c r="AL189" s="129">
        <v>14.799999999999997</v>
      </c>
      <c r="AM189" s="129">
        <v>14.799999999999997</v>
      </c>
      <c r="AN189" s="129">
        <v>14.799999999999997</v>
      </c>
      <c r="AO189" s="129">
        <v>14.799999999999997</v>
      </c>
      <c r="AP189" s="129">
        <v>14.799999999999997</v>
      </c>
      <c r="AQ189" s="129">
        <v>14.799999999999997</v>
      </c>
      <c r="AR189" s="129">
        <v>14.799999999999997</v>
      </c>
      <c r="AS189" s="129">
        <v>14.799999999999997</v>
      </c>
      <c r="AT189" s="129">
        <v>18.399999999999999</v>
      </c>
      <c r="AV189" s="129">
        <v>19.799999999999997</v>
      </c>
      <c r="AW189" s="129">
        <v>19.799999999999997</v>
      </c>
      <c r="AX189" s="129">
        <v>19.799999999999997</v>
      </c>
      <c r="AY189" s="129">
        <v>19.799999999999997</v>
      </c>
      <c r="AZ189" s="129">
        <v>19.799999999999997</v>
      </c>
      <c r="BA189" s="129">
        <v>19.799999999999997</v>
      </c>
      <c r="BB189" s="129">
        <v>19.799999999999997</v>
      </c>
      <c r="BC189" s="129">
        <v>19.799999999999997</v>
      </c>
      <c r="BD189" s="129">
        <v>19.799999999999997</v>
      </c>
      <c r="BE189" s="129">
        <v>18.399999999999999</v>
      </c>
      <c r="BG189" s="129">
        <v>26.400000000000006</v>
      </c>
      <c r="BH189" s="129">
        <v>26.400000000000006</v>
      </c>
      <c r="BI189" s="129">
        <v>26.400000000000006</v>
      </c>
      <c r="BJ189" s="129">
        <v>26.400000000000006</v>
      </c>
      <c r="BK189" s="129">
        <v>26.400000000000006</v>
      </c>
      <c r="BL189" s="129">
        <v>26.400000000000006</v>
      </c>
      <c r="BM189" s="129">
        <v>26.400000000000006</v>
      </c>
      <c r="BN189" s="129">
        <v>26.400000000000006</v>
      </c>
      <c r="BO189" s="129">
        <v>26.400000000000006</v>
      </c>
      <c r="BP189" s="129">
        <v>18.399999999999999</v>
      </c>
      <c r="BR189" s="129">
        <v>26.400000000000006</v>
      </c>
      <c r="BS189" s="129">
        <v>26.400000000000006</v>
      </c>
      <c r="BT189" s="129">
        <v>26.400000000000006</v>
      </c>
      <c r="BU189" s="129">
        <v>26.400000000000006</v>
      </c>
      <c r="BV189" s="129">
        <v>26.400000000000006</v>
      </c>
      <c r="BW189" s="129">
        <v>26.400000000000006</v>
      </c>
      <c r="BX189" s="129">
        <v>26.400000000000006</v>
      </c>
      <c r="BY189" s="129">
        <v>26.400000000000006</v>
      </c>
      <c r="BZ189" s="129">
        <v>26.400000000000006</v>
      </c>
      <c r="CA189" s="129">
        <v>18.399999999999999</v>
      </c>
      <c r="CC189" s="129">
        <v>10</v>
      </c>
      <c r="CD189" s="129">
        <v>10</v>
      </c>
      <c r="CE189" s="129">
        <v>10</v>
      </c>
      <c r="CF189" s="129">
        <v>10</v>
      </c>
      <c r="CG189" s="129">
        <v>10</v>
      </c>
      <c r="CH189" s="129">
        <v>10</v>
      </c>
      <c r="CI189" s="129">
        <v>10</v>
      </c>
      <c r="CJ189" s="129">
        <v>10</v>
      </c>
      <c r="CK189" s="129">
        <v>10</v>
      </c>
      <c r="CL189" s="129">
        <v>18.399999999999999</v>
      </c>
      <c r="CN189" s="129">
        <v>12.600000000000001</v>
      </c>
      <c r="CO189" s="129">
        <v>12.600000000000001</v>
      </c>
      <c r="CP189" s="129">
        <v>12.600000000000001</v>
      </c>
      <c r="CQ189" s="129">
        <v>12.600000000000001</v>
      </c>
      <c r="CR189" s="129">
        <v>12.600000000000001</v>
      </c>
      <c r="CS189" s="129">
        <v>12.600000000000001</v>
      </c>
      <c r="CT189" s="129">
        <v>12.600000000000001</v>
      </c>
      <c r="CU189" s="129">
        <v>12.600000000000001</v>
      </c>
      <c r="CV189" s="129">
        <v>12.600000000000001</v>
      </c>
      <c r="CW189" s="129">
        <v>18.399999999999999</v>
      </c>
      <c r="CY189" s="129">
        <v>16.599999999999994</v>
      </c>
      <c r="CZ189" s="129">
        <v>16.599999999999994</v>
      </c>
      <c r="DA189" s="129">
        <v>16.599999999999994</v>
      </c>
      <c r="DB189" s="129">
        <v>16.599999999999994</v>
      </c>
      <c r="DC189" s="129">
        <v>16.599999999999994</v>
      </c>
      <c r="DD189" s="129">
        <v>16.599999999999994</v>
      </c>
      <c r="DE189" s="129">
        <v>16.599999999999994</v>
      </c>
      <c r="DF189" s="129">
        <v>16.599999999999994</v>
      </c>
      <c r="DG189" s="129">
        <v>16.599999999999994</v>
      </c>
      <c r="DH189" s="129">
        <v>18.399999999999999</v>
      </c>
      <c r="DJ189" s="129">
        <v>16.599999999999994</v>
      </c>
      <c r="DK189" s="129">
        <v>16.599999999999994</v>
      </c>
      <c r="DL189" s="129">
        <v>16.599999999999994</v>
      </c>
      <c r="DM189" s="129">
        <v>16.599999999999994</v>
      </c>
      <c r="DN189" s="129">
        <v>16.599999999999994</v>
      </c>
      <c r="DO189" s="129">
        <v>16.599999999999994</v>
      </c>
      <c r="DP189" s="129">
        <v>16.599999999999994</v>
      </c>
      <c r="DQ189" s="129">
        <v>16.599999999999994</v>
      </c>
      <c r="DR189" s="129">
        <v>16.599999999999994</v>
      </c>
      <c r="DS189" s="129">
        <v>18.399999999999999</v>
      </c>
      <c r="DW189" s="27"/>
      <c r="DX189" s="27"/>
      <c r="DY189" s="27"/>
      <c r="DZ189" s="27"/>
      <c r="EA189" s="27"/>
      <c r="EB189" s="27"/>
      <c r="EC189" s="27"/>
      <c r="ED189" s="27"/>
      <c r="EE189" s="27"/>
      <c r="EF189" s="129">
        <v>20.399999999999999</v>
      </c>
      <c r="EH189" s="27">
        <v>10.199999999999999</v>
      </c>
      <c r="EI189" s="27">
        <v>10.199999999999999</v>
      </c>
      <c r="EJ189" s="27">
        <v>10.199999999999999</v>
      </c>
      <c r="EK189" s="27">
        <v>10.199999999999999</v>
      </c>
      <c r="EL189" s="27">
        <v>10.199999999999999</v>
      </c>
      <c r="EM189" s="27">
        <v>10.199999999999999</v>
      </c>
      <c r="EN189" s="27">
        <v>10.199999999999999</v>
      </c>
      <c r="EO189" s="27">
        <v>10.199999999999999</v>
      </c>
      <c r="EP189" s="27">
        <v>10.199999999999999</v>
      </c>
      <c r="EQ189" s="129">
        <v>20.399999999999999</v>
      </c>
      <c r="ES189" s="27">
        <v>23.599999999999994</v>
      </c>
      <c r="ET189" s="27">
        <v>23.599999999999994</v>
      </c>
      <c r="EU189" s="27">
        <v>23.599999999999994</v>
      </c>
      <c r="EV189" s="27">
        <v>23.599999999999994</v>
      </c>
      <c r="EW189" s="27">
        <v>23.599999999999994</v>
      </c>
      <c r="EX189" s="27">
        <v>23.599999999999994</v>
      </c>
      <c r="EY189" s="27">
        <v>23.599999999999994</v>
      </c>
      <c r="EZ189" s="27">
        <v>23.599999999999994</v>
      </c>
      <c r="FA189" s="27">
        <v>23.599999999999994</v>
      </c>
      <c r="FB189" s="129">
        <v>20.399999999999999</v>
      </c>
      <c r="FD189" s="27">
        <v>24.599999999999994</v>
      </c>
      <c r="FE189" s="27">
        <v>24.599999999999994</v>
      </c>
      <c r="FF189" s="27">
        <v>24.599999999999994</v>
      </c>
      <c r="FG189" s="27">
        <v>24.599999999999994</v>
      </c>
      <c r="FH189" s="27">
        <v>24.599999999999994</v>
      </c>
      <c r="FI189" s="27">
        <v>24.599999999999994</v>
      </c>
      <c r="FJ189" s="27">
        <v>24.599999999999994</v>
      </c>
      <c r="FK189" s="27">
        <v>24.599999999999994</v>
      </c>
      <c r="FL189" s="27">
        <v>24.599999999999994</v>
      </c>
      <c r="FM189" s="129">
        <v>20.399999999999999</v>
      </c>
      <c r="FO189" s="27">
        <v>38.599999999999994</v>
      </c>
      <c r="FP189" s="27">
        <v>38.599999999999994</v>
      </c>
      <c r="FQ189" s="27">
        <v>38.599999999999994</v>
      </c>
      <c r="FR189" s="27">
        <v>38.599999999999994</v>
      </c>
      <c r="FS189" s="27">
        <v>38.599999999999994</v>
      </c>
      <c r="FT189" s="27">
        <v>38.599999999999994</v>
      </c>
      <c r="FU189" s="27">
        <v>38.599999999999994</v>
      </c>
      <c r="FV189" s="27">
        <v>38.599999999999994</v>
      </c>
      <c r="FW189" s="27">
        <v>38.599999999999994</v>
      </c>
      <c r="FX189" s="129">
        <v>20.399999999999999</v>
      </c>
      <c r="FZ189" s="27">
        <v>38.599999999999994</v>
      </c>
      <c r="GA189" s="27">
        <v>38.599999999999994</v>
      </c>
      <c r="GB189" s="27">
        <v>38.599999999999994</v>
      </c>
      <c r="GC189" s="27">
        <v>38.599999999999994</v>
      </c>
      <c r="GD189" s="27">
        <v>38.599999999999994</v>
      </c>
      <c r="GE189" s="27">
        <v>38.599999999999994</v>
      </c>
      <c r="GF189" s="27">
        <v>38.599999999999994</v>
      </c>
      <c r="GG189" s="27">
        <v>38.599999999999994</v>
      </c>
      <c r="GH189" s="27">
        <v>38.599999999999994</v>
      </c>
      <c r="GI189" s="129">
        <v>20.399999999999999</v>
      </c>
      <c r="GJ189" s="27"/>
      <c r="GK189" s="27">
        <v>9</v>
      </c>
      <c r="GL189" s="27">
        <v>9</v>
      </c>
      <c r="GM189" s="27">
        <v>9</v>
      </c>
      <c r="GN189" s="27">
        <v>9</v>
      </c>
      <c r="GO189" s="27">
        <v>9</v>
      </c>
      <c r="GP189" s="27">
        <v>9</v>
      </c>
      <c r="GQ189" s="27">
        <v>9</v>
      </c>
      <c r="GR189" s="27">
        <v>9</v>
      </c>
      <c r="GS189" s="27">
        <v>9</v>
      </c>
      <c r="GT189" s="129">
        <v>20.399999999999999</v>
      </c>
      <c r="GV189" s="27">
        <v>11</v>
      </c>
      <c r="GW189" s="27">
        <v>11</v>
      </c>
      <c r="GX189" s="27">
        <v>11</v>
      </c>
      <c r="GY189" s="27">
        <v>11</v>
      </c>
      <c r="GZ189" s="27">
        <v>11</v>
      </c>
      <c r="HA189" s="27">
        <v>11</v>
      </c>
      <c r="HB189" s="27">
        <v>11</v>
      </c>
      <c r="HC189" s="27">
        <v>11</v>
      </c>
      <c r="HD189" s="27">
        <v>11</v>
      </c>
      <c r="HE189" s="129">
        <v>20.399999999999999</v>
      </c>
      <c r="HG189" s="27">
        <v>15.600000000000001</v>
      </c>
      <c r="HH189" s="27">
        <v>15.600000000000001</v>
      </c>
      <c r="HI189" s="27">
        <v>15.600000000000001</v>
      </c>
      <c r="HJ189" s="27">
        <v>15.600000000000001</v>
      </c>
      <c r="HK189" s="27">
        <v>15.600000000000001</v>
      </c>
      <c r="HL189" s="27">
        <v>15.600000000000001</v>
      </c>
      <c r="HM189" s="27">
        <v>15.600000000000001</v>
      </c>
      <c r="HN189" s="27">
        <v>15.600000000000001</v>
      </c>
      <c r="HO189" s="27">
        <v>15.600000000000001</v>
      </c>
      <c r="HP189" s="129">
        <v>20.399999999999999</v>
      </c>
      <c r="HR189" s="27">
        <v>15.600000000000001</v>
      </c>
      <c r="HS189" s="27">
        <v>15.600000000000001</v>
      </c>
      <c r="HT189" s="27">
        <v>15.600000000000001</v>
      </c>
      <c r="HU189" s="27">
        <v>15.600000000000001</v>
      </c>
      <c r="HV189" s="27">
        <v>15.600000000000001</v>
      </c>
      <c r="HW189" s="27">
        <v>15.600000000000001</v>
      </c>
      <c r="HX189" s="27">
        <v>15.600000000000001</v>
      </c>
      <c r="HY189" s="27">
        <v>15.600000000000001</v>
      </c>
      <c r="HZ189" s="27">
        <v>15.600000000000001</v>
      </c>
      <c r="IA189" s="129">
        <v>20.399999999999999</v>
      </c>
    </row>
    <row r="190" spans="15:235" ht="3" customHeight="1">
      <c r="O190" s="17"/>
      <c r="P190" s="17"/>
      <c r="Q190" s="17"/>
      <c r="R190" s="17"/>
      <c r="S190" s="17"/>
      <c r="T190" s="17"/>
      <c r="U190" s="17"/>
      <c r="V190" s="17"/>
      <c r="W190" s="17"/>
      <c r="X190" s="129">
        <v>18.5</v>
      </c>
      <c r="Y190" s="27"/>
      <c r="Z190" s="129">
        <v>5.5000000000000018</v>
      </c>
      <c r="AA190" s="129">
        <v>5.5000000000000018</v>
      </c>
      <c r="AB190" s="129">
        <v>5.5000000000000018</v>
      </c>
      <c r="AC190" s="129">
        <v>5.5000000000000018</v>
      </c>
      <c r="AD190" s="129">
        <v>5.5000000000000018</v>
      </c>
      <c r="AE190" s="129">
        <v>5.5000000000000018</v>
      </c>
      <c r="AF190" s="129">
        <v>5.5000000000000018</v>
      </c>
      <c r="AG190" s="129">
        <v>5.5000000000000018</v>
      </c>
      <c r="AH190" s="129">
        <v>5.5000000000000018</v>
      </c>
      <c r="AI190" s="129">
        <v>18.5</v>
      </c>
      <c r="AK190" s="129">
        <v>14.499999999999996</v>
      </c>
      <c r="AL190" s="129">
        <v>14.499999999999996</v>
      </c>
      <c r="AM190" s="129">
        <v>14.499999999999996</v>
      </c>
      <c r="AN190" s="129">
        <v>14.499999999999996</v>
      </c>
      <c r="AO190" s="129">
        <v>14.499999999999996</v>
      </c>
      <c r="AP190" s="129">
        <v>14.499999999999996</v>
      </c>
      <c r="AQ190" s="129">
        <v>14.499999999999996</v>
      </c>
      <c r="AR190" s="129">
        <v>14.499999999999996</v>
      </c>
      <c r="AS190" s="129">
        <v>14.499999999999996</v>
      </c>
      <c r="AT190" s="129">
        <v>18.5</v>
      </c>
      <c r="AV190" s="129">
        <v>19.499999999999996</v>
      </c>
      <c r="AW190" s="129">
        <v>19.499999999999996</v>
      </c>
      <c r="AX190" s="129">
        <v>19.499999999999996</v>
      </c>
      <c r="AY190" s="129">
        <v>19.499999999999996</v>
      </c>
      <c r="AZ190" s="129">
        <v>19.499999999999996</v>
      </c>
      <c r="BA190" s="129">
        <v>19.499999999999996</v>
      </c>
      <c r="BB190" s="129">
        <v>19.499999999999996</v>
      </c>
      <c r="BC190" s="129">
        <v>19.499999999999996</v>
      </c>
      <c r="BD190" s="129">
        <v>19.499999999999996</v>
      </c>
      <c r="BE190" s="129">
        <v>18.5</v>
      </c>
      <c r="BG190" s="129">
        <v>26.000000000000007</v>
      </c>
      <c r="BH190" s="129">
        <v>26.000000000000007</v>
      </c>
      <c r="BI190" s="129">
        <v>26.000000000000007</v>
      </c>
      <c r="BJ190" s="129">
        <v>26.000000000000007</v>
      </c>
      <c r="BK190" s="129">
        <v>26.000000000000007</v>
      </c>
      <c r="BL190" s="129">
        <v>26.000000000000007</v>
      </c>
      <c r="BM190" s="129">
        <v>26.000000000000007</v>
      </c>
      <c r="BN190" s="129">
        <v>26.000000000000007</v>
      </c>
      <c r="BO190" s="129">
        <v>26.000000000000007</v>
      </c>
      <c r="BP190" s="129">
        <v>18.5</v>
      </c>
      <c r="BR190" s="129">
        <v>26.000000000000007</v>
      </c>
      <c r="BS190" s="129">
        <v>26.000000000000007</v>
      </c>
      <c r="BT190" s="129">
        <v>26.000000000000007</v>
      </c>
      <c r="BU190" s="129">
        <v>26.000000000000007</v>
      </c>
      <c r="BV190" s="129">
        <v>26.000000000000007</v>
      </c>
      <c r="BW190" s="129">
        <v>26.000000000000007</v>
      </c>
      <c r="BX190" s="129">
        <v>26.000000000000007</v>
      </c>
      <c r="BY190" s="129">
        <v>26.000000000000007</v>
      </c>
      <c r="BZ190" s="129">
        <v>26.000000000000007</v>
      </c>
      <c r="CA190" s="129">
        <v>18.5</v>
      </c>
      <c r="CC190" s="129">
        <v>10</v>
      </c>
      <c r="CD190" s="129">
        <v>10</v>
      </c>
      <c r="CE190" s="129">
        <v>10</v>
      </c>
      <c r="CF190" s="129">
        <v>10</v>
      </c>
      <c r="CG190" s="129">
        <v>10</v>
      </c>
      <c r="CH190" s="129">
        <v>10</v>
      </c>
      <c r="CI190" s="129">
        <v>10</v>
      </c>
      <c r="CJ190" s="129">
        <v>10</v>
      </c>
      <c r="CK190" s="129">
        <v>10</v>
      </c>
      <c r="CL190" s="129">
        <v>18.5</v>
      </c>
      <c r="CN190" s="129">
        <v>12.500000000000002</v>
      </c>
      <c r="CO190" s="129">
        <v>12.500000000000002</v>
      </c>
      <c r="CP190" s="129">
        <v>12.500000000000002</v>
      </c>
      <c r="CQ190" s="129">
        <v>12.500000000000002</v>
      </c>
      <c r="CR190" s="129">
        <v>12.500000000000002</v>
      </c>
      <c r="CS190" s="129">
        <v>12.500000000000002</v>
      </c>
      <c r="CT190" s="129">
        <v>12.500000000000002</v>
      </c>
      <c r="CU190" s="129">
        <v>12.500000000000002</v>
      </c>
      <c r="CV190" s="129">
        <v>12.500000000000002</v>
      </c>
      <c r="CW190" s="129">
        <v>18.5</v>
      </c>
      <c r="CY190" s="129">
        <v>16.499999999999993</v>
      </c>
      <c r="CZ190" s="129">
        <v>16.499999999999993</v>
      </c>
      <c r="DA190" s="129">
        <v>16.499999999999993</v>
      </c>
      <c r="DB190" s="129">
        <v>16.499999999999993</v>
      </c>
      <c r="DC190" s="129">
        <v>16.499999999999993</v>
      </c>
      <c r="DD190" s="129">
        <v>16.499999999999993</v>
      </c>
      <c r="DE190" s="129">
        <v>16.499999999999993</v>
      </c>
      <c r="DF190" s="129">
        <v>16.499999999999993</v>
      </c>
      <c r="DG190" s="129">
        <v>16.499999999999993</v>
      </c>
      <c r="DH190" s="129">
        <v>18.5</v>
      </c>
      <c r="DJ190" s="129">
        <v>16.499999999999993</v>
      </c>
      <c r="DK190" s="129">
        <v>16.499999999999993</v>
      </c>
      <c r="DL190" s="129">
        <v>16.499999999999993</v>
      </c>
      <c r="DM190" s="129">
        <v>16.499999999999993</v>
      </c>
      <c r="DN190" s="129">
        <v>16.499999999999993</v>
      </c>
      <c r="DO190" s="129">
        <v>16.499999999999993</v>
      </c>
      <c r="DP190" s="129">
        <v>16.499999999999993</v>
      </c>
      <c r="DQ190" s="129">
        <v>16.499999999999993</v>
      </c>
      <c r="DR190" s="129">
        <v>16.499999999999993</v>
      </c>
      <c r="DS190" s="129">
        <v>18.5</v>
      </c>
      <c r="DW190" s="27"/>
      <c r="DX190" s="27"/>
      <c r="DY190" s="27"/>
      <c r="DZ190" s="27"/>
      <c r="EA190" s="27"/>
      <c r="EB190" s="27"/>
      <c r="EC190" s="27"/>
      <c r="ED190" s="27"/>
      <c r="EE190" s="27"/>
      <c r="EF190" s="129">
        <v>20.5</v>
      </c>
      <c r="EH190" s="27">
        <v>10</v>
      </c>
      <c r="EI190" s="27">
        <v>10</v>
      </c>
      <c r="EJ190" s="27">
        <v>10</v>
      </c>
      <c r="EK190" s="27">
        <v>10</v>
      </c>
      <c r="EL190" s="27">
        <v>10</v>
      </c>
      <c r="EM190" s="27">
        <v>10</v>
      </c>
      <c r="EN190" s="27">
        <v>10</v>
      </c>
      <c r="EO190" s="27">
        <v>10</v>
      </c>
      <c r="EP190" s="27">
        <v>10</v>
      </c>
      <c r="EQ190" s="129">
        <v>20.5</v>
      </c>
      <c r="ES190" s="27">
        <v>23.499999999999993</v>
      </c>
      <c r="ET190" s="27">
        <v>23.499999999999993</v>
      </c>
      <c r="EU190" s="27">
        <v>23.499999999999993</v>
      </c>
      <c r="EV190" s="27">
        <v>23.499999999999993</v>
      </c>
      <c r="EW190" s="27">
        <v>23.499999999999993</v>
      </c>
      <c r="EX190" s="27">
        <v>23.499999999999993</v>
      </c>
      <c r="EY190" s="27">
        <v>23.499999999999993</v>
      </c>
      <c r="EZ190" s="27">
        <v>23.499999999999993</v>
      </c>
      <c r="FA190" s="27">
        <v>23.499999999999993</v>
      </c>
      <c r="FB190" s="129">
        <v>20.5</v>
      </c>
      <c r="FD190" s="27">
        <v>24.499999999999993</v>
      </c>
      <c r="FE190" s="27">
        <v>24.499999999999993</v>
      </c>
      <c r="FF190" s="27">
        <v>24.499999999999993</v>
      </c>
      <c r="FG190" s="27">
        <v>24.499999999999993</v>
      </c>
      <c r="FH190" s="27">
        <v>24.499999999999993</v>
      </c>
      <c r="FI190" s="27">
        <v>24.499999999999993</v>
      </c>
      <c r="FJ190" s="27">
        <v>24.499999999999993</v>
      </c>
      <c r="FK190" s="27">
        <v>24.499999999999993</v>
      </c>
      <c r="FL190" s="27">
        <v>24.499999999999993</v>
      </c>
      <c r="FM190" s="129">
        <v>20.5</v>
      </c>
      <c r="FO190" s="27">
        <v>38.499999999999993</v>
      </c>
      <c r="FP190" s="27">
        <v>38.499999999999993</v>
      </c>
      <c r="FQ190" s="27">
        <v>38.499999999999993</v>
      </c>
      <c r="FR190" s="27">
        <v>38.499999999999993</v>
      </c>
      <c r="FS190" s="27">
        <v>38.499999999999993</v>
      </c>
      <c r="FT190" s="27">
        <v>38.499999999999993</v>
      </c>
      <c r="FU190" s="27">
        <v>38.499999999999993</v>
      </c>
      <c r="FV190" s="27">
        <v>38.499999999999993</v>
      </c>
      <c r="FW190" s="27">
        <v>38.499999999999993</v>
      </c>
      <c r="FX190" s="129">
        <v>20.5</v>
      </c>
      <c r="FZ190" s="27">
        <v>38.499999999999993</v>
      </c>
      <c r="GA190" s="27">
        <v>38.499999999999993</v>
      </c>
      <c r="GB190" s="27">
        <v>38.499999999999993</v>
      </c>
      <c r="GC190" s="27">
        <v>38.499999999999993</v>
      </c>
      <c r="GD190" s="27">
        <v>38.499999999999993</v>
      </c>
      <c r="GE190" s="27">
        <v>38.499999999999993</v>
      </c>
      <c r="GF190" s="27">
        <v>38.499999999999993</v>
      </c>
      <c r="GG190" s="27">
        <v>38.499999999999993</v>
      </c>
      <c r="GH190" s="27">
        <v>38.499999999999993</v>
      </c>
      <c r="GI190" s="129">
        <v>20.5</v>
      </c>
      <c r="GJ190" s="27"/>
      <c r="GK190" s="27">
        <v>9</v>
      </c>
      <c r="GL190" s="27">
        <v>9</v>
      </c>
      <c r="GM190" s="27">
        <v>9</v>
      </c>
      <c r="GN190" s="27">
        <v>9</v>
      </c>
      <c r="GO190" s="27">
        <v>9</v>
      </c>
      <c r="GP190" s="27">
        <v>9</v>
      </c>
      <c r="GQ190" s="27">
        <v>9</v>
      </c>
      <c r="GR190" s="27">
        <v>9</v>
      </c>
      <c r="GS190" s="27">
        <v>9</v>
      </c>
      <c r="GT190" s="129">
        <v>20.5</v>
      </c>
      <c r="GV190" s="27">
        <v>11</v>
      </c>
      <c r="GW190" s="27">
        <v>11</v>
      </c>
      <c r="GX190" s="27">
        <v>11</v>
      </c>
      <c r="GY190" s="27">
        <v>11</v>
      </c>
      <c r="GZ190" s="27">
        <v>11</v>
      </c>
      <c r="HA190" s="27">
        <v>11</v>
      </c>
      <c r="HB190" s="27">
        <v>11</v>
      </c>
      <c r="HC190" s="27">
        <v>11</v>
      </c>
      <c r="HD190" s="27">
        <v>11</v>
      </c>
      <c r="HE190" s="129">
        <v>20.5</v>
      </c>
      <c r="HG190" s="27">
        <v>15.500000000000002</v>
      </c>
      <c r="HH190" s="27">
        <v>15.500000000000002</v>
      </c>
      <c r="HI190" s="27">
        <v>15.500000000000002</v>
      </c>
      <c r="HJ190" s="27">
        <v>15.500000000000002</v>
      </c>
      <c r="HK190" s="27">
        <v>15.500000000000002</v>
      </c>
      <c r="HL190" s="27">
        <v>15.500000000000002</v>
      </c>
      <c r="HM190" s="27">
        <v>15.500000000000002</v>
      </c>
      <c r="HN190" s="27">
        <v>15.500000000000002</v>
      </c>
      <c r="HO190" s="27">
        <v>15.500000000000002</v>
      </c>
      <c r="HP190" s="129">
        <v>20.5</v>
      </c>
      <c r="HR190" s="27">
        <v>15.500000000000002</v>
      </c>
      <c r="HS190" s="27">
        <v>15.500000000000002</v>
      </c>
      <c r="HT190" s="27">
        <v>15.500000000000002</v>
      </c>
      <c r="HU190" s="27">
        <v>15.500000000000002</v>
      </c>
      <c r="HV190" s="27">
        <v>15.500000000000002</v>
      </c>
      <c r="HW190" s="27">
        <v>15.500000000000002</v>
      </c>
      <c r="HX190" s="27">
        <v>15.500000000000002</v>
      </c>
      <c r="HY190" s="27">
        <v>15.500000000000002</v>
      </c>
      <c r="HZ190" s="27">
        <v>15.500000000000002</v>
      </c>
      <c r="IA190" s="129">
        <v>20.5</v>
      </c>
    </row>
    <row r="191" spans="15:235" ht="3" customHeight="1">
      <c r="O191" s="17"/>
      <c r="P191" s="17"/>
      <c r="Q191" s="17"/>
      <c r="R191" s="17"/>
      <c r="S191" s="17"/>
      <c r="T191" s="17"/>
      <c r="U191" s="17"/>
      <c r="V191" s="17"/>
      <c r="W191" s="17"/>
      <c r="X191" s="129">
        <v>18.600000000000001</v>
      </c>
      <c r="Y191" s="27"/>
      <c r="Z191" s="129">
        <v>5.4000000000000021</v>
      </c>
      <c r="AA191" s="129">
        <v>5.4000000000000021</v>
      </c>
      <c r="AB191" s="129">
        <v>5.4000000000000021</v>
      </c>
      <c r="AC191" s="129">
        <v>5.4000000000000021</v>
      </c>
      <c r="AD191" s="129">
        <v>5.4000000000000021</v>
      </c>
      <c r="AE191" s="129">
        <v>5.4000000000000021</v>
      </c>
      <c r="AF191" s="129">
        <v>5.4000000000000021</v>
      </c>
      <c r="AG191" s="129">
        <v>5.4000000000000021</v>
      </c>
      <c r="AH191" s="129">
        <v>5.4000000000000021</v>
      </c>
      <c r="AI191" s="129">
        <v>18.600000000000001</v>
      </c>
      <c r="AK191" s="129">
        <v>14.199999999999996</v>
      </c>
      <c r="AL191" s="129">
        <v>14.199999999999996</v>
      </c>
      <c r="AM191" s="129">
        <v>14.199999999999996</v>
      </c>
      <c r="AN191" s="129">
        <v>14.199999999999996</v>
      </c>
      <c r="AO191" s="129">
        <v>14.199999999999996</v>
      </c>
      <c r="AP191" s="129">
        <v>14.199999999999996</v>
      </c>
      <c r="AQ191" s="129">
        <v>14.199999999999996</v>
      </c>
      <c r="AR191" s="129">
        <v>14.199999999999996</v>
      </c>
      <c r="AS191" s="129">
        <v>14.199999999999996</v>
      </c>
      <c r="AT191" s="129">
        <v>18.600000000000001</v>
      </c>
      <c r="AV191" s="129">
        <v>19.199999999999996</v>
      </c>
      <c r="AW191" s="129">
        <v>19.199999999999996</v>
      </c>
      <c r="AX191" s="129">
        <v>19.199999999999996</v>
      </c>
      <c r="AY191" s="129">
        <v>19.199999999999996</v>
      </c>
      <c r="AZ191" s="129">
        <v>19.199999999999996</v>
      </c>
      <c r="BA191" s="129">
        <v>19.199999999999996</v>
      </c>
      <c r="BB191" s="129">
        <v>19.199999999999996</v>
      </c>
      <c r="BC191" s="129">
        <v>19.199999999999996</v>
      </c>
      <c r="BD191" s="129">
        <v>19.199999999999996</v>
      </c>
      <c r="BE191" s="129">
        <v>18.600000000000001</v>
      </c>
      <c r="BG191" s="129">
        <v>25.600000000000009</v>
      </c>
      <c r="BH191" s="129">
        <v>25.600000000000009</v>
      </c>
      <c r="BI191" s="129">
        <v>25.600000000000009</v>
      </c>
      <c r="BJ191" s="129">
        <v>25.600000000000009</v>
      </c>
      <c r="BK191" s="129">
        <v>25.600000000000009</v>
      </c>
      <c r="BL191" s="129">
        <v>25.600000000000009</v>
      </c>
      <c r="BM191" s="129">
        <v>25.600000000000009</v>
      </c>
      <c r="BN191" s="129">
        <v>25.600000000000009</v>
      </c>
      <c r="BO191" s="129">
        <v>25.600000000000009</v>
      </c>
      <c r="BP191" s="129">
        <v>18.600000000000001</v>
      </c>
      <c r="BR191" s="129">
        <v>25.600000000000009</v>
      </c>
      <c r="BS191" s="129">
        <v>25.600000000000009</v>
      </c>
      <c r="BT191" s="129">
        <v>25.600000000000009</v>
      </c>
      <c r="BU191" s="129">
        <v>25.600000000000009</v>
      </c>
      <c r="BV191" s="129">
        <v>25.600000000000009</v>
      </c>
      <c r="BW191" s="129">
        <v>25.600000000000009</v>
      </c>
      <c r="BX191" s="129">
        <v>25.600000000000009</v>
      </c>
      <c r="BY191" s="129">
        <v>25.600000000000009</v>
      </c>
      <c r="BZ191" s="129">
        <v>25.600000000000009</v>
      </c>
      <c r="CA191" s="129">
        <v>18.600000000000001</v>
      </c>
      <c r="CC191" s="129">
        <v>10</v>
      </c>
      <c r="CD191" s="129">
        <v>10</v>
      </c>
      <c r="CE191" s="129">
        <v>10</v>
      </c>
      <c r="CF191" s="129">
        <v>10</v>
      </c>
      <c r="CG191" s="129">
        <v>10</v>
      </c>
      <c r="CH191" s="129">
        <v>10</v>
      </c>
      <c r="CI191" s="129">
        <v>10</v>
      </c>
      <c r="CJ191" s="129">
        <v>10</v>
      </c>
      <c r="CK191" s="129">
        <v>10</v>
      </c>
      <c r="CL191" s="129">
        <v>18.600000000000001</v>
      </c>
      <c r="CN191" s="129">
        <v>12.400000000000002</v>
      </c>
      <c r="CO191" s="129">
        <v>12.400000000000002</v>
      </c>
      <c r="CP191" s="129">
        <v>12.400000000000002</v>
      </c>
      <c r="CQ191" s="129">
        <v>12.400000000000002</v>
      </c>
      <c r="CR191" s="129">
        <v>12.400000000000002</v>
      </c>
      <c r="CS191" s="129">
        <v>12.400000000000002</v>
      </c>
      <c r="CT191" s="129">
        <v>12.400000000000002</v>
      </c>
      <c r="CU191" s="129">
        <v>12.400000000000002</v>
      </c>
      <c r="CV191" s="129">
        <v>12.400000000000002</v>
      </c>
      <c r="CW191" s="129">
        <v>18.600000000000001</v>
      </c>
      <c r="CY191" s="129">
        <v>16.399999999999991</v>
      </c>
      <c r="CZ191" s="129">
        <v>16.399999999999991</v>
      </c>
      <c r="DA191" s="129">
        <v>16.399999999999991</v>
      </c>
      <c r="DB191" s="129">
        <v>16.399999999999991</v>
      </c>
      <c r="DC191" s="129">
        <v>16.399999999999991</v>
      </c>
      <c r="DD191" s="129">
        <v>16.399999999999991</v>
      </c>
      <c r="DE191" s="129">
        <v>16.399999999999991</v>
      </c>
      <c r="DF191" s="129">
        <v>16.399999999999991</v>
      </c>
      <c r="DG191" s="129">
        <v>16.399999999999991</v>
      </c>
      <c r="DH191" s="129">
        <v>18.600000000000001</v>
      </c>
      <c r="DJ191" s="129">
        <v>16.399999999999991</v>
      </c>
      <c r="DK191" s="129">
        <v>16.399999999999991</v>
      </c>
      <c r="DL191" s="129">
        <v>16.399999999999991</v>
      </c>
      <c r="DM191" s="129">
        <v>16.399999999999991</v>
      </c>
      <c r="DN191" s="129">
        <v>16.399999999999991</v>
      </c>
      <c r="DO191" s="129">
        <v>16.399999999999991</v>
      </c>
      <c r="DP191" s="129">
        <v>16.399999999999991</v>
      </c>
      <c r="DQ191" s="129">
        <v>16.399999999999991</v>
      </c>
      <c r="DR191" s="129">
        <v>16.399999999999991</v>
      </c>
      <c r="DS191" s="129">
        <v>18.600000000000001</v>
      </c>
      <c r="DW191" s="27"/>
      <c r="DX191" s="27"/>
      <c r="DY191" s="27"/>
      <c r="DZ191" s="27"/>
      <c r="EA191" s="27"/>
      <c r="EB191" s="27"/>
      <c r="EC191" s="27"/>
      <c r="ED191" s="27"/>
      <c r="EE191" s="27"/>
      <c r="EF191" s="129">
        <v>20.6</v>
      </c>
      <c r="EH191" s="27">
        <v>9.8000000000000007</v>
      </c>
      <c r="EI191" s="27">
        <v>9.8000000000000007</v>
      </c>
      <c r="EJ191" s="27">
        <v>9.8000000000000007</v>
      </c>
      <c r="EK191" s="27">
        <v>9.8000000000000007</v>
      </c>
      <c r="EL191" s="27">
        <v>9.8000000000000007</v>
      </c>
      <c r="EM191" s="27">
        <v>9.8000000000000007</v>
      </c>
      <c r="EN191" s="27">
        <v>9.8000000000000007</v>
      </c>
      <c r="EO191" s="27">
        <v>9.8000000000000007</v>
      </c>
      <c r="EP191" s="27">
        <v>9.8000000000000007</v>
      </c>
      <c r="EQ191" s="129">
        <v>20.6</v>
      </c>
      <c r="ES191" s="27">
        <v>23.399999999999991</v>
      </c>
      <c r="ET191" s="27">
        <v>23.399999999999991</v>
      </c>
      <c r="EU191" s="27">
        <v>23.399999999999991</v>
      </c>
      <c r="EV191" s="27">
        <v>23.399999999999991</v>
      </c>
      <c r="EW191" s="27">
        <v>23.399999999999991</v>
      </c>
      <c r="EX191" s="27">
        <v>23.399999999999991</v>
      </c>
      <c r="EY191" s="27">
        <v>23.399999999999991</v>
      </c>
      <c r="EZ191" s="27">
        <v>23.399999999999991</v>
      </c>
      <c r="FA191" s="27">
        <v>23.399999999999991</v>
      </c>
      <c r="FB191" s="129">
        <v>20.6</v>
      </c>
      <c r="FD191" s="27">
        <v>24.399999999999991</v>
      </c>
      <c r="FE191" s="27">
        <v>24.399999999999991</v>
      </c>
      <c r="FF191" s="27">
        <v>24.399999999999991</v>
      </c>
      <c r="FG191" s="27">
        <v>24.399999999999991</v>
      </c>
      <c r="FH191" s="27">
        <v>24.399999999999991</v>
      </c>
      <c r="FI191" s="27">
        <v>24.399999999999991</v>
      </c>
      <c r="FJ191" s="27">
        <v>24.399999999999991</v>
      </c>
      <c r="FK191" s="27">
        <v>24.399999999999991</v>
      </c>
      <c r="FL191" s="27">
        <v>24.399999999999991</v>
      </c>
      <c r="FM191" s="129">
        <v>20.6</v>
      </c>
      <c r="FO191" s="27">
        <v>38.399999999999991</v>
      </c>
      <c r="FP191" s="27">
        <v>38.399999999999991</v>
      </c>
      <c r="FQ191" s="27">
        <v>38.399999999999991</v>
      </c>
      <c r="FR191" s="27">
        <v>38.399999999999991</v>
      </c>
      <c r="FS191" s="27">
        <v>38.399999999999991</v>
      </c>
      <c r="FT191" s="27">
        <v>38.399999999999991</v>
      </c>
      <c r="FU191" s="27">
        <v>38.399999999999991</v>
      </c>
      <c r="FV191" s="27">
        <v>38.399999999999991</v>
      </c>
      <c r="FW191" s="27">
        <v>38.399999999999991</v>
      </c>
      <c r="FX191" s="129">
        <v>20.6</v>
      </c>
      <c r="FZ191" s="27">
        <v>38.399999999999991</v>
      </c>
      <c r="GA191" s="27">
        <v>38.399999999999991</v>
      </c>
      <c r="GB191" s="27">
        <v>38.399999999999991</v>
      </c>
      <c r="GC191" s="27">
        <v>38.399999999999991</v>
      </c>
      <c r="GD191" s="27">
        <v>38.399999999999991</v>
      </c>
      <c r="GE191" s="27">
        <v>38.399999999999991</v>
      </c>
      <c r="GF191" s="27">
        <v>38.399999999999991</v>
      </c>
      <c r="GG191" s="27">
        <v>38.399999999999991</v>
      </c>
      <c r="GH191" s="27">
        <v>38.399999999999991</v>
      </c>
      <c r="GI191" s="129">
        <v>20.6</v>
      </c>
      <c r="GJ191" s="27"/>
      <c r="GK191" s="27">
        <v>9</v>
      </c>
      <c r="GL191" s="27">
        <v>9</v>
      </c>
      <c r="GM191" s="27">
        <v>9</v>
      </c>
      <c r="GN191" s="27">
        <v>9</v>
      </c>
      <c r="GO191" s="27">
        <v>9</v>
      </c>
      <c r="GP191" s="27">
        <v>9</v>
      </c>
      <c r="GQ191" s="27">
        <v>9</v>
      </c>
      <c r="GR191" s="27">
        <v>9</v>
      </c>
      <c r="GS191" s="27">
        <v>9</v>
      </c>
      <c r="GT191" s="129">
        <v>20.6</v>
      </c>
      <c r="GV191" s="27">
        <v>11</v>
      </c>
      <c r="GW191" s="27">
        <v>11</v>
      </c>
      <c r="GX191" s="27">
        <v>11</v>
      </c>
      <c r="GY191" s="27">
        <v>11</v>
      </c>
      <c r="GZ191" s="27">
        <v>11</v>
      </c>
      <c r="HA191" s="27">
        <v>11</v>
      </c>
      <c r="HB191" s="27">
        <v>11</v>
      </c>
      <c r="HC191" s="27">
        <v>11</v>
      </c>
      <c r="HD191" s="27">
        <v>11</v>
      </c>
      <c r="HE191" s="129">
        <v>20.6</v>
      </c>
      <c r="HG191" s="27">
        <v>15.400000000000002</v>
      </c>
      <c r="HH191" s="27">
        <v>15.400000000000002</v>
      </c>
      <c r="HI191" s="27">
        <v>15.400000000000002</v>
      </c>
      <c r="HJ191" s="27">
        <v>15.400000000000002</v>
      </c>
      <c r="HK191" s="27">
        <v>15.400000000000002</v>
      </c>
      <c r="HL191" s="27">
        <v>15.400000000000002</v>
      </c>
      <c r="HM191" s="27">
        <v>15.400000000000002</v>
      </c>
      <c r="HN191" s="27">
        <v>15.400000000000002</v>
      </c>
      <c r="HO191" s="27">
        <v>15.400000000000002</v>
      </c>
      <c r="HP191" s="129">
        <v>20.6</v>
      </c>
      <c r="HR191" s="27">
        <v>15.400000000000002</v>
      </c>
      <c r="HS191" s="27">
        <v>15.400000000000002</v>
      </c>
      <c r="HT191" s="27">
        <v>15.400000000000002</v>
      </c>
      <c r="HU191" s="27">
        <v>15.400000000000002</v>
      </c>
      <c r="HV191" s="27">
        <v>15.400000000000002</v>
      </c>
      <c r="HW191" s="27">
        <v>15.400000000000002</v>
      </c>
      <c r="HX191" s="27">
        <v>15.400000000000002</v>
      </c>
      <c r="HY191" s="27">
        <v>15.400000000000002</v>
      </c>
      <c r="HZ191" s="27">
        <v>15.400000000000002</v>
      </c>
      <c r="IA191" s="129">
        <v>20.6</v>
      </c>
    </row>
    <row r="192" spans="15:235" ht="3" customHeight="1">
      <c r="O192" s="17"/>
      <c r="P192" s="17"/>
      <c r="Q192" s="17"/>
      <c r="R192" s="17"/>
      <c r="S192" s="17"/>
      <c r="T192" s="17"/>
      <c r="U192" s="17"/>
      <c r="V192" s="17"/>
      <c r="W192" s="17"/>
      <c r="X192" s="129">
        <v>18.7</v>
      </c>
      <c r="Y192" s="27"/>
      <c r="Z192" s="129">
        <v>5.3000000000000025</v>
      </c>
      <c r="AA192" s="129">
        <v>5.3000000000000025</v>
      </c>
      <c r="AB192" s="129">
        <v>5.3000000000000025</v>
      </c>
      <c r="AC192" s="129">
        <v>5.3000000000000025</v>
      </c>
      <c r="AD192" s="129">
        <v>5.3000000000000025</v>
      </c>
      <c r="AE192" s="129">
        <v>5.3000000000000025</v>
      </c>
      <c r="AF192" s="129">
        <v>5.3000000000000025</v>
      </c>
      <c r="AG192" s="129">
        <v>5.3000000000000025</v>
      </c>
      <c r="AH192" s="129">
        <v>5.3000000000000025</v>
      </c>
      <c r="AI192" s="129">
        <v>18.7</v>
      </c>
      <c r="AK192" s="129">
        <v>13.899999999999995</v>
      </c>
      <c r="AL192" s="129">
        <v>13.899999999999995</v>
      </c>
      <c r="AM192" s="129">
        <v>13.899999999999995</v>
      </c>
      <c r="AN192" s="129">
        <v>13.899999999999995</v>
      </c>
      <c r="AO192" s="129">
        <v>13.899999999999995</v>
      </c>
      <c r="AP192" s="129">
        <v>13.899999999999995</v>
      </c>
      <c r="AQ192" s="129">
        <v>13.899999999999995</v>
      </c>
      <c r="AR192" s="129">
        <v>13.899999999999995</v>
      </c>
      <c r="AS192" s="129">
        <v>13.899999999999995</v>
      </c>
      <c r="AT192" s="129">
        <v>18.7</v>
      </c>
      <c r="AV192" s="129">
        <v>18.899999999999995</v>
      </c>
      <c r="AW192" s="129">
        <v>18.899999999999995</v>
      </c>
      <c r="AX192" s="129">
        <v>18.899999999999995</v>
      </c>
      <c r="AY192" s="129">
        <v>18.899999999999995</v>
      </c>
      <c r="AZ192" s="129">
        <v>18.899999999999995</v>
      </c>
      <c r="BA192" s="129">
        <v>18.899999999999995</v>
      </c>
      <c r="BB192" s="129">
        <v>18.899999999999995</v>
      </c>
      <c r="BC192" s="129">
        <v>18.899999999999995</v>
      </c>
      <c r="BD192" s="129">
        <v>18.899999999999995</v>
      </c>
      <c r="BE192" s="129">
        <v>18.7</v>
      </c>
      <c r="BG192" s="129">
        <v>25.20000000000001</v>
      </c>
      <c r="BH192" s="129">
        <v>25.20000000000001</v>
      </c>
      <c r="BI192" s="129">
        <v>25.20000000000001</v>
      </c>
      <c r="BJ192" s="129">
        <v>25.20000000000001</v>
      </c>
      <c r="BK192" s="129">
        <v>25.20000000000001</v>
      </c>
      <c r="BL192" s="129">
        <v>25.20000000000001</v>
      </c>
      <c r="BM192" s="129">
        <v>25.20000000000001</v>
      </c>
      <c r="BN192" s="129">
        <v>25.20000000000001</v>
      </c>
      <c r="BO192" s="129">
        <v>25.20000000000001</v>
      </c>
      <c r="BP192" s="129">
        <v>18.7</v>
      </c>
      <c r="BR192" s="129">
        <v>25.20000000000001</v>
      </c>
      <c r="BS192" s="129">
        <v>25.20000000000001</v>
      </c>
      <c r="BT192" s="129">
        <v>25.20000000000001</v>
      </c>
      <c r="BU192" s="129">
        <v>25.20000000000001</v>
      </c>
      <c r="BV192" s="129">
        <v>25.20000000000001</v>
      </c>
      <c r="BW192" s="129">
        <v>25.20000000000001</v>
      </c>
      <c r="BX192" s="129">
        <v>25.20000000000001</v>
      </c>
      <c r="BY192" s="129">
        <v>25.20000000000001</v>
      </c>
      <c r="BZ192" s="129">
        <v>25.20000000000001</v>
      </c>
      <c r="CA192" s="129">
        <v>18.7</v>
      </c>
      <c r="CC192" s="129">
        <v>10</v>
      </c>
      <c r="CD192" s="129">
        <v>10</v>
      </c>
      <c r="CE192" s="129">
        <v>10</v>
      </c>
      <c r="CF192" s="129">
        <v>10</v>
      </c>
      <c r="CG192" s="129">
        <v>10</v>
      </c>
      <c r="CH192" s="129">
        <v>10</v>
      </c>
      <c r="CI192" s="129">
        <v>10</v>
      </c>
      <c r="CJ192" s="129">
        <v>10</v>
      </c>
      <c r="CK192" s="129">
        <v>10</v>
      </c>
      <c r="CL192" s="129">
        <v>18.7</v>
      </c>
      <c r="CN192" s="129">
        <v>12.300000000000002</v>
      </c>
      <c r="CO192" s="129">
        <v>12.300000000000002</v>
      </c>
      <c r="CP192" s="129">
        <v>12.300000000000002</v>
      </c>
      <c r="CQ192" s="129">
        <v>12.300000000000002</v>
      </c>
      <c r="CR192" s="129">
        <v>12.300000000000002</v>
      </c>
      <c r="CS192" s="129">
        <v>12.300000000000002</v>
      </c>
      <c r="CT192" s="129">
        <v>12.300000000000002</v>
      </c>
      <c r="CU192" s="129">
        <v>12.300000000000002</v>
      </c>
      <c r="CV192" s="129">
        <v>12.300000000000002</v>
      </c>
      <c r="CW192" s="129">
        <v>18.7</v>
      </c>
      <c r="CY192" s="129">
        <v>16.29999999999999</v>
      </c>
      <c r="CZ192" s="129">
        <v>16.29999999999999</v>
      </c>
      <c r="DA192" s="129">
        <v>16.29999999999999</v>
      </c>
      <c r="DB192" s="129">
        <v>16.29999999999999</v>
      </c>
      <c r="DC192" s="129">
        <v>16.29999999999999</v>
      </c>
      <c r="DD192" s="129">
        <v>16.29999999999999</v>
      </c>
      <c r="DE192" s="129">
        <v>16.29999999999999</v>
      </c>
      <c r="DF192" s="129">
        <v>16.29999999999999</v>
      </c>
      <c r="DG192" s="129">
        <v>16.29999999999999</v>
      </c>
      <c r="DH192" s="129">
        <v>18.7</v>
      </c>
      <c r="DJ192" s="129">
        <v>16.29999999999999</v>
      </c>
      <c r="DK192" s="129">
        <v>16.29999999999999</v>
      </c>
      <c r="DL192" s="129">
        <v>16.29999999999999</v>
      </c>
      <c r="DM192" s="129">
        <v>16.29999999999999</v>
      </c>
      <c r="DN192" s="129">
        <v>16.29999999999999</v>
      </c>
      <c r="DO192" s="129">
        <v>16.29999999999999</v>
      </c>
      <c r="DP192" s="129">
        <v>16.29999999999999</v>
      </c>
      <c r="DQ192" s="129">
        <v>16.29999999999999</v>
      </c>
      <c r="DR192" s="129">
        <v>16.29999999999999</v>
      </c>
      <c r="DS192" s="129">
        <v>18.7</v>
      </c>
      <c r="DW192" s="27"/>
      <c r="DX192" s="27"/>
      <c r="DY192" s="27"/>
      <c r="DZ192" s="27"/>
      <c r="EA192" s="27"/>
      <c r="EB192" s="27"/>
      <c r="EC192" s="27"/>
      <c r="ED192" s="27"/>
      <c r="EE192" s="27"/>
      <c r="EF192" s="129">
        <v>20.7</v>
      </c>
      <c r="EH192" s="27">
        <v>9.6000000000000014</v>
      </c>
      <c r="EI192" s="27">
        <v>9.6000000000000014</v>
      </c>
      <c r="EJ192" s="27">
        <v>9.6000000000000014</v>
      </c>
      <c r="EK192" s="27">
        <v>9.6000000000000014</v>
      </c>
      <c r="EL192" s="27">
        <v>9.6000000000000014</v>
      </c>
      <c r="EM192" s="27">
        <v>9.6000000000000014</v>
      </c>
      <c r="EN192" s="27">
        <v>9.6000000000000014</v>
      </c>
      <c r="EO192" s="27">
        <v>9.6000000000000014</v>
      </c>
      <c r="EP192" s="27">
        <v>9.6000000000000014</v>
      </c>
      <c r="EQ192" s="129">
        <v>20.7</v>
      </c>
      <c r="ES192" s="27">
        <v>23.29999999999999</v>
      </c>
      <c r="ET192" s="27">
        <v>23.29999999999999</v>
      </c>
      <c r="EU192" s="27">
        <v>23.29999999999999</v>
      </c>
      <c r="EV192" s="27">
        <v>23.29999999999999</v>
      </c>
      <c r="EW192" s="27">
        <v>23.29999999999999</v>
      </c>
      <c r="EX192" s="27">
        <v>23.29999999999999</v>
      </c>
      <c r="EY192" s="27">
        <v>23.29999999999999</v>
      </c>
      <c r="EZ192" s="27">
        <v>23.29999999999999</v>
      </c>
      <c r="FA192" s="27">
        <v>23.29999999999999</v>
      </c>
      <c r="FB192" s="129">
        <v>20.7</v>
      </c>
      <c r="FD192" s="27">
        <v>24.29999999999999</v>
      </c>
      <c r="FE192" s="27">
        <v>24.29999999999999</v>
      </c>
      <c r="FF192" s="27">
        <v>24.29999999999999</v>
      </c>
      <c r="FG192" s="27">
        <v>24.29999999999999</v>
      </c>
      <c r="FH192" s="27">
        <v>24.29999999999999</v>
      </c>
      <c r="FI192" s="27">
        <v>24.29999999999999</v>
      </c>
      <c r="FJ192" s="27">
        <v>24.29999999999999</v>
      </c>
      <c r="FK192" s="27">
        <v>24.29999999999999</v>
      </c>
      <c r="FL192" s="27">
        <v>24.29999999999999</v>
      </c>
      <c r="FM192" s="129">
        <v>20.7</v>
      </c>
      <c r="FO192" s="27">
        <v>38.29999999999999</v>
      </c>
      <c r="FP192" s="27">
        <v>38.29999999999999</v>
      </c>
      <c r="FQ192" s="27">
        <v>38.29999999999999</v>
      </c>
      <c r="FR192" s="27">
        <v>38.29999999999999</v>
      </c>
      <c r="FS192" s="27">
        <v>38.29999999999999</v>
      </c>
      <c r="FT192" s="27">
        <v>38.29999999999999</v>
      </c>
      <c r="FU192" s="27">
        <v>38.29999999999999</v>
      </c>
      <c r="FV192" s="27">
        <v>38.29999999999999</v>
      </c>
      <c r="FW192" s="27">
        <v>38.29999999999999</v>
      </c>
      <c r="FX192" s="129">
        <v>20.7</v>
      </c>
      <c r="FZ192" s="27">
        <v>38.29999999999999</v>
      </c>
      <c r="GA192" s="27">
        <v>38.29999999999999</v>
      </c>
      <c r="GB192" s="27">
        <v>38.29999999999999</v>
      </c>
      <c r="GC192" s="27">
        <v>38.29999999999999</v>
      </c>
      <c r="GD192" s="27">
        <v>38.29999999999999</v>
      </c>
      <c r="GE192" s="27">
        <v>38.29999999999999</v>
      </c>
      <c r="GF192" s="27">
        <v>38.29999999999999</v>
      </c>
      <c r="GG192" s="27">
        <v>38.29999999999999</v>
      </c>
      <c r="GH192" s="27">
        <v>38.29999999999999</v>
      </c>
      <c r="GI192" s="129">
        <v>20.7</v>
      </c>
      <c r="GJ192" s="27"/>
      <c r="GK192" s="27">
        <v>9</v>
      </c>
      <c r="GL192" s="27">
        <v>9</v>
      </c>
      <c r="GM192" s="27">
        <v>9</v>
      </c>
      <c r="GN192" s="27">
        <v>9</v>
      </c>
      <c r="GO192" s="27">
        <v>9</v>
      </c>
      <c r="GP192" s="27">
        <v>9</v>
      </c>
      <c r="GQ192" s="27">
        <v>9</v>
      </c>
      <c r="GR192" s="27">
        <v>9</v>
      </c>
      <c r="GS192" s="27">
        <v>9</v>
      </c>
      <c r="GT192" s="129">
        <v>20.7</v>
      </c>
      <c r="GV192" s="27">
        <v>11</v>
      </c>
      <c r="GW192" s="27">
        <v>11</v>
      </c>
      <c r="GX192" s="27">
        <v>11</v>
      </c>
      <c r="GY192" s="27">
        <v>11</v>
      </c>
      <c r="GZ192" s="27">
        <v>11</v>
      </c>
      <c r="HA192" s="27">
        <v>11</v>
      </c>
      <c r="HB192" s="27">
        <v>11</v>
      </c>
      <c r="HC192" s="27">
        <v>11</v>
      </c>
      <c r="HD192" s="27">
        <v>11</v>
      </c>
      <c r="HE192" s="129">
        <v>20.7</v>
      </c>
      <c r="HG192" s="27">
        <v>15.300000000000002</v>
      </c>
      <c r="HH192" s="27">
        <v>15.300000000000002</v>
      </c>
      <c r="HI192" s="27">
        <v>15.300000000000002</v>
      </c>
      <c r="HJ192" s="27">
        <v>15.300000000000002</v>
      </c>
      <c r="HK192" s="27">
        <v>15.300000000000002</v>
      </c>
      <c r="HL192" s="27">
        <v>15.300000000000002</v>
      </c>
      <c r="HM192" s="27">
        <v>15.300000000000002</v>
      </c>
      <c r="HN192" s="27">
        <v>15.300000000000002</v>
      </c>
      <c r="HO192" s="27">
        <v>15.300000000000002</v>
      </c>
      <c r="HP192" s="129">
        <v>20.7</v>
      </c>
      <c r="HR192" s="27">
        <v>15.300000000000002</v>
      </c>
      <c r="HS192" s="27">
        <v>15.300000000000002</v>
      </c>
      <c r="HT192" s="27">
        <v>15.300000000000002</v>
      </c>
      <c r="HU192" s="27">
        <v>15.300000000000002</v>
      </c>
      <c r="HV192" s="27">
        <v>15.300000000000002</v>
      </c>
      <c r="HW192" s="27">
        <v>15.300000000000002</v>
      </c>
      <c r="HX192" s="27">
        <v>15.300000000000002</v>
      </c>
      <c r="HY192" s="27">
        <v>15.300000000000002</v>
      </c>
      <c r="HZ192" s="27">
        <v>15.300000000000002</v>
      </c>
      <c r="IA192" s="129">
        <v>20.7</v>
      </c>
    </row>
    <row r="193" spans="15:235" ht="3" customHeight="1">
      <c r="O193" s="17"/>
      <c r="P193" s="17"/>
      <c r="Q193" s="17"/>
      <c r="R193" s="17"/>
      <c r="S193" s="17"/>
      <c r="T193" s="17"/>
      <c r="U193" s="17"/>
      <c r="V193" s="17"/>
      <c r="W193" s="17"/>
      <c r="X193" s="129">
        <v>18.8</v>
      </c>
      <c r="Y193" s="27"/>
      <c r="Z193" s="129">
        <v>5.2000000000000028</v>
      </c>
      <c r="AA193" s="129">
        <v>5.2000000000000028</v>
      </c>
      <c r="AB193" s="129">
        <v>5.2000000000000028</v>
      </c>
      <c r="AC193" s="129">
        <v>5.2000000000000028</v>
      </c>
      <c r="AD193" s="129">
        <v>5.2000000000000028</v>
      </c>
      <c r="AE193" s="129">
        <v>5.2000000000000028</v>
      </c>
      <c r="AF193" s="129">
        <v>5.2000000000000028</v>
      </c>
      <c r="AG193" s="129">
        <v>5.2000000000000028</v>
      </c>
      <c r="AH193" s="129">
        <v>5.2000000000000028</v>
      </c>
      <c r="AI193" s="129">
        <v>18.8</v>
      </c>
      <c r="AK193" s="129">
        <v>13.599999999999994</v>
      </c>
      <c r="AL193" s="129">
        <v>13.599999999999994</v>
      </c>
      <c r="AM193" s="129">
        <v>13.599999999999994</v>
      </c>
      <c r="AN193" s="129">
        <v>13.599999999999994</v>
      </c>
      <c r="AO193" s="129">
        <v>13.599999999999994</v>
      </c>
      <c r="AP193" s="129">
        <v>13.599999999999994</v>
      </c>
      <c r="AQ193" s="129">
        <v>13.599999999999994</v>
      </c>
      <c r="AR193" s="129">
        <v>13.599999999999994</v>
      </c>
      <c r="AS193" s="129">
        <v>13.599999999999994</v>
      </c>
      <c r="AT193" s="129">
        <v>18.8</v>
      </c>
      <c r="AV193" s="129">
        <v>18.599999999999994</v>
      </c>
      <c r="AW193" s="129">
        <v>18.599999999999994</v>
      </c>
      <c r="AX193" s="129">
        <v>18.599999999999994</v>
      </c>
      <c r="AY193" s="129">
        <v>18.599999999999994</v>
      </c>
      <c r="AZ193" s="129">
        <v>18.599999999999994</v>
      </c>
      <c r="BA193" s="129">
        <v>18.599999999999994</v>
      </c>
      <c r="BB193" s="129">
        <v>18.599999999999994</v>
      </c>
      <c r="BC193" s="129">
        <v>18.599999999999994</v>
      </c>
      <c r="BD193" s="129">
        <v>18.599999999999994</v>
      </c>
      <c r="BE193" s="129">
        <v>18.8</v>
      </c>
      <c r="BG193" s="129">
        <v>24.800000000000011</v>
      </c>
      <c r="BH193" s="129">
        <v>24.800000000000011</v>
      </c>
      <c r="BI193" s="129">
        <v>24.800000000000011</v>
      </c>
      <c r="BJ193" s="129">
        <v>24.800000000000011</v>
      </c>
      <c r="BK193" s="129">
        <v>24.800000000000011</v>
      </c>
      <c r="BL193" s="129">
        <v>24.800000000000011</v>
      </c>
      <c r="BM193" s="129">
        <v>24.800000000000011</v>
      </c>
      <c r="BN193" s="129">
        <v>24.800000000000011</v>
      </c>
      <c r="BO193" s="129">
        <v>24.800000000000011</v>
      </c>
      <c r="BP193" s="129">
        <v>18.8</v>
      </c>
      <c r="BR193" s="129">
        <v>24.800000000000011</v>
      </c>
      <c r="BS193" s="129">
        <v>24.800000000000011</v>
      </c>
      <c r="BT193" s="129">
        <v>24.800000000000011</v>
      </c>
      <c r="BU193" s="129">
        <v>24.800000000000011</v>
      </c>
      <c r="BV193" s="129">
        <v>24.800000000000011</v>
      </c>
      <c r="BW193" s="129">
        <v>24.800000000000011</v>
      </c>
      <c r="BX193" s="129">
        <v>24.800000000000011</v>
      </c>
      <c r="BY193" s="129">
        <v>24.800000000000011</v>
      </c>
      <c r="BZ193" s="129">
        <v>24.800000000000011</v>
      </c>
      <c r="CA193" s="129">
        <v>18.8</v>
      </c>
      <c r="CC193" s="129">
        <v>10</v>
      </c>
      <c r="CD193" s="129">
        <v>10</v>
      </c>
      <c r="CE193" s="129">
        <v>10</v>
      </c>
      <c r="CF193" s="129">
        <v>10</v>
      </c>
      <c r="CG193" s="129">
        <v>10</v>
      </c>
      <c r="CH193" s="129">
        <v>10</v>
      </c>
      <c r="CI193" s="129">
        <v>10</v>
      </c>
      <c r="CJ193" s="129">
        <v>10</v>
      </c>
      <c r="CK193" s="129">
        <v>10</v>
      </c>
      <c r="CL193" s="129">
        <v>18.8</v>
      </c>
      <c r="CN193" s="129">
        <v>12.200000000000003</v>
      </c>
      <c r="CO193" s="129">
        <v>12.200000000000003</v>
      </c>
      <c r="CP193" s="129">
        <v>12.200000000000003</v>
      </c>
      <c r="CQ193" s="129">
        <v>12.200000000000003</v>
      </c>
      <c r="CR193" s="129">
        <v>12.200000000000003</v>
      </c>
      <c r="CS193" s="129">
        <v>12.200000000000003</v>
      </c>
      <c r="CT193" s="129">
        <v>12.200000000000003</v>
      </c>
      <c r="CU193" s="129">
        <v>12.200000000000003</v>
      </c>
      <c r="CV193" s="129">
        <v>12.200000000000003</v>
      </c>
      <c r="CW193" s="129">
        <v>18.8</v>
      </c>
      <c r="CY193" s="129">
        <v>16.199999999999989</v>
      </c>
      <c r="CZ193" s="129">
        <v>16.199999999999989</v>
      </c>
      <c r="DA193" s="129">
        <v>16.199999999999989</v>
      </c>
      <c r="DB193" s="129">
        <v>16.199999999999989</v>
      </c>
      <c r="DC193" s="129">
        <v>16.199999999999989</v>
      </c>
      <c r="DD193" s="129">
        <v>16.199999999999989</v>
      </c>
      <c r="DE193" s="129">
        <v>16.199999999999989</v>
      </c>
      <c r="DF193" s="129">
        <v>16.199999999999989</v>
      </c>
      <c r="DG193" s="129">
        <v>16.199999999999989</v>
      </c>
      <c r="DH193" s="129">
        <v>18.8</v>
      </c>
      <c r="DJ193" s="129">
        <v>16.199999999999989</v>
      </c>
      <c r="DK193" s="129">
        <v>16.199999999999989</v>
      </c>
      <c r="DL193" s="129">
        <v>16.199999999999989</v>
      </c>
      <c r="DM193" s="129">
        <v>16.199999999999989</v>
      </c>
      <c r="DN193" s="129">
        <v>16.199999999999989</v>
      </c>
      <c r="DO193" s="129">
        <v>16.199999999999989</v>
      </c>
      <c r="DP193" s="129">
        <v>16.199999999999989</v>
      </c>
      <c r="DQ193" s="129">
        <v>16.199999999999989</v>
      </c>
      <c r="DR193" s="129">
        <v>16.199999999999989</v>
      </c>
      <c r="DS193" s="129">
        <v>18.8</v>
      </c>
      <c r="DW193" s="27"/>
      <c r="EF193" s="129">
        <v>20.8</v>
      </c>
      <c r="EH193" s="27">
        <v>9.4000000000000021</v>
      </c>
      <c r="EI193" s="27">
        <v>9.4000000000000021</v>
      </c>
      <c r="EJ193" s="27">
        <v>9.4000000000000021</v>
      </c>
      <c r="EK193" s="27">
        <v>9.4000000000000021</v>
      </c>
      <c r="EL193" s="27">
        <v>9.4000000000000021</v>
      </c>
      <c r="EM193" s="27">
        <v>9.4000000000000021</v>
      </c>
      <c r="EN193" s="27">
        <v>9.4000000000000021</v>
      </c>
      <c r="EO193" s="27">
        <v>9.4000000000000021</v>
      </c>
      <c r="EP193" s="27">
        <v>9.4000000000000021</v>
      </c>
      <c r="EQ193" s="129">
        <v>20.8</v>
      </c>
      <c r="ES193" s="27">
        <v>23.199999999999989</v>
      </c>
      <c r="ET193" s="27">
        <v>23.199999999999989</v>
      </c>
      <c r="EU193" s="27">
        <v>23.199999999999989</v>
      </c>
      <c r="EV193" s="27">
        <v>23.199999999999989</v>
      </c>
      <c r="EW193" s="27">
        <v>23.199999999999989</v>
      </c>
      <c r="EX193" s="27">
        <v>23.199999999999989</v>
      </c>
      <c r="EY193" s="27">
        <v>23.199999999999989</v>
      </c>
      <c r="EZ193" s="27">
        <v>23.199999999999989</v>
      </c>
      <c r="FA193" s="27">
        <v>23.199999999999989</v>
      </c>
      <c r="FB193" s="129">
        <v>20.8</v>
      </c>
      <c r="FD193" s="27">
        <v>24.199999999999989</v>
      </c>
      <c r="FE193" s="27">
        <v>24.199999999999989</v>
      </c>
      <c r="FF193" s="27">
        <v>24.199999999999989</v>
      </c>
      <c r="FG193" s="27">
        <v>24.199999999999989</v>
      </c>
      <c r="FH193" s="27">
        <v>24.199999999999989</v>
      </c>
      <c r="FI193" s="27">
        <v>24.199999999999989</v>
      </c>
      <c r="FJ193" s="27">
        <v>24.199999999999989</v>
      </c>
      <c r="FK193" s="27">
        <v>24.199999999999989</v>
      </c>
      <c r="FL193" s="27">
        <v>24.199999999999989</v>
      </c>
      <c r="FM193" s="129">
        <v>20.8</v>
      </c>
      <c r="FO193" s="27">
        <v>38.199999999999989</v>
      </c>
      <c r="FP193" s="27">
        <v>38.199999999999989</v>
      </c>
      <c r="FQ193" s="27">
        <v>38.199999999999989</v>
      </c>
      <c r="FR193" s="27">
        <v>38.199999999999989</v>
      </c>
      <c r="FS193" s="27">
        <v>38.199999999999989</v>
      </c>
      <c r="FT193" s="27">
        <v>38.199999999999989</v>
      </c>
      <c r="FU193" s="27">
        <v>38.199999999999989</v>
      </c>
      <c r="FV193" s="27">
        <v>38.199999999999989</v>
      </c>
      <c r="FW193" s="27">
        <v>38.199999999999989</v>
      </c>
      <c r="FX193" s="129">
        <v>20.8</v>
      </c>
      <c r="FZ193" s="27">
        <v>38.199999999999989</v>
      </c>
      <c r="GA193" s="27">
        <v>38.199999999999989</v>
      </c>
      <c r="GB193" s="27">
        <v>38.199999999999989</v>
      </c>
      <c r="GC193" s="27">
        <v>38.199999999999989</v>
      </c>
      <c r="GD193" s="27">
        <v>38.199999999999989</v>
      </c>
      <c r="GE193" s="27">
        <v>38.199999999999989</v>
      </c>
      <c r="GF193" s="27">
        <v>38.199999999999989</v>
      </c>
      <c r="GG193" s="27">
        <v>38.199999999999989</v>
      </c>
      <c r="GH193" s="27">
        <v>38.199999999999989</v>
      </c>
      <c r="GI193" s="129">
        <v>20.8</v>
      </c>
      <c r="GJ193" s="27"/>
      <c r="GK193" s="27">
        <v>9</v>
      </c>
      <c r="GL193" s="27">
        <v>9</v>
      </c>
      <c r="GM193" s="27">
        <v>9</v>
      </c>
      <c r="GN193" s="27">
        <v>9</v>
      </c>
      <c r="GO193" s="27">
        <v>9</v>
      </c>
      <c r="GP193" s="27">
        <v>9</v>
      </c>
      <c r="GQ193" s="27">
        <v>9</v>
      </c>
      <c r="GR193" s="27">
        <v>9</v>
      </c>
      <c r="GS193" s="27">
        <v>9</v>
      </c>
      <c r="GT193" s="129">
        <v>20.8</v>
      </c>
      <c r="GV193" s="27">
        <v>11</v>
      </c>
      <c r="GW193" s="27">
        <v>11</v>
      </c>
      <c r="GX193" s="27">
        <v>11</v>
      </c>
      <c r="GY193" s="27">
        <v>11</v>
      </c>
      <c r="GZ193" s="27">
        <v>11</v>
      </c>
      <c r="HA193" s="27">
        <v>11</v>
      </c>
      <c r="HB193" s="27">
        <v>11</v>
      </c>
      <c r="HC193" s="27">
        <v>11</v>
      </c>
      <c r="HD193" s="27">
        <v>11</v>
      </c>
      <c r="HE193" s="129">
        <v>20.8</v>
      </c>
      <c r="HG193" s="27">
        <v>15.200000000000003</v>
      </c>
      <c r="HH193" s="27">
        <v>15.200000000000003</v>
      </c>
      <c r="HI193" s="27">
        <v>15.200000000000003</v>
      </c>
      <c r="HJ193" s="27">
        <v>15.200000000000003</v>
      </c>
      <c r="HK193" s="27">
        <v>15.200000000000003</v>
      </c>
      <c r="HL193" s="27">
        <v>15.200000000000003</v>
      </c>
      <c r="HM193" s="27">
        <v>15.200000000000003</v>
      </c>
      <c r="HN193" s="27">
        <v>15.200000000000003</v>
      </c>
      <c r="HO193" s="27">
        <v>15.200000000000003</v>
      </c>
      <c r="HP193" s="129">
        <v>20.8</v>
      </c>
      <c r="HR193" s="27">
        <v>15.200000000000003</v>
      </c>
      <c r="HS193" s="27">
        <v>15.200000000000003</v>
      </c>
      <c r="HT193" s="27">
        <v>15.200000000000003</v>
      </c>
      <c r="HU193" s="27">
        <v>15.200000000000003</v>
      </c>
      <c r="HV193" s="27">
        <v>15.200000000000003</v>
      </c>
      <c r="HW193" s="27">
        <v>15.200000000000003</v>
      </c>
      <c r="HX193" s="27">
        <v>15.200000000000003</v>
      </c>
      <c r="HY193" s="27">
        <v>15.200000000000003</v>
      </c>
      <c r="HZ193" s="27">
        <v>15.200000000000003</v>
      </c>
      <c r="IA193" s="129">
        <v>20.8</v>
      </c>
    </row>
    <row r="194" spans="15:235" ht="3" customHeight="1">
      <c r="O194" s="17"/>
      <c r="P194" s="17"/>
      <c r="Q194" s="17"/>
      <c r="R194" s="17"/>
      <c r="S194" s="17"/>
      <c r="T194" s="17"/>
      <c r="U194" s="17"/>
      <c r="V194" s="17"/>
      <c r="W194" s="17"/>
      <c r="X194" s="129">
        <v>18.899999999999999</v>
      </c>
      <c r="Y194" s="27"/>
      <c r="Z194" s="129">
        <v>5.1000000000000032</v>
      </c>
      <c r="AA194" s="129">
        <v>5.1000000000000032</v>
      </c>
      <c r="AB194" s="129">
        <v>5.1000000000000032</v>
      </c>
      <c r="AC194" s="129">
        <v>5.1000000000000032</v>
      </c>
      <c r="AD194" s="129">
        <v>5.1000000000000032</v>
      </c>
      <c r="AE194" s="129">
        <v>5.1000000000000032</v>
      </c>
      <c r="AF194" s="129">
        <v>5.1000000000000032</v>
      </c>
      <c r="AG194" s="129">
        <v>5.1000000000000032</v>
      </c>
      <c r="AH194" s="129">
        <v>5.1000000000000032</v>
      </c>
      <c r="AI194" s="129">
        <v>18.899999999999999</v>
      </c>
      <c r="AK194" s="129">
        <v>13.299999999999994</v>
      </c>
      <c r="AL194" s="129">
        <v>13.299999999999994</v>
      </c>
      <c r="AM194" s="129">
        <v>13.299999999999994</v>
      </c>
      <c r="AN194" s="129">
        <v>13.299999999999994</v>
      </c>
      <c r="AO194" s="129">
        <v>13.299999999999994</v>
      </c>
      <c r="AP194" s="129">
        <v>13.299999999999994</v>
      </c>
      <c r="AQ194" s="129">
        <v>13.299999999999994</v>
      </c>
      <c r="AR194" s="129">
        <v>13.299999999999994</v>
      </c>
      <c r="AS194" s="129">
        <v>13.299999999999994</v>
      </c>
      <c r="AT194" s="129">
        <v>18.899999999999999</v>
      </c>
      <c r="AV194" s="129">
        <v>18.299999999999994</v>
      </c>
      <c r="AW194" s="129">
        <v>18.299999999999994</v>
      </c>
      <c r="AX194" s="129">
        <v>18.299999999999994</v>
      </c>
      <c r="AY194" s="129">
        <v>18.299999999999994</v>
      </c>
      <c r="AZ194" s="129">
        <v>18.299999999999994</v>
      </c>
      <c r="BA194" s="129">
        <v>18.299999999999994</v>
      </c>
      <c r="BB194" s="129">
        <v>18.299999999999994</v>
      </c>
      <c r="BC194" s="129">
        <v>18.299999999999994</v>
      </c>
      <c r="BD194" s="129">
        <v>18.299999999999994</v>
      </c>
      <c r="BE194" s="129">
        <v>18.899999999999999</v>
      </c>
      <c r="BG194" s="129">
        <v>24.400000000000013</v>
      </c>
      <c r="BH194" s="129">
        <v>24.400000000000013</v>
      </c>
      <c r="BI194" s="129">
        <v>24.400000000000013</v>
      </c>
      <c r="BJ194" s="129">
        <v>24.400000000000013</v>
      </c>
      <c r="BK194" s="129">
        <v>24.400000000000013</v>
      </c>
      <c r="BL194" s="129">
        <v>24.400000000000013</v>
      </c>
      <c r="BM194" s="129">
        <v>24.400000000000013</v>
      </c>
      <c r="BN194" s="129">
        <v>24.400000000000013</v>
      </c>
      <c r="BO194" s="129">
        <v>24.400000000000013</v>
      </c>
      <c r="BP194" s="129">
        <v>18.899999999999999</v>
      </c>
      <c r="BR194" s="129">
        <v>24.400000000000013</v>
      </c>
      <c r="BS194" s="129">
        <v>24.400000000000013</v>
      </c>
      <c r="BT194" s="129">
        <v>24.400000000000013</v>
      </c>
      <c r="BU194" s="129">
        <v>24.400000000000013</v>
      </c>
      <c r="BV194" s="129">
        <v>24.400000000000013</v>
      </c>
      <c r="BW194" s="129">
        <v>24.400000000000013</v>
      </c>
      <c r="BX194" s="129">
        <v>24.400000000000013</v>
      </c>
      <c r="BY194" s="129">
        <v>24.400000000000013</v>
      </c>
      <c r="BZ194" s="129">
        <v>24.400000000000013</v>
      </c>
      <c r="CA194" s="129">
        <v>18.899999999999999</v>
      </c>
      <c r="CC194" s="129">
        <v>10</v>
      </c>
      <c r="CD194" s="129">
        <v>10</v>
      </c>
      <c r="CE194" s="129">
        <v>10</v>
      </c>
      <c r="CF194" s="129">
        <v>10</v>
      </c>
      <c r="CG194" s="129">
        <v>10</v>
      </c>
      <c r="CH194" s="129">
        <v>10</v>
      </c>
      <c r="CI194" s="129">
        <v>10</v>
      </c>
      <c r="CJ194" s="129">
        <v>10</v>
      </c>
      <c r="CK194" s="129">
        <v>10</v>
      </c>
      <c r="CL194" s="129">
        <v>18.899999999999999</v>
      </c>
      <c r="CN194" s="129">
        <v>12.100000000000003</v>
      </c>
      <c r="CO194" s="129">
        <v>12.100000000000003</v>
      </c>
      <c r="CP194" s="129">
        <v>12.100000000000003</v>
      </c>
      <c r="CQ194" s="129">
        <v>12.100000000000003</v>
      </c>
      <c r="CR194" s="129">
        <v>12.100000000000003</v>
      </c>
      <c r="CS194" s="129">
        <v>12.100000000000003</v>
      </c>
      <c r="CT194" s="129">
        <v>12.100000000000003</v>
      </c>
      <c r="CU194" s="129">
        <v>12.100000000000003</v>
      </c>
      <c r="CV194" s="129">
        <v>12.100000000000003</v>
      </c>
      <c r="CW194" s="129">
        <v>18.899999999999999</v>
      </c>
      <c r="CY194" s="129">
        <v>16.099999999999987</v>
      </c>
      <c r="CZ194" s="129">
        <v>16.099999999999987</v>
      </c>
      <c r="DA194" s="129">
        <v>16.099999999999987</v>
      </c>
      <c r="DB194" s="129">
        <v>16.099999999999987</v>
      </c>
      <c r="DC194" s="129">
        <v>16.099999999999987</v>
      </c>
      <c r="DD194" s="129">
        <v>16.099999999999987</v>
      </c>
      <c r="DE194" s="129">
        <v>16.099999999999987</v>
      </c>
      <c r="DF194" s="129">
        <v>16.099999999999987</v>
      </c>
      <c r="DG194" s="129">
        <v>16.099999999999987</v>
      </c>
      <c r="DH194" s="129">
        <v>18.899999999999999</v>
      </c>
      <c r="DJ194" s="129">
        <v>16.099999999999987</v>
      </c>
      <c r="DK194" s="129">
        <v>16.099999999999987</v>
      </c>
      <c r="DL194" s="129">
        <v>16.099999999999987</v>
      </c>
      <c r="DM194" s="129">
        <v>16.099999999999987</v>
      </c>
      <c r="DN194" s="129">
        <v>16.099999999999987</v>
      </c>
      <c r="DO194" s="129">
        <v>16.099999999999987</v>
      </c>
      <c r="DP194" s="129">
        <v>16.099999999999987</v>
      </c>
      <c r="DQ194" s="129">
        <v>16.099999999999987</v>
      </c>
      <c r="DR194" s="129">
        <v>16.099999999999987</v>
      </c>
      <c r="DS194" s="129">
        <v>18.899999999999999</v>
      </c>
      <c r="DW194" s="27"/>
      <c r="EF194" s="129">
        <v>20.9</v>
      </c>
      <c r="EH194" s="27">
        <v>9.1999999999999993</v>
      </c>
      <c r="EI194" s="27">
        <v>9.1999999999999993</v>
      </c>
      <c r="EJ194" s="27">
        <v>9.1999999999999993</v>
      </c>
      <c r="EK194" s="27">
        <v>9.1999999999999993</v>
      </c>
      <c r="EL194" s="27">
        <v>9.1999999999999993</v>
      </c>
      <c r="EM194" s="27">
        <v>9.1999999999999993</v>
      </c>
      <c r="EN194" s="27">
        <v>9.1999999999999993</v>
      </c>
      <c r="EO194" s="27">
        <v>9.1999999999999993</v>
      </c>
      <c r="EP194" s="27">
        <v>9.1999999999999993</v>
      </c>
      <c r="EQ194" s="129">
        <v>20.9</v>
      </c>
      <c r="ES194" s="27">
        <v>23.099999999999987</v>
      </c>
      <c r="ET194" s="27">
        <v>23.099999999999987</v>
      </c>
      <c r="EU194" s="27">
        <v>23.099999999999987</v>
      </c>
      <c r="EV194" s="27">
        <v>23.099999999999987</v>
      </c>
      <c r="EW194" s="27">
        <v>23.099999999999987</v>
      </c>
      <c r="EX194" s="27">
        <v>23.099999999999987</v>
      </c>
      <c r="EY194" s="27">
        <v>23.099999999999987</v>
      </c>
      <c r="EZ194" s="27">
        <v>23.099999999999987</v>
      </c>
      <c r="FA194" s="27">
        <v>23.099999999999987</v>
      </c>
      <c r="FB194" s="129">
        <v>20.9</v>
      </c>
      <c r="FD194" s="27">
        <v>24.099999999999987</v>
      </c>
      <c r="FE194" s="27">
        <v>24.099999999999987</v>
      </c>
      <c r="FF194" s="27">
        <v>24.099999999999987</v>
      </c>
      <c r="FG194" s="27">
        <v>24.099999999999987</v>
      </c>
      <c r="FH194" s="27">
        <v>24.099999999999987</v>
      </c>
      <c r="FI194" s="27">
        <v>24.099999999999987</v>
      </c>
      <c r="FJ194" s="27">
        <v>24.099999999999987</v>
      </c>
      <c r="FK194" s="27">
        <v>24.099999999999987</v>
      </c>
      <c r="FL194" s="27">
        <v>24.099999999999987</v>
      </c>
      <c r="FM194" s="129">
        <v>20.9</v>
      </c>
      <c r="FO194" s="27">
        <v>38.099999999999987</v>
      </c>
      <c r="FP194" s="27">
        <v>38.099999999999987</v>
      </c>
      <c r="FQ194" s="27">
        <v>38.099999999999987</v>
      </c>
      <c r="FR194" s="27">
        <v>38.099999999999987</v>
      </c>
      <c r="FS194" s="27">
        <v>38.099999999999987</v>
      </c>
      <c r="FT194" s="27">
        <v>38.099999999999987</v>
      </c>
      <c r="FU194" s="27">
        <v>38.099999999999987</v>
      </c>
      <c r="FV194" s="27">
        <v>38.099999999999987</v>
      </c>
      <c r="FW194" s="27">
        <v>38.099999999999987</v>
      </c>
      <c r="FX194" s="129">
        <v>20.9</v>
      </c>
      <c r="FZ194" s="27">
        <v>38.099999999999987</v>
      </c>
      <c r="GA194" s="27">
        <v>38.099999999999987</v>
      </c>
      <c r="GB194" s="27">
        <v>38.099999999999987</v>
      </c>
      <c r="GC194" s="27">
        <v>38.099999999999987</v>
      </c>
      <c r="GD194" s="27">
        <v>38.099999999999987</v>
      </c>
      <c r="GE194" s="27">
        <v>38.099999999999987</v>
      </c>
      <c r="GF194" s="27">
        <v>38.099999999999987</v>
      </c>
      <c r="GG194" s="27">
        <v>38.099999999999987</v>
      </c>
      <c r="GH194" s="27">
        <v>38.099999999999987</v>
      </c>
      <c r="GI194" s="129">
        <v>20.9</v>
      </c>
      <c r="GJ194" s="27"/>
      <c r="GK194" s="27">
        <v>9</v>
      </c>
      <c r="GL194" s="27">
        <v>9</v>
      </c>
      <c r="GM194" s="27">
        <v>9</v>
      </c>
      <c r="GN194" s="27">
        <v>9</v>
      </c>
      <c r="GO194" s="27">
        <v>9</v>
      </c>
      <c r="GP194" s="27">
        <v>9</v>
      </c>
      <c r="GQ194" s="27">
        <v>9</v>
      </c>
      <c r="GR194" s="27">
        <v>9</v>
      </c>
      <c r="GS194" s="27">
        <v>9</v>
      </c>
      <c r="GT194" s="129">
        <v>20.9</v>
      </c>
      <c r="GV194" s="27">
        <v>11</v>
      </c>
      <c r="GW194" s="27">
        <v>11</v>
      </c>
      <c r="GX194" s="27">
        <v>11</v>
      </c>
      <c r="GY194" s="27">
        <v>11</v>
      </c>
      <c r="GZ194" s="27">
        <v>11</v>
      </c>
      <c r="HA194" s="27">
        <v>11</v>
      </c>
      <c r="HB194" s="27">
        <v>11</v>
      </c>
      <c r="HC194" s="27">
        <v>11</v>
      </c>
      <c r="HD194" s="27">
        <v>11</v>
      </c>
      <c r="HE194" s="129">
        <v>20.9</v>
      </c>
      <c r="HG194" s="27">
        <v>15.100000000000003</v>
      </c>
      <c r="HH194" s="27">
        <v>15.100000000000003</v>
      </c>
      <c r="HI194" s="27">
        <v>15.100000000000003</v>
      </c>
      <c r="HJ194" s="27">
        <v>15.100000000000003</v>
      </c>
      <c r="HK194" s="27">
        <v>15.100000000000003</v>
      </c>
      <c r="HL194" s="27">
        <v>15.100000000000003</v>
      </c>
      <c r="HM194" s="27">
        <v>15.100000000000003</v>
      </c>
      <c r="HN194" s="27">
        <v>15.100000000000003</v>
      </c>
      <c r="HO194" s="27">
        <v>15.100000000000003</v>
      </c>
      <c r="HP194" s="129">
        <v>20.9</v>
      </c>
      <c r="HR194" s="27">
        <v>15.100000000000003</v>
      </c>
      <c r="HS194" s="27">
        <v>15.100000000000003</v>
      </c>
      <c r="HT194" s="27">
        <v>15.100000000000003</v>
      </c>
      <c r="HU194" s="27">
        <v>15.100000000000003</v>
      </c>
      <c r="HV194" s="27">
        <v>15.100000000000003</v>
      </c>
      <c r="HW194" s="27">
        <v>15.100000000000003</v>
      </c>
      <c r="HX194" s="27">
        <v>15.100000000000003</v>
      </c>
      <c r="HY194" s="27">
        <v>15.100000000000003</v>
      </c>
      <c r="HZ194" s="27">
        <v>15.100000000000003</v>
      </c>
      <c r="IA194" s="129">
        <v>20.9</v>
      </c>
    </row>
    <row r="195" spans="15:235" ht="3" customHeight="1">
      <c r="O195" s="17"/>
      <c r="P195" s="17"/>
      <c r="Q195" s="17"/>
      <c r="R195" s="17"/>
      <c r="S195" s="17"/>
      <c r="T195" s="17"/>
      <c r="U195" s="17"/>
      <c r="V195" s="17"/>
      <c r="W195" s="17"/>
      <c r="X195" s="129">
        <v>19</v>
      </c>
      <c r="Y195" s="27"/>
      <c r="Z195" s="129">
        <v>5</v>
      </c>
      <c r="AA195" s="129">
        <v>5</v>
      </c>
      <c r="AB195" s="129">
        <v>5</v>
      </c>
      <c r="AC195" s="129">
        <v>5</v>
      </c>
      <c r="AD195" s="129">
        <v>5</v>
      </c>
      <c r="AE195" s="129">
        <v>5</v>
      </c>
      <c r="AF195" s="129">
        <v>5</v>
      </c>
      <c r="AG195" s="129">
        <v>5</v>
      </c>
      <c r="AH195" s="129">
        <v>5</v>
      </c>
      <c r="AI195" s="129">
        <v>19</v>
      </c>
      <c r="AK195" s="129">
        <v>13</v>
      </c>
      <c r="AL195" s="129">
        <v>13</v>
      </c>
      <c r="AM195" s="129">
        <v>13</v>
      </c>
      <c r="AN195" s="129">
        <v>13</v>
      </c>
      <c r="AO195" s="129">
        <v>13</v>
      </c>
      <c r="AP195" s="129">
        <v>13</v>
      </c>
      <c r="AQ195" s="129">
        <v>13</v>
      </c>
      <c r="AR195" s="129">
        <v>13</v>
      </c>
      <c r="AS195" s="129">
        <v>13</v>
      </c>
      <c r="AT195" s="129">
        <v>19</v>
      </c>
      <c r="AV195" s="129">
        <v>18</v>
      </c>
      <c r="AW195" s="129">
        <v>18</v>
      </c>
      <c r="AX195" s="129">
        <v>18</v>
      </c>
      <c r="AY195" s="129">
        <v>18</v>
      </c>
      <c r="AZ195" s="129">
        <v>18</v>
      </c>
      <c r="BA195" s="129">
        <v>18</v>
      </c>
      <c r="BB195" s="129">
        <v>18</v>
      </c>
      <c r="BC195" s="129">
        <v>18</v>
      </c>
      <c r="BD195" s="129">
        <v>18</v>
      </c>
      <c r="BE195" s="129">
        <v>19</v>
      </c>
      <c r="BG195" s="129">
        <v>24</v>
      </c>
      <c r="BH195" s="129">
        <v>24</v>
      </c>
      <c r="BI195" s="129">
        <v>24</v>
      </c>
      <c r="BJ195" s="129">
        <v>24</v>
      </c>
      <c r="BK195" s="129">
        <v>24</v>
      </c>
      <c r="BL195" s="129">
        <v>24</v>
      </c>
      <c r="BM195" s="129">
        <v>24</v>
      </c>
      <c r="BN195" s="129">
        <v>24</v>
      </c>
      <c r="BO195" s="129">
        <v>24</v>
      </c>
      <c r="BP195" s="129">
        <v>19</v>
      </c>
      <c r="BR195" s="129">
        <v>24</v>
      </c>
      <c r="BS195" s="129">
        <v>24</v>
      </c>
      <c r="BT195" s="129">
        <v>24</v>
      </c>
      <c r="BU195" s="129">
        <v>24</v>
      </c>
      <c r="BV195" s="129">
        <v>24</v>
      </c>
      <c r="BW195" s="129">
        <v>24</v>
      </c>
      <c r="BX195" s="129">
        <v>24</v>
      </c>
      <c r="BY195" s="129">
        <v>24</v>
      </c>
      <c r="BZ195" s="129">
        <v>24</v>
      </c>
      <c r="CA195" s="129">
        <v>19</v>
      </c>
      <c r="CC195" s="129">
        <v>10</v>
      </c>
      <c r="CD195" s="129">
        <v>10</v>
      </c>
      <c r="CE195" s="129">
        <v>10</v>
      </c>
      <c r="CF195" s="129">
        <v>10</v>
      </c>
      <c r="CG195" s="129">
        <v>10</v>
      </c>
      <c r="CH195" s="129">
        <v>10</v>
      </c>
      <c r="CI195" s="129">
        <v>10</v>
      </c>
      <c r="CJ195" s="129">
        <v>10</v>
      </c>
      <c r="CK195" s="129">
        <v>10</v>
      </c>
      <c r="CL195" s="129">
        <v>19</v>
      </c>
      <c r="CN195" s="129">
        <v>12</v>
      </c>
      <c r="CO195" s="129">
        <v>12</v>
      </c>
      <c r="CP195" s="129">
        <v>12</v>
      </c>
      <c r="CQ195" s="129">
        <v>12</v>
      </c>
      <c r="CR195" s="129">
        <v>12</v>
      </c>
      <c r="CS195" s="129">
        <v>12</v>
      </c>
      <c r="CT195" s="129">
        <v>12</v>
      </c>
      <c r="CU195" s="129">
        <v>12</v>
      </c>
      <c r="CV195" s="129">
        <v>12</v>
      </c>
      <c r="CW195" s="129">
        <v>19</v>
      </c>
      <c r="CY195" s="129">
        <v>16</v>
      </c>
      <c r="CZ195" s="129">
        <v>16</v>
      </c>
      <c r="DA195" s="129">
        <v>16</v>
      </c>
      <c r="DB195" s="129">
        <v>16</v>
      </c>
      <c r="DC195" s="129">
        <v>16</v>
      </c>
      <c r="DD195" s="129">
        <v>16</v>
      </c>
      <c r="DE195" s="129">
        <v>16</v>
      </c>
      <c r="DF195" s="129">
        <v>16</v>
      </c>
      <c r="DG195" s="129">
        <v>16</v>
      </c>
      <c r="DH195" s="129">
        <v>19</v>
      </c>
      <c r="DJ195" s="129">
        <v>16</v>
      </c>
      <c r="DK195" s="129">
        <v>16</v>
      </c>
      <c r="DL195" s="129">
        <v>16</v>
      </c>
      <c r="DM195" s="129">
        <v>16</v>
      </c>
      <c r="DN195" s="129">
        <v>16</v>
      </c>
      <c r="DO195" s="129">
        <v>16</v>
      </c>
      <c r="DP195" s="129">
        <v>16</v>
      </c>
      <c r="DQ195" s="129">
        <v>16</v>
      </c>
      <c r="DR195" s="129">
        <v>16</v>
      </c>
      <c r="DS195" s="129">
        <v>19</v>
      </c>
      <c r="DW195" s="27"/>
      <c r="EF195" s="129">
        <v>21</v>
      </c>
      <c r="EH195" s="27">
        <v>9</v>
      </c>
      <c r="EI195" s="27">
        <v>9</v>
      </c>
      <c r="EJ195" s="27">
        <v>9</v>
      </c>
      <c r="EK195" s="27">
        <v>9</v>
      </c>
      <c r="EL195" s="27">
        <v>9</v>
      </c>
      <c r="EM195" s="27">
        <v>9</v>
      </c>
      <c r="EN195" s="27">
        <v>9</v>
      </c>
      <c r="EO195" s="27">
        <v>9</v>
      </c>
      <c r="EP195" s="27">
        <v>9</v>
      </c>
      <c r="EQ195" s="129">
        <v>21</v>
      </c>
      <c r="ES195" s="27">
        <v>23</v>
      </c>
      <c r="ET195" s="27">
        <v>23</v>
      </c>
      <c r="EU195" s="27">
        <v>23</v>
      </c>
      <c r="EV195" s="27">
        <v>23</v>
      </c>
      <c r="EW195" s="27">
        <v>23</v>
      </c>
      <c r="EX195" s="27">
        <v>23</v>
      </c>
      <c r="EY195" s="27">
        <v>23</v>
      </c>
      <c r="EZ195" s="27">
        <v>23</v>
      </c>
      <c r="FA195" s="27">
        <v>23</v>
      </c>
      <c r="FB195" s="129">
        <v>21</v>
      </c>
      <c r="FD195" s="27">
        <v>24</v>
      </c>
      <c r="FE195" s="27">
        <v>24</v>
      </c>
      <c r="FF195" s="27">
        <v>24</v>
      </c>
      <c r="FG195" s="27">
        <v>24</v>
      </c>
      <c r="FH195" s="27">
        <v>24</v>
      </c>
      <c r="FI195" s="27">
        <v>24</v>
      </c>
      <c r="FJ195" s="27">
        <v>24</v>
      </c>
      <c r="FK195" s="27">
        <v>24</v>
      </c>
      <c r="FL195" s="27">
        <v>24</v>
      </c>
      <c r="FM195" s="129">
        <v>21</v>
      </c>
      <c r="FO195" s="27">
        <v>38</v>
      </c>
      <c r="FP195" s="27">
        <v>38</v>
      </c>
      <c r="FQ195" s="27">
        <v>38</v>
      </c>
      <c r="FR195" s="27">
        <v>38</v>
      </c>
      <c r="FS195" s="27">
        <v>38</v>
      </c>
      <c r="FT195" s="27">
        <v>38</v>
      </c>
      <c r="FU195" s="27">
        <v>38</v>
      </c>
      <c r="FV195" s="27">
        <v>38</v>
      </c>
      <c r="FW195" s="27">
        <v>38</v>
      </c>
      <c r="FX195" s="129">
        <v>21</v>
      </c>
      <c r="FZ195" s="27">
        <v>38</v>
      </c>
      <c r="GA195" s="27">
        <v>38</v>
      </c>
      <c r="GB195" s="27">
        <v>38</v>
      </c>
      <c r="GC195" s="27">
        <v>38</v>
      </c>
      <c r="GD195" s="27">
        <v>38</v>
      </c>
      <c r="GE195" s="27">
        <v>38</v>
      </c>
      <c r="GF195" s="27">
        <v>38</v>
      </c>
      <c r="GG195" s="27">
        <v>38</v>
      </c>
      <c r="GH195" s="27">
        <v>38</v>
      </c>
      <c r="GI195" s="129">
        <v>21</v>
      </c>
      <c r="GJ195" s="27"/>
      <c r="GK195" s="27">
        <v>9</v>
      </c>
      <c r="GL195" s="27">
        <v>9</v>
      </c>
      <c r="GM195" s="27">
        <v>9</v>
      </c>
      <c r="GN195" s="27">
        <v>9</v>
      </c>
      <c r="GO195" s="27">
        <v>9</v>
      </c>
      <c r="GP195" s="27">
        <v>9</v>
      </c>
      <c r="GQ195" s="27">
        <v>9</v>
      </c>
      <c r="GR195" s="27">
        <v>9</v>
      </c>
      <c r="GS195" s="27">
        <v>9</v>
      </c>
      <c r="GT195" s="129">
        <v>21</v>
      </c>
      <c r="GV195" s="27">
        <v>11</v>
      </c>
      <c r="GW195" s="27">
        <v>11</v>
      </c>
      <c r="GX195" s="27">
        <v>11</v>
      </c>
      <c r="GY195" s="27">
        <v>11</v>
      </c>
      <c r="GZ195" s="27">
        <v>11</v>
      </c>
      <c r="HA195" s="27">
        <v>11</v>
      </c>
      <c r="HB195" s="27">
        <v>11</v>
      </c>
      <c r="HC195" s="27">
        <v>11</v>
      </c>
      <c r="HD195" s="27">
        <v>11</v>
      </c>
      <c r="HE195" s="129">
        <v>21</v>
      </c>
      <c r="HG195" s="27">
        <v>15</v>
      </c>
      <c r="HH195" s="27">
        <v>15</v>
      </c>
      <c r="HI195" s="27">
        <v>15</v>
      </c>
      <c r="HJ195" s="27">
        <v>15</v>
      </c>
      <c r="HK195" s="27">
        <v>15</v>
      </c>
      <c r="HL195" s="27">
        <v>15</v>
      </c>
      <c r="HM195" s="27">
        <v>15</v>
      </c>
      <c r="HN195" s="27">
        <v>15</v>
      </c>
      <c r="HO195" s="27">
        <v>15</v>
      </c>
      <c r="HP195" s="129">
        <v>21</v>
      </c>
      <c r="HR195" s="27">
        <v>15</v>
      </c>
      <c r="HS195" s="27">
        <v>15</v>
      </c>
      <c r="HT195" s="27">
        <v>15</v>
      </c>
      <c r="HU195" s="27">
        <v>15</v>
      </c>
      <c r="HV195" s="27">
        <v>15</v>
      </c>
      <c r="HW195" s="27">
        <v>15</v>
      </c>
      <c r="HX195" s="27">
        <v>15</v>
      </c>
      <c r="HY195" s="27">
        <v>15</v>
      </c>
      <c r="HZ195" s="27">
        <v>15</v>
      </c>
      <c r="IA195" s="129">
        <v>21</v>
      </c>
    </row>
    <row r="196" spans="15:235">
      <c r="O196" s="17"/>
      <c r="P196" s="17"/>
      <c r="Q196" s="17"/>
      <c r="R196" s="17"/>
      <c r="S196" s="17"/>
      <c r="T196" s="17"/>
      <c r="U196" s="17"/>
      <c r="V196" s="17"/>
      <c r="W196" s="17"/>
      <c r="X196" s="129">
        <v>19.100000000000001</v>
      </c>
      <c r="Y196" s="27"/>
      <c r="AI196" s="129">
        <v>19.100000000000001</v>
      </c>
      <c r="AK196" s="129">
        <v>12.8</v>
      </c>
      <c r="AL196" s="129">
        <v>12.8</v>
      </c>
      <c r="AM196" s="129">
        <v>12.8</v>
      </c>
      <c r="AN196" s="129">
        <v>12.8</v>
      </c>
      <c r="AO196" s="129">
        <v>12.8</v>
      </c>
      <c r="AP196" s="129">
        <v>12.8</v>
      </c>
      <c r="AQ196" s="129">
        <v>12.8</v>
      </c>
      <c r="AR196" s="129">
        <v>12.8</v>
      </c>
      <c r="AS196" s="129">
        <v>12.8</v>
      </c>
      <c r="AT196" s="129">
        <v>19.100000000000001</v>
      </c>
      <c r="AV196" s="129">
        <v>17.7</v>
      </c>
      <c r="AW196" s="129">
        <v>17.7</v>
      </c>
      <c r="AX196" s="129">
        <v>17.7</v>
      </c>
      <c r="AY196" s="129">
        <v>17.7</v>
      </c>
      <c r="AZ196" s="129">
        <v>17.7</v>
      </c>
      <c r="BA196" s="129">
        <v>17.7</v>
      </c>
      <c r="BB196" s="129">
        <v>17.7</v>
      </c>
      <c r="BC196" s="129">
        <v>17.7</v>
      </c>
      <c r="BD196" s="129">
        <v>17.7</v>
      </c>
      <c r="BE196" s="129">
        <v>19.100000000000001</v>
      </c>
      <c r="BG196" s="129">
        <v>23.7</v>
      </c>
      <c r="BH196" s="129">
        <v>23.7</v>
      </c>
      <c r="BI196" s="129">
        <v>23.7</v>
      </c>
      <c r="BJ196" s="129">
        <v>23.7</v>
      </c>
      <c r="BK196" s="129">
        <v>23.7</v>
      </c>
      <c r="BL196" s="129">
        <v>23.7</v>
      </c>
      <c r="BM196" s="129">
        <v>23.7</v>
      </c>
      <c r="BN196" s="129">
        <v>23.7</v>
      </c>
      <c r="BO196" s="129">
        <v>23.7</v>
      </c>
      <c r="BP196" s="129">
        <v>19.100000000000001</v>
      </c>
      <c r="BR196" s="129">
        <v>23.7</v>
      </c>
      <c r="BS196" s="129">
        <v>23.7</v>
      </c>
      <c r="BT196" s="129">
        <v>23.7</v>
      </c>
      <c r="BU196" s="129">
        <v>23.7</v>
      </c>
      <c r="BV196" s="129">
        <v>23.7</v>
      </c>
      <c r="BW196" s="129">
        <v>23.7</v>
      </c>
      <c r="BX196" s="129">
        <v>23.7</v>
      </c>
      <c r="BY196" s="129">
        <v>23.7</v>
      </c>
      <c r="BZ196" s="129">
        <v>23.7</v>
      </c>
      <c r="CA196" s="129">
        <v>19.100000000000001</v>
      </c>
      <c r="CC196" s="129">
        <v>9.9</v>
      </c>
      <c r="CD196" s="129">
        <v>9.9</v>
      </c>
      <c r="CE196" s="129">
        <v>9.9</v>
      </c>
      <c r="CF196" s="129">
        <v>9.9</v>
      </c>
      <c r="CG196" s="129">
        <v>9.9</v>
      </c>
      <c r="CH196" s="129">
        <v>9.9</v>
      </c>
      <c r="CI196" s="129">
        <v>9.9</v>
      </c>
      <c r="CJ196" s="129">
        <v>9.9</v>
      </c>
      <c r="CK196" s="129">
        <v>9.9</v>
      </c>
      <c r="CL196" s="129">
        <v>19.100000000000001</v>
      </c>
      <c r="CN196" s="129">
        <v>11.9</v>
      </c>
      <c r="CO196" s="129">
        <v>11.9</v>
      </c>
      <c r="CP196" s="129">
        <v>11.9</v>
      </c>
      <c r="CQ196" s="129">
        <v>11.9</v>
      </c>
      <c r="CR196" s="129">
        <v>11.9</v>
      </c>
      <c r="CS196" s="129">
        <v>11.9</v>
      </c>
      <c r="CT196" s="129">
        <v>11.9</v>
      </c>
      <c r="CU196" s="129">
        <v>11.9</v>
      </c>
      <c r="CV196" s="129">
        <v>11.9</v>
      </c>
      <c r="CW196" s="129">
        <v>19.100000000000001</v>
      </c>
      <c r="CY196" s="129">
        <v>16</v>
      </c>
      <c r="CZ196" s="129">
        <v>16</v>
      </c>
      <c r="DA196" s="129">
        <v>16</v>
      </c>
      <c r="DB196" s="129">
        <v>16</v>
      </c>
      <c r="DC196" s="129">
        <v>16</v>
      </c>
      <c r="DD196" s="129">
        <v>16</v>
      </c>
      <c r="DE196" s="129">
        <v>16</v>
      </c>
      <c r="DF196" s="129">
        <v>16</v>
      </c>
      <c r="DG196" s="129">
        <v>16</v>
      </c>
      <c r="DH196" s="129">
        <v>19.100000000000001</v>
      </c>
      <c r="DJ196" s="129">
        <v>16</v>
      </c>
      <c r="DK196" s="129">
        <v>16</v>
      </c>
      <c r="DL196" s="129">
        <v>16</v>
      </c>
      <c r="DM196" s="129">
        <v>16</v>
      </c>
      <c r="DN196" s="129">
        <v>16</v>
      </c>
      <c r="DO196" s="129">
        <v>16</v>
      </c>
      <c r="DP196" s="129">
        <v>16</v>
      </c>
      <c r="DQ196" s="129">
        <v>16</v>
      </c>
      <c r="DR196" s="129">
        <v>16</v>
      </c>
      <c r="DS196" s="129">
        <v>19.100000000000001</v>
      </c>
      <c r="DW196" s="27"/>
      <c r="EF196" s="129">
        <v>21.1</v>
      </c>
      <c r="EH196" s="27">
        <v>8.9</v>
      </c>
      <c r="EI196" s="27">
        <v>8.9</v>
      </c>
      <c r="EJ196" s="27">
        <v>8.9</v>
      </c>
      <c r="EK196" s="27">
        <v>8.9</v>
      </c>
      <c r="EL196" s="27">
        <v>8.9</v>
      </c>
      <c r="EM196" s="27">
        <v>8.9</v>
      </c>
      <c r="EN196" s="27">
        <v>8.9</v>
      </c>
      <c r="EO196" s="27">
        <v>8.9</v>
      </c>
      <c r="EP196" s="27">
        <v>8.9</v>
      </c>
      <c r="EQ196" s="129">
        <v>21.1</v>
      </c>
      <c r="ES196" s="27">
        <v>22.8</v>
      </c>
      <c r="ET196" s="27">
        <v>22.8</v>
      </c>
      <c r="EU196" s="27">
        <v>22.8</v>
      </c>
      <c r="EV196" s="27">
        <v>22.8</v>
      </c>
      <c r="EW196" s="27">
        <v>22.8</v>
      </c>
      <c r="EX196" s="27">
        <v>22.8</v>
      </c>
      <c r="EY196" s="27">
        <v>22.8</v>
      </c>
      <c r="EZ196" s="27">
        <v>22.8</v>
      </c>
      <c r="FA196" s="27">
        <v>22.8</v>
      </c>
      <c r="FB196" s="129">
        <v>21.1</v>
      </c>
      <c r="FD196" s="27">
        <v>23.9</v>
      </c>
      <c r="FE196" s="27">
        <v>23.9</v>
      </c>
      <c r="FF196" s="27">
        <v>23.9</v>
      </c>
      <c r="FG196" s="27">
        <v>23.9</v>
      </c>
      <c r="FH196" s="27">
        <v>23.9</v>
      </c>
      <c r="FI196" s="27">
        <v>23.9</v>
      </c>
      <c r="FJ196" s="27">
        <v>23.9</v>
      </c>
      <c r="FK196" s="27">
        <v>23.9</v>
      </c>
      <c r="FL196" s="27">
        <v>23.9</v>
      </c>
      <c r="FM196" s="129">
        <v>21.1</v>
      </c>
      <c r="FO196" s="27">
        <v>37.799999999999997</v>
      </c>
      <c r="FP196" s="27">
        <v>37.799999999999997</v>
      </c>
      <c r="FQ196" s="27">
        <v>37.799999999999997</v>
      </c>
      <c r="FR196" s="27">
        <v>37.799999999999997</v>
      </c>
      <c r="FS196" s="27">
        <v>37.799999999999997</v>
      </c>
      <c r="FT196" s="27">
        <v>37.799999999999997</v>
      </c>
      <c r="FU196" s="27">
        <v>37.799999999999997</v>
      </c>
      <c r="FV196" s="27">
        <v>37.799999999999997</v>
      </c>
      <c r="FW196" s="27">
        <v>37.799999999999997</v>
      </c>
      <c r="FX196" s="129">
        <v>21.1</v>
      </c>
      <c r="FZ196" s="27">
        <v>37.799999999999997</v>
      </c>
      <c r="GA196" s="27">
        <v>37.799999999999997</v>
      </c>
      <c r="GB196" s="27">
        <v>37.799999999999997</v>
      </c>
      <c r="GC196" s="27">
        <v>37.799999999999997</v>
      </c>
      <c r="GD196" s="27">
        <v>37.799999999999997</v>
      </c>
      <c r="GE196" s="27">
        <v>37.799999999999997</v>
      </c>
      <c r="GF196" s="27">
        <v>37.799999999999997</v>
      </c>
      <c r="GG196" s="27">
        <v>37.799999999999997</v>
      </c>
      <c r="GH196" s="27">
        <v>37.799999999999997</v>
      </c>
      <c r="GI196" s="129">
        <v>21.1</v>
      </c>
      <c r="GJ196" s="27"/>
      <c r="GK196" s="27">
        <v>9</v>
      </c>
      <c r="GL196" s="27">
        <v>9</v>
      </c>
      <c r="GM196" s="27">
        <v>9</v>
      </c>
      <c r="GN196" s="27">
        <v>9</v>
      </c>
      <c r="GO196" s="27">
        <v>9</v>
      </c>
      <c r="GP196" s="27">
        <v>9</v>
      </c>
      <c r="GQ196" s="27">
        <v>9</v>
      </c>
      <c r="GR196" s="27">
        <v>9</v>
      </c>
      <c r="GS196" s="27">
        <v>9</v>
      </c>
      <c r="GT196" s="129">
        <v>21.1</v>
      </c>
      <c r="GV196" s="27">
        <v>10.9</v>
      </c>
      <c r="GW196" s="27">
        <v>10.9</v>
      </c>
      <c r="GX196" s="27">
        <v>10.9</v>
      </c>
      <c r="GY196" s="27">
        <v>10.9</v>
      </c>
      <c r="GZ196" s="27">
        <v>10.9</v>
      </c>
      <c r="HA196" s="27">
        <v>10.9</v>
      </c>
      <c r="HB196" s="27">
        <v>10.9</v>
      </c>
      <c r="HC196" s="27">
        <v>10.9</v>
      </c>
      <c r="HD196" s="27">
        <v>10.9</v>
      </c>
      <c r="HE196" s="129">
        <v>21.1</v>
      </c>
      <c r="HG196" s="27">
        <v>14.9</v>
      </c>
      <c r="HH196" s="27">
        <v>14.9</v>
      </c>
      <c r="HI196" s="27">
        <v>14.9</v>
      </c>
      <c r="HJ196" s="27">
        <v>14.9</v>
      </c>
      <c r="HK196" s="27">
        <v>14.9</v>
      </c>
      <c r="HL196" s="27">
        <v>14.9</v>
      </c>
      <c r="HM196" s="27">
        <v>14.9</v>
      </c>
      <c r="HN196" s="27">
        <v>14.9</v>
      </c>
      <c r="HO196" s="27">
        <v>14.9</v>
      </c>
      <c r="HP196" s="129">
        <v>21.1</v>
      </c>
      <c r="HR196" s="27">
        <v>14.9</v>
      </c>
      <c r="HS196" s="27">
        <v>14.9</v>
      </c>
      <c r="HT196" s="27">
        <v>14.9</v>
      </c>
      <c r="HU196" s="27">
        <v>14.9</v>
      </c>
      <c r="HV196" s="27">
        <v>14.9</v>
      </c>
      <c r="HW196" s="27">
        <v>14.9</v>
      </c>
      <c r="HX196" s="27">
        <v>14.9</v>
      </c>
      <c r="HY196" s="27">
        <v>14.9</v>
      </c>
      <c r="HZ196" s="27">
        <v>14.9</v>
      </c>
      <c r="IA196" s="129">
        <v>21.1</v>
      </c>
    </row>
    <row r="197" spans="15:235" ht="3" customHeight="1">
      <c r="O197" s="17"/>
      <c r="P197" s="17"/>
      <c r="Q197" s="17"/>
      <c r="R197" s="17"/>
      <c r="S197" s="17"/>
      <c r="T197" s="17"/>
      <c r="U197" s="17"/>
      <c r="V197" s="17"/>
      <c r="W197" s="17"/>
      <c r="X197" s="129">
        <v>19.2</v>
      </c>
      <c r="Y197" s="27"/>
      <c r="AI197" s="129">
        <v>19.2</v>
      </c>
      <c r="AK197" s="129">
        <v>12.600000000000001</v>
      </c>
      <c r="AL197" s="129">
        <v>12.600000000000001</v>
      </c>
      <c r="AM197" s="129">
        <v>12.600000000000001</v>
      </c>
      <c r="AN197" s="129">
        <v>12.600000000000001</v>
      </c>
      <c r="AO197" s="129">
        <v>12.600000000000001</v>
      </c>
      <c r="AP197" s="129">
        <v>12.600000000000001</v>
      </c>
      <c r="AQ197" s="129">
        <v>12.600000000000001</v>
      </c>
      <c r="AR197" s="129">
        <v>12.600000000000001</v>
      </c>
      <c r="AS197" s="129">
        <v>12.600000000000001</v>
      </c>
      <c r="AT197" s="129">
        <v>19.2</v>
      </c>
      <c r="AV197" s="129">
        <v>17.399999999999999</v>
      </c>
      <c r="AW197" s="129">
        <v>17.399999999999999</v>
      </c>
      <c r="AX197" s="129">
        <v>17.399999999999999</v>
      </c>
      <c r="AY197" s="129">
        <v>17.399999999999999</v>
      </c>
      <c r="AZ197" s="129">
        <v>17.399999999999999</v>
      </c>
      <c r="BA197" s="129">
        <v>17.399999999999999</v>
      </c>
      <c r="BB197" s="129">
        <v>17.399999999999999</v>
      </c>
      <c r="BC197" s="129">
        <v>17.399999999999999</v>
      </c>
      <c r="BD197" s="129">
        <v>17.399999999999999</v>
      </c>
      <c r="BE197" s="129">
        <v>19.2</v>
      </c>
      <c r="BG197" s="129">
        <v>23.4</v>
      </c>
      <c r="BH197" s="129">
        <v>23.4</v>
      </c>
      <c r="BI197" s="129">
        <v>23.4</v>
      </c>
      <c r="BJ197" s="129">
        <v>23.4</v>
      </c>
      <c r="BK197" s="129">
        <v>23.4</v>
      </c>
      <c r="BL197" s="129">
        <v>23.4</v>
      </c>
      <c r="BM197" s="129">
        <v>23.4</v>
      </c>
      <c r="BN197" s="129">
        <v>23.4</v>
      </c>
      <c r="BO197" s="129">
        <v>23.4</v>
      </c>
      <c r="BP197" s="129">
        <v>19.2</v>
      </c>
      <c r="BR197" s="129">
        <v>23.4</v>
      </c>
      <c r="BS197" s="129">
        <v>23.4</v>
      </c>
      <c r="BT197" s="129">
        <v>23.4</v>
      </c>
      <c r="BU197" s="129">
        <v>23.4</v>
      </c>
      <c r="BV197" s="129">
        <v>23.4</v>
      </c>
      <c r="BW197" s="129">
        <v>23.4</v>
      </c>
      <c r="BX197" s="129">
        <v>23.4</v>
      </c>
      <c r="BY197" s="129">
        <v>23.4</v>
      </c>
      <c r="BZ197" s="129">
        <v>23.4</v>
      </c>
      <c r="CA197" s="129">
        <v>19.2</v>
      </c>
      <c r="CC197" s="129">
        <v>9.8000000000000007</v>
      </c>
      <c r="CD197" s="129">
        <v>9.8000000000000007</v>
      </c>
      <c r="CE197" s="129">
        <v>9.8000000000000007</v>
      </c>
      <c r="CF197" s="129">
        <v>9.8000000000000007</v>
      </c>
      <c r="CG197" s="129">
        <v>9.8000000000000007</v>
      </c>
      <c r="CH197" s="129">
        <v>9.8000000000000007</v>
      </c>
      <c r="CI197" s="129">
        <v>9.8000000000000007</v>
      </c>
      <c r="CJ197" s="129">
        <v>9.8000000000000007</v>
      </c>
      <c r="CK197" s="129">
        <v>9.8000000000000007</v>
      </c>
      <c r="CL197" s="129">
        <v>19.2</v>
      </c>
      <c r="CN197" s="129">
        <v>11.8</v>
      </c>
      <c r="CO197" s="129">
        <v>11.8</v>
      </c>
      <c r="CP197" s="129">
        <v>11.8</v>
      </c>
      <c r="CQ197" s="129">
        <v>11.8</v>
      </c>
      <c r="CR197" s="129">
        <v>11.8</v>
      </c>
      <c r="CS197" s="129">
        <v>11.8</v>
      </c>
      <c r="CT197" s="129">
        <v>11.8</v>
      </c>
      <c r="CU197" s="129">
        <v>11.8</v>
      </c>
      <c r="CV197" s="129">
        <v>11.8</v>
      </c>
      <c r="CW197" s="129">
        <v>19.2</v>
      </c>
      <c r="CY197" s="129">
        <v>16</v>
      </c>
      <c r="CZ197" s="129">
        <v>16</v>
      </c>
      <c r="DA197" s="129">
        <v>16</v>
      </c>
      <c r="DB197" s="129">
        <v>16</v>
      </c>
      <c r="DC197" s="129">
        <v>16</v>
      </c>
      <c r="DD197" s="129">
        <v>16</v>
      </c>
      <c r="DE197" s="129">
        <v>16</v>
      </c>
      <c r="DF197" s="129">
        <v>16</v>
      </c>
      <c r="DG197" s="129">
        <v>16</v>
      </c>
      <c r="DH197" s="129">
        <v>19.2</v>
      </c>
      <c r="DJ197" s="129">
        <v>16</v>
      </c>
      <c r="DK197" s="129">
        <v>16</v>
      </c>
      <c r="DL197" s="129">
        <v>16</v>
      </c>
      <c r="DM197" s="129">
        <v>16</v>
      </c>
      <c r="DN197" s="129">
        <v>16</v>
      </c>
      <c r="DO197" s="129">
        <v>16</v>
      </c>
      <c r="DP197" s="129">
        <v>16</v>
      </c>
      <c r="DQ197" s="129">
        <v>16</v>
      </c>
      <c r="DR197" s="129">
        <v>16</v>
      </c>
      <c r="DS197" s="129">
        <v>19.2</v>
      </c>
      <c r="DW197" s="27"/>
      <c r="EF197" s="129">
        <v>21.2</v>
      </c>
      <c r="EH197" s="27">
        <v>8.8000000000000007</v>
      </c>
      <c r="EI197" s="27">
        <v>8.8000000000000007</v>
      </c>
      <c r="EJ197" s="27">
        <v>8.8000000000000007</v>
      </c>
      <c r="EK197" s="27">
        <v>8.8000000000000007</v>
      </c>
      <c r="EL197" s="27">
        <v>8.8000000000000007</v>
      </c>
      <c r="EM197" s="27">
        <v>8.8000000000000007</v>
      </c>
      <c r="EN197" s="27">
        <v>8.8000000000000007</v>
      </c>
      <c r="EO197" s="27">
        <v>8.8000000000000007</v>
      </c>
      <c r="EP197" s="27">
        <v>8.8000000000000007</v>
      </c>
      <c r="EQ197" s="129">
        <v>21.2</v>
      </c>
      <c r="ES197" s="27">
        <v>22.6</v>
      </c>
      <c r="ET197" s="27">
        <v>22.6</v>
      </c>
      <c r="EU197" s="27">
        <v>22.6</v>
      </c>
      <c r="EV197" s="27">
        <v>22.6</v>
      </c>
      <c r="EW197" s="27">
        <v>22.6</v>
      </c>
      <c r="EX197" s="27">
        <v>22.6</v>
      </c>
      <c r="EY197" s="27">
        <v>22.6</v>
      </c>
      <c r="EZ197" s="27">
        <v>22.6</v>
      </c>
      <c r="FA197" s="27">
        <v>22.6</v>
      </c>
      <c r="FB197" s="129">
        <v>21.2</v>
      </c>
      <c r="FD197" s="27">
        <v>23.799999999999997</v>
      </c>
      <c r="FE197" s="27">
        <v>23.799999999999997</v>
      </c>
      <c r="FF197" s="27">
        <v>23.799999999999997</v>
      </c>
      <c r="FG197" s="27">
        <v>23.799999999999997</v>
      </c>
      <c r="FH197" s="27">
        <v>23.799999999999997</v>
      </c>
      <c r="FI197" s="27">
        <v>23.799999999999997</v>
      </c>
      <c r="FJ197" s="27">
        <v>23.799999999999997</v>
      </c>
      <c r="FK197" s="27">
        <v>23.799999999999997</v>
      </c>
      <c r="FL197" s="27">
        <v>23.799999999999997</v>
      </c>
      <c r="FM197" s="129">
        <v>21.2</v>
      </c>
      <c r="FO197" s="27">
        <v>37.599999999999994</v>
      </c>
      <c r="FP197" s="27">
        <v>37.599999999999994</v>
      </c>
      <c r="FQ197" s="27">
        <v>37.599999999999994</v>
      </c>
      <c r="FR197" s="27">
        <v>37.599999999999994</v>
      </c>
      <c r="FS197" s="27">
        <v>37.599999999999994</v>
      </c>
      <c r="FT197" s="27">
        <v>37.599999999999994</v>
      </c>
      <c r="FU197" s="27">
        <v>37.599999999999994</v>
      </c>
      <c r="FV197" s="27">
        <v>37.599999999999994</v>
      </c>
      <c r="FW197" s="27">
        <v>37.599999999999994</v>
      </c>
      <c r="FX197" s="129">
        <v>21.2</v>
      </c>
      <c r="FZ197" s="27">
        <v>37.599999999999994</v>
      </c>
      <c r="GA197" s="27">
        <v>37.599999999999994</v>
      </c>
      <c r="GB197" s="27">
        <v>37.599999999999994</v>
      </c>
      <c r="GC197" s="27">
        <v>37.599999999999994</v>
      </c>
      <c r="GD197" s="27">
        <v>37.599999999999994</v>
      </c>
      <c r="GE197" s="27">
        <v>37.599999999999994</v>
      </c>
      <c r="GF197" s="27">
        <v>37.599999999999994</v>
      </c>
      <c r="GG197" s="27">
        <v>37.599999999999994</v>
      </c>
      <c r="GH197" s="27">
        <v>37.599999999999994</v>
      </c>
      <c r="GI197" s="129">
        <v>21.2</v>
      </c>
      <c r="GJ197" s="27"/>
      <c r="GK197" s="27">
        <v>9</v>
      </c>
      <c r="GL197" s="27">
        <v>9</v>
      </c>
      <c r="GM197" s="27">
        <v>9</v>
      </c>
      <c r="GN197" s="27">
        <v>9</v>
      </c>
      <c r="GO197" s="27">
        <v>9</v>
      </c>
      <c r="GP197" s="27">
        <v>9</v>
      </c>
      <c r="GQ197" s="27">
        <v>9</v>
      </c>
      <c r="GR197" s="27">
        <v>9</v>
      </c>
      <c r="GS197" s="27">
        <v>9</v>
      </c>
      <c r="GT197" s="129">
        <v>21.2</v>
      </c>
      <c r="GV197" s="27">
        <v>10.8</v>
      </c>
      <c r="GW197" s="27">
        <v>10.8</v>
      </c>
      <c r="GX197" s="27">
        <v>10.8</v>
      </c>
      <c r="GY197" s="27">
        <v>10.8</v>
      </c>
      <c r="GZ197" s="27">
        <v>10.8</v>
      </c>
      <c r="HA197" s="27">
        <v>10.8</v>
      </c>
      <c r="HB197" s="27">
        <v>10.8</v>
      </c>
      <c r="HC197" s="27">
        <v>10.8</v>
      </c>
      <c r="HD197" s="27">
        <v>10.8</v>
      </c>
      <c r="HE197" s="129">
        <v>21.2</v>
      </c>
      <c r="HG197" s="27">
        <v>14.8</v>
      </c>
      <c r="HH197" s="27">
        <v>14.8</v>
      </c>
      <c r="HI197" s="27">
        <v>14.8</v>
      </c>
      <c r="HJ197" s="27">
        <v>14.8</v>
      </c>
      <c r="HK197" s="27">
        <v>14.8</v>
      </c>
      <c r="HL197" s="27">
        <v>14.8</v>
      </c>
      <c r="HM197" s="27">
        <v>14.8</v>
      </c>
      <c r="HN197" s="27">
        <v>14.8</v>
      </c>
      <c r="HO197" s="27">
        <v>14.8</v>
      </c>
      <c r="HP197" s="129">
        <v>21.2</v>
      </c>
      <c r="HR197" s="27">
        <v>14.8</v>
      </c>
      <c r="HS197" s="27">
        <v>14.8</v>
      </c>
      <c r="HT197" s="27">
        <v>14.8</v>
      </c>
      <c r="HU197" s="27">
        <v>14.8</v>
      </c>
      <c r="HV197" s="27">
        <v>14.8</v>
      </c>
      <c r="HW197" s="27">
        <v>14.8</v>
      </c>
      <c r="HX197" s="27">
        <v>14.8</v>
      </c>
      <c r="HY197" s="27">
        <v>14.8</v>
      </c>
      <c r="HZ197" s="27">
        <v>14.8</v>
      </c>
      <c r="IA197" s="129">
        <v>21.2</v>
      </c>
    </row>
    <row r="198" spans="15:235" ht="3" customHeight="1">
      <c r="O198" s="17"/>
      <c r="P198" s="17"/>
      <c r="Q198" s="17"/>
      <c r="R198" s="17"/>
      <c r="S198" s="17"/>
      <c r="T198" s="17"/>
      <c r="U198" s="17"/>
      <c r="V198" s="17"/>
      <c r="W198" s="17"/>
      <c r="X198" s="129">
        <v>19.3</v>
      </c>
      <c r="Y198" s="27"/>
      <c r="AI198" s="129">
        <v>19.3</v>
      </c>
      <c r="AK198" s="129">
        <v>12.400000000000002</v>
      </c>
      <c r="AL198" s="129">
        <v>12.400000000000002</v>
      </c>
      <c r="AM198" s="129">
        <v>12.400000000000002</v>
      </c>
      <c r="AN198" s="129">
        <v>12.400000000000002</v>
      </c>
      <c r="AO198" s="129">
        <v>12.400000000000002</v>
      </c>
      <c r="AP198" s="129">
        <v>12.400000000000002</v>
      </c>
      <c r="AQ198" s="129">
        <v>12.400000000000002</v>
      </c>
      <c r="AR198" s="129">
        <v>12.400000000000002</v>
      </c>
      <c r="AS198" s="129">
        <v>12.400000000000002</v>
      </c>
      <c r="AT198" s="129">
        <v>19.3</v>
      </c>
      <c r="AV198" s="129">
        <v>17.099999999999998</v>
      </c>
      <c r="AW198" s="129">
        <v>17.099999999999998</v>
      </c>
      <c r="AX198" s="129">
        <v>17.099999999999998</v>
      </c>
      <c r="AY198" s="129">
        <v>17.099999999999998</v>
      </c>
      <c r="AZ198" s="129">
        <v>17.099999999999998</v>
      </c>
      <c r="BA198" s="129">
        <v>17.099999999999998</v>
      </c>
      <c r="BB198" s="129">
        <v>17.099999999999998</v>
      </c>
      <c r="BC198" s="129">
        <v>17.099999999999998</v>
      </c>
      <c r="BD198" s="129">
        <v>17.099999999999998</v>
      </c>
      <c r="BE198" s="129">
        <v>19.3</v>
      </c>
      <c r="BG198" s="129">
        <v>23.099999999999998</v>
      </c>
      <c r="BH198" s="129">
        <v>23.099999999999998</v>
      </c>
      <c r="BI198" s="129">
        <v>23.099999999999998</v>
      </c>
      <c r="BJ198" s="129">
        <v>23.099999999999998</v>
      </c>
      <c r="BK198" s="129">
        <v>23.099999999999998</v>
      </c>
      <c r="BL198" s="129">
        <v>23.099999999999998</v>
      </c>
      <c r="BM198" s="129">
        <v>23.099999999999998</v>
      </c>
      <c r="BN198" s="129">
        <v>23.099999999999998</v>
      </c>
      <c r="BO198" s="129">
        <v>23.099999999999998</v>
      </c>
      <c r="BP198" s="129">
        <v>19.3</v>
      </c>
      <c r="BR198" s="129">
        <v>23.099999999999998</v>
      </c>
      <c r="BS198" s="129">
        <v>23.099999999999998</v>
      </c>
      <c r="BT198" s="129">
        <v>23.099999999999998</v>
      </c>
      <c r="BU198" s="129">
        <v>23.099999999999998</v>
      </c>
      <c r="BV198" s="129">
        <v>23.099999999999998</v>
      </c>
      <c r="BW198" s="129">
        <v>23.099999999999998</v>
      </c>
      <c r="BX198" s="129">
        <v>23.099999999999998</v>
      </c>
      <c r="BY198" s="129">
        <v>23.099999999999998</v>
      </c>
      <c r="BZ198" s="129">
        <v>23.099999999999998</v>
      </c>
      <c r="CA198" s="129">
        <v>19.3</v>
      </c>
      <c r="CC198" s="129">
        <v>9.7000000000000011</v>
      </c>
      <c r="CD198" s="129">
        <v>9.7000000000000011</v>
      </c>
      <c r="CE198" s="129">
        <v>9.7000000000000011</v>
      </c>
      <c r="CF198" s="129">
        <v>9.7000000000000011</v>
      </c>
      <c r="CG198" s="129">
        <v>9.7000000000000011</v>
      </c>
      <c r="CH198" s="129">
        <v>9.7000000000000011</v>
      </c>
      <c r="CI198" s="129">
        <v>9.7000000000000011</v>
      </c>
      <c r="CJ198" s="129">
        <v>9.7000000000000011</v>
      </c>
      <c r="CK198" s="129">
        <v>9.7000000000000011</v>
      </c>
      <c r="CL198" s="129">
        <v>19.3</v>
      </c>
      <c r="CN198" s="129">
        <v>11.700000000000001</v>
      </c>
      <c r="CO198" s="129">
        <v>11.700000000000001</v>
      </c>
      <c r="CP198" s="129">
        <v>11.700000000000001</v>
      </c>
      <c r="CQ198" s="129">
        <v>11.700000000000001</v>
      </c>
      <c r="CR198" s="129">
        <v>11.700000000000001</v>
      </c>
      <c r="CS198" s="129">
        <v>11.700000000000001</v>
      </c>
      <c r="CT198" s="129">
        <v>11.700000000000001</v>
      </c>
      <c r="CU198" s="129">
        <v>11.700000000000001</v>
      </c>
      <c r="CV198" s="129">
        <v>11.700000000000001</v>
      </c>
      <c r="CW198" s="129">
        <v>19.3</v>
      </c>
      <c r="CY198" s="129">
        <v>16</v>
      </c>
      <c r="CZ198" s="129">
        <v>16</v>
      </c>
      <c r="DA198" s="129">
        <v>16</v>
      </c>
      <c r="DB198" s="129">
        <v>16</v>
      </c>
      <c r="DC198" s="129">
        <v>16</v>
      </c>
      <c r="DD198" s="129">
        <v>16</v>
      </c>
      <c r="DE198" s="129">
        <v>16</v>
      </c>
      <c r="DF198" s="129">
        <v>16</v>
      </c>
      <c r="DG198" s="129">
        <v>16</v>
      </c>
      <c r="DH198" s="129">
        <v>19.3</v>
      </c>
      <c r="DJ198" s="129">
        <v>16</v>
      </c>
      <c r="DK198" s="129">
        <v>16</v>
      </c>
      <c r="DL198" s="129">
        <v>16</v>
      </c>
      <c r="DM198" s="129">
        <v>16</v>
      </c>
      <c r="DN198" s="129">
        <v>16</v>
      </c>
      <c r="DO198" s="129">
        <v>16</v>
      </c>
      <c r="DP198" s="129">
        <v>16</v>
      </c>
      <c r="DQ198" s="129">
        <v>16</v>
      </c>
      <c r="DR198" s="129">
        <v>16</v>
      </c>
      <c r="DS198" s="129">
        <v>19.3</v>
      </c>
      <c r="DW198" s="27"/>
      <c r="EF198" s="129">
        <v>21.3</v>
      </c>
      <c r="EH198" s="27">
        <v>8.7000000000000011</v>
      </c>
      <c r="EI198" s="27">
        <v>8.7000000000000011</v>
      </c>
      <c r="EJ198" s="27">
        <v>8.7000000000000011</v>
      </c>
      <c r="EK198" s="27">
        <v>8.7000000000000011</v>
      </c>
      <c r="EL198" s="27">
        <v>8.7000000000000011</v>
      </c>
      <c r="EM198" s="27">
        <v>8.7000000000000011</v>
      </c>
      <c r="EN198" s="27">
        <v>8.7000000000000011</v>
      </c>
      <c r="EO198" s="27">
        <v>8.7000000000000011</v>
      </c>
      <c r="EP198" s="27">
        <v>8.7000000000000011</v>
      </c>
      <c r="EQ198" s="129">
        <v>21.3</v>
      </c>
      <c r="ES198" s="27">
        <v>22.400000000000002</v>
      </c>
      <c r="ET198" s="27">
        <v>22.400000000000002</v>
      </c>
      <c r="EU198" s="27">
        <v>22.400000000000002</v>
      </c>
      <c r="EV198" s="27">
        <v>22.400000000000002</v>
      </c>
      <c r="EW198" s="27">
        <v>22.400000000000002</v>
      </c>
      <c r="EX198" s="27">
        <v>22.400000000000002</v>
      </c>
      <c r="EY198" s="27">
        <v>22.400000000000002</v>
      </c>
      <c r="EZ198" s="27">
        <v>22.400000000000002</v>
      </c>
      <c r="FA198" s="27">
        <v>22.400000000000002</v>
      </c>
      <c r="FB198" s="129">
        <v>21.3</v>
      </c>
      <c r="FD198" s="27">
        <v>23.699999999999996</v>
      </c>
      <c r="FE198" s="27">
        <v>23.699999999999996</v>
      </c>
      <c r="FF198" s="27">
        <v>23.699999999999996</v>
      </c>
      <c r="FG198" s="27">
        <v>23.699999999999996</v>
      </c>
      <c r="FH198" s="27">
        <v>23.699999999999996</v>
      </c>
      <c r="FI198" s="27">
        <v>23.699999999999996</v>
      </c>
      <c r="FJ198" s="27">
        <v>23.699999999999996</v>
      </c>
      <c r="FK198" s="27">
        <v>23.699999999999996</v>
      </c>
      <c r="FL198" s="27">
        <v>23.699999999999996</v>
      </c>
      <c r="FM198" s="129">
        <v>21.3</v>
      </c>
      <c r="FO198" s="27">
        <v>37.399999999999991</v>
      </c>
      <c r="FP198" s="27">
        <v>37.399999999999991</v>
      </c>
      <c r="FQ198" s="27">
        <v>37.399999999999991</v>
      </c>
      <c r="FR198" s="27">
        <v>37.399999999999991</v>
      </c>
      <c r="FS198" s="27">
        <v>37.399999999999991</v>
      </c>
      <c r="FT198" s="27">
        <v>37.399999999999991</v>
      </c>
      <c r="FU198" s="27">
        <v>37.399999999999991</v>
      </c>
      <c r="FV198" s="27">
        <v>37.399999999999991</v>
      </c>
      <c r="FW198" s="27">
        <v>37.399999999999991</v>
      </c>
      <c r="FX198" s="129">
        <v>21.3</v>
      </c>
      <c r="FZ198" s="27">
        <v>37.399999999999991</v>
      </c>
      <c r="GA198" s="27">
        <v>37.399999999999991</v>
      </c>
      <c r="GB198" s="27">
        <v>37.399999999999991</v>
      </c>
      <c r="GC198" s="27">
        <v>37.399999999999991</v>
      </c>
      <c r="GD198" s="27">
        <v>37.399999999999991</v>
      </c>
      <c r="GE198" s="27">
        <v>37.399999999999991</v>
      </c>
      <c r="GF198" s="27">
        <v>37.399999999999991</v>
      </c>
      <c r="GG198" s="27">
        <v>37.399999999999991</v>
      </c>
      <c r="GH198" s="27">
        <v>37.399999999999991</v>
      </c>
      <c r="GI198" s="129">
        <v>21.3</v>
      </c>
      <c r="GJ198" s="27"/>
      <c r="GK198" s="27">
        <v>9</v>
      </c>
      <c r="GL198" s="27">
        <v>9</v>
      </c>
      <c r="GM198" s="27">
        <v>9</v>
      </c>
      <c r="GN198" s="27">
        <v>9</v>
      </c>
      <c r="GO198" s="27">
        <v>9</v>
      </c>
      <c r="GP198" s="27">
        <v>9</v>
      </c>
      <c r="GQ198" s="27">
        <v>9</v>
      </c>
      <c r="GR198" s="27">
        <v>9</v>
      </c>
      <c r="GS198" s="27">
        <v>9</v>
      </c>
      <c r="GT198" s="129">
        <v>21.3</v>
      </c>
      <c r="GV198" s="27">
        <v>10.700000000000001</v>
      </c>
      <c r="GW198" s="27">
        <v>10.700000000000001</v>
      </c>
      <c r="GX198" s="27">
        <v>10.700000000000001</v>
      </c>
      <c r="GY198" s="27">
        <v>10.700000000000001</v>
      </c>
      <c r="GZ198" s="27">
        <v>10.700000000000001</v>
      </c>
      <c r="HA198" s="27">
        <v>10.700000000000001</v>
      </c>
      <c r="HB198" s="27">
        <v>10.700000000000001</v>
      </c>
      <c r="HC198" s="27">
        <v>10.700000000000001</v>
      </c>
      <c r="HD198" s="27">
        <v>10.700000000000001</v>
      </c>
      <c r="HE198" s="129">
        <v>21.3</v>
      </c>
      <c r="HG198" s="27">
        <v>14.700000000000001</v>
      </c>
      <c r="HH198" s="27">
        <v>14.700000000000001</v>
      </c>
      <c r="HI198" s="27">
        <v>14.700000000000001</v>
      </c>
      <c r="HJ198" s="27">
        <v>14.700000000000001</v>
      </c>
      <c r="HK198" s="27">
        <v>14.700000000000001</v>
      </c>
      <c r="HL198" s="27">
        <v>14.700000000000001</v>
      </c>
      <c r="HM198" s="27">
        <v>14.700000000000001</v>
      </c>
      <c r="HN198" s="27">
        <v>14.700000000000001</v>
      </c>
      <c r="HO198" s="27">
        <v>14.700000000000001</v>
      </c>
      <c r="HP198" s="129">
        <v>21.3</v>
      </c>
      <c r="HR198" s="27">
        <v>14.700000000000001</v>
      </c>
      <c r="HS198" s="27">
        <v>14.700000000000001</v>
      </c>
      <c r="HT198" s="27">
        <v>14.700000000000001</v>
      </c>
      <c r="HU198" s="27">
        <v>14.700000000000001</v>
      </c>
      <c r="HV198" s="27">
        <v>14.700000000000001</v>
      </c>
      <c r="HW198" s="27">
        <v>14.700000000000001</v>
      </c>
      <c r="HX198" s="27">
        <v>14.700000000000001</v>
      </c>
      <c r="HY198" s="27">
        <v>14.700000000000001</v>
      </c>
      <c r="HZ198" s="27">
        <v>14.700000000000001</v>
      </c>
      <c r="IA198" s="129">
        <v>21.3</v>
      </c>
    </row>
    <row r="199" spans="15:235" ht="3" customHeight="1">
      <c r="O199" s="17"/>
      <c r="P199" s="17"/>
      <c r="Q199" s="17"/>
      <c r="R199" s="17"/>
      <c r="S199" s="17"/>
      <c r="T199" s="17"/>
      <c r="U199" s="17"/>
      <c r="V199" s="17"/>
      <c r="W199" s="17"/>
      <c r="X199" s="129">
        <v>19.399999999999999</v>
      </c>
      <c r="Y199" s="27"/>
      <c r="AI199" s="129">
        <v>19.399999999999999</v>
      </c>
      <c r="AK199" s="129">
        <v>12.200000000000003</v>
      </c>
      <c r="AL199" s="129">
        <v>12.200000000000003</v>
      </c>
      <c r="AM199" s="129">
        <v>12.200000000000003</v>
      </c>
      <c r="AN199" s="129">
        <v>12.200000000000003</v>
      </c>
      <c r="AO199" s="129">
        <v>12.200000000000003</v>
      </c>
      <c r="AP199" s="129">
        <v>12.200000000000003</v>
      </c>
      <c r="AQ199" s="129">
        <v>12.200000000000003</v>
      </c>
      <c r="AR199" s="129">
        <v>12.200000000000003</v>
      </c>
      <c r="AS199" s="129">
        <v>12.200000000000003</v>
      </c>
      <c r="AT199" s="129">
        <v>19.399999999999999</v>
      </c>
      <c r="AV199" s="129">
        <v>16.799999999999997</v>
      </c>
      <c r="AW199" s="129">
        <v>16.799999999999997</v>
      </c>
      <c r="AX199" s="129">
        <v>16.799999999999997</v>
      </c>
      <c r="AY199" s="129">
        <v>16.799999999999997</v>
      </c>
      <c r="AZ199" s="129">
        <v>16.799999999999997</v>
      </c>
      <c r="BA199" s="129">
        <v>16.799999999999997</v>
      </c>
      <c r="BB199" s="129">
        <v>16.799999999999997</v>
      </c>
      <c r="BC199" s="129">
        <v>16.799999999999997</v>
      </c>
      <c r="BD199" s="129">
        <v>16.799999999999997</v>
      </c>
      <c r="BE199" s="129">
        <v>19.399999999999999</v>
      </c>
      <c r="BG199" s="129">
        <v>22.799999999999997</v>
      </c>
      <c r="BH199" s="129">
        <v>22.799999999999997</v>
      </c>
      <c r="BI199" s="129">
        <v>22.799999999999997</v>
      </c>
      <c r="BJ199" s="129">
        <v>22.799999999999997</v>
      </c>
      <c r="BK199" s="129">
        <v>22.799999999999997</v>
      </c>
      <c r="BL199" s="129">
        <v>22.799999999999997</v>
      </c>
      <c r="BM199" s="129">
        <v>22.799999999999997</v>
      </c>
      <c r="BN199" s="129">
        <v>22.799999999999997</v>
      </c>
      <c r="BO199" s="129">
        <v>22.799999999999997</v>
      </c>
      <c r="BP199" s="129">
        <v>19.399999999999999</v>
      </c>
      <c r="BR199" s="129">
        <v>22.799999999999997</v>
      </c>
      <c r="BS199" s="129">
        <v>22.799999999999997</v>
      </c>
      <c r="BT199" s="129">
        <v>22.799999999999997</v>
      </c>
      <c r="BU199" s="129">
        <v>22.799999999999997</v>
      </c>
      <c r="BV199" s="129">
        <v>22.799999999999997</v>
      </c>
      <c r="BW199" s="129">
        <v>22.799999999999997</v>
      </c>
      <c r="BX199" s="129">
        <v>22.799999999999997</v>
      </c>
      <c r="BY199" s="129">
        <v>22.799999999999997</v>
      </c>
      <c r="BZ199" s="129">
        <v>22.799999999999997</v>
      </c>
      <c r="CA199" s="129">
        <v>19.399999999999999</v>
      </c>
      <c r="CC199" s="129">
        <v>9.6000000000000014</v>
      </c>
      <c r="CD199" s="129">
        <v>9.6000000000000014</v>
      </c>
      <c r="CE199" s="129">
        <v>9.6000000000000014</v>
      </c>
      <c r="CF199" s="129">
        <v>9.6000000000000014</v>
      </c>
      <c r="CG199" s="129">
        <v>9.6000000000000014</v>
      </c>
      <c r="CH199" s="129">
        <v>9.6000000000000014</v>
      </c>
      <c r="CI199" s="129">
        <v>9.6000000000000014</v>
      </c>
      <c r="CJ199" s="129">
        <v>9.6000000000000014</v>
      </c>
      <c r="CK199" s="129">
        <v>9.6000000000000014</v>
      </c>
      <c r="CL199" s="129">
        <v>19.399999999999999</v>
      </c>
      <c r="CN199" s="129">
        <v>11.600000000000001</v>
      </c>
      <c r="CO199" s="129">
        <v>11.600000000000001</v>
      </c>
      <c r="CP199" s="129">
        <v>11.600000000000001</v>
      </c>
      <c r="CQ199" s="129">
        <v>11.600000000000001</v>
      </c>
      <c r="CR199" s="129">
        <v>11.600000000000001</v>
      </c>
      <c r="CS199" s="129">
        <v>11.600000000000001</v>
      </c>
      <c r="CT199" s="129">
        <v>11.600000000000001</v>
      </c>
      <c r="CU199" s="129">
        <v>11.600000000000001</v>
      </c>
      <c r="CV199" s="129">
        <v>11.600000000000001</v>
      </c>
      <c r="CW199" s="129">
        <v>19.399999999999999</v>
      </c>
      <c r="CY199" s="129">
        <v>16</v>
      </c>
      <c r="CZ199" s="129">
        <v>16</v>
      </c>
      <c r="DA199" s="129">
        <v>16</v>
      </c>
      <c r="DB199" s="129">
        <v>16</v>
      </c>
      <c r="DC199" s="129">
        <v>16</v>
      </c>
      <c r="DD199" s="129">
        <v>16</v>
      </c>
      <c r="DE199" s="129">
        <v>16</v>
      </c>
      <c r="DF199" s="129">
        <v>16</v>
      </c>
      <c r="DG199" s="129">
        <v>16</v>
      </c>
      <c r="DH199" s="129">
        <v>19.399999999999999</v>
      </c>
      <c r="DJ199" s="129">
        <v>16</v>
      </c>
      <c r="DK199" s="129">
        <v>16</v>
      </c>
      <c r="DL199" s="129">
        <v>16</v>
      </c>
      <c r="DM199" s="129">
        <v>16</v>
      </c>
      <c r="DN199" s="129">
        <v>16</v>
      </c>
      <c r="DO199" s="129">
        <v>16</v>
      </c>
      <c r="DP199" s="129">
        <v>16</v>
      </c>
      <c r="DQ199" s="129">
        <v>16</v>
      </c>
      <c r="DR199" s="129">
        <v>16</v>
      </c>
      <c r="DS199" s="129">
        <v>19.399999999999999</v>
      </c>
      <c r="DW199" s="27"/>
      <c r="EF199" s="129">
        <v>21.4</v>
      </c>
      <c r="EH199" s="27">
        <v>8.6000000000000014</v>
      </c>
      <c r="EI199" s="27">
        <v>8.6000000000000014</v>
      </c>
      <c r="EJ199" s="27">
        <v>8.6000000000000014</v>
      </c>
      <c r="EK199" s="27">
        <v>8.6000000000000014</v>
      </c>
      <c r="EL199" s="27">
        <v>8.6000000000000014</v>
      </c>
      <c r="EM199" s="27">
        <v>8.6000000000000014</v>
      </c>
      <c r="EN199" s="27">
        <v>8.6000000000000014</v>
      </c>
      <c r="EO199" s="27">
        <v>8.6000000000000014</v>
      </c>
      <c r="EP199" s="27">
        <v>8.6000000000000014</v>
      </c>
      <c r="EQ199" s="129">
        <v>21.4</v>
      </c>
      <c r="ES199" s="27">
        <v>22.200000000000003</v>
      </c>
      <c r="ET199" s="27">
        <v>22.200000000000003</v>
      </c>
      <c r="EU199" s="27">
        <v>22.200000000000003</v>
      </c>
      <c r="EV199" s="27">
        <v>22.200000000000003</v>
      </c>
      <c r="EW199" s="27">
        <v>22.200000000000003</v>
      </c>
      <c r="EX199" s="27">
        <v>22.200000000000003</v>
      </c>
      <c r="EY199" s="27">
        <v>22.200000000000003</v>
      </c>
      <c r="EZ199" s="27">
        <v>22.200000000000003</v>
      </c>
      <c r="FA199" s="27">
        <v>22.200000000000003</v>
      </c>
      <c r="FB199" s="129">
        <v>21.4</v>
      </c>
      <c r="FD199" s="27">
        <v>23.599999999999994</v>
      </c>
      <c r="FE199" s="27">
        <v>23.599999999999994</v>
      </c>
      <c r="FF199" s="27">
        <v>23.599999999999994</v>
      </c>
      <c r="FG199" s="27">
        <v>23.599999999999994</v>
      </c>
      <c r="FH199" s="27">
        <v>23.599999999999994</v>
      </c>
      <c r="FI199" s="27">
        <v>23.599999999999994</v>
      </c>
      <c r="FJ199" s="27">
        <v>23.599999999999994</v>
      </c>
      <c r="FK199" s="27">
        <v>23.599999999999994</v>
      </c>
      <c r="FL199" s="27">
        <v>23.599999999999994</v>
      </c>
      <c r="FM199" s="129">
        <v>21.4</v>
      </c>
      <c r="FO199" s="27">
        <v>37.199999999999989</v>
      </c>
      <c r="FP199" s="27">
        <v>37.199999999999989</v>
      </c>
      <c r="FQ199" s="27">
        <v>37.199999999999989</v>
      </c>
      <c r="FR199" s="27">
        <v>37.199999999999989</v>
      </c>
      <c r="FS199" s="27">
        <v>37.199999999999989</v>
      </c>
      <c r="FT199" s="27">
        <v>37.199999999999989</v>
      </c>
      <c r="FU199" s="27">
        <v>37.199999999999989</v>
      </c>
      <c r="FV199" s="27">
        <v>37.199999999999989</v>
      </c>
      <c r="FW199" s="27">
        <v>37.199999999999989</v>
      </c>
      <c r="FX199" s="129">
        <v>21.4</v>
      </c>
      <c r="FZ199" s="27">
        <v>37.199999999999989</v>
      </c>
      <c r="GA199" s="27">
        <v>37.199999999999989</v>
      </c>
      <c r="GB199" s="27">
        <v>37.199999999999989</v>
      </c>
      <c r="GC199" s="27">
        <v>37.199999999999989</v>
      </c>
      <c r="GD199" s="27">
        <v>37.199999999999989</v>
      </c>
      <c r="GE199" s="27">
        <v>37.199999999999989</v>
      </c>
      <c r="GF199" s="27">
        <v>37.199999999999989</v>
      </c>
      <c r="GG199" s="27">
        <v>37.199999999999989</v>
      </c>
      <c r="GH199" s="27">
        <v>37.199999999999989</v>
      </c>
      <c r="GI199" s="129">
        <v>21.4</v>
      </c>
      <c r="GJ199" s="27"/>
      <c r="GK199" s="27">
        <v>9</v>
      </c>
      <c r="GL199" s="27">
        <v>9</v>
      </c>
      <c r="GM199" s="27">
        <v>9</v>
      </c>
      <c r="GN199" s="27">
        <v>9</v>
      </c>
      <c r="GO199" s="27">
        <v>9</v>
      </c>
      <c r="GP199" s="27">
        <v>9</v>
      </c>
      <c r="GQ199" s="27">
        <v>9</v>
      </c>
      <c r="GR199" s="27">
        <v>9</v>
      </c>
      <c r="GS199" s="27">
        <v>9</v>
      </c>
      <c r="GT199" s="129">
        <v>21.4</v>
      </c>
      <c r="GV199" s="27">
        <v>10.600000000000001</v>
      </c>
      <c r="GW199" s="27">
        <v>10.600000000000001</v>
      </c>
      <c r="GX199" s="27">
        <v>10.600000000000001</v>
      </c>
      <c r="GY199" s="27">
        <v>10.600000000000001</v>
      </c>
      <c r="GZ199" s="27">
        <v>10.600000000000001</v>
      </c>
      <c r="HA199" s="27">
        <v>10.600000000000001</v>
      </c>
      <c r="HB199" s="27">
        <v>10.600000000000001</v>
      </c>
      <c r="HC199" s="27">
        <v>10.600000000000001</v>
      </c>
      <c r="HD199" s="27">
        <v>10.600000000000001</v>
      </c>
      <c r="HE199" s="129">
        <v>21.4</v>
      </c>
      <c r="HG199" s="27">
        <v>14.600000000000001</v>
      </c>
      <c r="HH199" s="27">
        <v>14.600000000000001</v>
      </c>
      <c r="HI199" s="27">
        <v>14.600000000000001</v>
      </c>
      <c r="HJ199" s="27">
        <v>14.600000000000001</v>
      </c>
      <c r="HK199" s="27">
        <v>14.600000000000001</v>
      </c>
      <c r="HL199" s="27">
        <v>14.600000000000001</v>
      </c>
      <c r="HM199" s="27">
        <v>14.600000000000001</v>
      </c>
      <c r="HN199" s="27">
        <v>14.600000000000001</v>
      </c>
      <c r="HO199" s="27">
        <v>14.600000000000001</v>
      </c>
      <c r="HP199" s="129">
        <v>21.4</v>
      </c>
      <c r="HR199" s="27">
        <v>14.600000000000001</v>
      </c>
      <c r="HS199" s="27">
        <v>14.600000000000001</v>
      </c>
      <c r="HT199" s="27">
        <v>14.600000000000001</v>
      </c>
      <c r="HU199" s="27">
        <v>14.600000000000001</v>
      </c>
      <c r="HV199" s="27">
        <v>14.600000000000001</v>
      </c>
      <c r="HW199" s="27">
        <v>14.600000000000001</v>
      </c>
      <c r="HX199" s="27">
        <v>14.600000000000001</v>
      </c>
      <c r="HY199" s="27">
        <v>14.600000000000001</v>
      </c>
      <c r="HZ199" s="27">
        <v>14.600000000000001</v>
      </c>
      <c r="IA199" s="129">
        <v>21.4</v>
      </c>
    </row>
    <row r="200" spans="15:235" ht="3" customHeight="1">
      <c r="O200" s="17"/>
      <c r="P200" s="17"/>
      <c r="Q200" s="17"/>
      <c r="R200" s="17"/>
      <c r="S200" s="17"/>
      <c r="T200" s="17"/>
      <c r="U200" s="17"/>
      <c r="V200" s="17"/>
      <c r="W200" s="17"/>
      <c r="X200" s="129">
        <v>19.5</v>
      </c>
      <c r="Y200" s="27"/>
      <c r="AI200" s="129">
        <v>19.5</v>
      </c>
      <c r="AK200" s="129">
        <v>12.000000000000004</v>
      </c>
      <c r="AL200" s="129">
        <v>12.000000000000004</v>
      </c>
      <c r="AM200" s="129">
        <v>12.000000000000004</v>
      </c>
      <c r="AN200" s="129">
        <v>12.000000000000004</v>
      </c>
      <c r="AO200" s="129">
        <v>12.000000000000004</v>
      </c>
      <c r="AP200" s="129">
        <v>12.000000000000004</v>
      </c>
      <c r="AQ200" s="129">
        <v>12.000000000000004</v>
      </c>
      <c r="AR200" s="129">
        <v>12.000000000000004</v>
      </c>
      <c r="AS200" s="129">
        <v>12.000000000000004</v>
      </c>
      <c r="AT200" s="129">
        <v>19.5</v>
      </c>
      <c r="AV200" s="129">
        <v>16.499999999999996</v>
      </c>
      <c r="AW200" s="129">
        <v>16.499999999999996</v>
      </c>
      <c r="AX200" s="129">
        <v>16.499999999999996</v>
      </c>
      <c r="AY200" s="129">
        <v>16.499999999999996</v>
      </c>
      <c r="AZ200" s="129">
        <v>16.499999999999996</v>
      </c>
      <c r="BA200" s="129">
        <v>16.499999999999996</v>
      </c>
      <c r="BB200" s="129">
        <v>16.499999999999996</v>
      </c>
      <c r="BC200" s="129">
        <v>16.499999999999996</v>
      </c>
      <c r="BD200" s="129">
        <v>16.499999999999996</v>
      </c>
      <c r="BE200" s="129">
        <v>19.5</v>
      </c>
      <c r="BG200" s="129">
        <v>22.499999999999996</v>
      </c>
      <c r="BH200" s="129">
        <v>22.499999999999996</v>
      </c>
      <c r="BI200" s="129">
        <v>22.499999999999996</v>
      </c>
      <c r="BJ200" s="129">
        <v>22.499999999999996</v>
      </c>
      <c r="BK200" s="129">
        <v>22.499999999999996</v>
      </c>
      <c r="BL200" s="129">
        <v>22.499999999999996</v>
      </c>
      <c r="BM200" s="129">
        <v>22.499999999999996</v>
      </c>
      <c r="BN200" s="129">
        <v>22.499999999999996</v>
      </c>
      <c r="BO200" s="129">
        <v>22.499999999999996</v>
      </c>
      <c r="BP200" s="129">
        <v>19.5</v>
      </c>
      <c r="BR200" s="129">
        <v>22.499999999999996</v>
      </c>
      <c r="BS200" s="129">
        <v>22.499999999999996</v>
      </c>
      <c r="BT200" s="129">
        <v>22.499999999999996</v>
      </c>
      <c r="BU200" s="129">
        <v>22.499999999999996</v>
      </c>
      <c r="BV200" s="129">
        <v>22.499999999999996</v>
      </c>
      <c r="BW200" s="129">
        <v>22.499999999999996</v>
      </c>
      <c r="BX200" s="129">
        <v>22.499999999999996</v>
      </c>
      <c r="BY200" s="129">
        <v>22.499999999999996</v>
      </c>
      <c r="BZ200" s="129">
        <v>22.499999999999996</v>
      </c>
      <c r="CA200" s="129">
        <v>19.5</v>
      </c>
      <c r="CC200" s="129">
        <v>9.5000000000000018</v>
      </c>
      <c r="CD200" s="129">
        <v>9.5000000000000018</v>
      </c>
      <c r="CE200" s="129">
        <v>9.5000000000000018</v>
      </c>
      <c r="CF200" s="129">
        <v>9.5000000000000018</v>
      </c>
      <c r="CG200" s="129">
        <v>9.5000000000000018</v>
      </c>
      <c r="CH200" s="129">
        <v>9.5000000000000018</v>
      </c>
      <c r="CI200" s="129">
        <v>9.5000000000000018</v>
      </c>
      <c r="CJ200" s="129">
        <v>9.5000000000000018</v>
      </c>
      <c r="CK200" s="129">
        <v>9.5000000000000018</v>
      </c>
      <c r="CL200" s="129">
        <v>19.5</v>
      </c>
      <c r="CN200" s="129">
        <v>11.500000000000002</v>
      </c>
      <c r="CO200" s="129">
        <v>11.500000000000002</v>
      </c>
      <c r="CP200" s="129">
        <v>11.500000000000002</v>
      </c>
      <c r="CQ200" s="129">
        <v>11.500000000000002</v>
      </c>
      <c r="CR200" s="129">
        <v>11.500000000000002</v>
      </c>
      <c r="CS200" s="129">
        <v>11.500000000000002</v>
      </c>
      <c r="CT200" s="129">
        <v>11.500000000000002</v>
      </c>
      <c r="CU200" s="129">
        <v>11.500000000000002</v>
      </c>
      <c r="CV200" s="129">
        <v>11.500000000000002</v>
      </c>
      <c r="CW200" s="129">
        <v>19.5</v>
      </c>
      <c r="CY200" s="129">
        <v>16</v>
      </c>
      <c r="CZ200" s="129">
        <v>16</v>
      </c>
      <c r="DA200" s="129">
        <v>16</v>
      </c>
      <c r="DB200" s="129">
        <v>16</v>
      </c>
      <c r="DC200" s="129">
        <v>16</v>
      </c>
      <c r="DD200" s="129">
        <v>16</v>
      </c>
      <c r="DE200" s="129">
        <v>16</v>
      </c>
      <c r="DF200" s="129">
        <v>16</v>
      </c>
      <c r="DG200" s="129">
        <v>16</v>
      </c>
      <c r="DH200" s="129">
        <v>19.5</v>
      </c>
      <c r="DJ200" s="129">
        <v>16</v>
      </c>
      <c r="DK200" s="129">
        <v>16</v>
      </c>
      <c r="DL200" s="129">
        <v>16</v>
      </c>
      <c r="DM200" s="129">
        <v>16</v>
      </c>
      <c r="DN200" s="129">
        <v>16</v>
      </c>
      <c r="DO200" s="129">
        <v>16</v>
      </c>
      <c r="DP200" s="129">
        <v>16</v>
      </c>
      <c r="DQ200" s="129">
        <v>16</v>
      </c>
      <c r="DR200" s="129">
        <v>16</v>
      </c>
      <c r="DS200" s="129">
        <v>19.5</v>
      </c>
      <c r="DW200" s="27"/>
      <c r="EF200" s="129">
        <v>21.5</v>
      </c>
      <c r="EH200" s="27">
        <v>8.5000000000000018</v>
      </c>
      <c r="EI200" s="27">
        <v>8.5000000000000018</v>
      </c>
      <c r="EJ200" s="27">
        <v>8.5000000000000018</v>
      </c>
      <c r="EK200" s="27">
        <v>8.5000000000000018</v>
      </c>
      <c r="EL200" s="27">
        <v>8.5000000000000018</v>
      </c>
      <c r="EM200" s="27">
        <v>8.5000000000000018</v>
      </c>
      <c r="EN200" s="27">
        <v>8.5000000000000018</v>
      </c>
      <c r="EO200" s="27">
        <v>8.5000000000000018</v>
      </c>
      <c r="EP200" s="27">
        <v>8.5000000000000018</v>
      </c>
      <c r="EQ200" s="129">
        <v>21.5</v>
      </c>
      <c r="ES200" s="27">
        <v>22.000000000000004</v>
      </c>
      <c r="ET200" s="27">
        <v>22.000000000000004</v>
      </c>
      <c r="EU200" s="27">
        <v>22.000000000000004</v>
      </c>
      <c r="EV200" s="27">
        <v>22.000000000000004</v>
      </c>
      <c r="EW200" s="27">
        <v>22.000000000000004</v>
      </c>
      <c r="EX200" s="27">
        <v>22.000000000000004</v>
      </c>
      <c r="EY200" s="27">
        <v>22.000000000000004</v>
      </c>
      <c r="EZ200" s="27">
        <v>22.000000000000004</v>
      </c>
      <c r="FA200" s="27">
        <v>22.000000000000004</v>
      </c>
      <c r="FB200" s="129">
        <v>21.5</v>
      </c>
      <c r="FD200" s="27">
        <v>23.499999999999993</v>
      </c>
      <c r="FE200" s="27">
        <v>23.499999999999993</v>
      </c>
      <c r="FF200" s="27">
        <v>23.499999999999993</v>
      </c>
      <c r="FG200" s="27">
        <v>23.499999999999993</v>
      </c>
      <c r="FH200" s="27">
        <v>23.499999999999993</v>
      </c>
      <c r="FI200" s="27">
        <v>23.499999999999993</v>
      </c>
      <c r="FJ200" s="27">
        <v>23.499999999999993</v>
      </c>
      <c r="FK200" s="27">
        <v>23.499999999999993</v>
      </c>
      <c r="FL200" s="27">
        <v>23.499999999999993</v>
      </c>
      <c r="FM200" s="129">
        <v>21.5</v>
      </c>
      <c r="FO200" s="27">
        <v>36.999999999999986</v>
      </c>
      <c r="FP200" s="27">
        <v>36.999999999999986</v>
      </c>
      <c r="FQ200" s="27">
        <v>36.999999999999986</v>
      </c>
      <c r="FR200" s="27">
        <v>36.999999999999986</v>
      </c>
      <c r="FS200" s="27">
        <v>36.999999999999986</v>
      </c>
      <c r="FT200" s="27">
        <v>36.999999999999986</v>
      </c>
      <c r="FU200" s="27">
        <v>36.999999999999986</v>
      </c>
      <c r="FV200" s="27">
        <v>36.999999999999986</v>
      </c>
      <c r="FW200" s="27">
        <v>36.999999999999986</v>
      </c>
      <c r="FX200" s="129">
        <v>21.5</v>
      </c>
      <c r="FZ200" s="27">
        <v>36.999999999999986</v>
      </c>
      <c r="GA200" s="27">
        <v>36.999999999999986</v>
      </c>
      <c r="GB200" s="27">
        <v>36.999999999999986</v>
      </c>
      <c r="GC200" s="27">
        <v>36.999999999999986</v>
      </c>
      <c r="GD200" s="27">
        <v>36.999999999999986</v>
      </c>
      <c r="GE200" s="27">
        <v>36.999999999999986</v>
      </c>
      <c r="GF200" s="27">
        <v>36.999999999999986</v>
      </c>
      <c r="GG200" s="27">
        <v>36.999999999999986</v>
      </c>
      <c r="GH200" s="27">
        <v>36.999999999999986</v>
      </c>
      <c r="GI200" s="129">
        <v>21.5</v>
      </c>
      <c r="GJ200" s="27"/>
      <c r="GK200" s="27">
        <v>9</v>
      </c>
      <c r="GL200" s="27">
        <v>9</v>
      </c>
      <c r="GM200" s="27">
        <v>9</v>
      </c>
      <c r="GN200" s="27">
        <v>9</v>
      </c>
      <c r="GO200" s="27">
        <v>9</v>
      </c>
      <c r="GP200" s="27">
        <v>9</v>
      </c>
      <c r="GQ200" s="27">
        <v>9</v>
      </c>
      <c r="GR200" s="27">
        <v>9</v>
      </c>
      <c r="GS200" s="27">
        <v>9</v>
      </c>
      <c r="GT200" s="129">
        <v>21.5</v>
      </c>
      <c r="GV200" s="27">
        <v>10.500000000000002</v>
      </c>
      <c r="GW200" s="27">
        <v>10.500000000000002</v>
      </c>
      <c r="GX200" s="27">
        <v>10.500000000000002</v>
      </c>
      <c r="GY200" s="27">
        <v>10.500000000000002</v>
      </c>
      <c r="GZ200" s="27">
        <v>10.500000000000002</v>
      </c>
      <c r="HA200" s="27">
        <v>10.500000000000002</v>
      </c>
      <c r="HB200" s="27">
        <v>10.500000000000002</v>
      </c>
      <c r="HC200" s="27">
        <v>10.500000000000002</v>
      </c>
      <c r="HD200" s="27">
        <v>10.500000000000002</v>
      </c>
      <c r="HE200" s="129">
        <v>21.5</v>
      </c>
      <c r="HG200" s="27">
        <v>14.500000000000002</v>
      </c>
      <c r="HH200" s="27">
        <v>14.500000000000002</v>
      </c>
      <c r="HI200" s="27">
        <v>14.500000000000002</v>
      </c>
      <c r="HJ200" s="27">
        <v>14.500000000000002</v>
      </c>
      <c r="HK200" s="27">
        <v>14.500000000000002</v>
      </c>
      <c r="HL200" s="27">
        <v>14.500000000000002</v>
      </c>
      <c r="HM200" s="27">
        <v>14.500000000000002</v>
      </c>
      <c r="HN200" s="27">
        <v>14.500000000000002</v>
      </c>
      <c r="HO200" s="27">
        <v>14.500000000000002</v>
      </c>
      <c r="HP200" s="129">
        <v>21.5</v>
      </c>
      <c r="HR200" s="27">
        <v>14.500000000000002</v>
      </c>
      <c r="HS200" s="27">
        <v>14.500000000000002</v>
      </c>
      <c r="HT200" s="27">
        <v>14.500000000000002</v>
      </c>
      <c r="HU200" s="27">
        <v>14.500000000000002</v>
      </c>
      <c r="HV200" s="27">
        <v>14.500000000000002</v>
      </c>
      <c r="HW200" s="27">
        <v>14.500000000000002</v>
      </c>
      <c r="HX200" s="27">
        <v>14.500000000000002</v>
      </c>
      <c r="HY200" s="27">
        <v>14.500000000000002</v>
      </c>
      <c r="HZ200" s="27">
        <v>14.500000000000002</v>
      </c>
      <c r="IA200" s="129">
        <v>21.5</v>
      </c>
    </row>
    <row r="201" spans="15:235" ht="3" customHeight="1">
      <c r="O201" s="17"/>
      <c r="P201" s="17"/>
      <c r="Q201" s="17"/>
      <c r="R201" s="17"/>
      <c r="S201" s="17"/>
      <c r="T201" s="17"/>
      <c r="U201" s="17"/>
      <c r="V201" s="17"/>
      <c r="W201" s="17"/>
      <c r="X201" s="129">
        <v>19.600000000000001</v>
      </c>
      <c r="Y201" s="27"/>
      <c r="AI201" s="129">
        <v>19.600000000000001</v>
      </c>
      <c r="AK201" s="129">
        <v>11.800000000000004</v>
      </c>
      <c r="AL201" s="129">
        <v>11.800000000000004</v>
      </c>
      <c r="AM201" s="129">
        <v>11.800000000000004</v>
      </c>
      <c r="AN201" s="129">
        <v>11.800000000000004</v>
      </c>
      <c r="AO201" s="129">
        <v>11.800000000000004</v>
      </c>
      <c r="AP201" s="129">
        <v>11.800000000000004</v>
      </c>
      <c r="AQ201" s="129">
        <v>11.800000000000004</v>
      </c>
      <c r="AR201" s="129">
        <v>11.800000000000004</v>
      </c>
      <c r="AS201" s="129">
        <v>11.800000000000004</v>
      </c>
      <c r="AT201" s="129">
        <v>19.600000000000001</v>
      </c>
      <c r="AV201" s="129">
        <v>16.199999999999996</v>
      </c>
      <c r="AW201" s="129">
        <v>16.199999999999996</v>
      </c>
      <c r="AX201" s="129">
        <v>16.199999999999996</v>
      </c>
      <c r="AY201" s="129">
        <v>16.199999999999996</v>
      </c>
      <c r="AZ201" s="129">
        <v>16.199999999999996</v>
      </c>
      <c r="BA201" s="129">
        <v>16.199999999999996</v>
      </c>
      <c r="BB201" s="129">
        <v>16.199999999999996</v>
      </c>
      <c r="BC201" s="129">
        <v>16.199999999999996</v>
      </c>
      <c r="BD201" s="129">
        <v>16.199999999999996</v>
      </c>
      <c r="BE201" s="129">
        <v>19.600000000000001</v>
      </c>
      <c r="BG201" s="129">
        <v>22.199999999999996</v>
      </c>
      <c r="BH201" s="129">
        <v>22.199999999999996</v>
      </c>
      <c r="BI201" s="129">
        <v>22.199999999999996</v>
      </c>
      <c r="BJ201" s="129">
        <v>22.199999999999996</v>
      </c>
      <c r="BK201" s="129">
        <v>22.199999999999996</v>
      </c>
      <c r="BL201" s="129">
        <v>22.199999999999996</v>
      </c>
      <c r="BM201" s="129">
        <v>22.199999999999996</v>
      </c>
      <c r="BN201" s="129">
        <v>22.199999999999996</v>
      </c>
      <c r="BO201" s="129">
        <v>22.199999999999996</v>
      </c>
      <c r="BP201" s="129">
        <v>19.600000000000001</v>
      </c>
      <c r="BR201" s="129">
        <v>22.199999999999996</v>
      </c>
      <c r="BS201" s="129">
        <v>22.199999999999996</v>
      </c>
      <c r="BT201" s="129">
        <v>22.199999999999996</v>
      </c>
      <c r="BU201" s="129">
        <v>22.199999999999996</v>
      </c>
      <c r="BV201" s="129">
        <v>22.199999999999996</v>
      </c>
      <c r="BW201" s="129">
        <v>22.199999999999996</v>
      </c>
      <c r="BX201" s="129">
        <v>22.199999999999996</v>
      </c>
      <c r="BY201" s="129">
        <v>22.199999999999996</v>
      </c>
      <c r="BZ201" s="129">
        <v>22.199999999999996</v>
      </c>
      <c r="CA201" s="129">
        <v>19.600000000000001</v>
      </c>
      <c r="CC201" s="129">
        <v>9.4000000000000021</v>
      </c>
      <c r="CD201" s="129">
        <v>9.4000000000000021</v>
      </c>
      <c r="CE201" s="129">
        <v>9.4000000000000021</v>
      </c>
      <c r="CF201" s="129">
        <v>9.4000000000000021</v>
      </c>
      <c r="CG201" s="129">
        <v>9.4000000000000021</v>
      </c>
      <c r="CH201" s="129">
        <v>9.4000000000000021</v>
      </c>
      <c r="CI201" s="129">
        <v>9.4000000000000021</v>
      </c>
      <c r="CJ201" s="129">
        <v>9.4000000000000021</v>
      </c>
      <c r="CK201" s="129">
        <v>9.4000000000000021</v>
      </c>
      <c r="CL201" s="129">
        <v>19.600000000000001</v>
      </c>
      <c r="CN201" s="129">
        <v>11.400000000000002</v>
      </c>
      <c r="CO201" s="129">
        <v>11.400000000000002</v>
      </c>
      <c r="CP201" s="129">
        <v>11.400000000000002</v>
      </c>
      <c r="CQ201" s="129">
        <v>11.400000000000002</v>
      </c>
      <c r="CR201" s="129">
        <v>11.400000000000002</v>
      </c>
      <c r="CS201" s="129">
        <v>11.400000000000002</v>
      </c>
      <c r="CT201" s="129">
        <v>11.400000000000002</v>
      </c>
      <c r="CU201" s="129">
        <v>11.400000000000002</v>
      </c>
      <c r="CV201" s="129">
        <v>11.400000000000002</v>
      </c>
      <c r="CW201" s="129">
        <v>19.600000000000001</v>
      </c>
      <c r="CY201" s="129">
        <v>16</v>
      </c>
      <c r="CZ201" s="129">
        <v>16</v>
      </c>
      <c r="DA201" s="129">
        <v>16</v>
      </c>
      <c r="DB201" s="129">
        <v>16</v>
      </c>
      <c r="DC201" s="129">
        <v>16</v>
      </c>
      <c r="DD201" s="129">
        <v>16</v>
      </c>
      <c r="DE201" s="129">
        <v>16</v>
      </c>
      <c r="DF201" s="129">
        <v>16</v>
      </c>
      <c r="DG201" s="129">
        <v>16</v>
      </c>
      <c r="DH201" s="129">
        <v>19.600000000000001</v>
      </c>
      <c r="DJ201" s="129">
        <v>16</v>
      </c>
      <c r="DK201" s="129">
        <v>16</v>
      </c>
      <c r="DL201" s="129">
        <v>16</v>
      </c>
      <c r="DM201" s="129">
        <v>16</v>
      </c>
      <c r="DN201" s="129">
        <v>16</v>
      </c>
      <c r="DO201" s="129">
        <v>16</v>
      </c>
      <c r="DP201" s="129">
        <v>16</v>
      </c>
      <c r="DQ201" s="129">
        <v>16</v>
      </c>
      <c r="DR201" s="129">
        <v>16</v>
      </c>
      <c r="DS201" s="129">
        <v>19.600000000000001</v>
      </c>
      <c r="DW201" s="27"/>
      <c r="EF201" s="129">
        <v>21.6</v>
      </c>
      <c r="EH201" s="27">
        <v>8.4000000000000021</v>
      </c>
      <c r="EI201" s="27">
        <v>8.4000000000000021</v>
      </c>
      <c r="EJ201" s="27">
        <v>8.4000000000000021</v>
      </c>
      <c r="EK201" s="27">
        <v>8.4000000000000021</v>
      </c>
      <c r="EL201" s="27">
        <v>8.4000000000000021</v>
      </c>
      <c r="EM201" s="27">
        <v>8.4000000000000021</v>
      </c>
      <c r="EN201" s="27">
        <v>8.4000000000000021</v>
      </c>
      <c r="EO201" s="27">
        <v>8.4000000000000021</v>
      </c>
      <c r="EP201" s="27">
        <v>8.4000000000000021</v>
      </c>
      <c r="EQ201" s="129">
        <v>21.6</v>
      </c>
      <c r="ES201" s="27">
        <v>21.800000000000004</v>
      </c>
      <c r="ET201" s="27">
        <v>21.800000000000004</v>
      </c>
      <c r="EU201" s="27">
        <v>21.800000000000004</v>
      </c>
      <c r="EV201" s="27">
        <v>21.800000000000004</v>
      </c>
      <c r="EW201" s="27">
        <v>21.800000000000004</v>
      </c>
      <c r="EX201" s="27">
        <v>21.800000000000004</v>
      </c>
      <c r="EY201" s="27">
        <v>21.800000000000004</v>
      </c>
      <c r="EZ201" s="27">
        <v>21.800000000000004</v>
      </c>
      <c r="FA201" s="27">
        <v>21.800000000000004</v>
      </c>
      <c r="FB201" s="129">
        <v>21.6</v>
      </c>
      <c r="FD201" s="27">
        <v>23.399999999999991</v>
      </c>
      <c r="FE201" s="27">
        <v>23.399999999999991</v>
      </c>
      <c r="FF201" s="27">
        <v>23.399999999999991</v>
      </c>
      <c r="FG201" s="27">
        <v>23.399999999999991</v>
      </c>
      <c r="FH201" s="27">
        <v>23.399999999999991</v>
      </c>
      <c r="FI201" s="27">
        <v>23.399999999999991</v>
      </c>
      <c r="FJ201" s="27">
        <v>23.399999999999991</v>
      </c>
      <c r="FK201" s="27">
        <v>23.399999999999991</v>
      </c>
      <c r="FL201" s="27">
        <v>23.399999999999991</v>
      </c>
      <c r="FM201" s="129">
        <v>21.6</v>
      </c>
      <c r="FO201" s="27">
        <v>36.799999999999983</v>
      </c>
      <c r="FP201" s="27">
        <v>36.799999999999983</v>
      </c>
      <c r="FQ201" s="27">
        <v>36.799999999999983</v>
      </c>
      <c r="FR201" s="27">
        <v>36.799999999999983</v>
      </c>
      <c r="FS201" s="27">
        <v>36.799999999999983</v>
      </c>
      <c r="FT201" s="27">
        <v>36.799999999999983</v>
      </c>
      <c r="FU201" s="27">
        <v>36.799999999999983</v>
      </c>
      <c r="FV201" s="27">
        <v>36.799999999999983</v>
      </c>
      <c r="FW201" s="27">
        <v>36.799999999999983</v>
      </c>
      <c r="FX201" s="129">
        <v>21.6</v>
      </c>
      <c r="FZ201" s="27">
        <v>36.799999999999983</v>
      </c>
      <c r="GA201" s="27">
        <v>36.799999999999983</v>
      </c>
      <c r="GB201" s="27">
        <v>36.799999999999983</v>
      </c>
      <c r="GC201" s="27">
        <v>36.799999999999983</v>
      </c>
      <c r="GD201" s="27">
        <v>36.799999999999983</v>
      </c>
      <c r="GE201" s="27">
        <v>36.799999999999983</v>
      </c>
      <c r="GF201" s="27">
        <v>36.799999999999983</v>
      </c>
      <c r="GG201" s="27">
        <v>36.799999999999983</v>
      </c>
      <c r="GH201" s="27">
        <v>36.799999999999983</v>
      </c>
      <c r="GI201" s="129">
        <v>21.6</v>
      </c>
      <c r="GJ201" s="27"/>
      <c r="GK201" s="27">
        <v>9</v>
      </c>
      <c r="GL201" s="27">
        <v>9</v>
      </c>
      <c r="GM201" s="27">
        <v>9</v>
      </c>
      <c r="GN201" s="27">
        <v>9</v>
      </c>
      <c r="GO201" s="27">
        <v>9</v>
      </c>
      <c r="GP201" s="27">
        <v>9</v>
      </c>
      <c r="GQ201" s="27">
        <v>9</v>
      </c>
      <c r="GR201" s="27">
        <v>9</v>
      </c>
      <c r="GS201" s="27">
        <v>9</v>
      </c>
      <c r="GT201" s="129">
        <v>21.6</v>
      </c>
      <c r="GV201" s="27">
        <v>10.400000000000002</v>
      </c>
      <c r="GW201" s="27">
        <v>10.400000000000002</v>
      </c>
      <c r="GX201" s="27">
        <v>10.400000000000002</v>
      </c>
      <c r="GY201" s="27">
        <v>10.400000000000002</v>
      </c>
      <c r="GZ201" s="27">
        <v>10.400000000000002</v>
      </c>
      <c r="HA201" s="27">
        <v>10.400000000000002</v>
      </c>
      <c r="HB201" s="27">
        <v>10.400000000000002</v>
      </c>
      <c r="HC201" s="27">
        <v>10.400000000000002</v>
      </c>
      <c r="HD201" s="27">
        <v>10.400000000000002</v>
      </c>
      <c r="HE201" s="129">
        <v>21.6</v>
      </c>
      <c r="HG201" s="27">
        <v>14.400000000000002</v>
      </c>
      <c r="HH201" s="27">
        <v>14.400000000000002</v>
      </c>
      <c r="HI201" s="27">
        <v>14.400000000000002</v>
      </c>
      <c r="HJ201" s="27">
        <v>14.400000000000002</v>
      </c>
      <c r="HK201" s="27">
        <v>14.400000000000002</v>
      </c>
      <c r="HL201" s="27">
        <v>14.400000000000002</v>
      </c>
      <c r="HM201" s="27">
        <v>14.400000000000002</v>
      </c>
      <c r="HN201" s="27">
        <v>14.400000000000002</v>
      </c>
      <c r="HO201" s="27">
        <v>14.400000000000002</v>
      </c>
      <c r="HP201" s="129">
        <v>21.6</v>
      </c>
      <c r="HR201" s="27">
        <v>14.400000000000002</v>
      </c>
      <c r="HS201" s="27">
        <v>14.400000000000002</v>
      </c>
      <c r="HT201" s="27">
        <v>14.400000000000002</v>
      </c>
      <c r="HU201" s="27">
        <v>14.400000000000002</v>
      </c>
      <c r="HV201" s="27">
        <v>14.400000000000002</v>
      </c>
      <c r="HW201" s="27">
        <v>14.400000000000002</v>
      </c>
      <c r="HX201" s="27">
        <v>14.400000000000002</v>
      </c>
      <c r="HY201" s="27">
        <v>14.400000000000002</v>
      </c>
      <c r="HZ201" s="27">
        <v>14.400000000000002</v>
      </c>
      <c r="IA201" s="129">
        <v>21.6</v>
      </c>
    </row>
    <row r="202" spans="15:235" ht="3" customHeight="1">
      <c r="O202" s="17"/>
      <c r="P202" s="17"/>
      <c r="Q202" s="17"/>
      <c r="R202" s="17"/>
      <c r="S202" s="17"/>
      <c r="T202" s="17"/>
      <c r="U202" s="17"/>
      <c r="V202" s="17"/>
      <c r="W202" s="17"/>
      <c r="X202" s="129">
        <v>19.7</v>
      </c>
      <c r="Y202" s="27"/>
      <c r="AI202" s="129">
        <v>19.7</v>
      </c>
      <c r="AK202" s="129">
        <v>11.600000000000005</v>
      </c>
      <c r="AL202" s="129">
        <v>11.600000000000005</v>
      </c>
      <c r="AM202" s="129">
        <v>11.600000000000005</v>
      </c>
      <c r="AN202" s="129">
        <v>11.600000000000005</v>
      </c>
      <c r="AO202" s="129">
        <v>11.600000000000005</v>
      </c>
      <c r="AP202" s="129">
        <v>11.600000000000005</v>
      </c>
      <c r="AQ202" s="129">
        <v>11.600000000000005</v>
      </c>
      <c r="AR202" s="129">
        <v>11.600000000000005</v>
      </c>
      <c r="AS202" s="129">
        <v>11.600000000000005</v>
      </c>
      <c r="AT202" s="129">
        <v>19.7</v>
      </c>
      <c r="AV202" s="129">
        <v>15.899999999999995</v>
      </c>
      <c r="AW202" s="129">
        <v>15.899999999999995</v>
      </c>
      <c r="AX202" s="129">
        <v>15.899999999999995</v>
      </c>
      <c r="AY202" s="129">
        <v>15.899999999999995</v>
      </c>
      <c r="AZ202" s="129">
        <v>15.899999999999995</v>
      </c>
      <c r="BA202" s="129">
        <v>15.899999999999995</v>
      </c>
      <c r="BB202" s="129">
        <v>15.899999999999995</v>
      </c>
      <c r="BC202" s="129">
        <v>15.899999999999995</v>
      </c>
      <c r="BD202" s="129">
        <v>15.899999999999995</v>
      </c>
      <c r="BE202" s="129">
        <v>19.7</v>
      </c>
      <c r="BG202" s="129">
        <v>21.899999999999995</v>
      </c>
      <c r="BH202" s="129">
        <v>21.899999999999995</v>
      </c>
      <c r="BI202" s="129">
        <v>21.899999999999995</v>
      </c>
      <c r="BJ202" s="129">
        <v>21.899999999999995</v>
      </c>
      <c r="BK202" s="129">
        <v>21.899999999999995</v>
      </c>
      <c r="BL202" s="129">
        <v>21.899999999999995</v>
      </c>
      <c r="BM202" s="129">
        <v>21.899999999999995</v>
      </c>
      <c r="BN202" s="129">
        <v>21.899999999999995</v>
      </c>
      <c r="BO202" s="129">
        <v>21.899999999999995</v>
      </c>
      <c r="BP202" s="129">
        <v>19.7</v>
      </c>
      <c r="BR202" s="129">
        <v>21.899999999999995</v>
      </c>
      <c r="BS202" s="129">
        <v>21.899999999999995</v>
      </c>
      <c r="BT202" s="129">
        <v>21.899999999999995</v>
      </c>
      <c r="BU202" s="129">
        <v>21.899999999999995</v>
      </c>
      <c r="BV202" s="129">
        <v>21.899999999999995</v>
      </c>
      <c r="BW202" s="129">
        <v>21.899999999999995</v>
      </c>
      <c r="BX202" s="129">
        <v>21.899999999999995</v>
      </c>
      <c r="BY202" s="129">
        <v>21.899999999999995</v>
      </c>
      <c r="BZ202" s="129">
        <v>21.899999999999995</v>
      </c>
      <c r="CA202" s="129">
        <v>19.7</v>
      </c>
      <c r="CC202" s="129">
        <v>9.3000000000000025</v>
      </c>
      <c r="CD202" s="129">
        <v>9.3000000000000025</v>
      </c>
      <c r="CE202" s="129">
        <v>9.3000000000000025</v>
      </c>
      <c r="CF202" s="129">
        <v>9.3000000000000025</v>
      </c>
      <c r="CG202" s="129">
        <v>9.3000000000000025</v>
      </c>
      <c r="CH202" s="129">
        <v>9.3000000000000025</v>
      </c>
      <c r="CI202" s="129">
        <v>9.3000000000000025</v>
      </c>
      <c r="CJ202" s="129">
        <v>9.3000000000000025</v>
      </c>
      <c r="CK202" s="129">
        <v>9.3000000000000025</v>
      </c>
      <c r="CL202" s="129">
        <v>19.7</v>
      </c>
      <c r="CN202" s="129">
        <v>11.300000000000002</v>
      </c>
      <c r="CO202" s="129">
        <v>11.300000000000002</v>
      </c>
      <c r="CP202" s="129">
        <v>11.300000000000002</v>
      </c>
      <c r="CQ202" s="129">
        <v>11.300000000000002</v>
      </c>
      <c r="CR202" s="129">
        <v>11.300000000000002</v>
      </c>
      <c r="CS202" s="129">
        <v>11.300000000000002</v>
      </c>
      <c r="CT202" s="129">
        <v>11.300000000000002</v>
      </c>
      <c r="CU202" s="129">
        <v>11.300000000000002</v>
      </c>
      <c r="CV202" s="129">
        <v>11.300000000000002</v>
      </c>
      <c r="CW202" s="129">
        <v>19.7</v>
      </c>
      <c r="CY202" s="129">
        <v>16</v>
      </c>
      <c r="CZ202" s="129">
        <v>16</v>
      </c>
      <c r="DA202" s="129">
        <v>16</v>
      </c>
      <c r="DB202" s="129">
        <v>16</v>
      </c>
      <c r="DC202" s="129">
        <v>16</v>
      </c>
      <c r="DD202" s="129">
        <v>16</v>
      </c>
      <c r="DE202" s="129">
        <v>16</v>
      </c>
      <c r="DF202" s="129">
        <v>16</v>
      </c>
      <c r="DG202" s="129">
        <v>16</v>
      </c>
      <c r="DH202" s="129">
        <v>19.7</v>
      </c>
      <c r="DJ202" s="129">
        <v>16</v>
      </c>
      <c r="DK202" s="129">
        <v>16</v>
      </c>
      <c r="DL202" s="129">
        <v>16</v>
      </c>
      <c r="DM202" s="129">
        <v>16</v>
      </c>
      <c r="DN202" s="129">
        <v>16</v>
      </c>
      <c r="DO202" s="129">
        <v>16</v>
      </c>
      <c r="DP202" s="129">
        <v>16</v>
      </c>
      <c r="DQ202" s="129">
        <v>16</v>
      </c>
      <c r="DR202" s="129">
        <v>16</v>
      </c>
      <c r="DS202" s="129">
        <v>19.7</v>
      </c>
      <c r="DW202" s="27"/>
      <c r="EF202" s="129">
        <v>21.7</v>
      </c>
      <c r="EH202" s="27">
        <v>8.3000000000000025</v>
      </c>
      <c r="EI202" s="27">
        <v>8.3000000000000025</v>
      </c>
      <c r="EJ202" s="27">
        <v>8.3000000000000025</v>
      </c>
      <c r="EK202" s="27">
        <v>8.3000000000000025</v>
      </c>
      <c r="EL202" s="27">
        <v>8.3000000000000025</v>
      </c>
      <c r="EM202" s="27">
        <v>8.3000000000000025</v>
      </c>
      <c r="EN202" s="27">
        <v>8.3000000000000025</v>
      </c>
      <c r="EO202" s="27">
        <v>8.3000000000000025</v>
      </c>
      <c r="EP202" s="27">
        <v>8.3000000000000025</v>
      </c>
      <c r="EQ202" s="129">
        <v>21.7</v>
      </c>
      <c r="ES202" s="27">
        <v>21.600000000000005</v>
      </c>
      <c r="ET202" s="27">
        <v>21.600000000000005</v>
      </c>
      <c r="EU202" s="27">
        <v>21.600000000000005</v>
      </c>
      <c r="EV202" s="27">
        <v>21.600000000000005</v>
      </c>
      <c r="EW202" s="27">
        <v>21.600000000000005</v>
      </c>
      <c r="EX202" s="27">
        <v>21.600000000000005</v>
      </c>
      <c r="EY202" s="27">
        <v>21.600000000000005</v>
      </c>
      <c r="EZ202" s="27">
        <v>21.600000000000005</v>
      </c>
      <c r="FA202" s="27">
        <v>21.600000000000005</v>
      </c>
      <c r="FB202" s="129">
        <v>21.7</v>
      </c>
      <c r="FD202" s="27">
        <v>23.29999999999999</v>
      </c>
      <c r="FE202" s="27">
        <v>23.29999999999999</v>
      </c>
      <c r="FF202" s="27">
        <v>23.29999999999999</v>
      </c>
      <c r="FG202" s="27">
        <v>23.29999999999999</v>
      </c>
      <c r="FH202" s="27">
        <v>23.29999999999999</v>
      </c>
      <c r="FI202" s="27">
        <v>23.29999999999999</v>
      </c>
      <c r="FJ202" s="27">
        <v>23.29999999999999</v>
      </c>
      <c r="FK202" s="27">
        <v>23.29999999999999</v>
      </c>
      <c r="FL202" s="27">
        <v>23.29999999999999</v>
      </c>
      <c r="FM202" s="129">
        <v>21.7</v>
      </c>
      <c r="FO202" s="27">
        <v>36.59999999999998</v>
      </c>
      <c r="FP202" s="27">
        <v>36.59999999999998</v>
      </c>
      <c r="FQ202" s="27">
        <v>36.59999999999998</v>
      </c>
      <c r="FR202" s="27">
        <v>36.59999999999998</v>
      </c>
      <c r="FS202" s="27">
        <v>36.59999999999998</v>
      </c>
      <c r="FT202" s="27">
        <v>36.59999999999998</v>
      </c>
      <c r="FU202" s="27">
        <v>36.59999999999998</v>
      </c>
      <c r="FV202" s="27">
        <v>36.59999999999998</v>
      </c>
      <c r="FW202" s="27">
        <v>36.59999999999998</v>
      </c>
      <c r="FX202" s="129">
        <v>21.7</v>
      </c>
      <c r="FZ202" s="27">
        <v>36.59999999999998</v>
      </c>
      <c r="GA202" s="27">
        <v>36.59999999999998</v>
      </c>
      <c r="GB202" s="27">
        <v>36.59999999999998</v>
      </c>
      <c r="GC202" s="27">
        <v>36.59999999999998</v>
      </c>
      <c r="GD202" s="27">
        <v>36.59999999999998</v>
      </c>
      <c r="GE202" s="27">
        <v>36.59999999999998</v>
      </c>
      <c r="GF202" s="27">
        <v>36.59999999999998</v>
      </c>
      <c r="GG202" s="27">
        <v>36.59999999999998</v>
      </c>
      <c r="GH202" s="27">
        <v>36.59999999999998</v>
      </c>
      <c r="GI202" s="129">
        <v>21.7</v>
      </c>
      <c r="GJ202" s="27"/>
      <c r="GK202" s="27">
        <v>9</v>
      </c>
      <c r="GL202" s="27">
        <v>9</v>
      </c>
      <c r="GM202" s="27">
        <v>9</v>
      </c>
      <c r="GN202" s="27">
        <v>9</v>
      </c>
      <c r="GO202" s="27">
        <v>9</v>
      </c>
      <c r="GP202" s="27">
        <v>9</v>
      </c>
      <c r="GQ202" s="27">
        <v>9</v>
      </c>
      <c r="GR202" s="27">
        <v>9</v>
      </c>
      <c r="GS202" s="27">
        <v>9</v>
      </c>
      <c r="GT202" s="129">
        <v>21.7</v>
      </c>
      <c r="GV202" s="27">
        <v>10.300000000000002</v>
      </c>
      <c r="GW202" s="27">
        <v>10.300000000000002</v>
      </c>
      <c r="GX202" s="27">
        <v>10.300000000000002</v>
      </c>
      <c r="GY202" s="27">
        <v>10.300000000000002</v>
      </c>
      <c r="GZ202" s="27">
        <v>10.300000000000002</v>
      </c>
      <c r="HA202" s="27">
        <v>10.300000000000002</v>
      </c>
      <c r="HB202" s="27">
        <v>10.300000000000002</v>
      </c>
      <c r="HC202" s="27">
        <v>10.300000000000002</v>
      </c>
      <c r="HD202" s="27">
        <v>10.300000000000002</v>
      </c>
      <c r="HE202" s="129">
        <v>21.7</v>
      </c>
      <c r="HG202" s="27">
        <v>14.300000000000002</v>
      </c>
      <c r="HH202" s="27">
        <v>14.300000000000002</v>
      </c>
      <c r="HI202" s="27">
        <v>14.300000000000002</v>
      </c>
      <c r="HJ202" s="27">
        <v>14.300000000000002</v>
      </c>
      <c r="HK202" s="27">
        <v>14.300000000000002</v>
      </c>
      <c r="HL202" s="27">
        <v>14.300000000000002</v>
      </c>
      <c r="HM202" s="27">
        <v>14.300000000000002</v>
      </c>
      <c r="HN202" s="27">
        <v>14.300000000000002</v>
      </c>
      <c r="HO202" s="27">
        <v>14.300000000000002</v>
      </c>
      <c r="HP202" s="129">
        <v>21.7</v>
      </c>
      <c r="HR202" s="27">
        <v>14.300000000000002</v>
      </c>
      <c r="HS202" s="27">
        <v>14.300000000000002</v>
      </c>
      <c r="HT202" s="27">
        <v>14.300000000000002</v>
      </c>
      <c r="HU202" s="27">
        <v>14.300000000000002</v>
      </c>
      <c r="HV202" s="27">
        <v>14.300000000000002</v>
      </c>
      <c r="HW202" s="27">
        <v>14.300000000000002</v>
      </c>
      <c r="HX202" s="27">
        <v>14.300000000000002</v>
      </c>
      <c r="HY202" s="27">
        <v>14.300000000000002</v>
      </c>
      <c r="HZ202" s="27">
        <v>14.300000000000002</v>
      </c>
      <c r="IA202" s="129">
        <v>21.7</v>
      </c>
    </row>
    <row r="203" spans="15:235" ht="3" customHeight="1">
      <c r="O203" s="17"/>
      <c r="P203" s="17"/>
      <c r="Q203" s="17"/>
      <c r="R203" s="17"/>
      <c r="S203" s="17"/>
      <c r="T203" s="17"/>
      <c r="U203" s="17"/>
      <c r="V203" s="17"/>
      <c r="W203" s="17"/>
      <c r="X203" s="129">
        <v>19.8</v>
      </c>
      <c r="Y203" s="27"/>
      <c r="AI203" s="129">
        <v>19.8</v>
      </c>
      <c r="AK203" s="129">
        <v>11.400000000000006</v>
      </c>
      <c r="AL203" s="129">
        <v>11.400000000000006</v>
      </c>
      <c r="AM203" s="129">
        <v>11.400000000000006</v>
      </c>
      <c r="AN203" s="129">
        <v>11.400000000000006</v>
      </c>
      <c r="AO203" s="129">
        <v>11.400000000000006</v>
      </c>
      <c r="AP203" s="129">
        <v>11.400000000000006</v>
      </c>
      <c r="AQ203" s="129">
        <v>11.400000000000006</v>
      </c>
      <c r="AR203" s="129">
        <v>11.400000000000006</v>
      </c>
      <c r="AS203" s="129">
        <v>11.400000000000006</v>
      </c>
      <c r="AT203" s="129">
        <v>19.8</v>
      </c>
      <c r="AV203" s="129">
        <v>15.599999999999994</v>
      </c>
      <c r="AW203" s="129">
        <v>15.599999999999994</v>
      </c>
      <c r="AX203" s="129">
        <v>15.599999999999994</v>
      </c>
      <c r="AY203" s="129">
        <v>15.599999999999994</v>
      </c>
      <c r="AZ203" s="129">
        <v>15.599999999999994</v>
      </c>
      <c r="BA203" s="129">
        <v>15.599999999999994</v>
      </c>
      <c r="BB203" s="129">
        <v>15.599999999999994</v>
      </c>
      <c r="BC203" s="129">
        <v>15.599999999999994</v>
      </c>
      <c r="BD203" s="129">
        <v>15.599999999999994</v>
      </c>
      <c r="BE203" s="129">
        <v>19.8</v>
      </c>
      <c r="BG203" s="129">
        <v>21.599999999999994</v>
      </c>
      <c r="BH203" s="129">
        <v>21.599999999999994</v>
      </c>
      <c r="BI203" s="129">
        <v>21.599999999999994</v>
      </c>
      <c r="BJ203" s="129">
        <v>21.599999999999994</v>
      </c>
      <c r="BK203" s="129">
        <v>21.599999999999994</v>
      </c>
      <c r="BL203" s="129">
        <v>21.599999999999994</v>
      </c>
      <c r="BM203" s="129">
        <v>21.599999999999994</v>
      </c>
      <c r="BN203" s="129">
        <v>21.599999999999994</v>
      </c>
      <c r="BO203" s="129">
        <v>21.599999999999994</v>
      </c>
      <c r="BP203" s="129">
        <v>19.8</v>
      </c>
      <c r="BR203" s="129">
        <v>21.599999999999994</v>
      </c>
      <c r="BS203" s="129">
        <v>21.599999999999994</v>
      </c>
      <c r="BT203" s="129">
        <v>21.599999999999994</v>
      </c>
      <c r="BU203" s="129">
        <v>21.599999999999994</v>
      </c>
      <c r="BV203" s="129">
        <v>21.599999999999994</v>
      </c>
      <c r="BW203" s="129">
        <v>21.599999999999994</v>
      </c>
      <c r="BX203" s="129">
        <v>21.599999999999994</v>
      </c>
      <c r="BY203" s="129">
        <v>21.599999999999994</v>
      </c>
      <c r="BZ203" s="129">
        <v>21.599999999999994</v>
      </c>
      <c r="CA203" s="129">
        <v>19.8</v>
      </c>
      <c r="CC203" s="129">
        <v>9.2000000000000028</v>
      </c>
      <c r="CD203" s="129">
        <v>9.2000000000000028</v>
      </c>
      <c r="CE203" s="129">
        <v>9.2000000000000028</v>
      </c>
      <c r="CF203" s="129">
        <v>9.2000000000000028</v>
      </c>
      <c r="CG203" s="129">
        <v>9.2000000000000028</v>
      </c>
      <c r="CH203" s="129">
        <v>9.2000000000000028</v>
      </c>
      <c r="CI203" s="129">
        <v>9.2000000000000028</v>
      </c>
      <c r="CJ203" s="129">
        <v>9.2000000000000028</v>
      </c>
      <c r="CK203" s="129">
        <v>9.2000000000000028</v>
      </c>
      <c r="CL203" s="129">
        <v>19.8</v>
      </c>
      <c r="CN203" s="129">
        <v>11.200000000000003</v>
      </c>
      <c r="CO203" s="129">
        <v>11.200000000000003</v>
      </c>
      <c r="CP203" s="129">
        <v>11.200000000000003</v>
      </c>
      <c r="CQ203" s="129">
        <v>11.200000000000003</v>
      </c>
      <c r="CR203" s="129">
        <v>11.200000000000003</v>
      </c>
      <c r="CS203" s="129">
        <v>11.200000000000003</v>
      </c>
      <c r="CT203" s="129">
        <v>11.200000000000003</v>
      </c>
      <c r="CU203" s="129">
        <v>11.200000000000003</v>
      </c>
      <c r="CV203" s="129">
        <v>11.200000000000003</v>
      </c>
      <c r="CW203" s="129">
        <v>19.8</v>
      </c>
      <c r="CY203" s="129">
        <v>16</v>
      </c>
      <c r="CZ203" s="129">
        <v>16</v>
      </c>
      <c r="DA203" s="129">
        <v>16</v>
      </c>
      <c r="DB203" s="129">
        <v>16</v>
      </c>
      <c r="DC203" s="129">
        <v>16</v>
      </c>
      <c r="DD203" s="129">
        <v>16</v>
      </c>
      <c r="DE203" s="129">
        <v>16</v>
      </c>
      <c r="DF203" s="129">
        <v>16</v>
      </c>
      <c r="DG203" s="129">
        <v>16</v>
      </c>
      <c r="DH203" s="129">
        <v>19.8</v>
      </c>
      <c r="DJ203" s="129">
        <v>16</v>
      </c>
      <c r="DK203" s="129">
        <v>16</v>
      </c>
      <c r="DL203" s="129">
        <v>16</v>
      </c>
      <c r="DM203" s="129">
        <v>16</v>
      </c>
      <c r="DN203" s="129">
        <v>16</v>
      </c>
      <c r="DO203" s="129">
        <v>16</v>
      </c>
      <c r="DP203" s="129">
        <v>16</v>
      </c>
      <c r="DQ203" s="129">
        <v>16</v>
      </c>
      <c r="DR203" s="129">
        <v>16</v>
      </c>
      <c r="DS203" s="129">
        <v>19.8</v>
      </c>
      <c r="DW203" s="27"/>
      <c r="EF203" s="129">
        <v>21.8</v>
      </c>
      <c r="EH203" s="27">
        <v>8.2000000000000028</v>
      </c>
      <c r="EI203" s="27">
        <v>8.2000000000000028</v>
      </c>
      <c r="EJ203" s="27">
        <v>8.2000000000000028</v>
      </c>
      <c r="EK203" s="27">
        <v>8.2000000000000028</v>
      </c>
      <c r="EL203" s="27">
        <v>8.2000000000000028</v>
      </c>
      <c r="EM203" s="27">
        <v>8.2000000000000028</v>
      </c>
      <c r="EN203" s="27">
        <v>8.2000000000000028</v>
      </c>
      <c r="EO203" s="27">
        <v>8.2000000000000028</v>
      </c>
      <c r="EP203" s="27">
        <v>8.2000000000000028</v>
      </c>
      <c r="EQ203" s="129">
        <v>21.8</v>
      </c>
      <c r="ES203" s="27">
        <v>21.400000000000006</v>
      </c>
      <c r="ET203" s="27">
        <v>21.400000000000006</v>
      </c>
      <c r="EU203" s="27">
        <v>21.400000000000006</v>
      </c>
      <c r="EV203" s="27">
        <v>21.400000000000006</v>
      </c>
      <c r="EW203" s="27">
        <v>21.400000000000006</v>
      </c>
      <c r="EX203" s="27">
        <v>21.400000000000006</v>
      </c>
      <c r="EY203" s="27">
        <v>21.400000000000006</v>
      </c>
      <c r="EZ203" s="27">
        <v>21.400000000000006</v>
      </c>
      <c r="FA203" s="27">
        <v>21.400000000000006</v>
      </c>
      <c r="FB203" s="129">
        <v>21.8</v>
      </c>
      <c r="FD203" s="27">
        <v>23.199999999999989</v>
      </c>
      <c r="FE203" s="27">
        <v>23.199999999999989</v>
      </c>
      <c r="FF203" s="27">
        <v>23.199999999999989</v>
      </c>
      <c r="FG203" s="27">
        <v>23.199999999999989</v>
      </c>
      <c r="FH203" s="27">
        <v>23.199999999999989</v>
      </c>
      <c r="FI203" s="27">
        <v>23.199999999999989</v>
      </c>
      <c r="FJ203" s="27">
        <v>23.199999999999989</v>
      </c>
      <c r="FK203" s="27">
        <v>23.199999999999989</v>
      </c>
      <c r="FL203" s="27">
        <v>23.199999999999989</v>
      </c>
      <c r="FM203" s="129">
        <v>21.8</v>
      </c>
      <c r="FO203" s="27">
        <v>36.399999999999977</v>
      </c>
      <c r="FP203" s="27">
        <v>36.399999999999977</v>
      </c>
      <c r="FQ203" s="27">
        <v>36.399999999999977</v>
      </c>
      <c r="FR203" s="27">
        <v>36.399999999999977</v>
      </c>
      <c r="FS203" s="27">
        <v>36.399999999999977</v>
      </c>
      <c r="FT203" s="27">
        <v>36.399999999999977</v>
      </c>
      <c r="FU203" s="27">
        <v>36.399999999999977</v>
      </c>
      <c r="FV203" s="27">
        <v>36.399999999999977</v>
      </c>
      <c r="FW203" s="27">
        <v>36.399999999999977</v>
      </c>
      <c r="FX203" s="129">
        <v>21.8</v>
      </c>
      <c r="FZ203" s="27">
        <v>36.399999999999977</v>
      </c>
      <c r="GA203" s="27">
        <v>36.399999999999977</v>
      </c>
      <c r="GB203" s="27">
        <v>36.399999999999977</v>
      </c>
      <c r="GC203" s="27">
        <v>36.399999999999977</v>
      </c>
      <c r="GD203" s="27">
        <v>36.399999999999977</v>
      </c>
      <c r="GE203" s="27">
        <v>36.399999999999977</v>
      </c>
      <c r="GF203" s="27">
        <v>36.399999999999977</v>
      </c>
      <c r="GG203" s="27">
        <v>36.399999999999977</v>
      </c>
      <c r="GH203" s="27">
        <v>36.399999999999977</v>
      </c>
      <c r="GI203" s="129">
        <v>21.8</v>
      </c>
      <c r="GJ203" s="27"/>
      <c r="GK203" s="27">
        <v>9</v>
      </c>
      <c r="GL203" s="27">
        <v>9</v>
      </c>
      <c r="GM203" s="27">
        <v>9</v>
      </c>
      <c r="GN203" s="27">
        <v>9</v>
      </c>
      <c r="GO203" s="27">
        <v>9</v>
      </c>
      <c r="GP203" s="27">
        <v>9</v>
      </c>
      <c r="GQ203" s="27">
        <v>9</v>
      </c>
      <c r="GR203" s="27">
        <v>9</v>
      </c>
      <c r="GS203" s="27">
        <v>9</v>
      </c>
      <c r="GT203" s="129">
        <v>21.8</v>
      </c>
      <c r="GV203" s="27">
        <v>10.200000000000003</v>
      </c>
      <c r="GW203" s="27">
        <v>10.200000000000003</v>
      </c>
      <c r="GX203" s="27">
        <v>10.200000000000003</v>
      </c>
      <c r="GY203" s="27">
        <v>10.200000000000003</v>
      </c>
      <c r="GZ203" s="27">
        <v>10.200000000000003</v>
      </c>
      <c r="HA203" s="27">
        <v>10.200000000000003</v>
      </c>
      <c r="HB203" s="27">
        <v>10.200000000000003</v>
      </c>
      <c r="HC203" s="27">
        <v>10.200000000000003</v>
      </c>
      <c r="HD203" s="27">
        <v>10.200000000000003</v>
      </c>
      <c r="HE203" s="129">
        <v>21.8</v>
      </c>
      <c r="HG203" s="27">
        <v>14.200000000000003</v>
      </c>
      <c r="HH203" s="27">
        <v>14.200000000000003</v>
      </c>
      <c r="HI203" s="27">
        <v>14.200000000000003</v>
      </c>
      <c r="HJ203" s="27">
        <v>14.200000000000003</v>
      </c>
      <c r="HK203" s="27">
        <v>14.200000000000003</v>
      </c>
      <c r="HL203" s="27">
        <v>14.200000000000003</v>
      </c>
      <c r="HM203" s="27">
        <v>14.200000000000003</v>
      </c>
      <c r="HN203" s="27">
        <v>14.200000000000003</v>
      </c>
      <c r="HO203" s="27">
        <v>14.200000000000003</v>
      </c>
      <c r="HP203" s="129">
        <v>21.8</v>
      </c>
      <c r="HR203" s="27">
        <v>14.200000000000003</v>
      </c>
      <c r="HS203" s="27">
        <v>14.200000000000003</v>
      </c>
      <c r="HT203" s="27">
        <v>14.200000000000003</v>
      </c>
      <c r="HU203" s="27">
        <v>14.200000000000003</v>
      </c>
      <c r="HV203" s="27">
        <v>14.200000000000003</v>
      </c>
      <c r="HW203" s="27">
        <v>14.200000000000003</v>
      </c>
      <c r="HX203" s="27">
        <v>14.200000000000003</v>
      </c>
      <c r="HY203" s="27">
        <v>14.200000000000003</v>
      </c>
      <c r="HZ203" s="27">
        <v>14.200000000000003</v>
      </c>
      <c r="IA203" s="129">
        <v>21.8</v>
      </c>
    </row>
    <row r="204" spans="15:235" ht="3" customHeight="1">
      <c r="O204" s="17"/>
      <c r="P204" s="17"/>
      <c r="Q204" s="17"/>
      <c r="R204" s="17"/>
      <c r="S204" s="17"/>
      <c r="T204" s="17"/>
      <c r="U204" s="17"/>
      <c r="V204" s="17"/>
      <c r="W204" s="17"/>
      <c r="X204" s="129">
        <v>19.899999999999999</v>
      </c>
      <c r="Y204" s="27"/>
      <c r="AI204" s="129">
        <v>19.899999999999999</v>
      </c>
      <c r="AK204" s="129">
        <v>11.200000000000006</v>
      </c>
      <c r="AL204" s="129">
        <v>11.200000000000006</v>
      </c>
      <c r="AM204" s="129">
        <v>11.200000000000006</v>
      </c>
      <c r="AN204" s="129">
        <v>11.200000000000006</v>
      </c>
      <c r="AO204" s="129">
        <v>11.200000000000006</v>
      </c>
      <c r="AP204" s="129">
        <v>11.200000000000006</v>
      </c>
      <c r="AQ204" s="129">
        <v>11.200000000000006</v>
      </c>
      <c r="AR204" s="129">
        <v>11.200000000000006</v>
      </c>
      <c r="AS204" s="129">
        <v>11.200000000000006</v>
      </c>
      <c r="AT204" s="129">
        <v>19.899999999999999</v>
      </c>
      <c r="AV204" s="129">
        <v>15.299999999999994</v>
      </c>
      <c r="AW204" s="129">
        <v>15.299999999999994</v>
      </c>
      <c r="AX204" s="129">
        <v>15.299999999999994</v>
      </c>
      <c r="AY204" s="129">
        <v>15.299999999999994</v>
      </c>
      <c r="AZ204" s="129">
        <v>15.299999999999994</v>
      </c>
      <c r="BA204" s="129">
        <v>15.299999999999994</v>
      </c>
      <c r="BB204" s="129">
        <v>15.299999999999994</v>
      </c>
      <c r="BC204" s="129">
        <v>15.299999999999994</v>
      </c>
      <c r="BD204" s="129">
        <v>15.299999999999994</v>
      </c>
      <c r="BE204" s="129">
        <v>19.899999999999999</v>
      </c>
      <c r="BG204" s="129">
        <v>21.299999999999994</v>
      </c>
      <c r="BH204" s="129">
        <v>21.299999999999994</v>
      </c>
      <c r="BI204" s="129">
        <v>21.299999999999994</v>
      </c>
      <c r="BJ204" s="129">
        <v>21.299999999999994</v>
      </c>
      <c r="BK204" s="129">
        <v>21.299999999999994</v>
      </c>
      <c r="BL204" s="129">
        <v>21.299999999999994</v>
      </c>
      <c r="BM204" s="129">
        <v>21.299999999999994</v>
      </c>
      <c r="BN204" s="129">
        <v>21.299999999999994</v>
      </c>
      <c r="BO204" s="129">
        <v>21.299999999999994</v>
      </c>
      <c r="BP204" s="129">
        <v>19.899999999999999</v>
      </c>
      <c r="BR204" s="129">
        <v>21.299999999999994</v>
      </c>
      <c r="BS204" s="129">
        <v>21.299999999999994</v>
      </c>
      <c r="BT204" s="129">
        <v>21.299999999999994</v>
      </c>
      <c r="BU204" s="129">
        <v>21.299999999999994</v>
      </c>
      <c r="BV204" s="129">
        <v>21.299999999999994</v>
      </c>
      <c r="BW204" s="129">
        <v>21.299999999999994</v>
      </c>
      <c r="BX204" s="129">
        <v>21.299999999999994</v>
      </c>
      <c r="BY204" s="129">
        <v>21.299999999999994</v>
      </c>
      <c r="BZ204" s="129">
        <v>21.299999999999994</v>
      </c>
      <c r="CA204" s="129">
        <v>19.899999999999999</v>
      </c>
      <c r="CC204" s="129">
        <v>9.1000000000000032</v>
      </c>
      <c r="CD204" s="129">
        <v>9.1000000000000032</v>
      </c>
      <c r="CE204" s="129">
        <v>9.1000000000000032</v>
      </c>
      <c r="CF204" s="129">
        <v>9.1000000000000032</v>
      </c>
      <c r="CG204" s="129">
        <v>9.1000000000000032</v>
      </c>
      <c r="CH204" s="129">
        <v>9.1000000000000032</v>
      </c>
      <c r="CI204" s="129">
        <v>9.1000000000000032</v>
      </c>
      <c r="CJ204" s="129">
        <v>9.1000000000000032</v>
      </c>
      <c r="CK204" s="129">
        <v>9.1000000000000032</v>
      </c>
      <c r="CL204" s="129">
        <v>19.899999999999999</v>
      </c>
      <c r="CN204" s="129">
        <v>11.100000000000003</v>
      </c>
      <c r="CO204" s="129">
        <v>11.100000000000003</v>
      </c>
      <c r="CP204" s="129">
        <v>11.100000000000003</v>
      </c>
      <c r="CQ204" s="129">
        <v>11.100000000000003</v>
      </c>
      <c r="CR204" s="129">
        <v>11.100000000000003</v>
      </c>
      <c r="CS204" s="129">
        <v>11.100000000000003</v>
      </c>
      <c r="CT204" s="129">
        <v>11.100000000000003</v>
      </c>
      <c r="CU204" s="129">
        <v>11.100000000000003</v>
      </c>
      <c r="CV204" s="129">
        <v>11.100000000000003</v>
      </c>
      <c r="CW204" s="129">
        <v>19.899999999999999</v>
      </c>
      <c r="CY204" s="129">
        <v>16</v>
      </c>
      <c r="CZ204" s="129">
        <v>16</v>
      </c>
      <c r="DA204" s="129">
        <v>16</v>
      </c>
      <c r="DB204" s="129">
        <v>16</v>
      </c>
      <c r="DC204" s="129">
        <v>16</v>
      </c>
      <c r="DD204" s="129">
        <v>16</v>
      </c>
      <c r="DE204" s="129">
        <v>16</v>
      </c>
      <c r="DF204" s="129">
        <v>16</v>
      </c>
      <c r="DG204" s="129">
        <v>16</v>
      </c>
      <c r="DH204" s="129">
        <v>19.899999999999999</v>
      </c>
      <c r="DJ204" s="129">
        <v>16</v>
      </c>
      <c r="DK204" s="129">
        <v>16</v>
      </c>
      <c r="DL204" s="129">
        <v>16</v>
      </c>
      <c r="DM204" s="129">
        <v>16</v>
      </c>
      <c r="DN204" s="129">
        <v>16</v>
      </c>
      <c r="DO204" s="129">
        <v>16</v>
      </c>
      <c r="DP204" s="129">
        <v>16</v>
      </c>
      <c r="DQ204" s="129">
        <v>16</v>
      </c>
      <c r="DR204" s="129">
        <v>16</v>
      </c>
      <c r="DS204" s="129">
        <v>19.899999999999999</v>
      </c>
      <c r="DW204" s="27"/>
      <c r="EF204" s="129">
        <v>21.9</v>
      </c>
      <c r="EH204" s="27">
        <v>8.1000000000000032</v>
      </c>
      <c r="EI204" s="27">
        <v>8.1000000000000032</v>
      </c>
      <c r="EJ204" s="27">
        <v>8.1000000000000032</v>
      </c>
      <c r="EK204" s="27">
        <v>8.1000000000000032</v>
      </c>
      <c r="EL204" s="27">
        <v>8.1000000000000032</v>
      </c>
      <c r="EM204" s="27">
        <v>8.1000000000000032</v>
      </c>
      <c r="EN204" s="27">
        <v>8.1000000000000032</v>
      </c>
      <c r="EO204" s="27">
        <v>8.1000000000000032</v>
      </c>
      <c r="EP204" s="27">
        <v>8.1000000000000032</v>
      </c>
      <c r="EQ204" s="129">
        <v>21.9</v>
      </c>
      <c r="ES204" s="27">
        <v>21.200000000000006</v>
      </c>
      <c r="ET204" s="27">
        <v>21.200000000000006</v>
      </c>
      <c r="EU204" s="27">
        <v>21.200000000000006</v>
      </c>
      <c r="EV204" s="27">
        <v>21.200000000000006</v>
      </c>
      <c r="EW204" s="27">
        <v>21.200000000000006</v>
      </c>
      <c r="EX204" s="27">
        <v>21.200000000000006</v>
      </c>
      <c r="EY204" s="27">
        <v>21.200000000000006</v>
      </c>
      <c r="EZ204" s="27">
        <v>21.200000000000006</v>
      </c>
      <c r="FA204" s="27">
        <v>21.200000000000006</v>
      </c>
      <c r="FB204" s="129">
        <v>21.9</v>
      </c>
      <c r="FD204" s="27">
        <v>23.099999999999987</v>
      </c>
      <c r="FE204" s="27">
        <v>23.099999999999987</v>
      </c>
      <c r="FF204" s="27">
        <v>23.099999999999987</v>
      </c>
      <c r="FG204" s="27">
        <v>23.099999999999987</v>
      </c>
      <c r="FH204" s="27">
        <v>23.099999999999987</v>
      </c>
      <c r="FI204" s="27">
        <v>23.099999999999987</v>
      </c>
      <c r="FJ204" s="27">
        <v>23.099999999999987</v>
      </c>
      <c r="FK204" s="27">
        <v>23.099999999999987</v>
      </c>
      <c r="FL204" s="27">
        <v>23.099999999999987</v>
      </c>
      <c r="FM204" s="129">
        <v>21.9</v>
      </c>
      <c r="FO204" s="27">
        <v>36.199999999999974</v>
      </c>
      <c r="FP204" s="27">
        <v>36.199999999999974</v>
      </c>
      <c r="FQ204" s="27">
        <v>36.199999999999974</v>
      </c>
      <c r="FR204" s="27">
        <v>36.199999999999974</v>
      </c>
      <c r="FS204" s="27">
        <v>36.199999999999974</v>
      </c>
      <c r="FT204" s="27">
        <v>36.199999999999974</v>
      </c>
      <c r="FU204" s="27">
        <v>36.199999999999974</v>
      </c>
      <c r="FV204" s="27">
        <v>36.199999999999974</v>
      </c>
      <c r="FW204" s="27">
        <v>36.199999999999974</v>
      </c>
      <c r="FX204" s="129">
        <v>21.9</v>
      </c>
      <c r="FZ204" s="27">
        <v>36.199999999999974</v>
      </c>
      <c r="GA204" s="27">
        <v>36.199999999999974</v>
      </c>
      <c r="GB204" s="27">
        <v>36.199999999999974</v>
      </c>
      <c r="GC204" s="27">
        <v>36.199999999999974</v>
      </c>
      <c r="GD204" s="27">
        <v>36.199999999999974</v>
      </c>
      <c r="GE204" s="27">
        <v>36.199999999999974</v>
      </c>
      <c r="GF204" s="27">
        <v>36.199999999999974</v>
      </c>
      <c r="GG204" s="27">
        <v>36.199999999999974</v>
      </c>
      <c r="GH204" s="27">
        <v>36.199999999999974</v>
      </c>
      <c r="GI204" s="129">
        <v>21.9</v>
      </c>
      <c r="GJ204" s="27"/>
      <c r="GK204" s="27">
        <v>9</v>
      </c>
      <c r="GL204" s="27">
        <v>9</v>
      </c>
      <c r="GM204" s="27">
        <v>9</v>
      </c>
      <c r="GN204" s="27">
        <v>9</v>
      </c>
      <c r="GO204" s="27">
        <v>9</v>
      </c>
      <c r="GP204" s="27">
        <v>9</v>
      </c>
      <c r="GQ204" s="27">
        <v>9</v>
      </c>
      <c r="GR204" s="27">
        <v>9</v>
      </c>
      <c r="GS204" s="27">
        <v>9</v>
      </c>
      <c r="GT204" s="129">
        <v>21.9</v>
      </c>
      <c r="GV204" s="27">
        <v>10.100000000000003</v>
      </c>
      <c r="GW204" s="27">
        <v>10.100000000000003</v>
      </c>
      <c r="GX204" s="27">
        <v>10.100000000000003</v>
      </c>
      <c r="GY204" s="27">
        <v>10.100000000000003</v>
      </c>
      <c r="GZ204" s="27">
        <v>10.100000000000003</v>
      </c>
      <c r="HA204" s="27">
        <v>10.100000000000003</v>
      </c>
      <c r="HB204" s="27">
        <v>10.100000000000003</v>
      </c>
      <c r="HC204" s="27">
        <v>10.100000000000003</v>
      </c>
      <c r="HD204" s="27">
        <v>10.100000000000003</v>
      </c>
      <c r="HE204" s="129">
        <v>21.9</v>
      </c>
      <c r="HG204" s="27">
        <v>14.100000000000003</v>
      </c>
      <c r="HH204" s="27">
        <v>14.100000000000003</v>
      </c>
      <c r="HI204" s="27">
        <v>14.100000000000003</v>
      </c>
      <c r="HJ204" s="27">
        <v>14.100000000000003</v>
      </c>
      <c r="HK204" s="27">
        <v>14.100000000000003</v>
      </c>
      <c r="HL204" s="27">
        <v>14.100000000000003</v>
      </c>
      <c r="HM204" s="27">
        <v>14.100000000000003</v>
      </c>
      <c r="HN204" s="27">
        <v>14.100000000000003</v>
      </c>
      <c r="HO204" s="27">
        <v>14.100000000000003</v>
      </c>
      <c r="HP204" s="129">
        <v>21.9</v>
      </c>
      <c r="HR204" s="27">
        <v>14.100000000000003</v>
      </c>
      <c r="HS204" s="27">
        <v>14.100000000000003</v>
      </c>
      <c r="HT204" s="27">
        <v>14.100000000000003</v>
      </c>
      <c r="HU204" s="27">
        <v>14.100000000000003</v>
      </c>
      <c r="HV204" s="27">
        <v>14.100000000000003</v>
      </c>
      <c r="HW204" s="27">
        <v>14.100000000000003</v>
      </c>
      <c r="HX204" s="27">
        <v>14.100000000000003</v>
      </c>
      <c r="HY204" s="27">
        <v>14.100000000000003</v>
      </c>
      <c r="HZ204" s="27">
        <v>14.100000000000003</v>
      </c>
      <c r="IA204" s="129">
        <v>21.9</v>
      </c>
    </row>
    <row r="205" spans="15:235" ht="3" customHeight="1">
      <c r="O205" s="17"/>
      <c r="P205" s="17"/>
      <c r="Q205" s="17"/>
      <c r="R205" s="17"/>
      <c r="S205" s="17"/>
      <c r="T205" s="17"/>
      <c r="U205" s="17"/>
      <c r="V205" s="17"/>
      <c r="W205" s="17"/>
      <c r="X205" s="129">
        <v>20</v>
      </c>
      <c r="Y205" s="27"/>
      <c r="AI205" s="129">
        <v>20</v>
      </c>
      <c r="AK205" s="129">
        <v>11</v>
      </c>
      <c r="AL205" s="129">
        <v>11</v>
      </c>
      <c r="AM205" s="129">
        <v>11</v>
      </c>
      <c r="AN205" s="129">
        <v>11</v>
      </c>
      <c r="AO205" s="129">
        <v>11</v>
      </c>
      <c r="AP205" s="129">
        <v>11</v>
      </c>
      <c r="AQ205" s="129">
        <v>11</v>
      </c>
      <c r="AR205" s="129">
        <v>11</v>
      </c>
      <c r="AS205" s="129">
        <v>11</v>
      </c>
      <c r="AT205" s="129">
        <v>20</v>
      </c>
      <c r="AV205" s="129">
        <v>15</v>
      </c>
      <c r="AW205" s="129">
        <v>15</v>
      </c>
      <c r="AX205" s="129">
        <v>15</v>
      </c>
      <c r="AY205" s="129">
        <v>15</v>
      </c>
      <c r="AZ205" s="129">
        <v>15</v>
      </c>
      <c r="BA205" s="129">
        <v>15</v>
      </c>
      <c r="BB205" s="129">
        <v>15</v>
      </c>
      <c r="BC205" s="129">
        <v>15</v>
      </c>
      <c r="BD205" s="129">
        <v>15</v>
      </c>
      <c r="BE205" s="129">
        <v>20</v>
      </c>
      <c r="BG205" s="129">
        <v>21</v>
      </c>
      <c r="BH205" s="129">
        <v>21</v>
      </c>
      <c r="BI205" s="129">
        <v>21</v>
      </c>
      <c r="BJ205" s="129">
        <v>21</v>
      </c>
      <c r="BK205" s="129">
        <v>21</v>
      </c>
      <c r="BL205" s="129">
        <v>21</v>
      </c>
      <c r="BM205" s="129">
        <v>21</v>
      </c>
      <c r="BN205" s="129">
        <v>21</v>
      </c>
      <c r="BO205" s="129">
        <v>21</v>
      </c>
      <c r="BP205" s="129">
        <v>20</v>
      </c>
      <c r="BR205" s="129">
        <v>21</v>
      </c>
      <c r="BS205" s="129">
        <v>21</v>
      </c>
      <c r="BT205" s="129">
        <v>21</v>
      </c>
      <c r="BU205" s="129">
        <v>21</v>
      </c>
      <c r="BV205" s="129">
        <v>21</v>
      </c>
      <c r="BW205" s="129">
        <v>21</v>
      </c>
      <c r="BX205" s="129">
        <v>21</v>
      </c>
      <c r="BY205" s="129">
        <v>21</v>
      </c>
      <c r="BZ205" s="129">
        <v>21</v>
      </c>
      <c r="CA205" s="129">
        <v>20</v>
      </c>
      <c r="CC205" s="129">
        <v>9</v>
      </c>
      <c r="CD205" s="129">
        <v>9</v>
      </c>
      <c r="CE205" s="129">
        <v>9</v>
      </c>
      <c r="CF205" s="129">
        <v>9</v>
      </c>
      <c r="CG205" s="129">
        <v>9</v>
      </c>
      <c r="CH205" s="129">
        <v>9</v>
      </c>
      <c r="CI205" s="129">
        <v>9</v>
      </c>
      <c r="CJ205" s="129">
        <v>9</v>
      </c>
      <c r="CK205" s="129">
        <v>9</v>
      </c>
      <c r="CL205" s="129">
        <v>20</v>
      </c>
      <c r="CN205" s="129">
        <v>11</v>
      </c>
      <c r="CO205" s="129">
        <v>11</v>
      </c>
      <c r="CP205" s="129">
        <v>11</v>
      </c>
      <c r="CQ205" s="129">
        <v>11</v>
      </c>
      <c r="CR205" s="129">
        <v>11</v>
      </c>
      <c r="CS205" s="129">
        <v>11</v>
      </c>
      <c r="CT205" s="129">
        <v>11</v>
      </c>
      <c r="CU205" s="129">
        <v>11</v>
      </c>
      <c r="CV205" s="129">
        <v>11</v>
      </c>
      <c r="CW205" s="129">
        <v>20</v>
      </c>
      <c r="CY205" s="129">
        <v>16</v>
      </c>
      <c r="CZ205" s="129">
        <v>16</v>
      </c>
      <c r="DA205" s="129">
        <v>16</v>
      </c>
      <c r="DB205" s="129">
        <v>16</v>
      </c>
      <c r="DC205" s="129">
        <v>16</v>
      </c>
      <c r="DD205" s="129">
        <v>16</v>
      </c>
      <c r="DE205" s="129">
        <v>16</v>
      </c>
      <c r="DF205" s="129">
        <v>16</v>
      </c>
      <c r="DG205" s="129">
        <v>16</v>
      </c>
      <c r="DH205" s="129">
        <v>20</v>
      </c>
      <c r="DJ205" s="129">
        <v>16</v>
      </c>
      <c r="DK205" s="129">
        <v>16</v>
      </c>
      <c r="DL205" s="129">
        <v>16</v>
      </c>
      <c r="DM205" s="129">
        <v>16</v>
      </c>
      <c r="DN205" s="129">
        <v>16</v>
      </c>
      <c r="DO205" s="129">
        <v>16</v>
      </c>
      <c r="DP205" s="129">
        <v>16</v>
      </c>
      <c r="DQ205" s="129">
        <v>16</v>
      </c>
      <c r="DR205" s="129">
        <v>16</v>
      </c>
      <c r="DS205" s="129">
        <v>20</v>
      </c>
      <c r="DW205" s="27"/>
      <c r="EF205" s="129">
        <v>22</v>
      </c>
      <c r="EH205" s="27">
        <v>8</v>
      </c>
      <c r="EI205" s="27">
        <v>8</v>
      </c>
      <c r="EJ205" s="27">
        <v>8</v>
      </c>
      <c r="EK205" s="27">
        <v>8</v>
      </c>
      <c r="EL205" s="27">
        <v>8</v>
      </c>
      <c r="EM205" s="27">
        <v>8</v>
      </c>
      <c r="EN205" s="27">
        <v>8</v>
      </c>
      <c r="EO205" s="27">
        <v>8</v>
      </c>
      <c r="EP205" s="27">
        <v>8</v>
      </c>
      <c r="EQ205" s="129">
        <v>22</v>
      </c>
      <c r="ES205" s="27">
        <v>21</v>
      </c>
      <c r="ET205" s="27">
        <v>21</v>
      </c>
      <c r="EU205" s="27">
        <v>21</v>
      </c>
      <c r="EV205" s="27">
        <v>21</v>
      </c>
      <c r="EW205" s="27">
        <v>21</v>
      </c>
      <c r="EX205" s="27">
        <v>21</v>
      </c>
      <c r="EY205" s="27">
        <v>21</v>
      </c>
      <c r="EZ205" s="27">
        <v>21</v>
      </c>
      <c r="FA205" s="27">
        <v>21</v>
      </c>
      <c r="FB205" s="129">
        <v>22</v>
      </c>
      <c r="FD205" s="27">
        <v>23</v>
      </c>
      <c r="FE205" s="27">
        <v>23</v>
      </c>
      <c r="FF205" s="27">
        <v>23</v>
      </c>
      <c r="FG205" s="27">
        <v>23</v>
      </c>
      <c r="FH205" s="27">
        <v>23</v>
      </c>
      <c r="FI205" s="27">
        <v>23</v>
      </c>
      <c r="FJ205" s="27">
        <v>23</v>
      </c>
      <c r="FK205" s="27">
        <v>23</v>
      </c>
      <c r="FL205" s="27">
        <v>23</v>
      </c>
      <c r="FM205" s="129">
        <v>22</v>
      </c>
      <c r="FO205" s="27">
        <v>36</v>
      </c>
      <c r="FP205" s="27">
        <v>36</v>
      </c>
      <c r="FQ205" s="27">
        <v>36</v>
      </c>
      <c r="FR205" s="27">
        <v>36</v>
      </c>
      <c r="FS205" s="27">
        <v>36</v>
      </c>
      <c r="FT205" s="27">
        <v>36</v>
      </c>
      <c r="FU205" s="27">
        <v>36</v>
      </c>
      <c r="FV205" s="27">
        <v>36</v>
      </c>
      <c r="FW205" s="27">
        <v>36</v>
      </c>
      <c r="FX205" s="129">
        <v>22</v>
      </c>
      <c r="FZ205" s="27">
        <v>36</v>
      </c>
      <c r="GA205" s="27">
        <v>36</v>
      </c>
      <c r="GB205" s="27">
        <v>36</v>
      </c>
      <c r="GC205" s="27">
        <v>36</v>
      </c>
      <c r="GD205" s="27">
        <v>36</v>
      </c>
      <c r="GE205" s="27">
        <v>36</v>
      </c>
      <c r="GF205" s="27">
        <v>36</v>
      </c>
      <c r="GG205" s="27">
        <v>36</v>
      </c>
      <c r="GH205" s="27">
        <v>36</v>
      </c>
      <c r="GI205" s="129">
        <v>22</v>
      </c>
      <c r="GJ205" s="27"/>
      <c r="GK205" s="27">
        <v>9</v>
      </c>
      <c r="GL205" s="27">
        <v>9</v>
      </c>
      <c r="GM205" s="27">
        <v>9</v>
      </c>
      <c r="GN205" s="27">
        <v>9</v>
      </c>
      <c r="GO205" s="27">
        <v>9</v>
      </c>
      <c r="GP205" s="27">
        <v>9</v>
      </c>
      <c r="GQ205" s="27">
        <v>9</v>
      </c>
      <c r="GR205" s="27">
        <v>9</v>
      </c>
      <c r="GS205" s="27">
        <v>9</v>
      </c>
      <c r="GT205" s="129">
        <v>22</v>
      </c>
      <c r="GV205" s="27">
        <v>10</v>
      </c>
      <c r="GW205" s="27">
        <v>10</v>
      </c>
      <c r="GX205" s="27">
        <v>10</v>
      </c>
      <c r="GY205" s="27">
        <v>10</v>
      </c>
      <c r="GZ205" s="27">
        <v>10</v>
      </c>
      <c r="HA205" s="27">
        <v>10</v>
      </c>
      <c r="HB205" s="27">
        <v>10</v>
      </c>
      <c r="HC205" s="27">
        <v>10</v>
      </c>
      <c r="HD205" s="27">
        <v>10</v>
      </c>
      <c r="HE205" s="129">
        <v>22</v>
      </c>
      <c r="HG205" s="27">
        <v>14</v>
      </c>
      <c r="HH205" s="27">
        <v>14</v>
      </c>
      <c r="HI205" s="27">
        <v>14</v>
      </c>
      <c r="HJ205" s="27">
        <v>14</v>
      </c>
      <c r="HK205" s="27">
        <v>14</v>
      </c>
      <c r="HL205" s="27">
        <v>14</v>
      </c>
      <c r="HM205" s="27">
        <v>14</v>
      </c>
      <c r="HN205" s="27">
        <v>14</v>
      </c>
      <c r="HO205" s="27">
        <v>14</v>
      </c>
      <c r="HP205" s="129">
        <v>22</v>
      </c>
      <c r="HR205" s="27">
        <v>14</v>
      </c>
      <c r="HS205" s="27">
        <v>14</v>
      </c>
      <c r="HT205" s="27">
        <v>14</v>
      </c>
      <c r="HU205" s="27">
        <v>14</v>
      </c>
      <c r="HV205" s="27">
        <v>14</v>
      </c>
      <c r="HW205" s="27">
        <v>14</v>
      </c>
      <c r="HX205" s="27">
        <v>14</v>
      </c>
      <c r="HY205" s="27">
        <v>14</v>
      </c>
      <c r="HZ205" s="27">
        <v>14</v>
      </c>
      <c r="IA205" s="129">
        <v>22</v>
      </c>
    </row>
    <row r="206" spans="15:235">
      <c r="O206" s="17"/>
      <c r="P206" s="17"/>
      <c r="Q206" s="17"/>
      <c r="R206" s="17"/>
      <c r="S206" s="17"/>
      <c r="T206" s="17"/>
      <c r="U206" s="17"/>
      <c r="V206" s="17"/>
      <c r="W206" s="17"/>
      <c r="X206" s="129">
        <v>20.100000000000001</v>
      </c>
      <c r="Y206" s="27"/>
      <c r="AI206" s="129">
        <v>20.100000000000001</v>
      </c>
      <c r="AK206" s="129">
        <v>10.9</v>
      </c>
      <c r="AL206" s="129">
        <v>10.9</v>
      </c>
      <c r="AM206" s="129">
        <v>10.9</v>
      </c>
      <c r="AN206" s="129">
        <v>10.9</v>
      </c>
      <c r="AO206" s="129">
        <v>10.9</v>
      </c>
      <c r="AP206" s="129">
        <v>10.9</v>
      </c>
      <c r="AQ206" s="129">
        <v>10.9</v>
      </c>
      <c r="AR206" s="129">
        <v>10.9</v>
      </c>
      <c r="AS206" s="129">
        <v>10.9</v>
      </c>
      <c r="AT206" s="129">
        <v>20.100000000000001</v>
      </c>
      <c r="AV206" s="129">
        <v>14.8</v>
      </c>
      <c r="AW206" s="129">
        <v>14.8</v>
      </c>
      <c r="AX206" s="129">
        <v>14.8</v>
      </c>
      <c r="AY206" s="129">
        <v>14.8</v>
      </c>
      <c r="AZ206" s="129">
        <v>14.8</v>
      </c>
      <c r="BA206" s="129">
        <v>14.8</v>
      </c>
      <c r="BB206" s="129">
        <v>14.8</v>
      </c>
      <c r="BC206" s="129">
        <v>14.8</v>
      </c>
      <c r="BD206" s="129">
        <v>14.8</v>
      </c>
      <c r="BE206" s="129">
        <v>20.100000000000001</v>
      </c>
      <c r="BG206" s="129">
        <v>20.7</v>
      </c>
      <c r="BH206" s="129">
        <v>20.7</v>
      </c>
      <c r="BI206" s="129">
        <v>20.7</v>
      </c>
      <c r="BJ206" s="129">
        <v>20.7</v>
      </c>
      <c r="BK206" s="129">
        <v>20.7</v>
      </c>
      <c r="BL206" s="129">
        <v>20.7</v>
      </c>
      <c r="BM206" s="129">
        <v>20.7</v>
      </c>
      <c r="BN206" s="129">
        <v>20.7</v>
      </c>
      <c r="BO206" s="129">
        <v>20.7</v>
      </c>
      <c r="BP206" s="129">
        <v>20.100000000000001</v>
      </c>
      <c r="BR206" s="129">
        <v>20.7</v>
      </c>
      <c r="BS206" s="129">
        <v>20.7</v>
      </c>
      <c r="BT206" s="129">
        <v>20.7</v>
      </c>
      <c r="BU206" s="129">
        <v>20.7</v>
      </c>
      <c r="BV206" s="129">
        <v>20.7</v>
      </c>
      <c r="BW206" s="129">
        <v>20.7</v>
      </c>
      <c r="BX206" s="129">
        <v>20.7</v>
      </c>
      <c r="BY206" s="129">
        <v>20.7</v>
      </c>
      <c r="BZ206" s="129">
        <v>20.7</v>
      </c>
      <c r="CA206" s="129">
        <v>20.100000000000001</v>
      </c>
      <c r="CC206" s="129">
        <v>9</v>
      </c>
      <c r="CD206" s="129">
        <v>9</v>
      </c>
      <c r="CE206" s="129">
        <v>9</v>
      </c>
      <c r="CF206" s="129">
        <v>9</v>
      </c>
      <c r="CG206" s="129">
        <v>9</v>
      </c>
      <c r="CH206" s="129">
        <v>9</v>
      </c>
      <c r="CI206" s="129">
        <v>9</v>
      </c>
      <c r="CJ206" s="129">
        <v>9</v>
      </c>
      <c r="CK206" s="129">
        <v>9</v>
      </c>
      <c r="CL206" s="129">
        <v>20.100000000000001</v>
      </c>
      <c r="CN206" s="129">
        <v>11</v>
      </c>
      <c r="CO206" s="129">
        <v>11</v>
      </c>
      <c r="CP206" s="129">
        <v>11</v>
      </c>
      <c r="CQ206" s="129">
        <v>11</v>
      </c>
      <c r="CR206" s="129">
        <v>11</v>
      </c>
      <c r="CS206" s="129">
        <v>11</v>
      </c>
      <c r="CT206" s="129">
        <v>11</v>
      </c>
      <c r="CU206" s="129">
        <v>11</v>
      </c>
      <c r="CV206" s="129">
        <v>11</v>
      </c>
      <c r="CW206" s="129">
        <v>20.100000000000001</v>
      </c>
      <c r="CY206" s="129">
        <v>15.9</v>
      </c>
      <c r="CZ206" s="129">
        <v>15.9</v>
      </c>
      <c r="DA206" s="129">
        <v>15.9</v>
      </c>
      <c r="DB206" s="129">
        <v>15.9</v>
      </c>
      <c r="DC206" s="129">
        <v>15.9</v>
      </c>
      <c r="DD206" s="129">
        <v>15.9</v>
      </c>
      <c r="DE206" s="129">
        <v>15.9</v>
      </c>
      <c r="DF206" s="129">
        <v>15.9</v>
      </c>
      <c r="DG206" s="129">
        <v>15.9</v>
      </c>
      <c r="DH206" s="129">
        <v>20.100000000000001</v>
      </c>
      <c r="DJ206" s="129">
        <v>15.9</v>
      </c>
      <c r="DK206" s="129">
        <v>15.9</v>
      </c>
      <c r="DL206" s="129">
        <v>15.9</v>
      </c>
      <c r="DM206" s="129">
        <v>15.9</v>
      </c>
      <c r="DN206" s="129">
        <v>15.9</v>
      </c>
      <c r="DO206" s="129">
        <v>15.9</v>
      </c>
      <c r="DP206" s="129">
        <v>15.9</v>
      </c>
      <c r="DQ206" s="129">
        <v>15.9</v>
      </c>
      <c r="DR206" s="129">
        <v>15.9</v>
      </c>
      <c r="DS206" s="129">
        <v>20.100000000000001</v>
      </c>
      <c r="DW206" s="27"/>
      <c r="EF206" s="129">
        <v>22.1</v>
      </c>
      <c r="EH206" s="27">
        <v>7.9</v>
      </c>
      <c r="EI206" s="27">
        <v>7.9</v>
      </c>
      <c r="EJ206" s="27">
        <v>7.9</v>
      </c>
      <c r="EK206" s="27">
        <v>7.9</v>
      </c>
      <c r="EL206" s="27">
        <v>7.9</v>
      </c>
      <c r="EM206" s="27">
        <v>7.9</v>
      </c>
      <c r="EN206" s="27">
        <v>7.9</v>
      </c>
      <c r="EO206" s="27">
        <v>7.9</v>
      </c>
      <c r="EP206" s="27">
        <v>7.9</v>
      </c>
      <c r="EQ206" s="129">
        <v>22.1</v>
      </c>
      <c r="ES206" s="27">
        <v>20.7</v>
      </c>
      <c r="ET206" s="27">
        <v>20.7</v>
      </c>
      <c r="EU206" s="27">
        <v>20.7</v>
      </c>
      <c r="EV206" s="27">
        <v>20.7</v>
      </c>
      <c r="EW206" s="27">
        <v>20.7</v>
      </c>
      <c r="EX206" s="27">
        <v>20.7</v>
      </c>
      <c r="EY206" s="27">
        <v>20.7</v>
      </c>
      <c r="EZ206" s="27">
        <v>20.7</v>
      </c>
      <c r="FA206" s="27">
        <v>20.7</v>
      </c>
      <c r="FB206" s="129">
        <v>22.1</v>
      </c>
      <c r="FD206" s="27">
        <v>22.9</v>
      </c>
      <c r="FE206" s="27">
        <v>22.9</v>
      </c>
      <c r="FF206" s="27">
        <v>22.9</v>
      </c>
      <c r="FG206" s="27">
        <v>22.9</v>
      </c>
      <c r="FH206" s="27">
        <v>22.9</v>
      </c>
      <c r="FI206" s="27">
        <v>22.9</v>
      </c>
      <c r="FJ206" s="27">
        <v>22.9</v>
      </c>
      <c r="FK206" s="27">
        <v>22.9</v>
      </c>
      <c r="FL206" s="27">
        <v>22.9</v>
      </c>
      <c r="FM206" s="129">
        <v>22.1</v>
      </c>
      <c r="FO206" s="27">
        <v>35.700000000000003</v>
      </c>
      <c r="FP206" s="27">
        <v>35.700000000000003</v>
      </c>
      <c r="FQ206" s="27">
        <v>35.700000000000003</v>
      </c>
      <c r="FR206" s="27">
        <v>35.700000000000003</v>
      </c>
      <c r="FS206" s="27">
        <v>35.700000000000003</v>
      </c>
      <c r="FT206" s="27">
        <v>35.700000000000003</v>
      </c>
      <c r="FU206" s="27">
        <v>35.700000000000003</v>
      </c>
      <c r="FV206" s="27">
        <v>35.700000000000003</v>
      </c>
      <c r="FW206" s="27">
        <v>35.700000000000003</v>
      </c>
      <c r="FX206" s="129">
        <v>22.1</v>
      </c>
      <c r="FZ206" s="27">
        <v>35.700000000000003</v>
      </c>
      <c r="GA206" s="27">
        <v>35.700000000000003</v>
      </c>
      <c r="GB206" s="27">
        <v>35.700000000000003</v>
      </c>
      <c r="GC206" s="27">
        <v>35.700000000000003</v>
      </c>
      <c r="GD206" s="27">
        <v>35.700000000000003</v>
      </c>
      <c r="GE206" s="27">
        <v>35.700000000000003</v>
      </c>
      <c r="GF206" s="27">
        <v>35.700000000000003</v>
      </c>
      <c r="GG206" s="27">
        <v>35.700000000000003</v>
      </c>
      <c r="GH206" s="27">
        <v>35.700000000000003</v>
      </c>
      <c r="GI206" s="129">
        <v>22.1</v>
      </c>
      <c r="GJ206" s="27"/>
      <c r="GK206" s="27">
        <v>8.9</v>
      </c>
      <c r="GL206" s="27">
        <v>8.9</v>
      </c>
      <c r="GM206" s="27">
        <v>8.9</v>
      </c>
      <c r="GN206" s="27">
        <v>8.9</v>
      </c>
      <c r="GO206" s="27">
        <v>8.9</v>
      </c>
      <c r="GP206" s="27">
        <v>8.9</v>
      </c>
      <c r="GQ206" s="27">
        <v>8.9</v>
      </c>
      <c r="GR206" s="27">
        <v>8.9</v>
      </c>
      <c r="GS206" s="27">
        <v>8.9</v>
      </c>
      <c r="GT206" s="129">
        <v>22.1</v>
      </c>
      <c r="GV206" s="27">
        <v>10</v>
      </c>
      <c r="GW206" s="27">
        <v>10</v>
      </c>
      <c r="GX206" s="27">
        <v>10</v>
      </c>
      <c r="GY206" s="27">
        <v>10</v>
      </c>
      <c r="GZ206" s="27">
        <v>10</v>
      </c>
      <c r="HA206" s="27">
        <v>10</v>
      </c>
      <c r="HB206" s="27">
        <v>10</v>
      </c>
      <c r="HC206" s="27">
        <v>10</v>
      </c>
      <c r="HD206" s="27">
        <v>10</v>
      </c>
      <c r="HE206" s="129">
        <v>22.1</v>
      </c>
      <c r="HG206" s="27">
        <v>14</v>
      </c>
      <c r="HH206" s="27">
        <v>14</v>
      </c>
      <c r="HI206" s="27">
        <v>14</v>
      </c>
      <c r="HJ206" s="27">
        <v>14</v>
      </c>
      <c r="HK206" s="27">
        <v>14</v>
      </c>
      <c r="HL206" s="27">
        <v>14</v>
      </c>
      <c r="HM206" s="27">
        <v>14</v>
      </c>
      <c r="HN206" s="27">
        <v>14</v>
      </c>
      <c r="HO206" s="27">
        <v>14</v>
      </c>
      <c r="HP206" s="129">
        <v>22.1</v>
      </c>
      <c r="HR206" s="27">
        <v>14</v>
      </c>
      <c r="HS206" s="27">
        <v>14</v>
      </c>
      <c r="HT206" s="27">
        <v>14</v>
      </c>
      <c r="HU206" s="27">
        <v>14</v>
      </c>
      <c r="HV206" s="27">
        <v>14</v>
      </c>
      <c r="HW206" s="27">
        <v>14</v>
      </c>
      <c r="HX206" s="27">
        <v>14</v>
      </c>
      <c r="HY206" s="27">
        <v>14</v>
      </c>
      <c r="HZ206" s="27">
        <v>14</v>
      </c>
      <c r="IA206" s="129">
        <v>22.1</v>
      </c>
    </row>
    <row r="207" spans="15:235" ht="13.9" customHeight="1">
      <c r="O207" s="17"/>
      <c r="P207" s="17"/>
      <c r="Q207" s="17"/>
      <c r="R207" s="17"/>
      <c r="S207" s="17"/>
      <c r="T207" s="17"/>
      <c r="U207" s="17"/>
      <c r="V207" s="17"/>
      <c r="W207" s="17"/>
      <c r="X207" s="129">
        <v>20.2</v>
      </c>
      <c r="Y207" s="27"/>
      <c r="AI207" s="129">
        <v>20.2</v>
      </c>
      <c r="AK207" s="129">
        <v>10.8</v>
      </c>
      <c r="AL207" s="129">
        <v>10.8</v>
      </c>
      <c r="AM207" s="129">
        <v>10.8</v>
      </c>
      <c r="AN207" s="129">
        <v>10.8</v>
      </c>
      <c r="AO207" s="129">
        <v>10.8</v>
      </c>
      <c r="AP207" s="129">
        <v>10.8</v>
      </c>
      <c r="AQ207" s="129">
        <v>10.8</v>
      </c>
      <c r="AR207" s="129">
        <v>10.8</v>
      </c>
      <c r="AS207" s="129">
        <v>10.8</v>
      </c>
      <c r="AT207" s="129">
        <v>20.2</v>
      </c>
      <c r="AV207" s="129">
        <v>14.600000000000001</v>
      </c>
      <c r="AW207" s="129">
        <v>14.600000000000001</v>
      </c>
      <c r="AX207" s="129">
        <v>14.600000000000001</v>
      </c>
      <c r="AY207" s="129">
        <v>14.600000000000001</v>
      </c>
      <c r="AZ207" s="129">
        <v>14.600000000000001</v>
      </c>
      <c r="BA207" s="129">
        <v>14.600000000000001</v>
      </c>
      <c r="BB207" s="129">
        <v>14.600000000000001</v>
      </c>
      <c r="BC207" s="129">
        <v>14.600000000000001</v>
      </c>
      <c r="BD207" s="129">
        <v>14.600000000000001</v>
      </c>
      <c r="BE207" s="129">
        <v>20.2</v>
      </c>
      <c r="BG207" s="129">
        <v>20.399999999999999</v>
      </c>
      <c r="BH207" s="129">
        <v>20.399999999999999</v>
      </c>
      <c r="BI207" s="129">
        <v>20.399999999999999</v>
      </c>
      <c r="BJ207" s="129">
        <v>20.399999999999999</v>
      </c>
      <c r="BK207" s="129">
        <v>20.399999999999999</v>
      </c>
      <c r="BL207" s="129">
        <v>20.399999999999999</v>
      </c>
      <c r="BM207" s="129">
        <v>20.399999999999999</v>
      </c>
      <c r="BN207" s="129">
        <v>20.399999999999999</v>
      </c>
      <c r="BO207" s="129">
        <v>20.399999999999999</v>
      </c>
      <c r="BP207" s="129">
        <v>20.2</v>
      </c>
      <c r="BR207" s="129">
        <v>20.399999999999999</v>
      </c>
      <c r="BS207" s="129">
        <v>20.399999999999999</v>
      </c>
      <c r="BT207" s="129">
        <v>20.399999999999999</v>
      </c>
      <c r="BU207" s="129">
        <v>20.399999999999999</v>
      </c>
      <c r="BV207" s="129">
        <v>20.399999999999999</v>
      </c>
      <c r="BW207" s="129">
        <v>20.399999999999999</v>
      </c>
      <c r="BX207" s="129">
        <v>20.399999999999999</v>
      </c>
      <c r="BY207" s="129">
        <v>20.399999999999999</v>
      </c>
      <c r="BZ207" s="129">
        <v>20.399999999999999</v>
      </c>
      <c r="CA207" s="129">
        <v>20.2</v>
      </c>
      <c r="CC207" s="129">
        <v>9</v>
      </c>
      <c r="CD207" s="129">
        <v>9</v>
      </c>
      <c r="CE207" s="129">
        <v>9</v>
      </c>
      <c r="CF207" s="129">
        <v>9</v>
      </c>
      <c r="CG207" s="129">
        <v>9</v>
      </c>
      <c r="CH207" s="129">
        <v>9</v>
      </c>
      <c r="CI207" s="129">
        <v>9</v>
      </c>
      <c r="CJ207" s="129">
        <v>9</v>
      </c>
      <c r="CK207" s="129">
        <v>9</v>
      </c>
      <c r="CL207" s="129">
        <v>20.2</v>
      </c>
      <c r="CN207" s="129">
        <v>11</v>
      </c>
      <c r="CO207" s="129">
        <v>11</v>
      </c>
      <c r="CP207" s="129">
        <v>11</v>
      </c>
      <c r="CQ207" s="129">
        <v>11</v>
      </c>
      <c r="CR207" s="129">
        <v>11</v>
      </c>
      <c r="CS207" s="129">
        <v>11</v>
      </c>
      <c r="CT207" s="129">
        <v>11</v>
      </c>
      <c r="CU207" s="129">
        <v>11</v>
      </c>
      <c r="CV207" s="129">
        <v>11</v>
      </c>
      <c r="CW207" s="129">
        <v>20.2</v>
      </c>
      <c r="CY207" s="129">
        <v>15.8</v>
      </c>
      <c r="CZ207" s="129">
        <v>15.8</v>
      </c>
      <c r="DA207" s="129">
        <v>15.8</v>
      </c>
      <c r="DB207" s="129">
        <v>15.8</v>
      </c>
      <c r="DC207" s="129">
        <v>15.8</v>
      </c>
      <c r="DD207" s="129">
        <v>15.8</v>
      </c>
      <c r="DE207" s="129">
        <v>15.8</v>
      </c>
      <c r="DF207" s="129">
        <v>15.8</v>
      </c>
      <c r="DG207" s="129">
        <v>15.8</v>
      </c>
      <c r="DH207" s="129">
        <v>20.2</v>
      </c>
      <c r="DJ207" s="129">
        <v>15.8</v>
      </c>
      <c r="DK207" s="129">
        <v>15.8</v>
      </c>
      <c r="DL207" s="129">
        <v>15.8</v>
      </c>
      <c r="DM207" s="129">
        <v>15.8</v>
      </c>
      <c r="DN207" s="129">
        <v>15.8</v>
      </c>
      <c r="DO207" s="129">
        <v>15.8</v>
      </c>
      <c r="DP207" s="129">
        <v>15.8</v>
      </c>
      <c r="DQ207" s="129">
        <v>15.8</v>
      </c>
      <c r="DR207" s="129">
        <v>15.8</v>
      </c>
      <c r="DS207" s="129">
        <v>20.2</v>
      </c>
      <c r="DW207" s="27"/>
      <c r="EF207" s="129">
        <v>22.2</v>
      </c>
      <c r="EH207" s="27">
        <v>7.8000000000000007</v>
      </c>
      <c r="EI207" s="27">
        <v>7.8000000000000007</v>
      </c>
      <c r="EJ207" s="27">
        <v>7.8000000000000007</v>
      </c>
      <c r="EK207" s="27">
        <v>7.8000000000000007</v>
      </c>
      <c r="EL207" s="27">
        <v>7.8000000000000007</v>
      </c>
      <c r="EM207" s="27">
        <v>7.8000000000000007</v>
      </c>
      <c r="EN207" s="27">
        <v>7.8000000000000007</v>
      </c>
      <c r="EO207" s="27">
        <v>7.8000000000000007</v>
      </c>
      <c r="EP207" s="27">
        <v>7.8000000000000007</v>
      </c>
      <c r="EQ207" s="129">
        <v>22.2</v>
      </c>
      <c r="ES207" s="27">
        <v>20.399999999999999</v>
      </c>
      <c r="ET207" s="27">
        <v>20.399999999999999</v>
      </c>
      <c r="EU207" s="27">
        <v>20.399999999999999</v>
      </c>
      <c r="EV207" s="27">
        <v>20.399999999999999</v>
      </c>
      <c r="EW207" s="27">
        <v>20.399999999999999</v>
      </c>
      <c r="EX207" s="27">
        <v>20.399999999999999</v>
      </c>
      <c r="EY207" s="27">
        <v>20.399999999999999</v>
      </c>
      <c r="EZ207" s="27">
        <v>20.399999999999999</v>
      </c>
      <c r="FA207" s="27">
        <v>20.399999999999999</v>
      </c>
      <c r="FB207" s="129">
        <v>22.2</v>
      </c>
      <c r="FD207" s="27">
        <v>22.799999999999997</v>
      </c>
      <c r="FE207" s="27">
        <v>22.799999999999997</v>
      </c>
      <c r="FF207" s="27">
        <v>22.799999999999997</v>
      </c>
      <c r="FG207" s="27">
        <v>22.799999999999997</v>
      </c>
      <c r="FH207" s="27">
        <v>22.799999999999997</v>
      </c>
      <c r="FI207" s="27">
        <v>22.799999999999997</v>
      </c>
      <c r="FJ207" s="27">
        <v>22.799999999999997</v>
      </c>
      <c r="FK207" s="27">
        <v>22.799999999999997</v>
      </c>
      <c r="FL207" s="27">
        <v>22.799999999999997</v>
      </c>
      <c r="FM207" s="129">
        <v>22.2</v>
      </c>
      <c r="FO207" s="27">
        <v>35.400000000000006</v>
      </c>
      <c r="FP207" s="27">
        <v>35.400000000000006</v>
      </c>
      <c r="FQ207" s="27">
        <v>35.400000000000006</v>
      </c>
      <c r="FR207" s="27">
        <v>35.400000000000006</v>
      </c>
      <c r="FS207" s="27">
        <v>35.400000000000006</v>
      </c>
      <c r="FT207" s="27">
        <v>35.400000000000006</v>
      </c>
      <c r="FU207" s="27">
        <v>35.400000000000006</v>
      </c>
      <c r="FV207" s="27">
        <v>35.400000000000006</v>
      </c>
      <c r="FW207" s="27">
        <v>35.400000000000006</v>
      </c>
      <c r="FX207" s="129">
        <v>22.2</v>
      </c>
      <c r="FZ207" s="27">
        <v>35.400000000000006</v>
      </c>
      <c r="GA207" s="27">
        <v>35.400000000000006</v>
      </c>
      <c r="GB207" s="27">
        <v>35.400000000000006</v>
      </c>
      <c r="GC207" s="27">
        <v>35.400000000000006</v>
      </c>
      <c r="GD207" s="27">
        <v>35.400000000000006</v>
      </c>
      <c r="GE207" s="27">
        <v>35.400000000000006</v>
      </c>
      <c r="GF207" s="27">
        <v>35.400000000000006</v>
      </c>
      <c r="GG207" s="27">
        <v>35.400000000000006</v>
      </c>
      <c r="GH207" s="27">
        <v>35.400000000000006</v>
      </c>
      <c r="GI207" s="129">
        <v>22.2</v>
      </c>
      <c r="GJ207" s="27"/>
      <c r="GK207" s="27">
        <v>8.8000000000000007</v>
      </c>
      <c r="GL207" s="27">
        <v>8.8000000000000007</v>
      </c>
      <c r="GM207" s="27">
        <v>8.8000000000000007</v>
      </c>
      <c r="GN207" s="27">
        <v>8.8000000000000007</v>
      </c>
      <c r="GO207" s="27">
        <v>8.8000000000000007</v>
      </c>
      <c r="GP207" s="27">
        <v>8.8000000000000007</v>
      </c>
      <c r="GQ207" s="27">
        <v>8.8000000000000007</v>
      </c>
      <c r="GR207" s="27">
        <v>8.8000000000000007</v>
      </c>
      <c r="GS207" s="27">
        <v>8.8000000000000007</v>
      </c>
      <c r="GT207" s="129">
        <v>22.2</v>
      </c>
      <c r="GV207" s="27">
        <v>10</v>
      </c>
      <c r="GW207" s="27">
        <v>10</v>
      </c>
      <c r="GX207" s="27">
        <v>10</v>
      </c>
      <c r="GY207" s="27">
        <v>10</v>
      </c>
      <c r="GZ207" s="27">
        <v>10</v>
      </c>
      <c r="HA207" s="27">
        <v>10</v>
      </c>
      <c r="HB207" s="27">
        <v>10</v>
      </c>
      <c r="HC207" s="27">
        <v>10</v>
      </c>
      <c r="HD207" s="27">
        <v>10</v>
      </c>
      <c r="HE207" s="129">
        <v>22.2</v>
      </c>
      <c r="HG207" s="27">
        <v>14</v>
      </c>
      <c r="HH207" s="27">
        <v>14</v>
      </c>
      <c r="HI207" s="27">
        <v>14</v>
      </c>
      <c r="HJ207" s="27">
        <v>14</v>
      </c>
      <c r="HK207" s="27">
        <v>14</v>
      </c>
      <c r="HL207" s="27">
        <v>14</v>
      </c>
      <c r="HM207" s="27">
        <v>14</v>
      </c>
      <c r="HN207" s="27">
        <v>14</v>
      </c>
      <c r="HO207" s="27">
        <v>14</v>
      </c>
      <c r="HP207" s="129">
        <v>22.2</v>
      </c>
      <c r="HR207" s="27">
        <v>14</v>
      </c>
      <c r="HS207" s="27">
        <v>14</v>
      </c>
      <c r="HT207" s="27">
        <v>14</v>
      </c>
      <c r="HU207" s="27">
        <v>14</v>
      </c>
      <c r="HV207" s="27">
        <v>14</v>
      </c>
      <c r="HW207" s="27">
        <v>14</v>
      </c>
      <c r="HX207" s="27">
        <v>14</v>
      </c>
      <c r="HY207" s="27">
        <v>14</v>
      </c>
      <c r="HZ207" s="27">
        <v>14</v>
      </c>
      <c r="IA207" s="129">
        <v>22.2</v>
      </c>
    </row>
    <row r="208" spans="15:235" ht="13.9" customHeight="1">
      <c r="O208" s="17"/>
      <c r="P208" s="17"/>
      <c r="Q208" s="17"/>
      <c r="R208" s="17"/>
      <c r="S208" s="17"/>
      <c r="T208" s="17"/>
      <c r="U208" s="17"/>
      <c r="V208" s="17"/>
      <c r="W208" s="17"/>
      <c r="X208" s="129">
        <v>20.3</v>
      </c>
      <c r="Y208" s="27"/>
      <c r="AI208" s="129">
        <v>20.3</v>
      </c>
      <c r="AK208" s="129">
        <v>10.700000000000001</v>
      </c>
      <c r="AL208" s="129">
        <v>10.700000000000001</v>
      </c>
      <c r="AM208" s="129">
        <v>10.700000000000001</v>
      </c>
      <c r="AN208" s="129">
        <v>10.700000000000001</v>
      </c>
      <c r="AO208" s="129">
        <v>10.700000000000001</v>
      </c>
      <c r="AP208" s="129">
        <v>10.700000000000001</v>
      </c>
      <c r="AQ208" s="129">
        <v>10.700000000000001</v>
      </c>
      <c r="AR208" s="129">
        <v>10.700000000000001</v>
      </c>
      <c r="AS208" s="129">
        <v>10.700000000000001</v>
      </c>
      <c r="AT208" s="129">
        <v>20.3</v>
      </c>
      <c r="AV208" s="129">
        <v>14.400000000000002</v>
      </c>
      <c r="AW208" s="129">
        <v>14.400000000000002</v>
      </c>
      <c r="AX208" s="129">
        <v>14.400000000000002</v>
      </c>
      <c r="AY208" s="129">
        <v>14.400000000000002</v>
      </c>
      <c r="AZ208" s="129">
        <v>14.400000000000002</v>
      </c>
      <c r="BA208" s="129">
        <v>14.400000000000002</v>
      </c>
      <c r="BB208" s="129">
        <v>14.400000000000002</v>
      </c>
      <c r="BC208" s="129">
        <v>14.400000000000002</v>
      </c>
      <c r="BD208" s="129">
        <v>14.400000000000002</v>
      </c>
      <c r="BE208" s="129">
        <v>20.3</v>
      </c>
      <c r="BG208" s="129">
        <v>20.099999999999998</v>
      </c>
      <c r="BH208" s="129">
        <v>20.099999999999998</v>
      </c>
      <c r="BI208" s="129">
        <v>20.099999999999998</v>
      </c>
      <c r="BJ208" s="129">
        <v>20.099999999999998</v>
      </c>
      <c r="BK208" s="129">
        <v>20.099999999999998</v>
      </c>
      <c r="BL208" s="129">
        <v>20.099999999999998</v>
      </c>
      <c r="BM208" s="129">
        <v>20.099999999999998</v>
      </c>
      <c r="BN208" s="129">
        <v>20.099999999999998</v>
      </c>
      <c r="BO208" s="129">
        <v>20.099999999999998</v>
      </c>
      <c r="BP208" s="129">
        <v>20.3</v>
      </c>
      <c r="BR208" s="129">
        <v>20.099999999999998</v>
      </c>
      <c r="BS208" s="129">
        <v>20.099999999999998</v>
      </c>
      <c r="BT208" s="129">
        <v>20.099999999999998</v>
      </c>
      <c r="BU208" s="129">
        <v>20.099999999999998</v>
      </c>
      <c r="BV208" s="129">
        <v>20.099999999999998</v>
      </c>
      <c r="BW208" s="129">
        <v>20.099999999999998</v>
      </c>
      <c r="BX208" s="129">
        <v>20.099999999999998</v>
      </c>
      <c r="BY208" s="129">
        <v>20.099999999999998</v>
      </c>
      <c r="BZ208" s="129">
        <v>20.099999999999998</v>
      </c>
      <c r="CA208" s="129">
        <v>20.3</v>
      </c>
      <c r="CC208" s="129">
        <v>9</v>
      </c>
      <c r="CD208" s="129">
        <v>9</v>
      </c>
      <c r="CE208" s="129">
        <v>9</v>
      </c>
      <c r="CF208" s="129">
        <v>9</v>
      </c>
      <c r="CG208" s="129">
        <v>9</v>
      </c>
      <c r="CH208" s="129">
        <v>9</v>
      </c>
      <c r="CI208" s="129">
        <v>9</v>
      </c>
      <c r="CJ208" s="129">
        <v>9</v>
      </c>
      <c r="CK208" s="129">
        <v>9</v>
      </c>
      <c r="CL208" s="129">
        <v>20.3</v>
      </c>
      <c r="CN208" s="129">
        <v>11</v>
      </c>
      <c r="CO208" s="129">
        <v>11</v>
      </c>
      <c r="CP208" s="129">
        <v>11</v>
      </c>
      <c r="CQ208" s="129">
        <v>11</v>
      </c>
      <c r="CR208" s="129">
        <v>11</v>
      </c>
      <c r="CS208" s="129">
        <v>11</v>
      </c>
      <c r="CT208" s="129">
        <v>11</v>
      </c>
      <c r="CU208" s="129">
        <v>11</v>
      </c>
      <c r="CV208" s="129">
        <v>11</v>
      </c>
      <c r="CW208" s="129">
        <v>20.3</v>
      </c>
      <c r="CY208" s="129">
        <v>15.700000000000001</v>
      </c>
      <c r="CZ208" s="129">
        <v>15.700000000000001</v>
      </c>
      <c r="DA208" s="129">
        <v>15.700000000000001</v>
      </c>
      <c r="DB208" s="129">
        <v>15.700000000000001</v>
      </c>
      <c r="DC208" s="129">
        <v>15.700000000000001</v>
      </c>
      <c r="DD208" s="129">
        <v>15.700000000000001</v>
      </c>
      <c r="DE208" s="129">
        <v>15.700000000000001</v>
      </c>
      <c r="DF208" s="129">
        <v>15.700000000000001</v>
      </c>
      <c r="DG208" s="129">
        <v>15.700000000000001</v>
      </c>
      <c r="DH208" s="129">
        <v>20.3</v>
      </c>
      <c r="DJ208" s="129">
        <v>15.700000000000001</v>
      </c>
      <c r="DK208" s="129">
        <v>15.700000000000001</v>
      </c>
      <c r="DL208" s="129">
        <v>15.700000000000001</v>
      </c>
      <c r="DM208" s="129">
        <v>15.700000000000001</v>
      </c>
      <c r="DN208" s="129">
        <v>15.700000000000001</v>
      </c>
      <c r="DO208" s="129">
        <v>15.700000000000001</v>
      </c>
      <c r="DP208" s="129">
        <v>15.700000000000001</v>
      </c>
      <c r="DQ208" s="129">
        <v>15.700000000000001</v>
      </c>
      <c r="DR208" s="129">
        <v>15.700000000000001</v>
      </c>
      <c r="DS208" s="129">
        <v>20.3</v>
      </c>
      <c r="DW208" s="27"/>
      <c r="EF208" s="129">
        <v>22.3</v>
      </c>
      <c r="EH208" s="27">
        <v>7.7000000000000011</v>
      </c>
      <c r="EI208" s="27">
        <v>7.7000000000000011</v>
      </c>
      <c r="EJ208" s="27">
        <v>7.7000000000000011</v>
      </c>
      <c r="EK208" s="27">
        <v>7.7000000000000011</v>
      </c>
      <c r="EL208" s="27">
        <v>7.7000000000000011</v>
      </c>
      <c r="EM208" s="27">
        <v>7.7000000000000011</v>
      </c>
      <c r="EN208" s="27">
        <v>7.7000000000000011</v>
      </c>
      <c r="EO208" s="27">
        <v>7.7000000000000011</v>
      </c>
      <c r="EP208" s="27">
        <v>7.7000000000000011</v>
      </c>
      <c r="EQ208" s="129">
        <v>22.3</v>
      </c>
      <c r="ES208" s="27">
        <v>20.099999999999998</v>
      </c>
      <c r="ET208" s="27">
        <v>20.099999999999998</v>
      </c>
      <c r="EU208" s="27">
        <v>20.099999999999998</v>
      </c>
      <c r="EV208" s="27">
        <v>20.099999999999998</v>
      </c>
      <c r="EW208" s="27">
        <v>20.099999999999998</v>
      </c>
      <c r="EX208" s="27">
        <v>20.099999999999998</v>
      </c>
      <c r="EY208" s="27">
        <v>20.099999999999998</v>
      </c>
      <c r="EZ208" s="27">
        <v>20.099999999999998</v>
      </c>
      <c r="FA208" s="27">
        <v>20.099999999999998</v>
      </c>
      <c r="FB208" s="129">
        <v>22.3</v>
      </c>
      <c r="FD208" s="27">
        <v>22.699999999999996</v>
      </c>
      <c r="FE208" s="27">
        <v>22.699999999999996</v>
      </c>
      <c r="FF208" s="27">
        <v>22.699999999999996</v>
      </c>
      <c r="FG208" s="27">
        <v>22.699999999999996</v>
      </c>
      <c r="FH208" s="27">
        <v>22.699999999999996</v>
      </c>
      <c r="FI208" s="27">
        <v>22.699999999999996</v>
      </c>
      <c r="FJ208" s="27">
        <v>22.699999999999996</v>
      </c>
      <c r="FK208" s="27">
        <v>22.699999999999996</v>
      </c>
      <c r="FL208" s="27">
        <v>22.699999999999996</v>
      </c>
      <c r="FM208" s="129">
        <v>22.3</v>
      </c>
      <c r="FO208" s="27">
        <v>35.100000000000009</v>
      </c>
      <c r="FP208" s="27">
        <v>35.100000000000009</v>
      </c>
      <c r="FQ208" s="27">
        <v>35.100000000000009</v>
      </c>
      <c r="FR208" s="27">
        <v>35.100000000000009</v>
      </c>
      <c r="FS208" s="27">
        <v>35.100000000000009</v>
      </c>
      <c r="FT208" s="27">
        <v>35.100000000000009</v>
      </c>
      <c r="FU208" s="27">
        <v>35.100000000000009</v>
      </c>
      <c r="FV208" s="27">
        <v>35.100000000000009</v>
      </c>
      <c r="FW208" s="27">
        <v>35.100000000000009</v>
      </c>
      <c r="FX208" s="129">
        <v>22.3</v>
      </c>
      <c r="FZ208" s="27">
        <v>35.100000000000009</v>
      </c>
      <c r="GA208" s="27">
        <v>35.100000000000009</v>
      </c>
      <c r="GB208" s="27">
        <v>35.100000000000009</v>
      </c>
      <c r="GC208" s="27">
        <v>35.100000000000009</v>
      </c>
      <c r="GD208" s="27">
        <v>35.100000000000009</v>
      </c>
      <c r="GE208" s="27">
        <v>35.100000000000009</v>
      </c>
      <c r="GF208" s="27">
        <v>35.100000000000009</v>
      </c>
      <c r="GG208" s="27">
        <v>35.100000000000009</v>
      </c>
      <c r="GH208" s="27">
        <v>35.100000000000009</v>
      </c>
      <c r="GI208" s="129">
        <v>22.3</v>
      </c>
      <c r="GJ208" s="27"/>
      <c r="GK208" s="27">
        <v>8.7000000000000011</v>
      </c>
      <c r="GL208" s="27">
        <v>8.7000000000000011</v>
      </c>
      <c r="GM208" s="27">
        <v>8.7000000000000011</v>
      </c>
      <c r="GN208" s="27">
        <v>8.7000000000000011</v>
      </c>
      <c r="GO208" s="27">
        <v>8.7000000000000011</v>
      </c>
      <c r="GP208" s="27">
        <v>8.7000000000000011</v>
      </c>
      <c r="GQ208" s="27">
        <v>8.7000000000000011</v>
      </c>
      <c r="GR208" s="27">
        <v>8.7000000000000011</v>
      </c>
      <c r="GS208" s="27">
        <v>8.7000000000000011</v>
      </c>
      <c r="GT208" s="129">
        <v>22.3</v>
      </c>
      <c r="GV208" s="27">
        <v>10</v>
      </c>
      <c r="GW208" s="27">
        <v>10</v>
      </c>
      <c r="GX208" s="27">
        <v>10</v>
      </c>
      <c r="GY208" s="27">
        <v>10</v>
      </c>
      <c r="GZ208" s="27">
        <v>10</v>
      </c>
      <c r="HA208" s="27">
        <v>10</v>
      </c>
      <c r="HB208" s="27">
        <v>10</v>
      </c>
      <c r="HC208" s="27">
        <v>10</v>
      </c>
      <c r="HD208" s="27">
        <v>10</v>
      </c>
      <c r="HE208" s="129">
        <v>22.3</v>
      </c>
      <c r="HG208" s="27">
        <v>14</v>
      </c>
      <c r="HH208" s="27">
        <v>14</v>
      </c>
      <c r="HI208" s="27">
        <v>14</v>
      </c>
      <c r="HJ208" s="27">
        <v>14</v>
      </c>
      <c r="HK208" s="27">
        <v>14</v>
      </c>
      <c r="HL208" s="27">
        <v>14</v>
      </c>
      <c r="HM208" s="27">
        <v>14</v>
      </c>
      <c r="HN208" s="27">
        <v>14</v>
      </c>
      <c r="HO208" s="27">
        <v>14</v>
      </c>
      <c r="HP208" s="129">
        <v>22.3</v>
      </c>
      <c r="HR208" s="27">
        <v>14</v>
      </c>
      <c r="HS208" s="27">
        <v>14</v>
      </c>
      <c r="HT208" s="27">
        <v>14</v>
      </c>
      <c r="HU208" s="27">
        <v>14</v>
      </c>
      <c r="HV208" s="27">
        <v>14</v>
      </c>
      <c r="HW208" s="27">
        <v>14</v>
      </c>
      <c r="HX208" s="27">
        <v>14</v>
      </c>
      <c r="HY208" s="27">
        <v>14</v>
      </c>
      <c r="HZ208" s="27">
        <v>14</v>
      </c>
      <c r="IA208" s="129">
        <v>22.3</v>
      </c>
    </row>
    <row r="209" spans="15:235" ht="13.9" customHeight="1">
      <c r="O209" s="17"/>
      <c r="P209" s="17"/>
      <c r="Q209" s="17"/>
      <c r="R209" s="17"/>
      <c r="S209" s="17"/>
      <c r="T209" s="17"/>
      <c r="U209" s="17"/>
      <c r="V209" s="17"/>
      <c r="W209" s="17"/>
      <c r="X209" s="129">
        <v>20.399999999999999</v>
      </c>
      <c r="Y209" s="27"/>
      <c r="AI209" s="129">
        <v>20.399999999999999</v>
      </c>
      <c r="AK209" s="129">
        <v>10.600000000000001</v>
      </c>
      <c r="AL209" s="129">
        <v>10.600000000000001</v>
      </c>
      <c r="AM209" s="129">
        <v>10.600000000000001</v>
      </c>
      <c r="AN209" s="129">
        <v>10.600000000000001</v>
      </c>
      <c r="AO209" s="129">
        <v>10.600000000000001</v>
      </c>
      <c r="AP209" s="129">
        <v>10.600000000000001</v>
      </c>
      <c r="AQ209" s="129">
        <v>10.600000000000001</v>
      </c>
      <c r="AR209" s="129">
        <v>10.600000000000001</v>
      </c>
      <c r="AS209" s="129">
        <v>10.600000000000001</v>
      </c>
      <c r="AT209" s="129">
        <v>20.399999999999999</v>
      </c>
      <c r="AV209" s="129">
        <v>14.200000000000003</v>
      </c>
      <c r="AW209" s="129">
        <v>14.200000000000003</v>
      </c>
      <c r="AX209" s="129">
        <v>14.200000000000003</v>
      </c>
      <c r="AY209" s="129">
        <v>14.200000000000003</v>
      </c>
      <c r="AZ209" s="129">
        <v>14.200000000000003</v>
      </c>
      <c r="BA209" s="129">
        <v>14.200000000000003</v>
      </c>
      <c r="BB209" s="129">
        <v>14.200000000000003</v>
      </c>
      <c r="BC209" s="129">
        <v>14.200000000000003</v>
      </c>
      <c r="BD209" s="129">
        <v>14.200000000000003</v>
      </c>
      <c r="BE209" s="129">
        <v>20.399999999999999</v>
      </c>
      <c r="BG209" s="129">
        <v>19.799999999999997</v>
      </c>
      <c r="BH209" s="129">
        <v>19.799999999999997</v>
      </c>
      <c r="BI209" s="129">
        <v>19.799999999999997</v>
      </c>
      <c r="BJ209" s="129">
        <v>19.799999999999997</v>
      </c>
      <c r="BK209" s="129">
        <v>19.799999999999997</v>
      </c>
      <c r="BL209" s="129">
        <v>19.799999999999997</v>
      </c>
      <c r="BM209" s="129">
        <v>19.799999999999997</v>
      </c>
      <c r="BN209" s="129">
        <v>19.799999999999997</v>
      </c>
      <c r="BO209" s="129">
        <v>19.799999999999997</v>
      </c>
      <c r="BP209" s="129">
        <v>20.399999999999999</v>
      </c>
      <c r="BR209" s="129">
        <v>19.799999999999997</v>
      </c>
      <c r="BS209" s="129">
        <v>19.799999999999997</v>
      </c>
      <c r="BT209" s="129">
        <v>19.799999999999997</v>
      </c>
      <c r="BU209" s="129">
        <v>19.799999999999997</v>
      </c>
      <c r="BV209" s="129">
        <v>19.799999999999997</v>
      </c>
      <c r="BW209" s="129">
        <v>19.799999999999997</v>
      </c>
      <c r="BX209" s="129">
        <v>19.799999999999997</v>
      </c>
      <c r="BY209" s="129">
        <v>19.799999999999997</v>
      </c>
      <c r="BZ209" s="129">
        <v>19.799999999999997</v>
      </c>
      <c r="CA209" s="129">
        <v>20.399999999999999</v>
      </c>
      <c r="CC209" s="129">
        <v>9</v>
      </c>
      <c r="CD209" s="129">
        <v>9</v>
      </c>
      <c r="CE209" s="129">
        <v>9</v>
      </c>
      <c r="CF209" s="129">
        <v>9</v>
      </c>
      <c r="CG209" s="129">
        <v>9</v>
      </c>
      <c r="CH209" s="129">
        <v>9</v>
      </c>
      <c r="CI209" s="129">
        <v>9</v>
      </c>
      <c r="CJ209" s="129">
        <v>9</v>
      </c>
      <c r="CK209" s="129">
        <v>9</v>
      </c>
      <c r="CL209" s="129">
        <v>20.399999999999999</v>
      </c>
      <c r="CN209" s="129">
        <v>11</v>
      </c>
      <c r="CO209" s="129">
        <v>11</v>
      </c>
      <c r="CP209" s="129">
        <v>11</v>
      </c>
      <c r="CQ209" s="129">
        <v>11</v>
      </c>
      <c r="CR209" s="129">
        <v>11</v>
      </c>
      <c r="CS209" s="129">
        <v>11</v>
      </c>
      <c r="CT209" s="129">
        <v>11</v>
      </c>
      <c r="CU209" s="129">
        <v>11</v>
      </c>
      <c r="CV209" s="129">
        <v>11</v>
      </c>
      <c r="CW209" s="129">
        <v>20.399999999999999</v>
      </c>
      <c r="CY209" s="129">
        <v>15.600000000000001</v>
      </c>
      <c r="CZ209" s="129">
        <v>15.600000000000001</v>
      </c>
      <c r="DA209" s="129">
        <v>15.600000000000001</v>
      </c>
      <c r="DB209" s="129">
        <v>15.600000000000001</v>
      </c>
      <c r="DC209" s="129">
        <v>15.600000000000001</v>
      </c>
      <c r="DD209" s="129">
        <v>15.600000000000001</v>
      </c>
      <c r="DE209" s="129">
        <v>15.600000000000001</v>
      </c>
      <c r="DF209" s="129">
        <v>15.600000000000001</v>
      </c>
      <c r="DG209" s="129">
        <v>15.600000000000001</v>
      </c>
      <c r="DH209" s="129">
        <v>20.399999999999999</v>
      </c>
      <c r="DJ209" s="129">
        <v>15.600000000000001</v>
      </c>
      <c r="DK209" s="129">
        <v>15.600000000000001</v>
      </c>
      <c r="DL209" s="129">
        <v>15.600000000000001</v>
      </c>
      <c r="DM209" s="129">
        <v>15.600000000000001</v>
      </c>
      <c r="DN209" s="129">
        <v>15.600000000000001</v>
      </c>
      <c r="DO209" s="129">
        <v>15.600000000000001</v>
      </c>
      <c r="DP209" s="129">
        <v>15.600000000000001</v>
      </c>
      <c r="DQ209" s="129">
        <v>15.600000000000001</v>
      </c>
      <c r="DR209" s="129">
        <v>15.600000000000001</v>
      </c>
      <c r="DS209" s="129">
        <v>20.399999999999999</v>
      </c>
      <c r="DW209" s="27"/>
      <c r="EF209" s="129">
        <v>22.4</v>
      </c>
      <c r="EH209" s="27">
        <v>7.6000000000000014</v>
      </c>
      <c r="EI209" s="27">
        <v>7.6000000000000014</v>
      </c>
      <c r="EJ209" s="27">
        <v>7.6000000000000014</v>
      </c>
      <c r="EK209" s="27">
        <v>7.6000000000000014</v>
      </c>
      <c r="EL209" s="27">
        <v>7.6000000000000014</v>
      </c>
      <c r="EM209" s="27">
        <v>7.6000000000000014</v>
      </c>
      <c r="EN209" s="27">
        <v>7.6000000000000014</v>
      </c>
      <c r="EO209" s="27">
        <v>7.6000000000000014</v>
      </c>
      <c r="EP209" s="27">
        <v>7.6000000000000014</v>
      </c>
      <c r="EQ209" s="129">
        <v>22.4</v>
      </c>
      <c r="ES209" s="27">
        <v>19.799999999999997</v>
      </c>
      <c r="ET209" s="27">
        <v>19.799999999999997</v>
      </c>
      <c r="EU209" s="27">
        <v>19.799999999999997</v>
      </c>
      <c r="EV209" s="27">
        <v>19.799999999999997</v>
      </c>
      <c r="EW209" s="27">
        <v>19.799999999999997</v>
      </c>
      <c r="EX209" s="27">
        <v>19.799999999999997</v>
      </c>
      <c r="EY209" s="27">
        <v>19.799999999999997</v>
      </c>
      <c r="EZ209" s="27">
        <v>19.799999999999997</v>
      </c>
      <c r="FA209" s="27">
        <v>19.799999999999997</v>
      </c>
      <c r="FB209" s="129">
        <v>22.4</v>
      </c>
      <c r="FD209" s="27">
        <v>22.599999999999994</v>
      </c>
      <c r="FE209" s="27">
        <v>22.599999999999994</v>
      </c>
      <c r="FF209" s="27">
        <v>22.599999999999994</v>
      </c>
      <c r="FG209" s="27">
        <v>22.599999999999994</v>
      </c>
      <c r="FH209" s="27">
        <v>22.599999999999994</v>
      </c>
      <c r="FI209" s="27">
        <v>22.599999999999994</v>
      </c>
      <c r="FJ209" s="27">
        <v>22.599999999999994</v>
      </c>
      <c r="FK209" s="27">
        <v>22.599999999999994</v>
      </c>
      <c r="FL209" s="27">
        <v>22.599999999999994</v>
      </c>
      <c r="FM209" s="129">
        <v>22.4</v>
      </c>
      <c r="FO209" s="27">
        <v>34.800000000000011</v>
      </c>
      <c r="FP209" s="27">
        <v>34.800000000000011</v>
      </c>
      <c r="FQ209" s="27">
        <v>34.800000000000011</v>
      </c>
      <c r="FR209" s="27">
        <v>34.800000000000011</v>
      </c>
      <c r="FS209" s="27">
        <v>34.800000000000011</v>
      </c>
      <c r="FT209" s="27">
        <v>34.800000000000011</v>
      </c>
      <c r="FU209" s="27">
        <v>34.800000000000011</v>
      </c>
      <c r="FV209" s="27">
        <v>34.800000000000011</v>
      </c>
      <c r="FW209" s="27">
        <v>34.800000000000011</v>
      </c>
      <c r="FX209" s="129">
        <v>22.4</v>
      </c>
      <c r="FZ209" s="27">
        <v>34.800000000000011</v>
      </c>
      <c r="GA209" s="27">
        <v>34.800000000000011</v>
      </c>
      <c r="GB209" s="27">
        <v>34.800000000000011</v>
      </c>
      <c r="GC209" s="27">
        <v>34.800000000000011</v>
      </c>
      <c r="GD209" s="27">
        <v>34.800000000000011</v>
      </c>
      <c r="GE209" s="27">
        <v>34.800000000000011</v>
      </c>
      <c r="GF209" s="27">
        <v>34.800000000000011</v>
      </c>
      <c r="GG209" s="27">
        <v>34.800000000000011</v>
      </c>
      <c r="GH209" s="27">
        <v>34.800000000000011</v>
      </c>
      <c r="GI209" s="129">
        <v>22.4</v>
      </c>
      <c r="GJ209" s="27"/>
      <c r="GK209" s="27">
        <v>8.6000000000000014</v>
      </c>
      <c r="GL209" s="27">
        <v>8.6000000000000014</v>
      </c>
      <c r="GM209" s="27">
        <v>8.6000000000000014</v>
      </c>
      <c r="GN209" s="27">
        <v>8.6000000000000014</v>
      </c>
      <c r="GO209" s="27">
        <v>8.6000000000000014</v>
      </c>
      <c r="GP209" s="27">
        <v>8.6000000000000014</v>
      </c>
      <c r="GQ209" s="27">
        <v>8.6000000000000014</v>
      </c>
      <c r="GR209" s="27">
        <v>8.6000000000000014</v>
      </c>
      <c r="GS209" s="27">
        <v>8.6000000000000014</v>
      </c>
      <c r="GT209" s="129">
        <v>22.4</v>
      </c>
      <c r="GV209" s="27">
        <v>10</v>
      </c>
      <c r="GW209" s="27">
        <v>10</v>
      </c>
      <c r="GX209" s="27">
        <v>10</v>
      </c>
      <c r="GY209" s="27">
        <v>10</v>
      </c>
      <c r="GZ209" s="27">
        <v>10</v>
      </c>
      <c r="HA209" s="27">
        <v>10</v>
      </c>
      <c r="HB209" s="27">
        <v>10</v>
      </c>
      <c r="HC209" s="27">
        <v>10</v>
      </c>
      <c r="HD209" s="27">
        <v>10</v>
      </c>
      <c r="HE209" s="129">
        <v>22.4</v>
      </c>
      <c r="HG209" s="27">
        <v>14</v>
      </c>
      <c r="HH209" s="27">
        <v>14</v>
      </c>
      <c r="HI209" s="27">
        <v>14</v>
      </c>
      <c r="HJ209" s="27">
        <v>14</v>
      </c>
      <c r="HK209" s="27">
        <v>14</v>
      </c>
      <c r="HL209" s="27">
        <v>14</v>
      </c>
      <c r="HM209" s="27">
        <v>14</v>
      </c>
      <c r="HN209" s="27">
        <v>14</v>
      </c>
      <c r="HO209" s="27">
        <v>14</v>
      </c>
      <c r="HP209" s="129">
        <v>22.4</v>
      </c>
      <c r="HR209" s="27">
        <v>14</v>
      </c>
      <c r="HS209" s="27">
        <v>14</v>
      </c>
      <c r="HT209" s="27">
        <v>14</v>
      </c>
      <c r="HU209" s="27">
        <v>14</v>
      </c>
      <c r="HV209" s="27">
        <v>14</v>
      </c>
      <c r="HW209" s="27">
        <v>14</v>
      </c>
      <c r="HX209" s="27">
        <v>14</v>
      </c>
      <c r="HY209" s="27">
        <v>14</v>
      </c>
      <c r="HZ209" s="27">
        <v>14</v>
      </c>
      <c r="IA209" s="129">
        <v>22.4</v>
      </c>
    </row>
    <row r="210" spans="15:235" ht="13.9" customHeight="1">
      <c r="O210" s="17"/>
      <c r="P210" s="17"/>
      <c r="Q210" s="17"/>
      <c r="R210" s="17"/>
      <c r="S210" s="17"/>
      <c r="T210" s="17"/>
      <c r="U210" s="17"/>
      <c r="V210" s="17"/>
      <c r="W210" s="17"/>
      <c r="X210" s="129">
        <v>20.5</v>
      </c>
      <c r="Y210" s="27"/>
      <c r="AI210" s="129">
        <v>20.5</v>
      </c>
      <c r="AK210" s="129">
        <v>10.500000000000002</v>
      </c>
      <c r="AL210" s="129">
        <v>10.500000000000002</v>
      </c>
      <c r="AM210" s="129">
        <v>10.500000000000002</v>
      </c>
      <c r="AN210" s="129">
        <v>10.500000000000002</v>
      </c>
      <c r="AO210" s="129">
        <v>10.500000000000002</v>
      </c>
      <c r="AP210" s="129">
        <v>10.500000000000002</v>
      </c>
      <c r="AQ210" s="129">
        <v>10.500000000000002</v>
      </c>
      <c r="AR210" s="129">
        <v>10.500000000000002</v>
      </c>
      <c r="AS210" s="129">
        <v>10.500000000000002</v>
      </c>
      <c r="AT210" s="129">
        <v>20.5</v>
      </c>
      <c r="AV210" s="129">
        <v>14.000000000000004</v>
      </c>
      <c r="AW210" s="129">
        <v>14.000000000000004</v>
      </c>
      <c r="AX210" s="129">
        <v>14.000000000000004</v>
      </c>
      <c r="AY210" s="129">
        <v>14.000000000000004</v>
      </c>
      <c r="AZ210" s="129">
        <v>14.000000000000004</v>
      </c>
      <c r="BA210" s="129">
        <v>14.000000000000004</v>
      </c>
      <c r="BB210" s="129">
        <v>14.000000000000004</v>
      </c>
      <c r="BC210" s="129">
        <v>14.000000000000004</v>
      </c>
      <c r="BD210" s="129">
        <v>14.000000000000004</v>
      </c>
      <c r="BE210" s="129">
        <v>20.5</v>
      </c>
      <c r="BG210" s="129">
        <v>19.499999999999996</v>
      </c>
      <c r="BH210" s="129">
        <v>19.499999999999996</v>
      </c>
      <c r="BI210" s="129">
        <v>19.499999999999996</v>
      </c>
      <c r="BJ210" s="129">
        <v>19.499999999999996</v>
      </c>
      <c r="BK210" s="129">
        <v>19.499999999999996</v>
      </c>
      <c r="BL210" s="129">
        <v>19.499999999999996</v>
      </c>
      <c r="BM210" s="129">
        <v>19.499999999999996</v>
      </c>
      <c r="BN210" s="129">
        <v>19.499999999999996</v>
      </c>
      <c r="BO210" s="129">
        <v>19.499999999999996</v>
      </c>
      <c r="BP210" s="129">
        <v>20.5</v>
      </c>
      <c r="BR210" s="129">
        <v>19.499999999999996</v>
      </c>
      <c r="BS210" s="129">
        <v>19.499999999999996</v>
      </c>
      <c r="BT210" s="129">
        <v>19.499999999999996</v>
      </c>
      <c r="BU210" s="129">
        <v>19.499999999999996</v>
      </c>
      <c r="BV210" s="129">
        <v>19.499999999999996</v>
      </c>
      <c r="BW210" s="129">
        <v>19.499999999999996</v>
      </c>
      <c r="BX210" s="129">
        <v>19.499999999999996</v>
      </c>
      <c r="BY210" s="129">
        <v>19.499999999999996</v>
      </c>
      <c r="BZ210" s="129">
        <v>19.499999999999996</v>
      </c>
      <c r="CA210" s="129">
        <v>20.5</v>
      </c>
      <c r="CC210" s="129">
        <v>9</v>
      </c>
      <c r="CD210" s="129">
        <v>9</v>
      </c>
      <c r="CE210" s="129">
        <v>9</v>
      </c>
      <c r="CF210" s="129">
        <v>9</v>
      </c>
      <c r="CG210" s="129">
        <v>9</v>
      </c>
      <c r="CH210" s="129">
        <v>9</v>
      </c>
      <c r="CI210" s="129">
        <v>9</v>
      </c>
      <c r="CJ210" s="129">
        <v>9</v>
      </c>
      <c r="CK210" s="129">
        <v>9</v>
      </c>
      <c r="CL210" s="129">
        <v>20.5</v>
      </c>
      <c r="CN210" s="129">
        <v>11</v>
      </c>
      <c r="CO210" s="129">
        <v>11</v>
      </c>
      <c r="CP210" s="129">
        <v>11</v>
      </c>
      <c r="CQ210" s="129">
        <v>11</v>
      </c>
      <c r="CR210" s="129">
        <v>11</v>
      </c>
      <c r="CS210" s="129">
        <v>11</v>
      </c>
      <c r="CT210" s="129">
        <v>11</v>
      </c>
      <c r="CU210" s="129">
        <v>11</v>
      </c>
      <c r="CV210" s="129">
        <v>11</v>
      </c>
      <c r="CW210" s="129">
        <v>20.5</v>
      </c>
      <c r="CY210" s="129">
        <v>15.500000000000002</v>
      </c>
      <c r="CZ210" s="129">
        <v>15.500000000000002</v>
      </c>
      <c r="DA210" s="129">
        <v>15.500000000000002</v>
      </c>
      <c r="DB210" s="129">
        <v>15.500000000000002</v>
      </c>
      <c r="DC210" s="129">
        <v>15.500000000000002</v>
      </c>
      <c r="DD210" s="129">
        <v>15.500000000000002</v>
      </c>
      <c r="DE210" s="129">
        <v>15.500000000000002</v>
      </c>
      <c r="DF210" s="129">
        <v>15.500000000000002</v>
      </c>
      <c r="DG210" s="129">
        <v>15.500000000000002</v>
      </c>
      <c r="DH210" s="129">
        <v>20.5</v>
      </c>
      <c r="DJ210" s="129">
        <v>15.500000000000002</v>
      </c>
      <c r="DK210" s="129">
        <v>15.500000000000002</v>
      </c>
      <c r="DL210" s="129">
        <v>15.500000000000002</v>
      </c>
      <c r="DM210" s="129">
        <v>15.500000000000002</v>
      </c>
      <c r="DN210" s="129">
        <v>15.500000000000002</v>
      </c>
      <c r="DO210" s="129">
        <v>15.500000000000002</v>
      </c>
      <c r="DP210" s="129">
        <v>15.500000000000002</v>
      </c>
      <c r="DQ210" s="129">
        <v>15.500000000000002</v>
      </c>
      <c r="DR210" s="129">
        <v>15.500000000000002</v>
      </c>
      <c r="DS210" s="129">
        <v>20.5</v>
      </c>
      <c r="DW210" s="27"/>
      <c r="EF210" s="129">
        <v>22.5</v>
      </c>
      <c r="EH210" s="27">
        <v>7.5000000000000018</v>
      </c>
      <c r="EI210" s="27">
        <v>7.5000000000000018</v>
      </c>
      <c r="EJ210" s="27">
        <v>7.5000000000000018</v>
      </c>
      <c r="EK210" s="27">
        <v>7.5000000000000018</v>
      </c>
      <c r="EL210" s="27">
        <v>7.5000000000000018</v>
      </c>
      <c r="EM210" s="27">
        <v>7.5000000000000018</v>
      </c>
      <c r="EN210" s="27">
        <v>7.5000000000000018</v>
      </c>
      <c r="EO210" s="27">
        <v>7.5000000000000018</v>
      </c>
      <c r="EP210" s="27">
        <v>7.5000000000000018</v>
      </c>
      <c r="EQ210" s="129">
        <v>22.5</v>
      </c>
      <c r="ES210" s="27">
        <v>19.499999999999996</v>
      </c>
      <c r="ET210" s="27">
        <v>19.499999999999996</v>
      </c>
      <c r="EU210" s="27">
        <v>19.499999999999996</v>
      </c>
      <c r="EV210" s="27">
        <v>19.499999999999996</v>
      </c>
      <c r="EW210" s="27">
        <v>19.499999999999996</v>
      </c>
      <c r="EX210" s="27">
        <v>19.499999999999996</v>
      </c>
      <c r="EY210" s="27">
        <v>19.499999999999996</v>
      </c>
      <c r="EZ210" s="27">
        <v>19.499999999999996</v>
      </c>
      <c r="FA210" s="27">
        <v>19.499999999999996</v>
      </c>
      <c r="FB210" s="129">
        <v>22.5</v>
      </c>
      <c r="FD210" s="27">
        <v>22.499999999999993</v>
      </c>
      <c r="FE210" s="27">
        <v>22.499999999999993</v>
      </c>
      <c r="FF210" s="27">
        <v>22.499999999999993</v>
      </c>
      <c r="FG210" s="27">
        <v>22.499999999999993</v>
      </c>
      <c r="FH210" s="27">
        <v>22.499999999999993</v>
      </c>
      <c r="FI210" s="27">
        <v>22.499999999999993</v>
      </c>
      <c r="FJ210" s="27">
        <v>22.499999999999993</v>
      </c>
      <c r="FK210" s="27">
        <v>22.499999999999993</v>
      </c>
      <c r="FL210" s="27">
        <v>22.499999999999993</v>
      </c>
      <c r="FM210" s="129">
        <v>22.5</v>
      </c>
      <c r="FO210" s="27">
        <v>34.500000000000014</v>
      </c>
      <c r="FP210" s="27">
        <v>34.500000000000014</v>
      </c>
      <c r="FQ210" s="27">
        <v>34.500000000000014</v>
      </c>
      <c r="FR210" s="27">
        <v>34.500000000000014</v>
      </c>
      <c r="FS210" s="27">
        <v>34.500000000000014</v>
      </c>
      <c r="FT210" s="27">
        <v>34.500000000000014</v>
      </c>
      <c r="FU210" s="27">
        <v>34.500000000000014</v>
      </c>
      <c r="FV210" s="27">
        <v>34.500000000000014</v>
      </c>
      <c r="FW210" s="27">
        <v>34.500000000000014</v>
      </c>
      <c r="FX210" s="129">
        <v>22.5</v>
      </c>
      <c r="FZ210" s="27">
        <v>34.500000000000014</v>
      </c>
      <c r="GA210" s="27">
        <v>34.500000000000014</v>
      </c>
      <c r="GB210" s="27">
        <v>34.500000000000014</v>
      </c>
      <c r="GC210" s="27">
        <v>34.500000000000014</v>
      </c>
      <c r="GD210" s="27">
        <v>34.500000000000014</v>
      </c>
      <c r="GE210" s="27">
        <v>34.500000000000014</v>
      </c>
      <c r="GF210" s="27">
        <v>34.500000000000014</v>
      </c>
      <c r="GG210" s="27">
        <v>34.500000000000014</v>
      </c>
      <c r="GH210" s="27">
        <v>34.500000000000014</v>
      </c>
      <c r="GI210" s="129">
        <v>22.5</v>
      </c>
      <c r="GJ210" s="27"/>
      <c r="GK210" s="27">
        <v>8.5000000000000018</v>
      </c>
      <c r="GL210" s="27">
        <v>8.5000000000000018</v>
      </c>
      <c r="GM210" s="27">
        <v>8.5000000000000018</v>
      </c>
      <c r="GN210" s="27">
        <v>8.5000000000000018</v>
      </c>
      <c r="GO210" s="27">
        <v>8.5000000000000018</v>
      </c>
      <c r="GP210" s="27">
        <v>8.5000000000000018</v>
      </c>
      <c r="GQ210" s="27">
        <v>8.5000000000000018</v>
      </c>
      <c r="GR210" s="27">
        <v>8.5000000000000018</v>
      </c>
      <c r="GS210" s="27">
        <v>8.5000000000000018</v>
      </c>
      <c r="GT210" s="129">
        <v>22.5</v>
      </c>
      <c r="GV210" s="27">
        <v>10</v>
      </c>
      <c r="GW210" s="27">
        <v>10</v>
      </c>
      <c r="GX210" s="27">
        <v>10</v>
      </c>
      <c r="GY210" s="27">
        <v>10</v>
      </c>
      <c r="GZ210" s="27">
        <v>10</v>
      </c>
      <c r="HA210" s="27">
        <v>10</v>
      </c>
      <c r="HB210" s="27">
        <v>10</v>
      </c>
      <c r="HC210" s="27">
        <v>10</v>
      </c>
      <c r="HD210" s="27">
        <v>10</v>
      </c>
      <c r="HE210" s="129">
        <v>22.5</v>
      </c>
      <c r="HG210" s="27">
        <v>14</v>
      </c>
      <c r="HH210" s="27">
        <v>14</v>
      </c>
      <c r="HI210" s="27">
        <v>14</v>
      </c>
      <c r="HJ210" s="27">
        <v>14</v>
      </c>
      <c r="HK210" s="27">
        <v>14</v>
      </c>
      <c r="HL210" s="27">
        <v>14</v>
      </c>
      <c r="HM210" s="27">
        <v>14</v>
      </c>
      <c r="HN210" s="27">
        <v>14</v>
      </c>
      <c r="HO210" s="27">
        <v>14</v>
      </c>
      <c r="HP210" s="129">
        <v>22.5</v>
      </c>
      <c r="HR210" s="27">
        <v>14</v>
      </c>
      <c r="HS210" s="27">
        <v>14</v>
      </c>
      <c r="HT210" s="27">
        <v>14</v>
      </c>
      <c r="HU210" s="27">
        <v>14</v>
      </c>
      <c r="HV210" s="27">
        <v>14</v>
      </c>
      <c r="HW210" s="27">
        <v>14</v>
      </c>
      <c r="HX210" s="27">
        <v>14</v>
      </c>
      <c r="HY210" s="27">
        <v>14</v>
      </c>
      <c r="HZ210" s="27">
        <v>14</v>
      </c>
      <c r="IA210" s="129">
        <v>22.5</v>
      </c>
    </row>
    <row r="211" spans="15:235" ht="13.9" customHeight="1">
      <c r="O211" s="17"/>
      <c r="P211" s="17"/>
      <c r="Q211" s="17"/>
      <c r="R211" s="17"/>
      <c r="S211" s="17"/>
      <c r="T211" s="17"/>
      <c r="U211" s="17"/>
      <c r="V211" s="17"/>
      <c r="W211" s="17"/>
      <c r="X211" s="129">
        <v>20.6</v>
      </c>
      <c r="Y211" s="27"/>
      <c r="AI211" s="129">
        <v>20.6</v>
      </c>
      <c r="AK211" s="129">
        <v>10.400000000000002</v>
      </c>
      <c r="AL211" s="129">
        <v>10.400000000000002</v>
      </c>
      <c r="AM211" s="129">
        <v>10.400000000000002</v>
      </c>
      <c r="AN211" s="129">
        <v>10.400000000000002</v>
      </c>
      <c r="AO211" s="129">
        <v>10.400000000000002</v>
      </c>
      <c r="AP211" s="129">
        <v>10.400000000000002</v>
      </c>
      <c r="AQ211" s="129">
        <v>10.400000000000002</v>
      </c>
      <c r="AR211" s="129">
        <v>10.400000000000002</v>
      </c>
      <c r="AS211" s="129">
        <v>10.400000000000002</v>
      </c>
      <c r="AT211" s="129">
        <v>20.6</v>
      </c>
      <c r="AV211" s="129">
        <v>13.800000000000004</v>
      </c>
      <c r="AW211" s="129">
        <v>13.800000000000004</v>
      </c>
      <c r="AX211" s="129">
        <v>13.800000000000004</v>
      </c>
      <c r="AY211" s="129">
        <v>13.800000000000004</v>
      </c>
      <c r="AZ211" s="129">
        <v>13.800000000000004</v>
      </c>
      <c r="BA211" s="129">
        <v>13.800000000000004</v>
      </c>
      <c r="BB211" s="129">
        <v>13.800000000000004</v>
      </c>
      <c r="BC211" s="129">
        <v>13.800000000000004</v>
      </c>
      <c r="BD211" s="129">
        <v>13.800000000000004</v>
      </c>
      <c r="BE211" s="129">
        <v>20.6</v>
      </c>
      <c r="BG211" s="129">
        <v>19.199999999999996</v>
      </c>
      <c r="BH211" s="129">
        <v>19.199999999999996</v>
      </c>
      <c r="BI211" s="129">
        <v>19.199999999999996</v>
      </c>
      <c r="BJ211" s="129">
        <v>19.199999999999996</v>
      </c>
      <c r="BK211" s="129">
        <v>19.199999999999996</v>
      </c>
      <c r="BL211" s="129">
        <v>19.199999999999996</v>
      </c>
      <c r="BM211" s="129">
        <v>19.199999999999996</v>
      </c>
      <c r="BN211" s="129">
        <v>19.199999999999996</v>
      </c>
      <c r="BO211" s="129">
        <v>19.199999999999996</v>
      </c>
      <c r="BP211" s="129">
        <v>20.6</v>
      </c>
      <c r="BR211" s="129">
        <v>19.199999999999996</v>
      </c>
      <c r="BS211" s="129">
        <v>19.199999999999996</v>
      </c>
      <c r="BT211" s="129">
        <v>19.199999999999996</v>
      </c>
      <c r="BU211" s="129">
        <v>19.199999999999996</v>
      </c>
      <c r="BV211" s="129">
        <v>19.199999999999996</v>
      </c>
      <c r="BW211" s="129">
        <v>19.199999999999996</v>
      </c>
      <c r="BX211" s="129">
        <v>19.199999999999996</v>
      </c>
      <c r="BY211" s="129">
        <v>19.199999999999996</v>
      </c>
      <c r="BZ211" s="129">
        <v>19.199999999999996</v>
      </c>
      <c r="CA211" s="129">
        <v>20.6</v>
      </c>
      <c r="CC211" s="129">
        <v>9</v>
      </c>
      <c r="CD211" s="129">
        <v>9</v>
      </c>
      <c r="CE211" s="129">
        <v>9</v>
      </c>
      <c r="CF211" s="129">
        <v>9</v>
      </c>
      <c r="CG211" s="129">
        <v>9</v>
      </c>
      <c r="CH211" s="129">
        <v>9</v>
      </c>
      <c r="CI211" s="129">
        <v>9</v>
      </c>
      <c r="CJ211" s="129">
        <v>9</v>
      </c>
      <c r="CK211" s="129">
        <v>9</v>
      </c>
      <c r="CL211" s="129">
        <v>20.6</v>
      </c>
      <c r="CN211" s="129">
        <v>11</v>
      </c>
      <c r="CO211" s="129">
        <v>11</v>
      </c>
      <c r="CP211" s="129">
        <v>11</v>
      </c>
      <c r="CQ211" s="129">
        <v>11</v>
      </c>
      <c r="CR211" s="129">
        <v>11</v>
      </c>
      <c r="CS211" s="129">
        <v>11</v>
      </c>
      <c r="CT211" s="129">
        <v>11</v>
      </c>
      <c r="CU211" s="129">
        <v>11</v>
      </c>
      <c r="CV211" s="129">
        <v>11</v>
      </c>
      <c r="CW211" s="129">
        <v>20.6</v>
      </c>
      <c r="CY211" s="129">
        <v>15.400000000000002</v>
      </c>
      <c r="CZ211" s="129">
        <v>15.400000000000002</v>
      </c>
      <c r="DA211" s="129">
        <v>15.400000000000002</v>
      </c>
      <c r="DB211" s="129">
        <v>15.400000000000002</v>
      </c>
      <c r="DC211" s="129">
        <v>15.400000000000002</v>
      </c>
      <c r="DD211" s="129">
        <v>15.400000000000002</v>
      </c>
      <c r="DE211" s="129">
        <v>15.400000000000002</v>
      </c>
      <c r="DF211" s="129">
        <v>15.400000000000002</v>
      </c>
      <c r="DG211" s="129">
        <v>15.400000000000002</v>
      </c>
      <c r="DH211" s="129">
        <v>20.6</v>
      </c>
      <c r="DJ211" s="129">
        <v>15.400000000000002</v>
      </c>
      <c r="DK211" s="129">
        <v>15.400000000000002</v>
      </c>
      <c r="DL211" s="129">
        <v>15.400000000000002</v>
      </c>
      <c r="DM211" s="129">
        <v>15.400000000000002</v>
      </c>
      <c r="DN211" s="129">
        <v>15.400000000000002</v>
      </c>
      <c r="DO211" s="129">
        <v>15.400000000000002</v>
      </c>
      <c r="DP211" s="129">
        <v>15.400000000000002</v>
      </c>
      <c r="DQ211" s="129">
        <v>15.400000000000002</v>
      </c>
      <c r="DR211" s="129">
        <v>15.400000000000002</v>
      </c>
      <c r="DS211" s="129">
        <v>20.6</v>
      </c>
      <c r="DW211" s="27"/>
      <c r="EF211" s="129">
        <v>22.6</v>
      </c>
      <c r="EH211" s="27">
        <v>7.4000000000000021</v>
      </c>
      <c r="EI211" s="27">
        <v>7.4000000000000021</v>
      </c>
      <c r="EJ211" s="27">
        <v>7.4000000000000021</v>
      </c>
      <c r="EK211" s="27">
        <v>7.4000000000000021</v>
      </c>
      <c r="EL211" s="27">
        <v>7.4000000000000021</v>
      </c>
      <c r="EM211" s="27">
        <v>7.4000000000000021</v>
      </c>
      <c r="EN211" s="27">
        <v>7.4000000000000021</v>
      </c>
      <c r="EO211" s="27">
        <v>7.4000000000000021</v>
      </c>
      <c r="EP211" s="27">
        <v>7.4000000000000021</v>
      </c>
      <c r="EQ211" s="129">
        <v>22.6</v>
      </c>
      <c r="ES211" s="27">
        <v>19.199999999999996</v>
      </c>
      <c r="ET211" s="27">
        <v>19.199999999999996</v>
      </c>
      <c r="EU211" s="27">
        <v>19.199999999999996</v>
      </c>
      <c r="EV211" s="27">
        <v>19.199999999999996</v>
      </c>
      <c r="EW211" s="27">
        <v>19.199999999999996</v>
      </c>
      <c r="EX211" s="27">
        <v>19.199999999999996</v>
      </c>
      <c r="EY211" s="27">
        <v>19.199999999999996</v>
      </c>
      <c r="EZ211" s="27">
        <v>19.199999999999996</v>
      </c>
      <c r="FA211" s="27">
        <v>19.199999999999996</v>
      </c>
      <c r="FB211" s="129">
        <v>22.6</v>
      </c>
      <c r="FD211" s="27">
        <v>22.399999999999991</v>
      </c>
      <c r="FE211" s="27">
        <v>22.399999999999991</v>
      </c>
      <c r="FF211" s="27">
        <v>22.399999999999991</v>
      </c>
      <c r="FG211" s="27">
        <v>22.399999999999991</v>
      </c>
      <c r="FH211" s="27">
        <v>22.399999999999991</v>
      </c>
      <c r="FI211" s="27">
        <v>22.399999999999991</v>
      </c>
      <c r="FJ211" s="27">
        <v>22.399999999999991</v>
      </c>
      <c r="FK211" s="27">
        <v>22.399999999999991</v>
      </c>
      <c r="FL211" s="27">
        <v>22.399999999999991</v>
      </c>
      <c r="FM211" s="129">
        <v>22.6</v>
      </c>
      <c r="FO211" s="27">
        <v>34.200000000000017</v>
      </c>
      <c r="FP211" s="27">
        <v>34.200000000000017</v>
      </c>
      <c r="FQ211" s="27">
        <v>34.200000000000017</v>
      </c>
      <c r="FR211" s="27">
        <v>34.200000000000017</v>
      </c>
      <c r="FS211" s="27">
        <v>34.200000000000017</v>
      </c>
      <c r="FT211" s="27">
        <v>34.200000000000017</v>
      </c>
      <c r="FU211" s="27">
        <v>34.200000000000017</v>
      </c>
      <c r="FV211" s="27">
        <v>34.200000000000017</v>
      </c>
      <c r="FW211" s="27">
        <v>34.200000000000017</v>
      </c>
      <c r="FX211" s="129">
        <v>22.6</v>
      </c>
      <c r="FZ211" s="27">
        <v>34.200000000000017</v>
      </c>
      <c r="GA211" s="27">
        <v>34.200000000000017</v>
      </c>
      <c r="GB211" s="27">
        <v>34.200000000000017</v>
      </c>
      <c r="GC211" s="27">
        <v>34.200000000000017</v>
      </c>
      <c r="GD211" s="27">
        <v>34.200000000000017</v>
      </c>
      <c r="GE211" s="27">
        <v>34.200000000000017</v>
      </c>
      <c r="GF211" s="27">
        <v>34.200000000000017</v>
      </c>
      <c r="GG211" s="27">
        <v>34.200000000000017</v>
      </c>
      <c r="GH211" s="27">
        <v>34.200000000000017</v>
      </c>
      <c r="GI211" s="129">
        <v>22.6</v>
      </c>
      <c r="GJ211" s="27"/>
      <c r="GK211" s="27">
        <v>8.4000000000000021</v>
      </c>
      <c r="GL211" s="27">
        <v>8.4000000000000021</v>
      </c>
      <c r="GM211" s="27">
        <v>8.4000000000000021</v>
      </c>
      <c r="GN211" s="27">
        <v>8.4000000000000021</v>
      </c>
      <c r="GO211" s="27">
        <v>8.4000000000000021</v>
      </c>
      <c r="GP211" s="27">
        <v>8.4000000000000021</v>
      </c>
      <c r="GQ211" s="27">
        <v>8.4000000000000021</v>
      </c>
      <c r="GR211" s="27">
        <v>8.4000000000000021</v>
      </c>
      <c r="GS211" s="27">
        <v>8.4000000000000021</v>
      </c>
      <c r="GT211" s="129">
        <v>22.6</v>
      </c>
      <c r="GV211" s="27">
        <v>10</v>
      </c>
      <c r="GW211" s="27">
        <v>10</v>
      </c>
      <c r="GX211" s="27">
        <v>10</v>
      </c>
      <c r="GY211" s="27">
        <v>10</v>
      </c>
      <c r="GZ211" s="27">
        <v>10</v>
      </c>
      <c r="HA211" s="27">
        <v>10</v>
      </c>
      <c r="HB211" s="27">
        <v>10</v>
      </c>
      <c r="HC211" s="27">
        <v>10</v>
      </c>
      <c r="HD211" s="27">
        <v>10</v>
      </c>
      <c r="HE211" s="129">
        <v>22.6</v>
      </c>
      <c r="HG211" s="27">
        <v>14</v>
      </c>
      <c r="HH211" s="27">
        <v>14</v>
      </c>
      <c r="HI211" s="27">
        <v>14</v>
      </c>
      <c r="HJ211" s="27">
        <v>14</v>
      </c>
      <c r="HK211" s="27">
        <v>14</v>
      </c>
      <c r="HL211" s="27">
        <v>14</v>
      </c>
      <c r="HM211" s="27">
        <v>14</v>
      </c>
      <c r="HN211" s="27">
        <v>14</v>
      </c>
      <c r="HO211" s="27">
        <v>14</v>
      </c>
      <c r="HP211" s="129">
        <v>22.6</v>
      </c>
      <c r="HR211" s="27">
        <v>14</v>
      </c>
      <c r="HS211" s="27">
        <v>14</v>
      </c>
      <c r="HT211" s="27">
        <v>14</v>
      </c>
      <c r="HU211" s="27">
        <v>14</v>
      </c>
      <c r="HV211" s="27">
        <v>14</v>
      </c>
      <c r="HW211" s="27">
        <v>14</v>
      </c>
      <c r="HX211" s="27">
        <v>14</v>
      </c>
      <c r="HY211" s="27">
        <v>14</v>
      </c>
      <c r="HZ211" s="27">
        <v>14</v>
      </c>
      <c r="IA211" s="129">
        <v>22.6</v>
      </c>
    </row>
    <row r="212" spans="15:235" ht="13.9" customHeight="1">
      <c r="O212" s="17"/>
      <c r="P212" s="17"/>
      <c r="Q212" s="17"/>
      <c r="R212" s="17"/>
      <c r="S212" s="17"/>
      <c r="T212" s="17"/>
      <c r="U212" s="17"/>
      <c r="V212" s="17"/>
      <c r="W212" s="17"/>
      <c r="X212" s="129">
        <v>20.7</v>
      </c>
      <c r="Y212" s="27"/>
      <c r="AI212" s="129">
        <v>20.7</v>
      </c>
      <c r="AK212" s="129">
        <v>10.300000000000002</v>
      </c>
      <c r="AL212" s="129">
        <v>10.300000000000002</v>
      </c>
      <c r="AM212" s="129">
        <v>10.300000000000002</v>
      </c>
      <c r="AN212" s="129">
        <v>10.300000000000002</v>
      </c>
      <c r="AO212" s="129">
        <v>10.300000000000002</v>
      </c>
      <c r="AP212" s="129">
        <v>10.300000000000002</v>
      </c>
      <c r="AQ212" s="129">
        <v>10.300000000000002</v>
      </c>
      <c r="AR212" s="129">
        <v>10.300000000000002</v>
      </c>
      <c r="AS212" s="129">
        <v>10.300000000000002</v>
      </c>
      <c r="AT212" s="129">
        <v>20.7</v>
      </c>
      <c r="AV212" s="129">
        <v>13.600000000000005</v>
      </c>
      <c r="AW212" s="129">
        <v>13.600000000000005</v>
      </c>
      <c r="AX212" s="129">
        <v>13.600000000000005</v>
      </c>
      <c r="AY212" s="129">
        <v>13.600000000000005</v>
      </c>
      <c r="AZ212" s="129">
        <v>13.600000000000005</v>
      </c>
      <c r="BA212" s="129">
        <v>13.600000000000005</v>
      </c>
      <c r="BB212" s="129">
        <v>13.600000000000005</v>
      </c>
      <c r="BC212" s="129">
        <v>13.600000000000005</v>
      </c>
      <c r="BD212" s="129">
        <v>13.600000000000005</v>
      </c>
      <c r="BE212" s="129">
        <v>20.7</v>
      </c>
      <c r="BG212" s="129">
        <v>18.899999999999995</v>
      </c>
      <c r="BH212" s="129">
        <v>18.899999999999995</v>
      </c>
      <c r="BI212" s="129">
        <v>18.899999999999995</v>
      </c>
      <c r="BJ212" s="129">
        <v>18.899999999999995</v>
      </c>
      <c r="BK212" s="129">
        <v>18.899999999999995</v>
      </c>
      <c r="BL212" s="129">
        <v>18.899999999999995</v>
      </c>
      <c r="BM212" s="129">
        <v>18.899999999999995</v>
      </c>
      <c r="BN212" s="129">
        <v>18.899999999999995</v>
      </c>
      <c r="BO212" s="129">
        <v>18.899999999999995</v>
      </c>
      <c r="BP212" s="129">
        <v>20.7</v>
      </c>
      <c r="BR212" s="129">
        <v>18.899999999999995</v>
      </c>
      <c r="BS212" s="129">
        <v>18.899999999999995</v>
      </c>
      <c r="BT212" s="129">
        <v>18.899999999999995</v>
      </c>
      <c r="BU212" s="129">
        <v>18.899999999999995</v>
      </c>
      <c r="BV212" s="129">
        <v>18.899999999999995</v>
      </c>
      <c r="BW212" s="129">
        <v>18.899999999999995</v>
      </c>
      <c r="BX212" s="129">
        <v>18.899999999999995</v>
      </c>
      <c r="BY212" s="129">
        <v>18.899999999999995</v>
      </c>
      <c r="BZ212" s="129">
        <v>18.899999999999995</v>
      </c>
      <c r="CA212" s="129">
        <v>20.7</v>
      </c>
      <c r="CC212" s="129">
        <v>9</v>
      </c>
      <c r="CD212" s="129">
        <v>9</v>
      </c>
      <c r="CE212" s="129">
        <v>9</v>
      </c>
      <c r="CF212" s="129">
        <v>9</v>
      </c>
      <c r="CG212" s="129">
        <v>9</v>
      </c>
      <c r="CH212" s="129">
        <v>9</v>
      </c>
      <c r="CI212" s="129">
        <v>9</v>
      </c>
      <c r="CJ212" s="129">
        <v>9</v>
      </c>
      <c r="CK212" s="129">
        <v>9</v>
      </c>
      <c r="CL212" s="129">
        <v>20.7</v>
      </c>
      <c r="CN212" s="129">
        <v>11</v>
      </c>
      <c r="CO212" s="129">
        <v>11</v>
      </c>
      <c r="CP212" s="129">
        <v>11</v>
      </c>
      <c r="CQ212" s="129">
        <v>11</v>
      </c>
      <c r="CR212" s="129">
        <v>11</v>
      </c>
      <c r="CS212" s="129">
        <v>11</v>
      </c>
      <c r="CT212" s="129">
        <v>11</v>
      </c>
      <c r="CU212" s="129">
        <v>11</v>
      </c>
      <c r="CV212" s="129">
        <v>11</v>
      </c>
      <c r="CW212" s="129">
        <v>20.7</v>
      </c>
      <c r="CY212" s="129">
        <v>15.300000000000002</v>
      </c>
      <c r="CZ212" s="129">
        <v>15.300000000000002</v>
      </c>
      <c r="DA212" s="129">
        <v>15.300000000000002</v>
      </c>
      <c r="DB212" s="129">
        <v>15.300000000000002</v>
      </c>
      <c r="DC212" s="129">
        <v>15.300000000000002</v>
      </c>
      <c r="DD212" s="129">
        <v>15.300000000000002</v>
      </c>
      <c r="DE212" s="129">
        <v>15.300000000000002</v>
      </c>
      <c r="DF212" s="129">
        <v>15.300000000000002</v>
      </c>
      <c r="DG212" s="129">
        <v>15.300000000000002</v>
      </c>
      <c r="DH212" s="129">
        <v>20.7</v>
      </c>
      <c r="DJ212" s="129">
        <v>15.300000000000002</v>
      </c>
      <c r="DK212" s="129">
        <v>15.300000000000002</v>
      </c>
      <c r="DL212" s="129">
        <v>15.300000000000002</v>
      </c>
      <c r="DM212" s="129">
        <v>15.300000000000002</v>
      </c>
      <c r="DN212" s="129">
        <v>15.300000000000002</v>
      </c>
      <c r="DO212" s="129">
        <v>15.300000000000002</v>
      </c>
      <c r="DP212" s="129">
        <v>15.300000000000002</v>
      </c>
      <c r="DQ212" s="129">
        <v>15.300000000000002</v>
      </c>
      <c r="DR212" s="129">
        <v>15.300000000000002</v>
      </c>
      <c r="DS212" s="129">
        <v>20.7</v>
      </c>
      <c r="DW212" s="27"/>
      <c r="EF212" s="129">
        <v>22.7</v>
      </c>
      <c r="EH212" s="27">
        <v>7.3000000000000025</v>
      </c>
      <c r="EI212" s="27">
        <v>7.3000000000000025</v>
      </c>
      <c r="EJ212" s="27">
        <v>7.3000000000000025</v>
      </c>
      <c r="EK212" s="27">
        <v>7.3000000000000025</v>
      </c>
      <c r="EL212" s="27">
        <v>7.3000000000000025</v>
      </c>
      <c r="EM212" s="27">
        <v>7.3000000000000025</v>
      </c>
      <c r="EN212" s="27">
        <v>7.3000000000000025</v>
      </c>
      <c r="EO212" s="27">
        <v>7.3000000000000025</v>
      </c>
      <c r="EP212" s="27">
        <v>7.3000000000000025</v>
      </c>
      <c r="EQ212" s="129">
        <v>22.7</v>
      </c>
      <c r="ES212" s="27">
        <v>18.899999999999995</v>
      </c>
      <c r="ET212" s="27">
        <v>18.899999999999995</v>
      </c>
      <c r="EU212" s="27">
        <v>18.899999999999995</v>
      </c>
      <c r="EV212" s="27">
        <v>18.899999999999995</v>
      </c>
      <c r="EW212" s="27">
        <v>18.899999999999995</v>
      </c>
      <c r="EX212" s="27">
        <v>18.899999999999995</v>
      </c>
      <c r="EY212" s="27">
        <v>18.899999999999995</v>
      </c>
      <c r="EZ212" s="27">
        <v>18.899999999999995</v>
      </c>
      <c r="FA212" s="27">
        <v>18.899999999999995</v>
      </c>
      <c r="FB212" s="129">
        <v>22.7</v>
      </c>
      <c r="FD212" s="27">
        <v>22.29999999999999</v>
      </c>
      <c r="FE212" s="27">
        <v>22.29999999999999</v>
      </c>
      <c r="FF212" s="27">
        <v>22.29999999999999</v>
      </c>
      <c r="FG212" s="27">
        <v>22.29999999999999</v>
      </c>
      <c r="FH212" s="27">
        <v>22.29999999999999</v>
      </c>
      <c r="FI212" s="27">
        <v>22.29999999999999</v>
      </c>
      <c r="FJ212" s="27">
        <v>22.29999999999999</v>
      </c>
      <c r="FK212" s="27">
        <v>22.29999999999999</v>
      </c>
      <c r="FL212" s="27">
        <v>22.29999999999999</v>
      </c>
      <c r="FM212" s="129">
        <v>22.7</v>
      </c>
      <c r="FO212" s="27">
        <v>33.90000000000002</v>
      </c>
      <c r="FP212" s="27">
        <v>33.90000000000002</v>
      </c>
      <c r="FQ212" s="27">
        <v>33.90000000000002</v>
      </c>
      <c r="FR212" s="27">
        <v>33.90000000000002</v>
      </c>
      <c r="FS212" s="27">
        <v>33.90000000000002</v>
      </c>
      <c r="FT212" s="27">
        <v>33.90000000000002</v>
      </c>
      <c r="FU212" s="27">
        <v>33.90000000000002</v>
      </c>
      <c r="FV212" s="27">
        <v>33.90000000000002</v>
      </c>
      <c r="FW212" s="27">
        <v>33.90000000000002</v>
      </c>
      <c r="FX212" s="129">
        <v>22.7</v>
      </c>
      <c r="FZ212" s="27">
        <v>33.90000000000002</v>
      </c>
      <c r="GA212" s="27">
        <v>33.90000000000002</v>
      </c>
      <c r="GB212" s="27">
        <v>33.90000000000002</v>
      </c>
      <c r="GC212" s="27">
        <v>33.90000000000002</v>
      </c>
      <c r="GD212" s="27">
        <v>33.90000000000002</v>
      </c>
      <c r="GE212" s="27">
        <v>33.90000000000002</v>
      </c>
      <c r="GF212" s="27">
        <v>33.90000000000002</v>
      </c>
      <c r="GG212" s="27">
        <v>33.90000000000002</v>
      </c>
      <c r="GH212" s="27">
        <v>33.90000000000002</v>
      </c>
      <c r="GI212" s="129">
        <v>22.7</v>
      </c>
      <c r="GJ212" s="27"/>
      <c r="GK212" s="27">
        <v>8.3000000000000025</v>
      </c>
      <c r="GL212" s="27">
        <v>8.3000000000000025</v>
      </c>
      <c r="GM212" s="27">
        <v>8.3000000000000025</v>
      </c>
      <c r="GN212" s="27">
        <v>8.3000000000000025</v>
      </c>
      <c r="GO212" s="27">
        <v>8.3000000000000025</v>
      </c>
      <c r="GP212" s="27">
        <v>8.3000000000000025</v>
      </c>
      <c r="GQ212" s="27">
        <v>8.3000000000000025</v>
      </c>
      <c r="GR212" s="27">
        <v>8.3000000000000025</v>
      </c>
      <c r="GS212" s="27">
        <v>8.3000000000000025</v>
      </c>
      <c r="GT212" s="129">
        <v>22.7</v>
      </c>
      <c r="GV212" s="27">
        <v>10</v>
      </c>
      <c r="GW212" s="27">
        <v>10</v>
      </c>
      <c r="GX212" s="27">
        <v>10</v>
      </c>
      <c r="GY212" s="27">
        <v>10</v>
      </c>
      <c r="GZ212" s="27">
        <v>10</v>
      </c>
      <c r="HA212" s="27">
        <v>10</v>
      </c>
      <c r="HB212" s="27">
        <v>10</v>
      </c>
      <c r="HC212" s="27">
        <v>10</v>
      </c>
      <c r="HD212" s="27">
        <v>10</v>
      </c>
      <c r="HE212" s="129">
        <v>22.7</v>
      </c>
      <c r="HG212" s="27">
        <v>14</v>
      </c>
      <c r="HH212" s="27">
        <v>14</v>
      </c>
      <c r="HI212" s="27">
        <v>14</v>
      </c>
      <c r="HJ212" s="27">
        <v>14</v>
      </c>
      <c r="HK212" s="27">
        <v>14</v>
      </c>
      <c r="HL212" s="27">
        <v>14</v>
      </c>
      <c r="HM212" s="27">
        <v>14</v>
      </c>
      <c r="HN212" s="27">
        <v>14</v>
      </c>
      <c r="HO212" s="27">
        <v>14</v>
      </c>
      <c r="HP212" s="129">
        <v>22.7</v>
      </c>
      <c r="HR212" s="27">
        <v>14</v>
      </c>
      <c r="HS212" s="27">
        <v>14</v>
      </c>
      <c r="HT212" s="27">
        <v>14</v>
      </c>
      <c r="HU212" s="27">
        <v>14</v>
      </c>
      <c r="HV212" s="27">
        <v>14</v>
      </c>
      <c r="HW212" s="27">
        <v>14</v>
      </c>
      <c r="HX212" s="27">
        <v>14</v>
      </c>
      <c r="HY212" s="27">
        <v>14</v>
      </c>
      <c r="HZ212" s="27">
        <v>14</v>
      </c>
      <c r="IA212" s="129">
        <v>22.7</v>
      </c>
    </row>
    <row r="213" spans="15:235" ht="13.9" customHeight="1">
      <c r="O213" s="17"/>
      <c r="P213" s="17"/>
      <c r="Q213" s="17"/>
      <c r="R213" s="17"/>
      <c r="S213" s="17"/>
      <c r="T213" s="17"/>
      <c r="U213" s="17"/>
      <c r="V213" s="17"/>
      <c r="W213" s="17"/>
      <c r="X213" s="129">
        <v>20.8</v>
      </c>
      <c r="Y213" s="27"/>
      <c r="AI213" s="129">
        <v>20.8</v>
      </c>
      <c r="AK213" s="129">
        <v>10.200000000000003</v>
      </c>
      <c r="AL213" s="129">
        <v>10.200000000000003</v>
      </c>
      <c r="AM213" s="129">
        <v>10.200000000000003</v>
      </c>
      <c r="AN213" s="129">
        <v>10.200000000000003</v>
      </c>
      <c r="AO213" s="129">
        <v>10.200000000000003</v>
      </c>
      <c r="AP213" s="129">
        <v>10.200000000000003</v>
      </c>
      <c r="AQ213" s="129">
        <v>10.200000000000003</v>
      </c>
      <c r="AR213" s="129">
        <v>10.200000000000003</v>
      </c>
      <c r="AS213" s="129">
        <v>10.200000000000003</v>
      </c>
      <c r="AT213" s="129">
        <v>20.8</v>
      </c>
      <c r="AV213" s="129">
        <v>13.400000000000006</v>
      </c>
      <c r="AW213" s="129">
        <v>13.400000000000006</v>
      </c>
      <c r="AX213" s="129">
        <v>13.400000000000006</v>
      </c>
      <c r="AY213" s="129">
        <v>13.400000000000006</v>
      </c>
      <c r="AZ213" s="129">
        <v>13.400000000000006</v>
      </c>
      <c r="BA213" s="129">
        <v>13.400000000000006</v>
      </c>
      <c r="BB213" s="129">
        <v>13.400000000000006</v>
      </c>
      <c r="BC213" s="129">
        <v>13.400000000000006</v>
      </c>
      <c r="BD213" s="129">
        <v>13.400000000000006</v>
      </c>
      <c r="BE213" s="129">
        <v>20.8</v>
      </c>
      <c r="BG213" s="129">
        <v>18.599999999999994</v>
      </c>
      <c r="BH213" s="129">
        <v>18.599999999999994</v>
      </c>
      <c r="BI213" s="129">
        <v>18.599999999999994</v>
      </c>
      <c r="BJ213" s="129">
        <v>18.599999999999994</v>
      </c>
      <c r="BK213" s="129">
        <v>18.599999999999994</v>
      </c>
      <c r="BL213" s="129">
        <v>18.599999999999994</v>
      </c>
      <c r="BM213" s="129">
        <v>18.599999999999994</v>
      </c>
      <c r="BN213" s="129">
        <v>18.599999999999994</v>
      </c>
      <c r="BO213" s="129">
        <v>18.599999999999994</v>
      </c>
      <c r="BP213" s="129">
        <v>20.8</v>
      </c>
      <c r="BR213" s="129">
        <v>18.599999999999994</v>
      </c>
      <c r="BS213" s="129">
        <v>18.599999999999994</v>
      </c>
      <c r="BT213" s="129">
        <v>18.599999999999994</v>
      </c>
      <c r="BU213" s="129">
        <v>18.599999999999994</v>
      </c>
      <c r="BV213" s="129">
        <v>18.599999999999994</v>
      </c>
      <c r="BW213" s="129">
        <v>18.599999999999994</v>
      </c>
      <c r="BX213" s="129">
        <v>18.599999999999994</v>
      </c>
      <c r="BY213" s="129">
        <v>18.599999999999994</v>
      </c>
      <c r="BZ213" s="129">
        <v>18.599999999999994</v>
      </c>
      <c r="CA213" s="129">
        <v>20.8</v>
      </c>
      <c r="CC213" s="129">
        <v>9</v>
      </c>
      <c r="CD213" s="129">
        <v>9</v>
      </c>
      <c r="CE213" s="129">
        <v>9</v>
      </c>
      <c r="CF213" s="129">
        <v>9</v>
      </c>
      <c r="CG213" s="129">
        <v>9</v>
      </c>
      <c r="CH213" s="129">
        <v>9</v>
      </c>
      <c r="CI213" s="129">
        <v>9</v>
      </c>
      <c r="CJ213" s="129">
        <v>9</v>
      </c>
      <c r="CK213" s="129">
        <v>9</v>
      </c>
      <c r="CL213" s="129">
        <v>20.8</v>
      </c>
      <c r="CN213" s="129">
        <v>11</v>
      </c>
      <c r="CO213" s="129">
        <v>11</v>
      </c>
      <c r="CP213" s="129">
        <v>11</v>
      </c>
      <c r="CQ213" s="129">
        <v>11</v>
      </c>
      <c r="CR213" s="129">
        <v>11</v>
      </c>
      <c r="CS213" s="129">
        <v>11</v>
      </c>
      <c r="CT213" s="129">
        <v>11</v>
      </c>
      <c r="CU213" s="129">
        <v>11</v>
      </c>
      <c r="CV213" s="129">
        <v>11</v>
      </c>
      <c r="CW213" s="129">
        <v>20.8</v>
      </c>
      <c r="CY213" s="129">
        <v>15.200000000000003</v>
      </c>
      <c r="CZ213" s="129">
        <v>15.200000000000003</v>
      </c>
      <c r="DA213" s="129">
        <v>15.200000000000003</v>
      </c>
      <c r="DB213" s="129">
        <v>15.200000000000003</v>
      </c>
      <c r="DC213" s="129">
        <v>15.200000000000003</v>
      </c>
      <c r="DD213" s="129">
        <v>15.200000000000003</v>
      </c>
      <c r="DE213" s="129">
        <v>15.200000000000003</v>
      </c>
      <c r="DF213" s="129">
        <v>15.200000000000003</v>
      </c>
      <c r="DG213" s="129">
        <v>15.200000000000003</v>
      </c>
      <c r="DH213" s="129">
        <v>20.8</v>
      </c>
      <c r="DJ213" s="129">
        <v>15.200000000000003</v>
      </c>
      <c r="DK213" s="129">
        <v>15.200000000000003</v>
      </c>
      <c r="DL213" s="129">
        <v>15.200000000000003</v>
      </c>
      <c r="DM213" s="129">
        <v>15.200000000000003</v>
      </c>
      <c r="DN213" s="129">
        <v>15.200000000000003</v>
      </c>
      <c r="DO213" s="129">
        <v>15.200000000000003</v>
      </c>
      <c r="DP213" s="129">
        <v>15.200000000000003</v>
      </c>
      <c r="DQ213" s="129">
        <v>15.200000000000003</v>
      </c>
      <c r="DR213" s="129">
        <v>15.200000000000003</v>
      </c>
      <c r="DS213" s="129">
        <v>20.8</v>
      </c>
      <c r="DW213" s="27"/>
      <c r="EF213" s="129">
        <v>22.8</v>
      </c>
      <c r="EH213" s="27">
        <v>7.2000000000000028</v>
      </c>
      <c r="EI213" s="27">
        <v>7.2000000000000028</v>
      </c>
      <c r="EJ213" s="27">
        <v>7.2000000000000028</v>
      </c>
      <c r="EK213" s="27">
        <v>7.2000000000000028</v>
      </c>
      <c r="EL213" s="27">
        <v>7.2000000000000028</v>
      </c>
      <c r="EM213" s="27">
        <v>7.2000000000000028</v>
      </c>
      <c r="EN213" s="27">
        <v>7.2000000000000028</v>
      </c>
      <c r="EO213" s="27">
        <v>7.2000000000000028</v>
      </c>
      <c r="EP213" s="27">
        <v>7.2000000000000028</v>
      </c>
      <c r="EQ213" s="129">
        <v>22.8</v>
      </c>
      <c r="ES213" s="27">
        <v>18.599999999999994</v>
      </c>
      <c r="ET213" s="27">
        <v>18.599999999999994</v>
      </c>
      <c r="EU213" s="27">
        <v>18.599999999999994</v>
      </c>
      <c r="EV213" s="27">
        <v>18.599999999999994</v>
      </c>
      <c r="EW213" s="27">
        <v>18.599999999999994</v>
      </c>
      <c r="EX213" s="27">
        <v>18.599999999999994</v>
      </c>
      <c r="EY213" s="27">
        <v>18.599999999999994</v>
      </c>
      <c r="EZ213" s="27">
        <v>18.599999999999994</v>
      </c>
      <c r="FA213" s="27">
        <v>18.599999999999994</v>
      </c>
      <c r="FB213" s="129">
        <v>22.8</v>
      </c>
      <c r="FD213" s="27">
        <v>22.199999999999989</v>
      </c>
      <c r="FE213" s="27">
        <v>22.199999999999989</v>
      </c>
      <c r="FF213" s="27">
        <v>22.199999999999989</v>
      </c>
      <c r="FG213" s="27">
        <v>22.199999999999989</v>
      </c>
      <c r="FH213" s="27">
        <v>22.199999999999989</v>
      </c>
      <c r="FI213" s="27">
        <v>22.199999999999989</v>
      </c>
      <c r="FJ213" s="27">
        <v>22.199999999999989</v>
      </c>
      <c r="FK213" s="27">
        <v>22.199999999999989</v>
      </c>
      <c r="FL213" s="27">
        <v>22.199999999999989</v>
      </c>
      <c r="FM213" s="129">
        <v>22.8</v>
      </c>
      <c r="FO213" s="27">
        <v>33.600000000000023</v>
      </c>
      <c r="FP213" s="27">
        <v>33.600000000000023</v>
      </c>
      <c r="FQ213" s="27">
        <v>33.600000000000023</v>
      </c>
      <c r="FR213" s="27">
        <v>33.600000000000023</v>
      </c>
      <c r="FS213" s="27">
        <v>33.600000000000023</v>
      </c>
      <c r="FT213" s="27">
        <v>33.600000000000023</v>
      </c>
      <c r="FU213" s="27">
        <v>33.600000000000023</v>
      </c>
      <c r="FV213" s="27">
        <v>33.600000000000023</v>
      </c>
      <c r="FW213" s="27">
        <v>33.600000000000023</v>
      </c>
      <c r="FX213" s="129">
        <v>22.8</v>
      </c>
      <c r="FZ213" s="27">
        <v>33.600000000000023</v>
      </c>
      <c r="GA213" s="27">
        <v>33.600000000000023</v>
      </c>
      <c r="GB213" s="27">
        <v>33.600000000000023</v>
      </c>
      <c r="GC213" s="27">
        <v>33.600000000000023</v>
      </c>
      <c r="GD213" s="27">
        <v>33.600000000000023</v>
      </c>
      <c r="GE213" s="27">
        <v>33.600000000000023</v>
      </c>
      <c r="GF213" s="27">
        <v>33.600000000000023</v>
      </c>
      <c r="GG213" s="27">
        <v>33.600000000000023</v>
      </c>
      <c r="GH213" s="27">
        <v>33.600000000000023</v>
      </c>
      <c r="GI213" s="129">
        <v>22.8</v>
      </c>
      <c r="GJ213" s="27"/>
      <c r="GK213" s="27">
        <v>8.2000000000000028</v>
      </c>
      <c r="GL213" s="27">
        <v>8.2000000000000028</v>
      </c>
      <c r="GM213" s="27">
        <v>8.2000000000000028</v>
      </c>
      <c r="GN213" s="27">
        <v>8.2000000000000028</v>
      </c>
      <c r="GO213" s="27">
        <v>8.2000000000000028</v>
      </c>
      <c r="GP213" s="27">
        <v>8.2000000000000028</v>
      </c>
      <c r="GQ213" s="27">
        <v>8.2000000000000028</v>
      </c>
      <c r="GR213" s="27">
        <v>8.2000000000000028</v>
      </c>
      <c r="GS213" s="27">
        <v>8.2000000000000028</v>
      </c>
      <c r="GT213" s="129">
        <v>22.8</v>
      </c>
      <c r="GV213" s="27">
        <v>10</v>
      </c>
      <c r="GW213" s="27">
        <v>10</v>
      </c>
      <c r="GX213" s="27">
        <v>10</v>
      </c>
      <c r="GY213" s="27">
        <v>10</v>
      </c>
      <c r="GZ213" s="27">
        <v>10</v>
      </c>
      <c r="HA213" s="27">
        <v>10</v>
      </c>
      <c r="HB213" s="27">
        <v>10</v>
      </c>
      <c r="HC213" s="27">
        <v>10</v>
      </c>
      <c r="HD213" s="27">
        <v>10</v>
      </c>
      <c r="HE213" s="129">
        <v>22.8</v>
      </c>
      <c r="HG213" s="27">
        <v>14</v>
      </c>
      <c r="HH213" s="27">
        <v>14</v>
      </c>
      <c r="HI213" s="27">
        <v>14</v>
      </c>
      <c r="HJ213" s="27">
        <v>14</v>
      </c>
      <c r="HK213" s="27">
        <v>14</v>
      </c>
      <c r="HL213" s="27">
        <v>14</v>
      </c>
      <c r="HM213" s="27">
        <v>14</v>
      </c>
      <c r="HN213" s="27">
        <v>14</v>
      </c>
      <c r="HO213" s="27">
        <v>14</v>
      </c>
      <c r="HP213" s="129">
        <v>22.8</v>
      </c>
      <c r="HR213" s="27">
        <v>14</v>
      </c>
      <c r="HS213" s="27">
        <v>14</v>
      </c>
      <c r="HT213" s="27">
        <v>14</v>
      </c>
      <c r="HU213" s="27">
        <v>14</v>
      </c>
      <c r="HV213" s="27">
        <v>14</v>
      </c>
      <c r="HW213" s="27">
        <v>14</v>
      </c>
      <c r="HX213" s="27">
        <v>14</v>
      </c>
      <c r="HY213" s="27">
        <v>14</v>
      </c>
      <c r="HZ213" s="27">
        <v>14</v>
      </c>
      <c r="IA213" s="129">
        <v>22.8</v>
      </c>
    </row>
    <row r="214" spans="15:235" ht="13.9" customHeight="1">
      <c r="O214" s="17"/>
      <c r="P214" s="17"/>
      <c r="Q214" s="17"/>
      <c r="R214" s="17"/>
      <c r="S214" s="17"/>
      <c r="T214" s="17"/>
      <c r="U214" s="17"/>
      <c r="V214" s="17"/>
      <c r="W214" s="17"/>
      <c r="X214" s="129">
        <v>20.9</v>
      </c>
      <c r="Y214" s="27"/>
      <c r="AI214" s="129">
        <v>20.9</v>
      </c>
      <c r="AK214" s="129">
        <v>10.100000000000003</v>
      </c>
      <c r="AL214" s="129">
        <v>10.100000000000003</v>
      </c>
      <c r="AM214" s="129">
        <v>10.100000000000003</v>
      </c>
      <c r="AN214" s="129">
        <v>10.100000000000003</v>
      </c>
      <c r="AO214" s="129">
        <v>10.100000000000003</v>
      </c>
      <c r="AP214" s="129">
        <v>10.100000000000003</v>
      </c>
      <c r="AQ214" s="129">
        <v>10.100000000000003</v>
      </c>
      <c r="AR214" s="129">
        <v>10.100000000000003</v>
      </c>
      <c r="AS214" s="129">
        <v>10.100000000000003</v>
      </c>
      <c r="AT214" s="129">
        <v>20.9</v>
      </c>
      <c r="AV214" s="129">
        <v>13.200000000000006</v>
      </c>
      <c r="AW214" s="129">
        <v>13.200000000000006</v>
      </c>
      <c r="AX214" s="129">
        <v>13.200000000000006</v>
      </c>
      <c r="AY214" s="129">
        <v>13.200000000000006</v>
      </c>
      <c r="AZ214" s="129">
        <v>13.200000000000006</v>
      </c>
      <c r="BA214" s="129">
        <v>13.200000000000006</v>
      </c>
      <c r="BB214" s="129">
        <v>13.200000000000006</v>
      </c>
      <c r="BC214" s="129">
        <v>13.200000000000006</v>
      </c>
      <c r="BD214" s="129">
        <v>13.200000000000006</v>
      </c>
      <c r="BE214" s="129">
        <v>20.9</v>
      </c>
      <c r="BG214" s="129">
        <v>18.299999999999994</v>
      </c>
      <c r="BH214" s="129">
        <v>18.299999999999994</v>
      </c>
      <c r="BI214" s="129">
        <v>18.299999999999994</v>
      </c>
      <c r="BJ214" s="129">
        <v>18.299999999999994</v>
      </c>
      <c r="BK214" s="129">
        <v>18.299999999999994</v>
      </c>
      <c r="BL214" s="129">
        <v>18.299999999999994</v>
      </c>
      <c r="BM214" s="129">
        <v>18.299999999999994</v>
      </c>
      <c r="BN214" s="129">
        <v>18.299999999999994</v>
      </c>
      <c r="BO214" s="129">
        <v>18.299999999999994</v>
      </c>
      <c r="BP214" s="129">
        <v>20.9</v>
      </c>
      <c r="BR214" s="129">
        <v>18.299999999999994</v>
      </c>
      <c r="BS214" s="129">
        <v>18.299999999999994</v>
      </c>
      <c r="BT214" s="129">
        <v>18.299999999999994</v>
      </c>
      <c r="BU214" s="129">
        <v>18.299999999999994</v>
      </c>
      <c r="BV214" s="129">
        <v>18.299999999999994</v>
      </c>
      <c r="BW214" s="129">
        <v>18.299999999999994</v>
      </c>
      <c r="BX214" s="129">
        <v>18.299999999999994</v>
      </c>
      <c r="BY214" s="129">
        <v>18.299999999999994</v>
      </c>
      <c r="BZ214" s="129">
        <v>18.299999999999994</v>
      </c>
      <c r="CA214" s="129">
        <v>20.9</v>
      </c>
      <c r="CC214" s="129">
        <v>9</v>
      </c>
      <c r="CD214" s="129">
        <v>9</v>
      </c>
      <c r="CE214" s="129">
        <v>9</v>
      </c>
      <c r="CF214" s="129">
        <v>9</v>
      </c>
      <c r="CG214" s="129">
        <v>9</v>
      </c>
      <c r="CH214" s="129">
        <v>9</v>
      </c>
      <c r="CI214" s="129">
        <v>9</v>
      </c>
      <c r="CJ214" s="129">
        <v>9</v>
      </c>
      <c r="CK214" s="129">
        <v>9</v>
      </c>
      <c r="CL214" s="129">
        <v>20.9</v>
      </c>
      <c r="CN214" s="129">
        <v>11</v>
      </c>
      <c r="CO214" s="129">
        <v>11</v>
      </c>
      <c r="CP214" s="129">
        <v>11</v>
      </c>
      <c r="CQ214" s="129">
        <v>11</v>
      </c>
      <c r="CR214" s="129">
        <v>11</v>
      </c>
      <c r="CS214" s="129">
        <v>11</v>
      </c>
      <c r="CT214" s="129">
        <v>11</v>
      </c>
      <c r="CU214" s="129">
        <v>11</v>
      </c>
      <c r="CV214" s="129">
        <v>11</v>
      </c>
      <c r="CW214" s="129">
        <v>20.9</v>
      </c>
      <c r="CY214" s="129">
        <v>15.100000000000003</v>
      </c>
      <c r="CZ214" s="129">
        <v>15.100000000000003</v>
      </c>
      <c r="DA214" s="129">
        <v>15.100000000000003</v>
      </c>
      <c r="DB214" s="129">
        <v>15.100000000000003</v>
      </c>
      <c r="DC214" s="129">
        <v>15.100000000000003</v>
      </c>
      <c r="DD214" s="129">
        <v>15.100000000000003</v>
      </c>
      <c r="DE214" s="129">
        <v>15.100000000000003</v>
      </c>
      <c r="DF214" s="129">
        <v>15.100000000000003</v>
      </c>
      <c r="DG214" s="129">
        <v>15.100000000000003</v>
      </c>
      <c r="DH214" s="129">
        <v>20.9</v>
      </c>
      <c r="DJ214" s="129">
        <v>15.100000000000003</v>
      </c>
      <c r="DK214" s="129">
        <v>15.100000000000003</v>
      </c>
      <c r="DL214" s="129">
        <v>15.100000000000003</v>
      </c>
      <c r="DM214" s="129">
        <v>15.100000000000003</v>
      </c>
      <c r="DN214" s="129">
        <v>15.100000000000003</v>
      </c>
      <c r="DO214" s="129">
        <v>15.100000000000003</v>
      </c>
      <c r="DP214" s="129">
        <v>15.100000000000003</v>
      </c>
      <c r="DQ214" s="129">
        <v>15.100000000000003</v>
      </c>
      <c r="DR214" s="129">
        <v>15.100000000000003</v>
      </c>
      <c r="DS214" s="129">
        <v>20.9</v>
      </c>
      <c r="DW214" s="27"/>
      <c r="EF214" s="129">
        <v>22.9</v>
      </c>
      <c r="EH214" s="27">
        <v>7.1000000000000032</v>
      </c>
      <c r="EI214" s="27">
        <v>7.1000000000000032</v>
      </c>
      <c r="EJ214" s="27">
        <v>7.1000000000000032</v>
      </c>
      <c r="EK214" s="27">
        <v>7.1000000000000032</v>
      </c>
      <c r="EL214" s="27">
        <v>7.1000000000000032</v>
      </c>
      <c r="EM214" s="27">
        <v>7.1000000000000032</v>
      </c>
      <c r="EN214" s="27">
        <v>7.1000000000000032</v>
      </c>
      <c r="EO214" s="27">
        <v>7.1000000000000032</v>
      </c>
      <c r="EP214" s="27">
        <v>7.1000000000000032</v>
      </c>
      <c r="EQ214" s="129">
        <v>22.9</v>
      </c>
      <c r="ES214" s="27">
        <v>18.299999999999994</v>
      </c>
      <c r="ET214" s="27">
        <v>18.299999999999994</v>
      </c>
      <c r="EU214" s="27">
        <v>18.299999999999994</v>
      </c>
      <c r="EV214" s="27">
        <v>18.299999999999994</v>
      </c>
      <c r="EW214" s="27">
        <v>18.299999999999994</v>
      </c>
      <c r="EX214" s="27">
        <v>18.299999999999994</v>
      </c>
      <c r="EY214" s="27">
        <v>18.299999999999994</v>
      </c>
      <c r="EZ214" s="27">
        <v>18.299999999999994</v>
      </c>
      <c r="FA214" s="27">
        <v>18.299999999999994</v>
      </c>
      <c r="FB214" s="129">
        <v>22.9</v>
      </c>
      <c r="FD214" s="27">
        <v>22.099999999999987</v>
      </c>
      <c r="FE214" s="27">
        <v>22.099999999999987</v>
      </c>
      <c r="FF214" s="27">
        <v>22.099999999999987</v>
      </c>
      <c r="FG214" s="27">
        <v>22.099999999999987</v>
      </c>
      <c r="FH214" s="27">
        <v>22.099999999999987</v>
      </c>
      <c r="FI214" s="27">
        <v>22.099999999999987</v>
      </c>
      <c r="FJ214" s="27">
        <v>22.099999999999987</v>
      </c>
      <c r="FK214" s="27">
        <v>22.099999999999987</v>
      </c>
      <c r="FL214" s="27">
        <v>22.099999999999987</v>
      </c>
      <c r="FM214" s="129">
        <v>22.9</v>
      </c>
      <c r="FO214" s="27">
        <v>33.300000000000026</v>
      </c>
      <c r="FP214" s="27">
        <v>33.300000000000026</v>
      </c>
      <c r="FQ214" s="27">
        <v>33.300000000000026</v>
      </c>
      <c r="FR214" s="27">
        <v>33.300000000000026</v>
      </c>
      <c r="FS214" s="27">
        <v>33.300000000000026</v>
      </c>
      <c r="FT214" s="27">
        <v>33.300000000000026</v>
      </c>
      <c r="FU214" s="27">
        <v>33.300000000000026</v>
      </c>
      <c r="FV214" s="27">
        <v>33.300000000000026</v>
      </c>
      <c r="FW214" s="27">
        <v>33.300000000000026</v>
      </c>
      <c r="FX214" s="129">
        <v>22.9</v>
      </c>
      <c r="FZ214" s="27">
        <v>33.300000000000026</v>
      </c>
      <c r="GA214" s="27">
        <v>33.300000000000026</v>
      </c>
      <c r="GB214" s="27">
        <v>33.300000000000026</v>
      </c>
      <c r="GC214" s="27">
        <v>33.300000000000026</v>
      </c>
      <c r="GD214" s="27">
        <v>33.300000000000026</v>
      </c>
      <c r="GE214" s="27">
        <v>33.300000000000026</v>
      </c>
      <c r="GF214" s="27">
        <v>33.300000000000026</v>
      </c>
      <c r="GG214" s="27">
        <v>33.300000000000026</v>
      </c>
      <c r="GH214" s="27">
        <v>33.300000000000026</v>
      </c>
      <c r="GI214" s="129">
        <v>22.9</v>
      </c>
      <c r="GJ214" s="27"/>
      <c r="GK214" s="27">
        <v>8.1000000000000032</v>
      </c>
      <c r="GL214" s="27">
        <v>8.1000000000000032</v>
      </c>
      <c r="GM214" s="27">
        <v>8.1000000000000032</v>
      </c>
      <c r="GN214" s="27">
        <v>8.1000000000000032</v>
      </c>
      <c r="GO214" s="27">
        <v>8.1000000000000032</v>
      </c>
      <c r="GP214" s="27">
        <v>8.1000000000000032</v>
      </c>
      <c r="GQ214" s="27">
        <v>8.1000000000000032</v>
      </c>
      <c r="GR214" s="27">
        <v>8.1000000000000032</v>
      </c>
      <c r="GS214" s="27">
        <v>8.1000000000000032</v>
      </c>
      <c r="GT214" s="129">
        <v>22.9</v>
      </c>
      <c r="GV214" s="27">
        <v>10</v>
      </c>
      <c r="GW214" s="27">
        <v>10</v>
      </c>
      <c r="GX214" s="27">
        <v>10</v>
      </c>
      <c r="GY214" s="27">
        <v>10</v>
      </c>
      <c r="GZ214" s="27">
        <v>10</v>
      </c>
      <c r="HA214" s="27">
        <v>10</v>
      </c>
      <c r="HB214" s="27">
        <v>10</v>
      </c>
      <c r="HC214" s="27">
        <v>10</v>
      </c>
      <c r="HD214" s="27">
        <v>10</v>
      </c>
      <c r="HE214" s="129">
        <v>22.9</v>
      </c>
      <c r="HG214" s="27">
        <v>14</v>
      </c>
      <c r="HH214" s="27">
        <v>14</v>
      </c>
      <c r="HI214" s="27">
        <v>14</v>
      </c>
      <c r="HJ214" s="27">
        <v>14</v>
      </c>
      <c r="HK214" s="27">
        <v>14</v>
      </c>
      <c r="HL214" s="27">
        <v>14</v>
      </c>
      <c r="HM214" s="27">
        <v>14</v>
      </c>
      <c r="HN214" s="27">
        <v>14</v>
      </c>
      <c r="HO214" s="27">
        <v>14</v>
      </c>
      <c r="HP214" s="129">
        <v>22.9</v>
      </c>
      <c r="HR214" s="27">
        <v>14</v>
      </c>
      <c r="HS214" s="27">
        <v>14</v>
      </c>
      <c r="HT214" s="27">
        <v>14</v>
      </c>
      <c r="HU214" s="27">
        <v>14</v>
      </c>
      <c r="HV214" s="27">
        <v>14</v>
      </c>
      <c r="HW214" s="27">
        <v>14</v>
      </c>
      <c r="HX214" s="27">
        <v>14</v>
      </c>
      <c r="HY214" s="27">
        <v>14</v>
      </c>
      <c r="HZ214" s="27">
        <v>14</v>
      </c>
      <c r="IA214" s="129">
        <v>22.9</v>
      </c>
    </row>
    <row r="215" spans="15:235" ht="13.9" customHeight="1">
      <c r="O215" s="17"/>
      <c r="P215" s="17"/>
      <c r="Q215" s="17"/>
      <c r="R215" s="17"/>
      <c r="S215" s="17"/>
      <c r="T215" s="17"/>
      <c r="U215" s="17"/>
      <c r="V215" s="17"/>
      <c r="W215" s="17"/>
      <c r="X215" s="129">
        <v>21</v>
      </c>
      <c r="Y215" s="27"/>
      <c r="AI215" s="129">
        <v>21</v>
      </c>
      <c r="AK215" s="129">
        <v>10</v>
      </c>
      <c r="AL215" s="129">
        <v>10</v>
      </c>
      <c r="AM215" s="129">
        <v>10</v>
      </c>
      <c r="AN215" s="129">
        <v>10</v>
      </c>
      <c r="AO215" s="129">
        <v>10</v>
      </c>
      <c r="AP215" s="129">
        <v>10</v>
      </c>
      <c r="AQ215" s="129">
        <v>10</v>
      </c>
      <c r="AR215" s="129">
        <v>10</v>
      </c>
      <c r="AS215" s="129">
        <v>10</v>
      </c>
      <c r="AT215" s="129">
        <v>21</v>
      </c>
      <c r="AV215" s="129">
        <v>13</v>
      </c>
      <c r="AW215" s="129">
        <v>13</v>
      </c>
      <c r="AX215" s="129">
        <v>13</v>
      </c>
      <c r="AY215" s="129">
        <v>13</v>
      </c>
      <c r="AZ215" s="129">
        <v>13</v>
      </c>
      <c r="BA215" s="129">
        <v>13</v>
      </c>
      <c r="BB215" s="129">
        <v>13</v>
      </c>
      <c r="BC215" s="129">
        <v>13</v>
      </c>
      <c r="BD215" s="129">
        <v>13</v>
      </c>
      <c r="BE215" s="129">
        <v>21</v>
      </c>
      <c r="BG215" s="129">
        <v>18</v>
      </c>
      <c r="BH215" s="129">
        <v>18</v>
      </c>
      <c r="BI215" s="129">
        <v>18</v>
      </c>
      <c r="BJ215" s="129">
        <v>18</v>
      </c>
      <c r="BK215" s="129">
        <v>18</v>
      </c>
      <c r="BL215" s="129">
        <v>18</v>
      </c>
      <c r="BM215" s="129">
        <v>18</v>
      </c>
      <c r="BN215" s="129">
        <v>18</v>
      </c>
      <c r="BO215" s="129">
        <v>18</v>
      </c>
      <c r="BP215" s="129">
        <v>21</v>
      </c>
      <c r="BR215" s="129">
        <v>18</v>
      </c>
      <c r="BS215" s="129">
        <v>18</v>
      </c>
      <c r="BT215" s="129">
        <v>18</v>
      </c>
      <c r="BU215" s="129">
        <v>18</v>
      </c>
      <c r="BV215" s="129">
        <v>18</v>
      </c>
      <c r="BW215" s="129">
        <v>18</v>
      </c>
      <c r="BX215" s="129">
        <v>18</v>
      </c>
      <c r="BY215" s="129">
        <v>18</v>
      </c>
      <c r="BZ215" s="129">
        <v>18</v>
      </c>
      <c r="CA215" s="129">
        <v>21</v>
      </c>
      <c r="CC215" s="129">
        <v>9</v>
      </c>
      <c r="CD215" s="129">
        <v>9</v>
      </c>
      <c r="CE215" s="129">
        <v>9</v>
      </c>
      <c r="CF215" s="129">
        <v>9</v>
      </c>
      <c r="CG215" s="129">
        <v>9</v>
      </c>
      <c r="CH215" s="129">
        <v>9</v>
      </c>
      <c r="CI215" s="129">
        <v>9</v>
      </c>
      <c r="CJ215" s="129">
        <v>9</v>
      </c>
      <c r="CK215" s="129">
        <v>9</v>
      </c>
      <c r="CL215" s="129">
        <v>21</v>
      </c>
      <c r="CN215" s="129">
        <v>11</v>
      </c>
      <c r="CO215" s="129">
        <v>11</v>
      </c>
      <c r="CP215" s="129">
        <v>11</v>
      </c>
      <c r="CQ215" s="129">
        <v>11</v>
      </c>
      <c r="CR215" s="129">
        <v>11</v>
      </c>
      <c r="CS215" s="129">
        <v>11</v>
      </c>
      <c r="CT215" s="129">
        <v>11</v>
      </c>
      <c r="CU215" s="129">
        <v>11</v>
      </c>
      <c r="CV215" s="129">
        <v>11</v>
      </c>
      <c r="CW215" s="129">
        <v>21</v>
      </c>
      <c r="CY215" s="129">
        <v>15</v>
      </c>
      <c r="CZ215" s="129">
        <v>15</v>
      </c>
      <c r="DA215" s="129">
        <v>15</v>
      </c>
      <c r="DB215" s="129">
        <v>15</v>
      </c>
      <c r="DC215" s="129">
        <v>15</v>
      </c>
      <c r="DD215" s="129">
        <v>15</v>
      </c>
      <c r="DE215" s="129">
        <v>15</v>
      </c>
      <c r="DF215" s="129">
        <v>15</v>
      </c>
      <c r="DG215" s="129">
        <v>15</v>
      </c>
      <c r="DH215" s="129">
        <v>21</v>
      </c>
      <c r="DJ215" s="129">
        <v>15</v>
      </c>
      <c r="DK215" s="129">
        <v>15</v>
      </c>
      <c r="DL215" s="129">
        <v>15</v>
      </c>
      <c r="DM215" s="129">
        <v>15</v>
      </c>
      <c r="DN215" s="129">
        <v>15</v>
      </c>
      <c r="DO215" s="129">
        <v>15</v>
      </c>
      <c r="DP215" s="129">
        <v>15</v>
      </c>
      <c r="DQ215" s="129">
        <v>15</v>
      </c>
      <c r="DR215" s="129">
        <v>15</v>
      </c>
      <c r="DS215" s="129">
        <v>21</v>
      </c>
      <c r="DW215" s="27"/>
      <c r="EF215" s="129">
        <v>23</v>
      </c>
      <c r="EH215" s="27">
        <v>7</v>
      </c>
      <c r="EI215" s="27">
        <v>7</v>
      </c>
      <c r="EJ215" s="27">
        <v>7</v>
      </c>
      <c r="EK215" s="27">
        <v>7</v>
      </c>
      <c r="EL215" s="27">
        <v>7</v>
      </c>
      <c r="EM215" s="27">
        <v>7</v>
      </c>
      <c r="EN215" s="27">
        <v>7</v>
      </c>
      <c r="EO215" s="27">
        <v>7</v>
      </c>
      <c r="EP215" s="27">
        <v>7</v>
      </c>
      <c r="EQ215" s="129">
        <v>23</v>
      </c>
      <c r="ES215" s="27">
        <v>18</v>
      </c>
      <c r="ET215" s="27">
        <v>18</v>
      </c>
      <c r="EU215" s="27">
        <v>18</v>
      </c>
      <c r="EV215" s="27">
        <v>18</v>
      </c>
      <c r="EW215" s="27">
        <v>18</v>
      </c>
      <c r="EX215" s="27">
        <v>18</v>
      </c>
      <c r="EY215" s="27">
        <v>18</v>
      </c>
      <c r="EZ215" s="27">
        <v>18</v>
      </c>
      <c r="FA215" s="27">
        <v>18</v>
      </c>
      <c r="FB215" s="129">
        <v>23</v>
      </c>
      <c r="FD215" s="27">
        <v>22</v>
      </c>
      <c r="FE215" s="27">
        <v>22</v>
      </c>
      <c r="FF215" s="27">
        <v>22</v>
      </c>
      <c r="FG215" s="27">
        <v>22</v>
      </c>
      <c r="FH215" s="27">
        <v>22</v>
      </c>
      <c r="FI215" s="27">
        <v>22</v>
      </c>
      <c r="FJ215" s="27">
        <v>22</v>
      </c>
      <c r="FK215" s="27">
        <v>22</v>
      </c>
      <c r="FL215" s="27">
        <v>22</v>
      </c>
      <c r="FM215" s="129">
        <v>23</v>
      </c>
      <c r="FO215" s="27">
        <v>33</v>
      </c>
      <c r="FP215" s="27">
        <v>33</v>
      </c>
      <c r="FQ215" s="27">
        <v>33</v>
      </c>
      <c r="FR215" s="27">
        <v>33</v>
      </c>
      <c r="FS215" s="27">
        <v>33</v>
      </c>
      <c r="FT215" s="27">
        <v>33</v>
      </c>
      <c r="FU215" s="27">
        <v>33</v>
      </c>
      <c r="FV215" s="27">
        <v>33</v>
      </c>
      <c r="FW215" s="27">
        <v>33</v>
      </c>
      <c r="FX215" s="129">
        <v>23</v>
      </c>
      <c r="FZ215" s="27">
        <v>33</v>
      </c>
      <c r="GA215" s="27">
        <v>33</v>
      </c>
      <c r="GB215" s="27">
        <v>33</v>
      </c>
      <c r="GC215" s="27">
        <v>33</v>
      </c>
      <c r="GD215" s="27">
        <v>33</v>
      </c>
      <c r="GE215" s="27">
        <v>33</v>
      </c>
      <c r="GF215" s="27">
        <v>33</v>
      </c>
      <c r="GG215" s="27">
        <v>33</v>
      </c>
      <c r="GH215" s="27">
        <v>33</v>
      </c>
      <c r="GI215" s="129">
        <v>23</v>
      </c>
      <c r="GJ215" s="27"/>
      <c r="GK215" s="27">
        <v>8</v>
      </c>
      <c r="GL215" s="27">
        <v>8</v>
      </c>
      <c r="GM215" s="27">
        <v>8</v>
      </c>
      <c r="GN215" s="27">
        <v>8</v>
      </c>
      <c r="GO215" s="27">
        <v>8</v>
      </c>
      <c r="GP215" s="27">
        <v>8</v>
      </c>
      <c r="GQ215" s="27">
        <v>8</v>
      </c>
      <c r="GR215" s="27">
        <v>8</v>
      </c>
      <c r="GS215" s="27">
        <v>8</v>
      </c>
      <c r="GT215" s="129">
        <v>23</v>
      </c>
      <c r="GV215" s="27">
        <v>10</v>
      </c>
      <c r="GW215" s="27">
        <v>10</v>
      </c>
      <c r="GX215" s="27">
        <v>10</v>
      </c>
      <c r="GY215" s="27">
        <v>10</v>
      </c>
      <c r="GZ215" s="27">
        <v>10</v>
      </c>
      <c r="HA215" s="27">
        <v>10</v>
      </c>
      <c r="HB215" s="27">
        <v>10</v>
      </c>
      <c r="HC215" s="27">
        <v>10</v>
      </c>
      <c r="HD215" s="27">
        <v>10</v>
      </c>
      <c r="HE215" s="129">
        <v>23</v>
      </c>
      <c r="HG215" s="27">
        <v>14</v>
      </c>
      <c r="HH215" s="27">
        <v>14</v>
      </c>
      <c r="HI215" s="27">
        <v>14</v>
      </c>
      <c r="HJ215" s="27">
        <v>14</v>
      </c>
      <c r="HK215" s="27">
        <v>14</v>
      </c>
      <c r="HL215" s="27">
        <v>14</v>
      </c>
      <c r="HM215" s="27">
        <v>14</v>
      </c>
      <c r="HN215" s="27">
        <v>14</v>
      </c>
      <c r="HO215" s="27">
        <v>14</v>
      </c>
      <c r="HP215" s="129">
        <v>23</v>
      </c>
      <c r="HR215" s="27">
        <v>14</v>
      </c>
      <c r="HS215" s="27">
        <v>14</v>
      </c>
      <c r="HT215" s="27">
        <v>14</v>
      </c>
      <c r="HU215" s="27">
        <v>14</v>
      </c>
      <c r="HV215" s="27">
        <v>14</v>
      </c>
      <c r="HW215" s="27">
        <v>14</v>
      </c>
      <c r="HX215" s="27">
        <v>14</v>
      </c>
      <c r="HY215" s="27">
        <v>14</v>
      </c>
      <c r="HZ215" s="27">
        <v>14</v>
      </c>
      <c r="IA215" s="129">
        <v>23</v>
      </c>
    </row>
    <row r="216" spans="15:235" ht="17.45" customHeight="1">
      <c r="O216" s="17"/>
      <c r="P216" s="17"/>
      <c r="Q216" s="17"/>
      <c r="R216" s="17"/>
      <c r="S216" s="17"/>
      <c r="T216" s="17"/>
      <c r="U216" s="17"/>
      <c r="V216" s="17"/>
      <c r="W216" s="17"/>
      <c r="X216" s="129">
        <v>21.1</v>
      </c>
      <c r="Y216" s="27"/>
      <c r="AI216" s="129">
        <v>21.1</v>
      </c>
      <c r="AK216" s="129">
        <v>9.9</v>
      </c>
      <c r="AL216" s="129">
        <v>9.9</v>
      </c>
      <c r="AM216" s="129">
        <v>9.9</v>
      </c>
      <c r="AN216" s="129">
        <v>9.9</v>
      </c>
      <c r="AO216" s="129">
        <v>9.9</v>
      </c>
      <c r="AP216" s="129">
        <v>9.9</v>
      </c>
      <c r="AQ216" s="129">
        <v>9.9</v>
      </c>
      <c r="AR216" s="129">
        <v>9.9</v>
      </c>
      <c r="AS216" s="129">
        <v>9.9</v>
      </c>
      <c r="AT216" s="129">
        <v>21.1</v>
      </c>
      <c r="AV216" s="129">
        <v>12.9</v>
      </c>
      <c r="AW216" s="129">
        <v>12.9</v>
      </c>
      <c r="AX216" s="129">
        <v>12.9</v>
      </c>
      <c r="AY216" s="129">
        <v>12.9</v>
      </c>
      <c r="AZ216" s="129">
        <v>12.9</v>
      </c>
      <c r="BA216" s="129">
        <v>12.9</v>
      </c>
      <c r="BB216" s="129">
        <v>12.9</v>
      </c>
      <c r="BC216" s="129">
        <v>12.9</v>
      </c>
      <c r="BD216" s="129">
        <v>12.9</v>
      </c>
      <c r="BE216" s="129">
        <v>21.1</v>
      </c>
      <c r="BG216" s="129">
        <v>17.7</v>
      </c>
      <c r="BH216" s="129">
        <v>17.7</v>
      </c>
      <c r="BI216" s="129">
        <v>17.7</v>
      </c>
      <c r="BJ216" s="129">
        <v>17.7</v>
      </c>
      <c r="BK216" s="129">
        <v>17.7</v>
      </c>
      <c r="BL216" s="129">
        <v>17.7</v>
      </c>
      <c r="BM216" s="129">
        <v>17.7</v>
      </c>
      <c r="BN216" s="129">
        <v>17.7</v>
      </c>
      <c r="BO216" s="129">
        <v>17.7</v>
      </c>
      <c r="BP216" s="129">
        <v>21.1</v>
      </c>
      <c r="BR216" s="129">
        <v>17.7</v>
      </c>
      <c r="BS216" s="129">
        <v>17.7</v>
      </c>
      <c r="BT216" s="129">
        <v>17.7</v>
      </c>
      <c r="BU216" s="129">
        <v>17.7</v>
      </c>
      <c r="BV216" s="129">
        <v>17.7</v>
      </c>
      <c r="BW216" s="129">
        <v>17.7</v>
      </c>
      <c r="BX216" s="129">
        <v>17.7</v>
      </c>
      <c r="BY216" s="129">
        <v>17.7</v>
      </c>
      <c r="BZ216" s="129">
        <v>17.7</v>
      </c>
      <c r="CA216" s="129">
        <v>21.1</v>
      </c>
      <c r="CC216" s="129">
        <v>9</v>
      </c>
      <c r="CD216" s="129">
        <v>9</v>
      </c>
      <c r="CE216" s="129">
        <v>9</v>
      </c>
      <c r="CF216" s="129">
        <v>9</v>
      </c>
      <c r="CG216" s="129">
        <v>9</v>
      </c>
      <c r="CH216" s="129">
        <v>9</v>
      </c>
      <c r="CI216" s="129">
        <v>9</v>
      </c>
      <c r="CJ216" s="129">
        <v>9</v>
      </c>
      <c r="CK216" s="129">
        <v>9</v>
      </c>
      <c r="CL216" s="129">
        <v>21.1</v>
      </c>
      <c r="CN216" s="129">
        <v>10.9</v>
      </c>
      <c r="CO216" s="129">
        <v>10.9</v>
      </c>
      <c r="CP216" s="129">
        <v>10.9</v>
      </c>
      <c r="CQ216" s="129">
        <v>10.9</v>
      </c>
      <c r="CR216" s="129">
        <v>10.9</v>
      </c>
      <c r="CS216" s="129">
        <v>10.9</v>
      </c>
      <c r="CT216" s="129">
        <v>10.9</v>
      </c>
      <c r="CU216" s="129">
        <v>10.9</v>
      </c>
      <c r="CV216" s="129">
        <v>10.9</v>
      </c>
      <c r="CW216" s="129">
        <v>21.1</v>
      </c>
      <c r="CY216" s="129">
        <v>14.9</v>
      </c>
      <c r="CZ216" s="129">
        <v>14.9</v>
      </c>
      <c r="DA216" s="129">
        <v>14.9</v>
      </c>
      <c r="DB216" s="129">
        <v>14.9</v>
      </c>
      <c r="DC216" s="129">
        <v>14.9</v>
      </c>
      <c r="DD216" s="129">
        <v>14.9</v>
      </c>
      <c r="DE216" s="129">
        <v>14.9</v>
      </c>
      <c r="DF216" s="129">
        <v>14.9</v>
      </c>
      <c r="DG216" s="129">
        <v>14.9</v>
      </c>
      <c r="DH216" s="129">
        <v>21.1</v>
      </c>
      <c r="DJ216" s="129">
        <v>14.9</v>
      </c>
      <c r="DK216" s="129">
        <v>14.9</v>
      </c>
      <c r="DL216" s="129">
        <v>14.9</v>
      </c>
      <c r="DM216" s="129">
        <v>14.9</v>
      </c>
      <c r="DN216" s="129">
        <v>14.9</v>
      </c>
      <c r="DO216" s="129">
        <v>14.9</v>
      </c>
      <c r="DP216" s="129">
        <v>14.9</v>
      </c>
      <c r="DQ216" s="129">
        <v>14.9</v>
      </c>
      <c r="DR216" s="129">
        <v>14.9</v>
      </c>
      <c r="DS216" s="129">
        <v>21.1</v>
      </c>
      <c r="DW216" s="27"/>
      <c r="EF216" s="129">
        <v>23.1</v>
      </c>
      <c r="EH216" s="27">
        <v>6.9</v>
      </c>
      <c r="EI216" s="27">
        <v>6.9</v>
      </c>
      <c r="EJ216" s="27">
        <v>6.9</v>
      </c>
      <c r="EK216" s="27">
        <v>6.9</v>
      </c>
      <c r="EL216" s="27">
        <v>6.9</v>
      </c>
      <c r="EM216" s="27">
        <v>6.9</v>
      </c>
      <c r="EN216" s="27">
        <v>6.9</v>
      </c>
      <c r="EO216" s="27">
        <v>6.9</v>
      </c>
      <c r="EP216" s="27">
        <v>6.9</v>
      </c>
      <c r="EQ216" s="129">
        <v>23.1</v>
      </c>
      <c r="ES216" s="27">
        <v>17.8</v>
      </c>
      <c r="ET216" s="27">
        <v>17.8</v>
      </c>
      <c r="EU216" s="27">
        <v>17.8</v>
      </c>
      <c r="EV216" s="27">
        <v>17.8</v>
      </c>
      <c r="EW216" s="27">
        <v>17.8</v>
      </c>
      <c r="EX216" s="27">
        <v>17.8</v>
      </c>
      <c r="EY216" s="27">
        <v>17.8</v>
      </c>
      <c r="EZ216" s="27">
        <v>17.8</v>
      </c>
      <c r="FA216" s="27">
        <v>17.8</v>
      </c>
      <c r="FB216" s="129">
        <v>23.1</v>
      </c>
      <c r="FD216" s="27">
        <v>21.9</v>
      </c>
      <c r="FE216" s="27">
        <v>21.9</v>
      </c>
      <c r="FF216" s="27">
        <v>21.9</v>
      </c>
      <c r="FG216" s="27">
        <v>21.9</v>
      </c>
      <c r="FH216" s="27">
        <v>21.9</v>
      </c>
      <c r="FI216" s="27">
        <v>21.9</v>
      </c>
      <c r="FJ216" s="27">
        <v>21.9</v>
      </c>
      <c r="FK216" s="27">
        <v>21.9</v>
      </c>
      <c r="FL216" s="27">
        <v>21.9</v>
      </c>
      <c r="FM216" s="129">
        <v>23.1</v>
      </c>
      <c r="FO216" s="27">
        <v>32.6</v>
      </c>
      <c r="FP216" s="27">
        <v>32.6</v>
      </c>
      <c r="FQ216" s="27">
        <v>32.6</v>
      </c>
      <c r="FR216" s="27">
        <v>32.6</v>
      </c>
      <c r="FS216" s="27">
        <v>32.6</v>
      </c>
      <c r="FT216" s="27">
        <v>32.6</v>
      </c>
      <c r="FU216" s="27">
        <v>32.6</v>
      </c>
      <c r="FV216" s="27">
        <v>32.6</v>
      </c>
      <c r="FW216" s="27">
        <v>32.6</v>
      </c>
      <c r="FX216" s="129">
        <v>23.1</v>
      </c>
      <c r="FZ216" s="27">
        <v>32.6</v>
      </c>
      <c r="GA216" s="27">
        <v>32.6</v>
      </c>
      <c r="GB216" s="27">
        <v>32.6</v>
      </c>
      <c r="GC216" s="27">
        <v>32.6</v>
      </c>
      <c r="GD216" s="27">
        <v>32.6</v>
      </c>
      <c r="GE216" s="27">
        <v>32.6</v>
      </c>
      <c r="GF216" s="27">
        <v>32.6</v>
      </c>
      <c r="GG216" s="27">
        <v>32.6</v>
      </c>
      <c r="GH216" s="27">
        <v>32.6</v>
      </c>
      <c r="GI216" s="129">
        <v>23.1</v>
      </c>
      <c r="GJ216" s="27"/>
      <c r="GK216" s="27">
        <v>8</v>
      </c>
      <c r="GL216" s="27">
        <v>8</v>
      </c>
      <c r="GM216" s="27">
        <v>8</v>
      </c>
      <c r="GN216" s="27">
        <v>8</v>
      </c>
      <c r="GO216" s="27">
        <v>8</v>
      </c>
      <c r="GP216" s="27">
        <v>8</v>
      </c>
      <c r="GQ216" s="27">
        <v>8</v>
      </c>
      <c r="GR216" s="27">
        <v>8</v>
      </c>
      <c r="GS216" s="27">
        <v>8</v>
      </c>
      <c r="GT216" s="129">
        <v>23.1</v>
      </c>
      <c r="GV216" s="27">
        <v>9.9</v>
      </c>
      <c r="GW216" s="27">
        <v>9.9</v>
      </c>
      <c r="GX216" s="27">
        <v>9.9</v>
      </c>
      <c r="GY216" s="27">
        <v>9.9</v>
      </c>
      <c r="GZ216" s="27">
        <v>9.9</v>
      </c>
      <c r="HA216" s="27">
        <v>9.9</v>
      </c>
      <c r="HB216" s="27">
        <v>9.9</v>
      </c>
      <c r="HC216" s="27">
        <v>9.9</v>
      </c>
      <c r="HD216" s="27">
        <v>9.9</v>
      </c>
      <c r="HE216" s="129">
        <v>23.1</v>
      </c>
      <c r="HG216" s="27">
        <v>13.9</v>
      </c>
      <c r="HH216" s="27">
        <v>13.9</v>
      </c>
      <c r="HI216" s="27">
        <v>13.9</v>
      </c>
      <c r="HJ216" s="27">
        <v>13.9</v>
      </c>
      <c r="HK216" s="27">
        <v>13.9</v>
      </c>
      <c r="HL216" s="27">
        <v>13.9</v>
      </c>
      <c r="HM216" s="27">
        <v>13.9</v>
      </c>
      <c r="HN216" s="27">
        <v>13.9</v>
      </c>
      <c r="HO216" s="27">
        <v>13.9</v>
      </c>
      <c r="HP216" s="129">
        <v>23.1</v>
      </c>
      <c r="HR216" s="27">
        <v>13.9</v>
      </c>
      <c r="HS216" s="27">
        <v>13.9</v>
      </c>
      <c r="HT216" s="27">
        <v>13.9</v>
      </c>
      <c r="HU216" s="27">
        <v>13.9</v>
      </c>
      <c r="HV216" s="27">
        <v>13.9</v>
      </c>
      <c r="HW216" s="27">
        <v>13.9</v>
      </c>
      <c r="HX216" s="27">
        <v>13.9</v>
      </c>
      <c r="HY216" s="27">
        <v>13.9</v>
      </c>
      <c r="HZ216" s="27">
        <v>13.9</v>
      </c>
      <c r="IA216" s="129">
        <v>23.1</v>
      </c>
    </row>
    <row r="217" spans="15:235" ht="17.45" customHeight="1">
      <c r="O217" s="17"/>
      <c r="P217" s="17"/>
      <c r="Q217" s="17"/>
      <c r="R217" s="17"/>
      <c r="S217" s="17"/>
      <c r="T217" s="17"/>
      <c r="U217" s="17"/>
      <c r="V217" s="17"/>
      <c r="W217" s="17"/>
      <c r="X217" s="129">
        <v>21.2</v>
      </c>
      <c r="Y217" s="27"/>
      <c r="AI217" s="129">
        <v>21.2</v>
      </c>
      <c r="AK217" s="129">
        <v>9.8000000000000007</v>
      </c>
      <c r="AL217" s="129">
        <v>9.8000000000000007</v>
      </c>
      <c r="AM217" s="129">
        <v>9.8000000000000007</v>
      </c>
      <c r="AN217" s="129">
        <v>9.8000000000000007</v>
      </c>
      <c r="AO217" s="129">
        <v>9.8000000000000007</v>
      </c>
      <c r="AP217" s="129">
        <v>9.8000000000000007</v>
      </c>
      <c r="AQ217" s="129">
        <v>9.8000000000000007</v>
      </c>
      <c r="AR217" s="129">
        <v>9.8000000000000007</v>
      </c>
      <c r="AS217" s="129">
        <v>9.8000000000000007</v>
      </c>
      <c r="AT217" s="129">
        <v>21.2</v>
      </c>
      <c r="AV217" s="129">
        <v>12.8</v>
      </c>
      <c r="AW217" s="129">
        <v>12.8</v>
      </c>
      <c r="AX217" s="129">
        <v>12.8</v>
      </c>
      <c r="AY217" s="129">
        <v>12.8</v>
      </c>
      <c r="AZ217" s="129">
        <v>12.8</v>
      </c>
      <c r="BA217" s="129">
        <v>12.8</v>
      </c>
      <c r="BB217" s="129">
        <v>12.8</v>
      </c>
      <c r="BC217" s="129">
        <v>12.8</v>
      </c>
      <c r="BD217" s="129">
        <v>12.8</v>
      </c>
      <c r="BE217" s="129">
        <v>21.2</v>
      </c>
      <c r="BG217" s="129">
        <v>17.399999999999999</v>
      </c>
      <c r="BH217" s="129">
        <v>17.399999999999999</v>
      </c>
      <c r="BI217" s="129">
        <v>17.399999999999999</v>
      </c>
      <c r="BJ217" s="129">
        <v>17.399999999999999</v>
      </c>
      <c r="BK217" s="129">
        <v>17.399999999999999</v>
      </c>
      <c r="BL217" s="129">
        <v>17.399999999999999</v>
      </c>
      <c r="BM217" s="129">
        <v>17.399999999999999</v>
      </c>
      <c r="BN217" s="129">
        <v>17.399999999999999</v>
      </c>
      <c r="BO217" s="129">
        <v>17.399999999999999</v>
      </c>
      <c r="BP217" s="129">
        <v>21.2</v>
      </c>
      <c r="BR217" s="129">
        <v>17.399999999999999</v>
      </c>
      <c r="BS217" s="129">
        <v>17.399999999999999</v>
      </c>
      <c r="BT217" s="129">
        <v>17.399999999999999</v>
      </c>
      <c r="BU217" s="129">
        <v>17.399999999999999</v>
      </c>
      <c r="BV217" s="129">
        <v>17.399999999999999</v>
      </c>
      <c r="BW217" s="129">
        <v>17.399999999999999</v>
      </c>
      <c r="BX217" s="129">
        <v>17.399999999999999</v>
      </c>
      <c r="BY217" s="129">
        <v>17.399999999999999</v>
      </c>
      <c r="BZ217" s="129">
        <v>17.399999999999999</v>
      </c>
      <c r="CA217" s="129">
        <v>21.2</v>
      </c>
      <c r="CC217" s="129">
        <v>9</v>
      </c>
      <c r="CD217" s="129">
        <v>9</v>
      </c>
      <c r="CE217" s="129">
        <v>9</v>
      </c>
      <c r="CF217" s="129">
        <v>9</v>
      </c>
      <c r="CG217" s="129">
        <v>9</v>
      </c>
      <c r="CH217" s="129">
        <v>9</v>
      </c>
      <c r="CI217" s="129">
        <v>9</v>
      </c>
      <c r="CJ217" s="129">
        <v>9</v>
      </c>
      <c r="CK217" s="129">
        <v>9</v>
      </c>
      <c r="CL217" s="129">
        <v>21.2</v>
      </c>
      <c r="CN217" s="129">
        <v>10.8</v>
      </c>
      <c r="CO217" s="129">
        <v>10.8</v>
      </c>
      <c r="CP217" s="129">
        <v>10.8</v>
      </c>
      <c r="CQ217" s="129">
        <v>10.8</v>
      </c>
      <c r="CR217" s="129">
        <v>10.8</v>
      </c>
      <c r="CS217" s="129">
        <v>10.8</v>
      </c>
      <c r="CT217" s="129">
        <v>10.8</v>
      </c>
      <c r="CU217" s="129">
        <v>10.8</v>
      </c>
      <c r="CV217" s="129">
        <v>10.8</v>
      </c>
      <c r="CW217" s="129">
        <v>21.2</v>
      </c>
      <c r="CY217" s="129">
        <v>14.8</v>
      </c>
      <c r="CZ217" s="129">
        <v>14.8</v>
      </c>
      <c r="DA217" s="129">
        <v>14.8</v>
      </c>
      <c r="DB217" s="129">
        <v>14.8</v>
      </c>
      <c r="DC217" s="129">
        <v>14.8</v>
      </c>
      <c r="DD217" s="129">
        <v>14.8</v>
      </c>
      <c r="DE217" s="129">
        <v>14.8</v>
      </c>
      <c r="DF217" s="129">
        <v>14.8</v>
      </c>
      <c r="DG217" s="129">
        <v>14.8</v>
      </c>
      <c r="DH217" s="129">
        <v>21.2</v>
      </c>
      <c r="DJ217" s="129">
        <v>14.8</v>
      </c>
      <c r="DK217" s="129">
        <v>14.8</v>
      </c>
      <c r="DL217" s="129">
        <v>14.8</v>
      </c>
      <c r="DM217" s="129">
        <v>14.8</v>
      </c>
      <c r="DN217" s="129">
        <v>14.8</v>
      </c>
      <c r="DO217" s="129">
        <v>14.8</v>
      </c>
      <c r="DP217" s="129">
        <v>14.8</v>
      </c>
      <c r="DQ217" s="129">
        <v>14.8</v>
      </c>
      <c r="DR217" s="129">
        <v>14.8</v>
      </c>
      <c r="DS217" s="129">
        <v>21.2</v>
      </c>
      <c r="DW217" s="27"/>
      <c r="EF217" s="129">
        <v>23.2</v>
      </c>
      <c r="EH217" s="27">
        <v>6.8000000000000007</v>
      </c>
      <c r="EI217" s="27">
        <v>6.8000000000000007</v>
      </c>
      <c r="EJ217" s="27">
        <v>6.8000000000000007</v>
      </c>
      <c r="EK217" s="27">
        <v>6.8000000000000007</v>
      </c>
      <c r="EL217" s="27">
        <v>6.8000000000000007</v>
      </c>
      <c r="EM217" s="27">
        <v>6.8000000000000007</v>
      </c>
      <c r="EN217" s="27">
        <v>6.8000000000000007</v>
      </c>
      <c r="EO217" s="27">
        <v>6.8000000000000007</v>
      </c>
      <c r="EP217" s="27">
        <v>6.8000000000000007</v>
      </c>
      <c r="EQ217" s="129">
        <v>23.2</v>
      </c>
      <c r="ES217" s="27">
        <v>17.600000000000001</v>
      </c>
      <c r="ET217" s="27">
        <v>17.600000000000001</v>
      </c>
      <c r="EU217" s="27">
        <v>17.600000000000001</v>
      </c>
      <c r="EV217" s="27">
        <v>17.600000000000001</v>
      </c>
      <c r="EW217" s="27">
        <v>17.600000000000001</v>
      </c>
      <c r="EX217" s="27">
        <v>17.600000000000001</v>
      </c>
      <c r="EY217" s="27">
        <v>17.600000000000001</v>
      </c>
      <c r="EZ217" s="27">
        <v>17.600000000000001</v>
      </c>
      <c r="FA217" s="27">
        <v>17.600000000000001</v>
      </c>
      <c r="FB217" s="129">
        <v>23.2</v>
      </c>
      <c r="FD217" s="27">
        <v>21.799999999999997</v>
      </c>
      <c r="FE217" s="27">
        <v>21.799999999999997</v>
      </c>
      <c r="FF217" s="27">
        <v>21.799999999999997</v>
      </c>
      <c r="FG217" s="27">
        <v>21.799999999999997</v>
      </c>
      <c r="FH217" s="27">
        <v>21.799999999999997</v>
      </c>
      <c r="FI217" s="27">
        <v>21.799999999999997</v>
      </c>
      <c r="FJ217" s="27">
        <v>21.799999999999997</v>
      </c>
      <c r="FK217" s="27">
        <v>21.799999999999997</v>
      </c>
      <c r="FL217" s="27">
        <v>21.799999999999997</v>
      </c>
      <c r="FM217" s="129">
        <v>23.2</v>
      </c>
      <c r="FO217" s="27">
        <v>32.200000000000003</v>
      </c>
      <c r="FP217" s="27">
        <v>32.200000000000003</v>
      </c>
      <c r="FQ217" s="27">
        <v>32.200000000000003</v>
      </c>
      <c r="FR217" s="27">
        <v>32.200000000000003</v>
      </c>
      <c r="FS217" s="27">
        <v>32.200000000000003</v>
      </c>
      <c r="FT217" s="27">
        <v>32.200000000000003</v>
      </c>
      <c r="FU217" s="27">
        <v>32.200000000000003</v>
      </c>
      <c r="FV217" s="27">
        <v>32.200000000000003</v>
      </c>
      <c r="FW217" s="27">
        <v>32.200000000000003</v>
      </c>
      <c r="FX217" s="129">
        <v>23.2</v>
      </c>
      <c r="FZ217" s="27">
        <v>32.200000000000003</v>
      </c>
      <c r="GA217" s="27">
        <v>32.200000000000003</v>
      </c>
      <c r="GB217" s="27">
        <v>32.200000000000003</v>
      </c>
      <c r="GC217" s="27">
        <v>32.200000000000003</v>
      </c>
      <c r="GD217" s="27">
        <v>32.200000000000003</v>
      </c>
      <c r="GE217" s="27">
        <v>32.200000000000003</v>
      </c>
      <c r="GF217" s="27">
        <v>32.200000000000003</v>
      </c>
      <c r="GG217" s="27">
        <v>32.200000000000003</v>
      </c>
      <c r="GH217" s="27">
        <v>32.200000000000003</v>
      </c>
      <c r="GI217" s="129">
        <v>23.2</v>
      </c>
      <c r="GJ217" s="27"/>
      <c r="GK217" s="27">
        <v>8</v>
      </c>
      <c r="GL217" s="27">
        <v>8</v>
      </c>
      <c r="GM217" s="27">
        <v>8</v>
      </c>
      <c r="GN217" s="27">
        <v>8</v>
      </c>
      <c r="GO217" s="27">
        <v>8</v>
      </c>
      <c r="GP217" s="27">
        <v>8</v>
      </c>
      <c r="GQ217" s="27">
        <v>8</v>
      </c>
      <c r="GR217" s="27">
        <v>8</v>
      </c>
      <c r="GS217" s="27">
        <v>8</v>
      </c>
      <c r="GT217" s="129">
        <v>23.2</v>
      </c>
      <c r="GV217" s="27">
        <v>9.8000000000000007</v>
      </c>
      <c r="GW217" s="27">
        <v>9.8000000000000007</v>
      </c>
      <c r="GX217" s="27">
        <v>9.8000000000000007</v>
      </c>
      <c r="GY217" s="27">
        <v>9.8000000000000007</v>
      </c>
      <c r="GZ217" s="27">
        <v>9.8000000000000007</v>
      </c>
      <c r="HA217" s="27">
        <v>9.8000000000000007</v>
      </c>
      <c r="HB217" s="27">
        <v>9.8000000000000007</v>
      </c>
      <c r="HC217" s="27">
        <v>9.8000000000000007</v>
      </c>
      <c r="HD217" s="27">
        <v>9.8000000000000007</v>
      </c>
      <c r="HE217" s="129">
        <v>23.2</v>
      </c>
      <c r="HG217" s="27">
        <v>13.8</v>
      </c>
      <c r="HH217" s="27">
        <v>13.8</v>
      </c>
      <c r="HI217" s="27">
        <v>13.8</v>
      </c>
      <c r="HJ217" s="27">
        <v>13.8</v>
      </c>
      <c r="HK217" s="27">
        <v>13.8</v>
      </c>
      <c r="HL217" s="27">
        <v>13.8</v>
      </c>
      <c r="HM217" s="27">
        <v>13.8</v>
      </c>
      <c r="HN217" s="27">
        <v>13.8</v>
      </c>
      <c r="HO217" s="27">
        <v>13.8</v>
      </c>
      <c r="HP217" s="129">
        <v>23.2</v>
      </c>
      <c r="HR217" s="27">
        <v>13.8</v>
      </c>
      <c r="HS217" s="27">
        <v>13.8</v>
      </c>
      <c r="HT217" s="27">
        <v>13.8</v>
      </c>
      <c r="HU217" s="27">
        <v>13.8</v>
      </c>
      <c r="HV217" s="27">
        <v>13.8</v>
      </c>
      <c r="HW217" s="27">
        <v>13.8</v>
      </c>
      <c r="HX217" s="27">
        <v>13.8</v>
      </c>
      <c r="HY217" s="27">
        <v>13.8</v>
      </c>
      <c r="HZ217" s="27">
        <v>13.8</v>
      </c>
      <c r="IA217" s="129">
        <v>23.2</v>
      </c>
    </row>
    <row r="218" spans="15:235" ht="17.45" customHeight="1">
      <c r="O218" s="17"/>
      <c r="P218" s="17"/>
      <c r="Q218" s="17"/>
      <c r="R218" s="17"/>
      <c r="S218" s="17"/>
      <c r="T218" s="17"/>
      <c r="U218" s="17"/>
      <c r="V218" s="17"/>
      <c r="W218" s="17"/>
      <c r="X218" s="129">
        <v>21.3</v>
      </c>
      <c r="Y218" s="27"/>
      <c r="AI218" s="129">
        <v>21.3</v>
      </c>
      <c r="AK218" s="129">
        <v>9.7000000000000011</v>
      </c>
      <c r="AL218" s="129">
        <v>9.7000000000000011</v>
      </c>
      <c r="AM218" s="129">
        <v>9.7000000000000011</v>
      </c>
      <c r="AN218" s="129">
        <v>9.7000000000000011</v>
      </c>
      <c r="AO218" s="129">
        <v>9.7000000000000011</v>
      </c>
      <c r="AP218" s="129">
        <v>9.7000000000000011</v>
      </c>
      <c r="AQ218" s="129">
        <v>9.7000000000000011</v>
      </c>
      <c r="AR218" s="129">
        <v>9.7000000000000011</v>
      </c>
      <c r="AS218" s="129">
        <v>9.7000000000000011</v>
      </c>
      <c r="AT218" s="129">
        <v>21.3</v>
      </c>
      <c r="AV218" s="129">
        <v>12.700000000000001</v>
      </c>
      <c r="AW218" s="129">
        <v>12.700000000000001</v>
      </c>
      <c r="AX218" s="129">
        <v>12.700000000000001</v>
      </c>
      <c r="AY218" s="129">
        <v>12.700000000000001</v>
      </c>
      <c r="AZ218" s="129">
        <v>12.700000000000001</v>
      </c>
      <c r="BA218" s="129">
        <v>12.700000000000001</v>
      </c>
      <c r="BB218" s="129">
        <v>12.700000000000001</v>
      </c>
      <c r="BC218" s="129">
        <v>12.700000000000001</v>
      </c>
      <c r="BD218" s="129">
        <v>12.700000000000001</v>
      </c>
      <c r="BE218" s="129">
        <v>21.3</v>
      </c>
      <c r="BG218" s="129">
        <v>17.099999999999998</v>
      </c>
      <c r="BH218" s="129">
        <v>17.099999999999998</v>
      </c>
      <c r="BI218" s="129">
        <v>17.099999999999998</v>
      </c>
      <c r="BJ218" s="129">
        <v>17.099999999999998</v>
      </c>
      <c r="BK218" s="129">
        <v>17.099999999999998</v>
      </c>
      <c r="BL218" s="129">
        <v>17.099999999999998</v>
      </c>
      <c r="BM218" s="129">
        <v>17.099999999999998</v>
      </c>
      <c r="BN218" s="129">
        <v>17.099999999999998</v>
      </c>
      <c r="BO218" s="129">
        <v>17.099999999999998</v>
      </c>
      <c r="BP218" s="129">
        <v>21.3</v>
      </c>
      <c r="BR218" s="129">
        <v>17.099999999999998</v>
      </c>
      <c r="BS218" s="129">
        <v>17.099999999999998</v>
      </c>
      <c r="BT218" s="129">
        <v>17.099999999999998</v>
      </c>
      <c r="BU218" s="129">
        <v>17.099999999999998</v>
      </c>
      <c r="BV218" s="129">
        <v>17.099999999999998</v>
      </c>
      <c r="BW218" s="129">
        <v>17.099999999999998</v>
      </c>
      <c r="BX218" s="129">
        <v>17.099999999999998</v>
      </c>
      <c r="BY218" s="129">
        <v>17.099999999999998</v>
      </c>
      <c r="BZ218" s="129">
        <v>17.099999999999998</v>
      </c>
      <c r="CA218" s="129">
        <v>21.3</v>
      </c>
      <c r="CC218" s="129">
        <v>9</v>
      </c>
      <c r="CD218" s="129">
        <v>9</v>
      </c>
      <c r="CE218" s="129">
        <v>9</v>
      </c>
      <c r="CF218" s="129">
        <v>9</v>
      </c>
      <c r="CG218" s="129">
        <v>9</v>
      </c>
      <c r="CH218" s="129">
        <v>9</v>
      </c>
      <c r="CI218" s="129">
        <v>9</v>
      </c>
      <c r="CJ218" s="129">
        <v>9</v>
      </c>
      <c r="CK218" s="129">
        <v>9</v>
      </c>
      <c r="CL218" s="129">
        <v>21.3</v>
      </c>
      <c r="CN218" s="129">
        <v>10.700000000000001</v>
      </c>
      <c r="CO218" s="129">
        <v>10.700000000000001</v>
      </c>
      <c r="CP218" s="129">
        <v>10.700000000000001</v>
      </c>
      <c r="CQ218" s="129">
        <v>10.700000000000001</v>
      </c>
      <c r="CR218" s="129">
        <v>10.700000000000001</v>
      </c>
      <c r="CS218" s="129">
        <v>10.700000000000001</v>
      </c>
      <c r="CT218" s="129">
        <v>10.700000000000001</v>
      </c>
      <c r="CU218" s="129">
        <v>10.700000000000001</v>
      </c>
      <c r="CV218" s="129">
        <v>10.700000000000001</v>
      </c>
      <c r="CW218" s="129">
        <v>21.3</v>
      </c>
      <c r="CY218" s="129">
        <v>14.700000000000001</v>
      </c>
      <c r="CZ218" s="129">
        <v>14.700000000000001</v>
      </c>
      <c r="DA218" s="129">
        <v>14.700000000000001</v>
      </c>
      <c r="DB218" s="129">
        <v>14.700000000000001</v>
      </c>
      <c r="DC218" s="129">
        <v>14.700000000000001</v>
      </c>
      <c r="DD218" s="129">
        <v>14.700000000000001</v>
      </c>
      <c r="DE218" s="129">
        <v>14.700000000000001</v>
      </c>
      <c r="DF218" s="129">
        <v>14.700000000000001</v>
      </c>
      <c r="DG218" s="129">
        <v>14.700000000000001</v>
      </c>
      <c r="DH218" s="129">
        <v>21.3</v>
      </c>
      <c r="DJ218" s="129">
        <v>14.700000000000001</v>
      </c>
      <c r="DK218" s="129">
        <v>14.700000000000001</v>
      </c>
      <c r="DL218" s="129">
        <v>14.700000000000001</v>
      </c>
      <c r="DM218" s="129">
        <v>14.700000000000001</v>
      </c>
      <c r="DN218" s="129">
        <v>14.700000000000001</v>
      </c>
      <c r="DO218" s="129">
        <v>14.700000000000001</v>
      </c>
      <c r="DP218" s="129">
        <v>14.700000000000001</v>
      </c>
      <c r="DQ218" s="129">
        <v>14.700000000000001</v>
      </c>
      <c r="DR218" s="129">
        <v>14.700000000000001</v>
      </c>
      <c r="DS218" s="129">
        <v>21.3</v>
      </c>
      <c r="EH218" s="27">
        <v>6.7000000000000011</v>
      </c>
      <c r="EI218" s="27">
        <v>6.7000000000000011</v>
      </c>
      <c r="EJ218" s="27">
        <v>6.7000000000000011</v>
      </c>
      <c r="EK218" s="27">
        <v>6.7000000000000011</v>
      </c>
      <c r="EL218" s="27">
        <v>6.7000000000000011</v>
      </c>
      <c r="EM218" s="27">
        <v>6.7000000000000011</v>
      </c>
      <c r="EN218" s="27">
        <v>6.7000000000000011</v>
      </c>
      <c r="EO218" s="27">
        <v>6.7000000000000011</v>
      </c>
      <c r="EP218" s="27">
        <v>6.7000000000000011</v>
      </c>
      <c r="EQ218" s="129">
        <v>23.3</v>
      </c>
      <c r="ES218" s="27">
        <v>17.400000000000002</v>
      </c>
      <c r="ET218" s="27">
        <v>17.400000000000002</v>
      </c>
      <c r="EU218" s="27">
        <v>17.400000000000002</v>
      </c>
      <c r="EV218" s="27">
        <v>17.400000000000002</v>
      </c>
      <c r="EW218" s="27">
        <v>17.400000000000002</v>
      </c>
      <c r="EX218" s="27">
        <v>17.400000000000002</v>
      </c>
      <c r="EY218" s="27">
        <v>17.400000000000002</v>
      </c>
      <c r="EZ218" s="27">
        <v>17.400000000000002</v>
      </c>
      <c r="FA218" s="27">
        <v>17.400000000000002</v>
      </c>
      <c r="FB218" s="129">
        <v>23.3</v>
      </c>
      <c r="FD218" s="27">
        <v>21.699999999999996</v>
      </c>
      <c r="FE218" s="27">
        <v>21.699999999999996</v>
      </c>
      <c r="FF218" s="27">
        <v>21.699999999999996</v>
      </c>
      <c r="FG218" s="27">
        <v>21.699999999999996</v>
      </c>
      <c r="FH218" s="27">
        <v>21.699999999999996</v>
      </c>
      <c r="FI218" s="27">
        <v>21.699999999999996</v>
      </c>
      <c r="FJ218" s="27">
        <v>21.699999999999996</v>
      </c>
      <c r="FK218" s="27">
        <v>21.699999999999996</v>
      </c>
      <c r="FL218" s="27">
        <v>21.699999999999996</v>
      </c>
      <c r="FM218" s="129">
        <v>23.3</v>
      </c>
      <c r="FO218" s="27">
        <v>31.800000000000004</v>
      </c>
      <c r="FP218" s="27">
        <v>31.800000000000004</v>
      </c>
      <c r="FQ218" s="27">
        <v>31.800000000000004</v>
      </c>
      <c r="FR218" s="27">
        <v>31.800000000000004</v>
      </c>
      <c r="FS218" s="27">
        <v>31.800000000000004</v>
      </c>
      <c r="FT218" s="27">
        <v>31.800000000000004</v>
      </c>
      <c r="FU218" s="27">
        <v>31.800000000000004</v>
      </c>
      <c r="FV218" s="27">
        <v>31.800000000000004</v>
      </c>
      <c r="FW218" s="27">
        <v>31.800000000000004</v>
      </c>
      <c r="FX218" s="129">
        <v>23.3</v>
      </c>
      <c r="FZ218" s="27">
        <v>31.800000000000004</v>
      </c>
      <c r="GA218" s="27">
        <v>31.800000000000004</v>
      </c>
      <c r="GB218" s="27">
        <v>31.800000000000004</v>
      </c>
      <c r="GC218" s="27">
        <v>31.800000000000004</v>
      </c>
      <c r="GD218" s="27">
        <v>31.800000000000004</v>
      </c>
      <c r="GE218" s="27">
        <v>31.800000000000004</v>
      </c>
      <c r="GF218" s="27">
        <v>31.800000000000004</v>
      </c>
      <c r="GG218" s="27">
        <v>31.800000000000004</v>
      </c>
      <c r="GH218" s="27">
        <v>31.800000000000004</v>
      </c>
      <c r="GI218" s="129">
        <v>23.3</v>
      </c>
      <c r="GJ218" s="27"/>
      <c r="GK218" s="27">
        <v>8</v>
      </c>
      <c r="GL218" s="27">
        <v>8</v>
      </c>
      <c r="GM218" s="27">
        <v>8</v>
      </c>
      <c r="GN218" s="27">
        <v>8</v>
      </c>
      <c r="GO218" s="27">
        <v>8</v>
      </c>
      <c r="GP218" s="27">
        <v>8</v>
      </c>
      <c r="GQ218" s="27">
        <v>8</v>
      </c>
      <c r="GR218" s="27">
        <v>8</v>
      </c>
      <c r="GS218" s="27">
        <v>8</v>
      </c>
      <c r="GT218" s="129">
        <v>23.3</v>
      </c>
      <c r="GV218" s="27">
        <v>9.7000000000000011</v>
      </c>
      <c r="GW218" s="27">
        <v>9.7000000000000011</v>
      </c>
      <c r="GX218" s="27">
        <v>9.7000000000000011</v>
      </c>
      <c r="GY218" s="27">
        <v>9.7000000000000011</v>
      </c>
      <c r="GZ218" s="27">
        <v>9.7000000000000011</v>
      </c>
      <c r="HA218" s="27">
        <v>9.7000000000000011</v>
      </c>
      <c r="HB218" s="27">
        <v>9.7000000000000011</v>
      </c>
      <c r="HC218" s="27">
        <v>9.7000000000000011</v>
      </c>
      <c r="HD218" s="27">
        <v>9.7000000000000011</v>
      </c>
      <c r="HE218" s="129">
        <v>23.3</v>
      </c>
      <c r="HG218" s="27">
        <v>13.700000000000001</v>
      </c>
      <c r="HH218" s="27">
        <v>13.700000000000001</v>
      </c>
      <c r="HI218" s="27">
        <v>13.700000000000001</v>
      </c>
      <c r="HJ218" s="27">
        <v>13.700000000000001</v>
      </c>
      <c r="HK218" s="27">
        <v>13.700000000000001</v>
      </c>
      <c r="HL218" s="27">
        <v>13.700000000000001</v>
      </c>
      <c r="HM218" s="27">
        <v>13.700000000000001</v>
      </c>
      <c r="HN218" s="27">
        <v>13.700000000000001</v>
      </c>
      <c r="HO218" s="27">
        <v>13.700000000000001</v>
      </c>
      <c r="HP218" s="129">
        <v>23.3</v>
      </c>
      <c r="HR218" s="27">
        <v>13.700000000000001</v>
      </c>
      <c r="HS218" s="27">
        <v>13.700000000000001</v>
      </c>
      <c r="HT218" s="27">
        <v>13.700000000000001</v>
      </c>
      <c r="HU218" s="27">
        <v>13.700000000000001</v>
      </c>
      <c r="HV218" s="27">
        <v>13.700000000000001</v>
      </c>
      <c r="HW218" s="27">
        <v>13.700000000000001</v>
      </c>
      <c r="HX218" s="27">
        <v>13.700000000000001</v>
      </c>
      <c r="HY218" s="27">
        <v>13.700000000000001</v>
      </c>
      <c r="HZ218" s="27">
        <v>13.700000000000001</v>
      </c>
      <c r="IA218" s="129">
        <v>23.3</v>
      </c>
    </row>
    <row r="219" spans="15:235" ht="17.45" customHeight="1">
      <c r="O219" s="17"/>
      <c r="P219" s="17"/>
      <c r="Q219" s="17"/>
      <c r="R219" s="17"/>
      <c r="S219" s="17"/>
      <c r="T219" s="17"/>
      <c r="U219" s="17"/>
      <c r="V219" s="17"/>
      <c r="W219" s="17"/>
      <c r="X219" s="129">
        <v>21.4</v>
      </c>
      <c r="Y219" s="27"/>
      <c r="AI219" s="129">
        <v>21.4</v>
      </c>
      <c r="AK219" s="129">
        <v>9.6000000000000014</v>
      </c>
      <c r="AL219" s="129">
        <v>9.6000000000000014</v>
      </c>
      <c r="AM219" s="129">
        <v>9.6000000000000014</v>
      </c>
      <c r="AN219" s="129">
        <v>9.6000000000000014</v>
      </c>
      <c r="AO219" s="129">
        <v>9.6000000000000014</v>
      </c>
      <c r="AP219" s="129">
        <v>9.6000000000000014</v>
      </c>
      <c r="AQ219" s="129">
        <v>9.6000000000000014</v>
      </c>
      <c r="AR219" s="129">
        <v>9.6000000000000014</v>
      </c>
      <c r="AS219" s="129">
        <v>9.6000000000000014</v>
      </c>
      <c r="AT219" s="129">
        <v>21.4</v>
      </c>
      <c r="AV219" s="129">
        <v>12.600000000000001</v>
      </c>
      <c r="AW219" s="129">
        <v>12.600000000000001</v>
      </c>
      <c r="AX219" s="129">
        <v>12.600000000000001</v>
      </c>
      <c r="AY219" s="129">
        <v>12.600000000000001</v>
      </c>
      <c r="AZ219" s="129">
        <v>12.600000000000001</v>
      </c>
      <c r="BA219" s="129">
        <v>12.600000000000001</v>
      </c>
      <c r="BB219" s="129">
        <v>12.600000000000001</v>
      </c>
      <c r="BC219" s="129">
        <v>12.600000000000001</v>
      </c>
      <c r="BD219" s="129">
        <v>12.600000000000001</v>
      </c>
      <c r="BE219" s="129">
        <v>21.4</v>
      </c>
      <c r="BG219" s="129">
        <v>16.799999999999997</v>
      </c>
      <c r="BH219" s="129">
        <v>16.799999999999997</v>
      </c>
      <c r="BI219" s="129">
        <v>16.799999999999997</v>
      </c>
      <c r="BJ219" s="129">
        <v>16.799999999999997</v>
      </c>
      <c r="BK219" s="129">
        <v>16.799999999999997</v>
      </c>
      <c r="BL219" s="129">
        <v>16.799999999999997</v>
      </c>
      <c r="BM219" s="129">
        <v>16.799999999999997</v>
      </c>
      <c r="BN219" s="129">
        <v>16.799999999999997</v>
      </c>
      <c r="BO219" s="129">
        <v>16.799999999999997</v>
      </c>
      <c r="BP219" s="129">
        <v>21.4</v>
      </c>
      <c r="BR219" s="129">
        <v>16.799999999999997</v>
      </c>
      <c r="BS219" s="129">
        <v>16.799999999999997</v>
      </c>
      <c r="BT219" s="129">
        <v>16.799999999999997</v>
      </c>
      <c r="BU219" s="129">
        <v>16.799999999999997</v>
      </c>
      <c r="BV219" s="129">
        <v>16.799999999999997</v>
      </c>
      <c r="BW219" s="129">
        <v>16.799999999999997</v>
      </c>
      <c r="BX219" s="129">
        <v>16.799999999999997</v>
      </c>
      <c r="BY219" s="129">
        <v>16.799999999999997</v>
      </c>
      <c r="BZ219" s="129">
        <v>16.799999999999997</v>
      </c>
      <c r="CA219" s="129">
        <v>21.4</v>
      </c>
      <c r="CC219" s="129">
        <v>9</v>
      </c>
      <c r="CD219" s="129">
        <v>9</v>
      </c>
      <c r="CE219" s="129">
        <v>9</v>
      </c>
      <c r="CF219" s="129">
        <v>9</v>
      </c>
      <c r="CG219" s="129">
        <v>9</v>
      </c>
      <c r="CH219" s="129">
        <v>9</v>
      </c>
      <c r="CI219" s="129">
        <v>9</v>
      </c>
      <c r="CJ219" s="129">
        <v>9</v>
      </c>
      <c r="CK219" s="129">
        <v>9</v>
      </c>
      <c r="CL219" s="129">
        <v>21.4</v>
      </c>
      <c r="CN219" s="129">
        <v>10.600000000000001</v>
      </c>
      <c r="CO219" s="129">
        <v>10.600000000000001</v>
      </c>
      <c r="CP219" s="129">
        <v>10.600000000000001</v>
      </c>
      <c r="CQ219" s="129">
        <v>10.600000000000001</v>
      </c>
      <c r="CR219" s="129">
        <v>10.600000000000001</v>
      </c>
      <c r="CS219" s="129">
        <v>10.600000000000001</v>
      </c>
      <c r="CT219" s="129">
        <v>10.600000000000001</v>
      </c>
      <c r="CU219" s="129">
        <v>10.600000000000001</v>
      </c>
      <c r="CV219" s="129">
        <v>10.600000000000001</v>
      </c>
      <c r="CW219" s="129">
        <v>21.4</v>
      </c>
      <c r="CY219" s="129">
        <v>14.600000000000001</v>
      </c>
      <c r="CZ219" s="129">
        <v>14.600000000000001</v>
      </c>
      <c r="DA219" s="129">
        <v>14.600000000000001</v>
      </c>
      <c r="DB219" s="129">
        <v>14.600000000000001</v>
      </c>
      <c r="DC219" s="129">
        <v>14.600000000000001</v>
      </c>
      <c r="DD219" s="129">
        <v>14.600000000000001</v>
      </c>
      <c r="DE219" s="129">
        <v>14.600000000000001</v>
      </c>
      <c r="DF219" s="129">
        <v>14.600000000000001</v>
      </c>
      <c r="DG219" s="129">
        <v>14.600000000000001</v>
      </c>
      <c r="DH219" s="129">
        <v>21.4</v>
      </c>
      <c r="DJ219" s="129">
        <v>14.600000000000001</v>
      </c>
      <c r="DK219" s="129">
        <v>14.600000000000001</v>
      </c>
      <c r="DL219" s="129">
        <v>14.600000000000001</v>
      </c>
      <c r="DM219" s="129">
        <v>14.600000000000001</v>
      </c>
      <c r="DN219" s="129">
        <v>14.600000000000001</v>
      </c>
      <c r="DO219" s="129">
        <v>14.600000000000001</v>
      </c>
      <c r="DP219" s="129">
        <v>14.600000000000001</v>
      </c>
      <c r="DQ219" s="129">
        <v>14.600000000000001</v>
      </c>
      <c r="DR219" s="129">
        <v>14.600000000000001</v>
      </c>
      <c r="DS219" s="129">
        <v>21.4</v>
      </c>
      <c r="EH219" s="27">
        <v>6.6000000000000014</v>
      </c>
      <c r="EI219" s="27">
        <v>6.6000000000000014</v>
      </c>
      <c r="EJ219" s="27">
        <v>6.6000000000000014</v>
      </c>
      <c r="EK219" s="27">
        <v>6.6000000000000014</v>
      </c>
      <c r="EL219" s="27">
        <v>6.6000000000000014</v>
      </c>
      <c r="EM219" s="27">
        <v>6.6000000000000014</v>
      </c>
      <c r="EN219" s="27">
        <v>6.6000000000000014</v>
      </c>
      <c r="EO219" s="27">
        <v>6.6000000000000014</v>
      </c>
      <c r="EP219" s="27">
        <v>6.6000000000000014</v>
      </c>
      <c r="EQ219" s="129">
        <v>23.4</v>
      </c>
      <c r="ES219" s="27">
        <v>17.200000000000003</v>
      </c>
      <c r="ET219" s="27">
        <v>17.200000000000003</v>
      </c>
      <c r="EU219" s="27">
        <v>17.200000000000003</v>
      </c>
      <c r="EV219" s="27">
        <v>17.200000000000003</v>
      </c>
      <c r="EW219" s="27">
        <v>17.200000000000003</v>
      </c>
      <c r="EX219" s="27">
        <v>17.200000000000003</v>
      </c>
      <c r="EY219" s="27">
        <v>17.200000000000003</v>
      </c>
      <c r="EZ219" s="27">
        <v>17.200000000000003</v>
      </c>
      <c r="FA219" s="27">
        <v>17.200000000000003</v>
      </c>
      <c r="FB219" s="129">
        <v>23.4</v>
      </c>
      <c r="FD219" s="27">
        <v>21.599999999999994</v>
      </c>
      <c r="FE219" s="27">
        <v>21.599999999999994</v>
      </c>
      <c r="FF219" s="27">
        <v>21.599999999999994</v>
      </c>
      <c r="FG219" s="27">
        <v>21.599999999999994</v>
      </c>
      <c r="FH219" s="27">
        <v>21.599999999999994</v>
      </c>
      <c r="FI219" s="27">
        <v>21.599999999999994</v>
      </c>
      <c r="FJ219" s="27">
        <v>21.599999999999994</v>
      </c>
      <c r="FK219" s="27">
        <v>21.599999999999994</v>
      </c>
      <c r="FL219" s="27">
        <v>21.599999999999994</v>
      </c>
      <c r="FM219" s="129">
        <v>23.4</v>
      </c>
      <c r="FO219" s="27">
        <v>31.400000000000006</v>
      </c>
      <c r="FP219" s="27">
        <v>31.400000000000006</v>
      </c>
      <c r="FQ219" s="27">
        <v>31.400000000000006</v>
      </c>
      <c r="FR219" s="27">
        <v>31.400000000000006</v>
      </c>
      <c r="FS219" s="27">
        <v>31.400000000000006</v>
      </c>
      <c r="FT219" s="27">
        <v>31.400000000000006</v>
      </c>
      <c r="FU219" s="27">
        <v>31.400000000000006</v>
      </c>
      <c r="FV219" s="27">
        <v>31.400000000000006</v>
      </c>
      <c r="FW219" s="27">
        <v>31.400000000000006</v>
      </c>
      <c r="FX219" s="129">
        <v>23.4</v>
      </c>
      <c r="FZ219" s="27">
        <v>31.400000000000006</v>
      </c>
      <c r="GA219" s="27">
        <v>31.400000000000006</v>
      </c>
      <c r="GB219" s="27">
        <v>31.400000000000006</v>
      </c>
      <c r="GC219" s="27">
        <v>31.400000000000006</v>
      </c>
      <c r="GD219" s="27">
        <v>31.400000000000006</v>
      </c>
      <c r="GE219" s="27">
        <v>31.400000000000006</v>
      </c>
      <c r="GF219" s="27">
        <v>31.400000000000006</v>
      </c>
      <c r="GG219" s="27">
        <v>31.400000000000006</v>
      </c>
      <c r="GH219" s="27">
        <v>31.400000000000006</v>
      </c>
      <c r="GI219" s="129">
        <v>23.4</v>
      </c>
      <c r="GJ219" s="27"/>
      <c r="GK219" s="27">
        <v>8</v>
      </c>
      <c r="GL219" s="27">
        <v>8</v>
      </c>
      <c r="GM219" s="27">
        <v>8</v>
      </c>
      <c r="GN219" s="27">
        <v>8</v>
      </c>
      <c r="GO219" s="27">
        <v>8</v>
      </c>
      <c r="GP219" s="27">
        <v>8</v>
      </c>
      <c r="GQ219" s="27">
        <v>8</v>
      </c>
      <c r="GR219" s="27">
        <v>8</v>
      </c>
      <c r="GS219" s="27">
        <v>8</v>
      </c>
      <c r="GT219" s="129">
        <v>23.4</v>
      </c>
      <c r="GV219" s="27">
        <v>9.6000000000000014</v>
      </c>
      <c r="GW219" s="27">
        <v>9.6000000000000014</v>
      </c>
      <c r="GX219" s="27">
        <v>9.6000000000000014</v>
      </c>
      <c r="GY219" s="27">
        <v>9.6000000000000014</v>
      </c>
      <c r="GZ219" s="27">
        <v>9.6000000000000014</v>
      </c>
      <c r="HA219" s="27">
        <v>9.6000000000000014</v>
      </c>
      <c r="HB219" s="27">
        <v>9.6000000000000014</v>
      </c>
      <c r="HC219" s="27">
        <v>9.6000000000000014</v>
      </c>
      <c r="HD219" s="27">
        <v>9.6000000000000014</v>
      </c>
      <c r="HE219" s="129">
        <v>23.4</v>
      </c>
      <c r="HG219" s="27">
        <v>13.600000000000001</v>
      </c>
      <c r="HH219" s="27">
        <v>13.600000000000001</v>
      </c>
      <c r="HI219" s="27">
        <v>13.600000000000001</v>
      </c>
      <c r="HJ219" s="27">
        <v>13.600000000000001</v>
      </c>
      <c r="HK219" s="27">
        <v>13.600000000000001</v>
      </c>
      <c r="HL219" s="27">
        <v>13.600000000000001</v>
      </c>
      <c r="HM219" s="27">
        <v>13.600000000000001</v>
      </c>
      <c r="HN219" s="27">
        <v>13.600000000000001</v>
      </c>
      <c r="HO219" s="27">
        <v>13.600000000000001</v>
      </c>
      <c r="HP219" s="129">
        <v>23.4</v>
      </c>
      <c r="HR219" s="27">
        <v>13.600000000000001</v>
      </c>
      <c r="HS219" s="27">
        <v>13.600000000000001</v>
      </c>
      <c r="HT219" s="27">
        <v>13.600000000000001</v>
      </c>
      <c r="HU219" s="27">
        <v>13.600000000000001</v>
      </c>
      <c r="HV219" s="27">
        <v>13.600000000000001</v>
      </c>
      <c r="HW219" s="27">
        <v>13.600000000000001</v>
      </c>
      <c r="HX219" s="27">
        <v>13.600000000000001</v>
      </c>
      <c r="HY219" s="27">
        <v>13.600000000000001</v>
      </c>
      <c r="HZ219" s="27">
        <v>13.600000000000001</v>
      </c>
      <c r="IA219" s="129">
        <v>23.4</v>
      </c>
    </row>
    <row r="220" spans="15:235" ht="17.45" customHeight="1">
      <c r="O220" s="17"/>
      <c r="P220" s="17"/>
      <c r="Q220" s="17"/>
      <c r="R220" s="17"/>
      <c r="S220" s="17"/>
      <c r="T220" s="17"/>
      <c r="U220" s="17"/>
      <c r="V220" s="17"/>
      <c r="W220" s="17"/>
      <c r="X220" s="129">
        <v>21.5</v>
      </c>
      <c r="Y220" s="27"/>
      <c r="AI220" s="129">
        <v>21.5</v>
      </c>
      <c r="AK220" s="129">
        <v>9.5000000000000018</v>
      </c>
      <c r="AL220" s="129">
        <v>9.5000000000000018</v>
      </c>
      <c r="AM220" s="129">
        <v>9.5000000000000018</v>
      </c>
      <c r="AN220" s="129">
        <v>9.5000000000000018</v>
      </c>
      <c r="AO220" s="129">
        <v>9.5000000000000018</v>
      </c>
      <c r="AP220" s="129">
        <v>9.5000000000000018</v>
      </c>
      <c r="AQ220" s="129">
        <v>9.5000000000000018</v>
      </c>
      <c r="AR220" s="129">
        <v>9.5000000000000018</v>
      </c>
      <c r="AS220" s="129">
        <v>9.5000000000000018</v>
      </c>
      <c r="AT220" s="129">
        <v>21.5</v>
      </c>
      <c r="AV220" s="129">
        <v>12.500000000000002</v>
      </c>
      <c r="AW220" s="129">
        <v>12.500000000000002</v>
      </c>
      <c r="AX220" s="129">
        <v>12.500000000000002</v>
      </c>
      <c r="AY220" s="129">
        <v>12.500000000000002</v>
      </c>
      <c r="AZ220" s="129">
        <v>12.500000000000002</v>
      </c>
      <c r="BA220" s="129">
        <v>12.500000000000002</v>
      </c>
      <c r="BB220" s="129">
        <v>12.500000000000002</v>
      </c>
      <c r="BC220" s="129">
        <v>12.500000000000002</v>
      </c>
      <c r="BD220" s="129">
        <v>12.500000000000002</v>
      </c>
      <c r="BE220" s="129">
        <v>21.5</v>
      </c>
      <c r="BG220" s="129">
        <v>16.499999999999996</v>
      </c>
      <c r="BH220" s="129">
        <v>16.499999999999996</v>
      </c>
      <c r="BI220" s="129">
        <v>16.499999999999996</v>
      </c>
      <c r="BJ220" s="129">
        <v>16.499999999999996</v>
      </c>
      <c r="BK220" s="129">
        <v>16.499999999999996</v>
      </c>
      <c r="BL220" s="129">
        <v>16.499999999999996</v>
      </c>
      <c r="BM220" s="129">
        <v>16.499999999999996</v>
      </c>
      <c r="BN220" s="129">
        <v>16.499999999999996</v>
      </c>
      <c r="BO220" s="129">
        <v>16.499999999999996</v>
      </c>
      <c r="BP220" s="129">
        <v>21.5</v>
      </c>
      <c r="BR220" s="129">
        <v>16.499999999999996</v>
      </c>
      <c r="BS220" s="129">
        <v>16.499999999999996</v>
      </c>
      <c r="BT220" s="129">
        <v>16.499999999999996</v>
      </c>
      <c r="BU220" s="129">
        <v>16.499999999999996</v>
      </c>
      <c r="BV220" s="129">
        <v>16.499999999999996</v>
      </c>
      <c r="BW220" s="129">
        <v>16.499999999999996</v>
      </c>
      <c r="BX220" s="129">
        <v>16.499999999999996</v>
      </c>
      <c r="BY220" s="129">
        <v>16.499999999999996</v>
      </c>
      <c r="BZ220" s="129">
        <v>16.499999999999996</v>
      </c>
      <c r="CA220" s="129">
        <v>21.5</v>
      </c>
      <c r="CC220" s="129">
        <v>9</v>
      </c>
      <c r="CD220" s="129">
        <v>9</v>
      </c>
      <c r="CE220" s="129">
        <v>9</v>
      </c>
      <c r="CF220" s="129">
        <v>9</v>
      </c>
      <c r="CG220" s="129">
        <v>9</v>
      </c>
      <c r="CH220" s="129">
        <v>9</v>
      </c>
      <c r="CI220" s="129">
        <v>9</v>
      </c>
      <c r="CJ220" s="129">
        <v>9</v>
      </c>
      <c r="CK220" s="129">
        <v>9</v>
      </c>
      <c r="CL220" s="129">
        <v>21.5</v>
      </c>
      <c r="CN220" s="129">
        <v>10.500000000000002</v>
      </c>
      <c r="CO220" s="129">
        <v>10.500000000000002</v>
      </c>
      <c r="CP220" s="129">
        <v>10.500000000000002</v>
      </c>
      <c r="CQ220" s="129">
        <v>10.500000000000002</v>
      </c>
      <c r="CR220" s="129">
        <v>10.500000000000002</v>
      </c>
      <c r="CS220" s="129">
        <v>10.500000000000002</v>
      </c>
      <c r="CT220" s="129">
        <v>10.500000000000002</v>
      </c>
      <c r="CU220" s="129">
        <v>10.500000000000002</v>
      </c>
      <c r="CV220" s="129">
        <v>10.500000000000002</v>
      </c>
      <c r="CW220" s="129">
        <v>21.5</v>
      </c>
      <c r="CY220" s="129">
        <v>14.500000000000002</v>
      </c>
      <c r="CZ220" s="129">
        <v>14.500000000000002</v>
      </c>
      <c r="DA220" s="129">
        <v>14.500000000000002</v>
      </c>
      <c r="DB220" s="129">
        <v>14.500000000000002</v>
      </c>
      <c r="DC220" s="129">
        <v>14.500000000000002</v>
      </c>
      <c r="DD220" s="129">
        <v>14.500000000000002</v>
      </c>
      <c r="DE220" s="129">
        <v>14.500000000000002</v>
      </c>
      <c r="DF220" s="129">
        <v>14.500000000000002</v>
      </c>
      <c r="DG220" s="129">
        <v>14.500000000000002</v>
      </c>
      <c r="DH220" s="129">
        <v>21.5</v>
      </c>
      <c r="DJ220" s="129">
        <v>14.500000000000002</v>
      </c>
      <c r="DK220" s="129">
        <v>14.500000000000002</v>
      </c>
      <c r="DL220" s="129">
        <v>14.500000000000002</v>
      </c>
      <c r="DM220" s="129">
        <v>14.500000000000002</v>
      </c>
      <c r="DN220" s="129">
        <v>14.500000000000002</v>
      </c>
      <c r="DO220" s="129">
        <v>14.500000000000002</v>
      </c>
      <c r="DP220" s="129">
        <v>14.500000000000002</v>
      </c>
      <c r="DQ220" s="129">
        <v>14.500000000000002</v>
      </c>
      <c r="DR220" s="129">
        <v>14.500000000000002</v>
      </c>
      <c r="DS220" s="129">
        <v>21.5</v>
      </c>
      <c r="EH220" s="27">
        <v>6.5000000000000018</v>
      </c>
      <c r="EI220" s="27">
        <v>6.5000000000000018</v>
      </c>
      <c r="EJ220" s="27">
        <v>6.5000000000000018</v>
      </c>
      <c r="EK220" s="27">
        <v>6.5000000000000018</v>
      </c>
      <c r="EL220" s="27">
        <v>6.5000000000000018</v>
      </c>
      <c r="EM220" s="27">
        <v>6.5000000000000018</v>
      </c>
      <c r="EN220" s="27">
        <v>6.5000000000000018</v>
      </c>
      <c r="EO220" s="27">
        <v>6.5000000000000018</v>
      </c>
      <c r="EP220" s="27">
        <v>6.5000000000000018</v>
      </c>
      <c r="EQ220" s="129">
        <v>23.5</v>
      </c>
      <c r="ES220" s="27">
        <v>17.000000000000004</v>
      </c>
      <c r="ET220" s="27">
        <v>17.000000000000004</v>
      </c>
      <c r="EU220" s="27">
        <v>17.000000000000004</v>
      </c>
      <c r="EV220" s="27">
        <v>17.000000000000004</v>
      </c>
      <c r="EW220" s="27">
        <v>17.000000000000004</v>
      </c>
      <c r="EX220" s="27">
        <v>17.000000000000004</v>
      </c>
      <c r="EY220" s="27">
        <v>17.000000000000004</v>
      </c>
      <c r="EZ220" s="27">
        <v>17.000000000000004</v>
      </c>
      <c r="FA220" s="27">
        <v>17.000000000000004</v>
      </c>
      <c r="FB220" s="129">
        <v>23.5</v>
      </c>
      <c r="FD220" s="27">
        <v>21.499999999999993</v>
      </c>
      <c r="FE220" s="27">
        <v>21.499999999999993</v>
      </c>
      <c r="FF220" s="27">
        <v>21.499999999999993</v>
      </c>
      <c r="FG220" s="27">
        <v>21.499999999999993</v>
      </c>
      <c r="FH220" s="27">
        <v>21.499999999999993</v>
      </c>
      <c r="FI220" s="27">
        <v>21.499999999999993</v>
      </c>
      <c r="FJ220" s="27">
        <v>21.499999999999993</v>
      </c>
      <c r="FK220" s="27">
        <v>21.499999999999993</v>
      </c>
      <c r="FL220" s="27">
        <v>21.499999999999993</v>
      </c>
      <c r="FM220" s="129">
        <v>23.5</v>
      </c>
      <c r="FO220" s="27">
        <v>31.000000000000007</v>
      </c>
      <c r="FP220" s="27">
        <v>31.000000000000007</v>
      </c>
      <c r="FQ220" s="27">
        <v>31.000000000000007</v>
      </c>
      <c r="FR220" s="27">
        <v>31.000000000000007</v>
      </c>
      <c r="FS220" s="27">
        <v>31.000000000000007</v>
      </c>
      <c r="FT220" s="27">
        <v>31.000000000000007</v>
      </c>
      <c r="FU220" s="27">
        <v>31.000000000000007</v>
      </c>
      <c r="FV220" s="27">
        <v>31.000000000000007</v>
      </c>
      <c r="FW220" s="27">
        <v>31.000000000000007</v>
      </c>
      <c r="FX220" s="129">
        <v>23.5</v>
      </c>
      <c r="FZ220" s="27">
        <v>31.000000000000007</v>
      </c>
      <c r="GA220" s="27">
        <v>31.000000000000007</v>
      </c>
      <c r="GB220" s="27">
        <v>31.000000000000007</v>
      </c>
      <c r="GC220" s="27">
        <v>31.000000000000007</v>
      </c>
      <c r="GD220" s="27">
        <v>31.000000000000007</v>
      </c>
      <c r="GE220" s="27">
        <v>31.000000000000007</v>
      </c>
      <c r="GF220" s="27">
        <v>31.000000000000007</v>
      </c>
      <c r="GG220" s="27">
        <v>31.000000000000007</v>
      </c>
      <c r="GH220" s="27">
        <v>31.000000000000007</v>
      </c>
      <c r="GI220" s="129">
        <v>23.5</v>
      </c>
      <c r="GJ220" s="27"/>
      <c r="GK220" s="27">
        <v>8</v>
      </c>
      <c r="GL220" s="27">
        <v>8</v>
      </c>
      <c r="GM220" s="27">
        <v>8</v>
      </c>
      <c r="GN220" s="27">
        <v>8</v>
      </c>
      <c r="GO220" s="27">
        <v>8</v>
      </c>
      <c r="GP220" s="27">
        <v>8</v>
      </c>
      <c r="GQ220" s="27">
        <v>8</v>
      </c>
      <c r="GR220" s="27">
        <v>8</v>
      </c>
      <c r="GS220" s="27">
        <v>8</v>
      </c>
      <c r="GT220" s="129">
        <v>23.5</v>
      </c>
      <c r="GV220" s="27">
        <v>9.5000000000000018</v>
      </c>
      <c r="GW220" s="27">
        <v>9.5000000000000018</v>
      </c>
      <c r="GX220" s="27">
        <v>9.5000000000000018</v>
      </c>
      <c r="GY220" s="27">
        <v>9.5000000000000018</v>
      </c>
      <c r="GZ220" s="27">
        <v>9.5000000000000018</v>
      </c>
      <c r="HA220" s="27">
        <v>9.5000000000000018</v>
      </c>
      <c r="HB220" s="27">
        <v>9.5000000000000018</v>
      </c>
      <c r="HC220" s="27">
        <v>9.5000000000000018</v>
      </c>
      <c r="HD220" s="27">
        <v>9.5000000000000018</v>
      </c>
      <c r="HE220" s="129">
        <v>23.5</v>
      </c>
      <c r="HG220" s="27">
        <v>13.500000000000002</v>
      </c>
      <c r="HH220" s="27">
        <v>13.500000000000002</v>
      </c>
      <c r="HI220" s="27">
        <v>13.500000000000002</v>
      </c>
      <c r="HJ220" s="27">
        <v>13.500000000000002</v>
      </c>
      <c r="HK220" s="27">
        <v>13.500000000000002</v>
      </c>
      <c r="HL220" s="27">
        <v>13.500000000000002</v>
      </c>
      <c r="HM220" s="27">
        <v>13.500000000000002</v>
      </c>
      <c r="HN220" s="27">
        <v>13.500000000000002</v>
      </c>
      <c r="HO220" s="27">
        <v>13.500000000000002</v>
      </c>
      <c r="HP220" s="129">
        <v>23.5</v>
      </c>
      <c r="HR220" s="27">
        <v>13.500000000000002</v>
      </c>
      <c r="HS220" s="27">
        <v>13.500000000000002</v>
      </c>
      <c r="HT220" s="27">
        <v>13.500000000000002</v>
      </c>
      <c r="HU220" s="27">
        <v>13.500000000000002</v>
      </c>
      <c r="HV220" s="27">
        <v>13.500000000000002</v>
      </c>
      <c r="HW220" s="27">
        <v>13.500000000000002</v>
      </c>
      <c r="HX220" s="27">
        <v>13.500000000000002</v>
      </c>
      <c r="HY220" s="27">
        <v>13.500000000000002</v>
      </c>
      <c r="HZ220" s="27">
        <v>13.500000000000002</v>
      </c>
      <c r="IA220" s="129">
        <v>23.5</v>
      </c>
    </row>
    <row r="221" spans="15:235" ht="17.45" customHeight="1">
      <c r="O221" s="17"/>
      <c r="P221" s="17"/>
      <c r="Q221" s="17"/>
      <c r="R221" s="17"/>
      <c r="S221" s="17"/>
      <c r="T221" s="17"/>
      <c r="U221" s="17"/>
      <c r="V221" s="17"/>
      <c r="W221" s="17"/>
      <c r="X221" s="129">
        <v>21.6</v>
      </c>
      <c r="Y221" s="27"/>
      <c r="AI221" s="129">
        <v>21.6</v>
      </c>
      <c r="AK221" s="129">
        <v>9.4000000000000021</v>
      </c>
      <c r="AL221" s="129">
        <v>9.4000000000000021</v>
      </c>
      <c r="AM221" s="129">
        <v>9.4000000000000021</v>
      </c>
      <c r="AN221" s="129">
        <v>9.4000000000000021</v>
      </c>
      <c r="AO221" s="129">
        <v>9.4000000000000021</v>
      </c>
      <c r="AP221" s="129">
        <v>9.4000000000000021</v>
      </c>
      <c r="AQ221" s="129">
        <v>9.4000000000000021</v>
      </c>
      <c r="AR221" s="129">
        <v>9.4000000000000021</v>
      </c>
      <c r="AS221" s="129">
        <v>9.4000000000000021</v>
      </c>
      <c r="AT221" s="129">
        <v>21.6</v>
      </c>
      <c r="AV221" s="129">
        <v>12.400000000000002</v>
      </c>
      <c r="AW221" s="129">
        <v>12.400000000000002</v>
      </c>
      <c r="AX221" s="129">
        <v>12.400000000000002</v>
      </c>
      <c r="AY221" s="129">
        <v>12.400000000000002</v>
      </c>
      <c r="AZ221" s="129">
        <v>12.400000000000002</v>
      </c>
      <c r="BA221" s="129">
        <v>12.400000000000002</v>
      </c>
      <c r="BB221" s="129">
        <v>12.400000000000002</v>
      </c>
      <c r="BC221" s="129">
        <v>12.400000000000002</v>
      </c>
      <c r="BD221" s="129">
        <v>12.400000000000002</v>
      </c>
      <c r="BE221" s="129">
        <v>21.6</v>
      </c>
      <c r="BG221" s="129">
        <v>16.199999999999996</v>
      </c>
      <c r="BH221" s="129">
        <v>16.199999999999996</v>
      </c>
      <c r="BI221" s="129">
        <v>16.199999999999996</v>
      </c>
      <c r="BJ221" s="129">
        <v>16.199999999999996</v>
      </c>
      <c r="BK221" s="129">
        <v>16.199999999999996</v>
      </c>
      <c r="BL221" s="129">
        <v>16.199999999999996</v>
      </c>
      <c r="BM221" s="129">
        <v>16.199999999999996</v>
      </c>
      <c r="BN221" s="129">
        <v>16.199999999999996</v>
      </c>
      <c r="BO221" s="129">
        <v>16.199999999999996</v>
      </c>
      <c r="BP221" s="129">
        <v>21.6</v>
      </c>
      <c r="BR221" s="129">
        <v>16.199999999999996</v>
      </c>
      <c r="BS221" s="129">
        <v>16.199999999999996</v>
      </c>
      <c r="BT221" s="129">
        <v>16.199999999999996</v>
      </c>
      <c r="BU221" s="129">
        <v>16.199999999999996</v>
      </c>
      <c r="BV221" s="129">
        <v>16.199999999999996</v>
      </c>
      <c r="BW221" s="129">
        <v>16.199999999999996</v>
      </c>
      <c r="BX221" s="129">
        <v>16.199999999999996</v>
      </c>
      <c r="BY221" s="129">
        <v>16.199999999999996</v>
      </c>
      <c r="BZ221" s="129">
        <v>16.199999999999996</v>
      </c>
      <c r="CA221" s="129">
        <v>21.6</v>
      </c>
      <c r="CC221" s="129">
        <v>9</v>
      </c>
      <c r="CD221" s="129">
        <v>9</v>
      </c>
      <c r="CE221" s="129">
        <v>9</v>
      </c>
      <c r="CF221" s="129">
        <v>9</v>
      </c>
      <c r="CG221" s="129">
        <v>9</v>
      </c>
      <c r="CH221" s="129">
        <v>9</v>
      </c>
      <c r="CI221" s="129">
        <v>9</v>
      </c>
      <c r="CJ221" s="129">
        <v>9</v>
      </c>
      <c r="CK221" s="129">
        <v>9</v>
      </c>
      <c r="CL221" s="129">
        <v>21.6</v>
      </c>
      <c r="CN221" s="129">
        <v>10.400000000000002</v>
      </c>
      <c r="CO221" s="129">
        <v>10.400000000000002</v>
      </c>
      <c r="CP221" s="129">
        <v>10.400000000000002</v>
      </c>
      <c r="CQ221" s="129">
        <v>10.400000000000002</v>
      </c>
      <c r="CR221" s="129">
        <v>10.400000000000002</v>
      </c>
      <c r="CS221" s="129">
        <v>10.400000000000002</v>
      </c>
      <c r="CT221" s="129">
        <v>10.400000000000002</v>
      </c>
      <c r="CU221" s="129">
        <v>10.400000000000002</v>
      </c>
      <c r="CV221" s="129">
        <v>10.400000000000002</v>
      </c>
      <c r="CW221" s="129">
        <v>21.6</v>
      </c>
      <c r="CY221" s="129">
        <v>14.400000000000002</v>
      </c>
      <c r="CZ221" s="129">
        <v>14.400000000000002</v>
      </c>
      <c r="DA221" s="129">
        <v>14.400000000000002</v>
      </c>
      <c r="DB221" s="129">
        <v>14.400000000000002</v>
      </c>
      <c r="DC221" s="129">
        <v>14.400000000000002</v>
      </c>
      <c r="DD221" s="129">
        <v>14.400000000000002</v>
      </c>
      <c r="DE221" s="129">
        <v>14.400000000000002</v>
      </c>
      <c r="DF221" s="129">
        <v>14.400000000000002</v>
      </c>
      <c r="DG221" s="129">
        <v>14.400000000000002</v>
      </c>
      <c r="DH221" s="129">
        <v>21.6</v>
      </c>
      <c r="DJ221" s="129">
        <v>14.400000000000002</v>
      </c>
      <c r="DK221" s="129">
        <v>14.400000000000002</v>
      </c>
      <c r="DL221" s="129">
        <v>14.400000000000002</v>
      </c>
      <c r="DM221" s="129">
        <v>14.400000000000002</v>
      </c>
      <c r="DN221" s="129">
        <v>14.400000000000002</v>
      </c>
      <c r="DO221" s="129">
        <v>14.400000000000002</v>
      </c>
      <c r="DP221" s="129">
        <v>14.400000000000002</v>
      </c>
      <c r="DQ221" s="129">
        <v>14.400000000000002</v>
      </c>
      <c r="DR221" s="129">
        <v>14.400000000000002</v>
      </c>
      <c r="DS221" s="129">
        <v>21.6</v>
      </c>
      <c r="EH221" s="27">
        <v>6.4000000000000021</v>
      </c>
      <c r="EI221" s="27">
        <v>6.4000000000000021</v>
      </c>
      <c r="EJ221" s="27">
        <v>6.4000000000000021</v>
      </c>
      <c r="EK221" s="27">
        <v>6.4000000000000021</v>
      </c>
      <c r="EL221" s="27">
        <v>6.4000000000000021</v>
      </c>
      <c r="EM221" s="27">
        <v>6.4000000000000021</v>
      </c>
      <c r="EN221" s="27">
        <v>6.4000000000000021</v>
      </c>
      <c r="EO221" s="27">
        <v>6.4000000000000021</v>
      </c>
      <c r="EP221" s="27">
        <v>6.4000000000000021</v>
      </c>
      <c r="EQ221" s="129">
        <v>23.6</v>
      </c>
      <c r="ES221" s="27">
        <v>16.800000000000004</v>
      </c>
      <c r="ET221" s="27">
        <v>16.800000000000004</v>
      </c>
      <c r="EU221" s="27">
        <v>16.800000000000004</v>
      </c>
      <c r="EV221" s="27">
        <v>16.800000000000004</v>
      </c>
      <c r="EW221" s="27">
        <v>16.800000000000004</v>
      </c>
      <c r="EX221" s="27">
        <v>16.800000000000004</v>
      </c>
      <c r="EY221" s="27">
        <v>16.800000000000004</v>
      </c>
      <c r="EZ221" s="27">
        <v>16.800000000000004</v>
      </c>
      <c r="FA221" s="27">
        <v>16.800000000000004</v>
      </c>
      <c r="FB221" s="129">
        <v>23.6</v>
      </c>
      <c r="FD221" s="27">
        <v>21.399999999999991</v>
      </c>
      <c r="FE221" s="27">
        <v>21.399999999999991</v>
      </c>
      <c r="FF221" s="27">
        <v>21.399999999999991</v>
      </c>
      <c r="FG221" s="27">
        <v>21.399999999999991</v>
      </c>
      <c r="FH221" s="27">
        <v>21.399999999999991</v>
      </c>
      <c r="FI221" s="27">
        <v>21.399999999999991</v>
      </c>
      <c r="FJ221" s="27">
        <v>21.399999999999991</v>
      </c>
      <c r="FK221" s="27">
        <v>21.399999999999991</v>
      </c>
      <c r="FL221" s="27">
        <v>21.399999999999991</v>
      </c>
      <c r="FM221" s="129">
        <v>23.6</v>
      </c>
      <c r="FO221" s="27">
        <v>30.600000000000009</v>
      </c>
      <c r="FP221" s="27">
        <v>30.600000000000009</v>
      </c>
      <c r="FQ221" s="27">
        <v>30.600000000000009</v>
      </c>
      <c r="FR221" s="27">
        <v>30.600000000000009</v>
      </c>
      <c r="FS221" s="27">
        <v>30.600000000000009</v>
      </c>
      <c r="FT221" s="27">
        <v>30.600000000000009</v>
      </c>
      <c r="FU221" s="27">
        <v>30.600000000000009</v>
      </c>
      <c r="FV221" s="27">
        <v>30.600000000000009</v>
      </c>
      <c r="FW221" s="27">
        <v>30.600000000000009</v>
      </c>
      <c r="FX221" s="129">
        <v>23.6</v>
      </c>
      <c r="FZ221" s="27">
        <v>30.600000000000009</v>
      </c>
      <c r="GA221" s="27">
        <v>30.600000000000009</v>
      </c>
      <c r="GB221" s="27">
        <v>30.600000000000009</v>
      </c>
      <c r="GC221" s="27">
        <v>30.600000000000009</v>
      </c>
      <c r="GD221" s="27">
        <v>30.600000000000009</v>
      </c>
      <c r="GE221" s="27">
        <v>30.600000000000009</v>
      </c>
      <c r="GF221" s="27">
        <v>30.600000000000009</v>
      </c>
      <c r="GG221" s="27">
        <v>30.600000000000009</v>
      </c>
      <c r="GH221" s="27">
        <v>30.600000000000009</v>
      </c>
      <c r="GI221" s="129">
        <v>23.6</v>
      </c>
      <c r="GJ221" s="27"/>
      <c r="GK221" s="27">
        <v>8</v>
      </c>
      <c r="GL221" s="27">
        <v>8</v>
      </c>
      <c r="GM221" s="27">
        <v>8</v>
      </c>
      <c r="GN221" s="27">
        <v>8</v>
      </c>
      <c r="GO221" s="27">
        <v>8</v>
      </c>
      <c r="GP221" s="27">
        <v>8</v>
      </c>
      <c r="GQ221" s="27">
        <v>8</v>
      </c>
      <c r="GR221" s="27">
        <v>8</v>
      </c>
      <c r="GS221" s="27">
        <v>8</v>
      </c>
      <c r="GT221" s="129">
        <v>23.6</v>
      </c>
      <c r="GV221" s="27">
        <v>9.4000000000000021</v>
      </c>
      <c r="GW221" s="27">
        <v>9.4000000000000021</v>
      </c>
      <c r="GX221" s="27">
        <v>9.4000000000000021</v>
      </c>
      <c r="GY221" s="27">
        <v>9.4000000000000021</v>
      </c>
      <c r="GZ221" s="27">
        <v>9.4000000000000021</v>
      </c>
      <c r="HA221" s="27">
        <v>9.4000000000000021</v>
      </c>
      <c r="HB221" s="27">
        <v>9.4000000000000021</v>
      </c>
      <c r="HC221" s="27">
        <v>9.4000000000000021</v>
      </c>
      <c r="HD221" s="27">
        <v>9.4000000000000021</v>
      </c>
      <c r="HE221" s="129">
        <v>23.6</v>
      </c>
      <c r="HG221" s="27">
        <v>13.400000000000002</v>
      </c>
      <c r="HH221" s="27">
        <v>13.400000000000002</v>
      </c>
      <c r="HI221" s="27">
        <v>13.400000000000002</v>
      </c>
      <c r="HJ221" s="27">
        <v>13.400000000000002</v>
      </c>
      <c r="HK221" s="27">
        <v>13.400000000000002</v>
      </c>
      <c r="HL221" s="27">
        <v>13.400000000000002</v>
      </c>
      <c r="HM221" s="27">
        <v>13.400000000000002</v>
      </c>
      <c r="HN221" s="27">
        <v>13.400000000000002</v>
      </c>
      <c r="HO221" s="27">
        <v>13.400000000000002</v>
      </c>
      <c r="HP221" s="129">
        <v>23.6</v>
      </c>
      <c r="HR221" s="27">
        <v>13.400000000000002</v>
      </c>
      <c r="HS221" s="27">
        <v>13.400000000000002</v>
      </c>
      <c r="HT221" s="27">
        <v>13.400000000000002</v>
      </c>
      <c r="HU221" s="27">
        <v>13.400000000000002</v>
      </c>
      <c r="HV221" s="27">
        <v>13.400000000000002</v>
      </c>
      <c r="HW221" s="27">
        <v>13.400000000000002</v>
      </c>
      <c r="HX221" s="27">
        <v>13.400000000000002</v>
      </c>
      <c r="HY221" s="27">
        <v>13.400000000000002</v>
      </c>
      <c r="HZ221" s="27">
        <v>13.400000000000002</v>
      </c>
      <c r="IA221" s="129">
        <v>23.6</v>
      </c>
    </row>
    <row r="222" spans="15:235" ht="17.45" customHeight="1">
      <c r="O222" s="17"/>
      <c r="P222" s="17"/>
      <c r="Q222" s="17"/>
      <c r="R222" s="17"/>
      <c r="S222" s="17"/>
      <c r="T222" s="17"/>
      <c r="U222" s="17"/>
      <c r="V222" s="17"/>
      <c r="W222" s="17"/>
      <c r="X222" s="129">
        <v>21.7</v>
      </c>
      <c r="Y222" s="27"/>
      <c r="AI222" s="129">
        <v>21.7</v>
      </c>
      <c r="AK222" s="129">
        <v>9.3000000000000025</v>
      </c>
      <c r="AL222" s="129">
        <v>9.3000000000000025</v>
      </c>
      <c r="AM222" s="129">
        <v>9.3000000000000025</v>
      </c>
      <c r="AN222" s="129">
        <v>9.3000000000000025</v>
      </c>
      <c r="AO222" s="129">
        <v>9.3000000000000025</v>
      </c>
      <c r="AP222" s="129">
        <v>9.3000000000000025</v>
      </c>
      <c r="AQ222" s="129">
        <v>9.3000000000000025</v>
      </c>
      <c r="AR222" s="129">
        <v>9.3000000000000025</v>
      </c>
      <c r="AS222" s="129">
        <v>9.3000000000000025</v>
      </c>
      <c r="AT222" s="129">
        <v>21.7</v>
      </c>
      <c r="AV222" s="129">
        <v>12.300000000000002</v>
      </c>
      <c r="AW222" s="129">
        <v>12.300000000000002</v>
      </c>
      <c r="AX222" s="129">
        <v>12.300000000000002</v>
      </c>
      <c r="AY222" s="129">
        <v>12.300000000000002</v>
      </c>
      <c r="AZ222" s="129">
        <v>12.300000000000002</v>
      </c>
      <c r="BA222" s="129">
        <v>12.300000000000002</v>
      </c>
      <c r="BB222" s="129">
        <v>12.300000000000002</v>
      </c>
      <c r="BC222" s="129">
        <v>12.300000000000002</v>
      </c>
      <c r="BD222" s="129">
        <v>12.300000000000002</v>
      </c>
      <c r="BE222" s="129">
        <v>21.7</v>
      </c>
      <c r="BG222" s="129">
        <v>15.899999999999995</v>
      </c>
      <c r="BH222" s="129">
        <v>15.899999999999995</v>
      </c>
      <c r="BI222" s="129">
        <v>15.899999999999995</v>
      </c>
      <c r="BJ222" s="129">
        <v>15.899999999999995</v>
      </c>
      <c r="BK222" s="129">
        <v>15.899999999999995</v>
      </c>
      <c r="BL222" s="129">
        <v>15.899999999999995</v>
      </c>
      <c r="BM222" s="129">
        <v>15.899999999999995</v>
      </c>
      <c r="BN222" s="129">
        <v>15.899999999999995</v>
      </c>
      <c r="BO222" s="129">
        <v>15.899999999999995</v>
      </c>
      <c r="BP222" s="129">
        <v>21.7</v>
      </c>
      <c r="BR222" s="129">
        <v>15.899999999999995</v>
      </c>
      <c r="BS222" s="129">
        <v>15.899999999999995</v>
      </c>
      <c r="BT222" s="129">
        <v>15.899999999999995</v>
      </c>
      <c r="BU222" s="129">
        <v>15.899999999999995</v>
      </c>
      <c r="BV222" s="129">
        <v>15.899999999999995</v>
      </c>
      <c r="BW222" s="129">
        <v>15.899999999999995</v>
      </c>
      <c r="BX222" s="129">
        <v>15.899999999999995</v>
      </c>
      <c r="BY222" s="129">
        <v>15.899999999999995</v>
      </c>
      <c r="BZ222" s="129">
        <v>15.899999999999995</v>
      </c>
      <c r="CA222" s="129">
        <v>21.7</v>
      </c>
      <c r="CC222" s="129">
        <v>9</v>
      </c>
      <c r="CD222" s="129">
        <v>9</v>
      </c>
      <c r="CE222" s="129">
        <v>9</v>
      </c>
      <c r="CF222" s="129">
        <v>9</v>
      </c>
      <c r="CG222" s="129">
        <v>9</v>
      </c>
      <c r="CH222" s="129">
        <v>9</v>
      </c>
      <c r="CI222" s="129">
        <v>9</v>
      </c>
      <c r="CJ222" s="129">
        <v>9</v>
      </c>
      <c r="CK222" s="129">
        <v>9</v>
      </c>
      <c r="CL222" s="129">
        <v>21.7</v>
      </c>
      <c r="CN222" s="129">
        <v>10.300000000000002</v>
      </c>
      <c r="CO222" s="129">
        <v>10.300000000000002</v>
      </c>
      <c r="CP222" s="129">
        <v>10.300000000000002</v>
      </c>
      <c r="CQ222" s="129">
        <v>10.300000000000002</v>
      </c>
      <c r="CR222" s="129">
        <v>10.300000000000002</v>
      </c>
      <c r="CS222" s="129">
        <v>10.300000000000002</v>
      </c>
      <c r="CT222" s="129">
        <v>10.300000000000002</v>
      </c>
      <c r="CU222" s="129">
        <v>10.300000000000002</v>
      </c>
      <c r="CV222" s="129">
        <v>10.300000000000002</v>
      </c>
      <c r="CW222" s="129">
        <v>21.7</v>
      </c>
      <c r="CY222" s="129">
        <v>14.300000000000002</v>
      </c>
      <c r="CZ222" s="129">
        <v>14.300000000000002</v>
      </c>
      <c r="DA222" s="129">
        <v>14.300000000000002</v>
      </c>
      <c r="DB222" s="129">
        <v>14.300000000000002</v>
      </c>
      <c r="DC222" s="129">
        <v>14.300000000000002</v>
      </c>
      <c r="DD222" s="129">
        <v>14.300000000000002</v>
      </c>
      <c r="DE222" s="129">
        <v>14.300000000000002</v>
      </c>
      <c r="DF222" s="129">
        <v>14.300000000000002</v>
      </c>
      <c r="DG222" s="129">
        <v>14.300000000000002</v>
      </c>
      <c r="DH222" s="129">
        <v>21.7</v>
      </c>
      <c r="DJ222" s="129">
        <v>14.300000000000002</v>
      </c>
      <c r="DK222" s="129">
        <v>14.300000000000002</v>
      </c>
      <c r="DL222" s="129">
        <v>14.300000000000002</v>
      </c>
      <c r="DM222" s="129">
        <v>14.300000000000002</v>
      </c>
      <c r="DN222" s="129">
        <v>14.300000000000002</v>
      </c>
      <c r="DO222" s="129">
        <v>14.300000000000002</v>
      </c>
      <c r="DP222" s="129">
        <v>14.300000000000002</v>
      </c>
      <c r="DQ222" s="129">
        <v>14.300000000000002</v>
      </c>
      <c r="DR222" s="129">
        <v>14.300000000000002</v>
      </c>
      <c r="DS222" s="129">
        <v>21.7</v>
      </c>
      <c r="EH222" s="27">
        <v>6.3000000000000025</v>
      </c>
      <c r="EI222" s="27">
        <v>6.3000000000000025</v>
      </c>
      <c r="EJ222" s="27">
        <v>6.3000000000000025</v>
      </c>
      <c r="EK222" s="27">
        <v>6.3000000000000025</v>
      </c>
      <c r="EL222" s="27">
        <v>6.3000000000000025</v>
      </c>
      <c r="EM222" s="27">
        <v>6.3000000000000025</v>
      </c>
      <c r="EN222" s="27">
        <v>6.3000000000000025</v>
      </c>
      <c r="EO222" s="27">
        <v>6.3000000000000025</v>
      </c>
      <c r="EP222" s="27">
        <v>6.3000000000000025</v>
      </c>
      <c r="EQ222" s="129">
        <v>23.7</v>
      </c>
      <c r="ES222" s="27">
        <v>16.600000000000005</v>
      </c>
      <c r="ET222" s="27">
        <v>16.600000000000005</v>
      </c>
      <c r="EU222" s="27">
        <v>16.600000000000005</v>
      </c>
      <c r="EV222" s="27">
        <v>16.600000000000005</v>
      </c>
      <c r="EW222" s="27">
        <v>16.600000000000005</v>
      </c>
      <c r="EX222" s="27">
        <v>16.600000000000005</v>
      </c>
      <c r="EY222" s="27">
        <v>16.600000000000005</v>
      </c>
      <c r="EZ222" s="27">
        <v>16.600000000000005</v>
      </c>
      <c r="FA222" s="27">
        <v>16.600000000000005</v>
      </c>
      <c r="FB222" s="129">
        <v>23.7</v>
      </c>
      <c r="FD222" s="27">
        <v>21.29999999999999</v>
      </c>
      <c r="FE222" s="27">
        <v>21.29999999999999</v>
      </c>
      <c r="FF222" s="27">
        <v>21.29999999999999</v>
      </c>
      <c r="FG222" s="27">
        <v>21.29999999999999</v>
      </c>
      <c r="FH222" s="27">
        <v>21.29999999999999</v>
      </c>
      <c r="FI222" s="27">
        <v>21.29999999999999</v>
      </c>
      <c r="FJ222" s="27">
        <v>21.29999999999999</v>
      </c>
      <c r="FK222" s="27">
        <v>21.29999999999999</v>
      </c>
      <c r="FL222" s="27">
        <v>21.29999999999999</v>
      </c>
      <c r="FM222" s="129">
        <v>23.7</v>
      </c>
      <c r="FO222" s="27">
        <v>30.20000000000001</v>
      </c>
      <c r="FP222" s="27">
        <v>30.20000000000001</v>
      </c>
      <c r="FQ222" s="27">
        <v>30.20000000000001</v>
      </c>
      <c r="FR222" s="27">
        <v>30.20000000000001</v>
      </c>
      <c r="FS222" s="27">
        <v>30.20000000000001</v>
      </c>
      <c r="FT222" s="27">
        <v>30.20000000000001</v>
      </c>
      <c r="FU222" s="27">
        <v>30.20000000000001</v>
      </c>
      <c r="FV222" s="27">
        <v>30.20000000000001</v>
      </c>
      <c r="FW222" s="27">
        <v>30.20000000000001</v>
      </c>
      <c r="FX222" s="129">
        <v>23.7</v>
      </c>
      <c r="FZ222" s="27">
        <v>30.20000000000001</v>
      </c>
      <c r="GA222" s="27">
        <v>30.20000000000001</v>
      </c>
      <c r="GB222" s="27">
        <v>30.20000000000001</v>
      </c>
      <c r="GC222" s="27">
        <v>30.20000000000001</v>
      </c>
      <c r="GD222" s="27">
        <v>30.20000000000001</v>
      </c>
      <c r="GE222" s="27">
        <v>30.20000000000001</v>
      </c>
      <c r="GF222" s="27">
        <v>30.20000000000001</v>
      </c>
      <c r="GG222" s="27">
        <v>30.20000000000001</v>
      </c>
      <c r="GH222" s="27">
        <v>30.20000000000001</v>
      </c>
      <c r="GI222" s="129">
        <v>23.7</v>
      </c>
      <c r="GJ222" s="27"/>
      <c r="GK222" s="27">
        <v>8</v>
      </c>
      <c r="GL222" s="27">
        <v>8</v>
      </c>
      <c r="GM222" s="27">
        <v>8</v>
      </c>
      <c r="GN222" s="27">
        <v>8</v>
      </c>
      <c r="GO222" s="27">
        <v>8</v>
      </c>
      <c r="GP222" s="27">
        <v>8</v>
      </c>
      <c r="GQ222" s="27">
        <v>8</v>
      </c>
      <c r="GR222" s="27">
        <v>8</v>
      </c>
      <c r="GS222" s="27">
        <v>8</v>
      </c>
      <c r="GT222" s="129">
        <v>23.7</v>
      </c>
      <c r="GV222" s="27">
        <v>9.3000000000000025</v>
      </c>
      <c r="GW222" s="27">
        <v>9.3000000000000025</v>
      </c>
      <c r="GX222" s="27">
        <v>9.3000000000000025</v>
      </c>
      <c r="GY222" s="27">
        <v>9.3000000000000025</v>
      </c>
      <c r="GZ222" s="27">
        <v>9.3000000000000025</v>
      </c>
      <c r="HA222" s="27">
        <v>9.3000000000000025</v>
      </c>
      <c r="HB222" s="27">
        <v>9.3000000000000025</v>
      </c>
      <c r="HC222" s="27">
        <v>9.3000000000000025</v>
      </c>
      <c r="HD222" s="27">
        <v>9.3000000000000025</v>
      </c>
      <c r="HE222" s="129">
        <v>23.7</v>
      </c>
      <c r="HG222" s="27">
        <v>13.300000000000002</v>
      </c>
      <c r="HH222" s="27">
        <v>13.300000000000002</v>
      </c>
      <c r="HI222" s="27">
        <v>13.300000000000002</v>
      </c>
      <c r="HJ222" s="27">
        <v>13.300000000000002</v>
      </c>
      <c r="HK222" s="27">
        <v>13.300000000000002</v>
      </c>
      <c r="HL222" s="27">
        <v>13.300000000000002</v>
      </c>
      <c r="HM222" s="27">
        <v>13.300000000000002</v>
      </c>
      <c r="HN222" s="27">
        <v>13.300000000000002</v>
      </c>
      <c r="HO222" s="27">
        <v>13.300000000000002</v>
      </c>
      <c r="HP222" s="129">
        <v>23.7</v>
      </c>
      <c r="HR222" s="27">
        <v>13.300000000000002</v>
      </c>
      <c r="HS222" s="27">
        <v>13.300000000000002</v>
      </c>
      <c r="HT222" s="27">
        <v>13.300000000000002</v>
      </c>
      <c r="HU222" s="27">
        <v>13.300000000000002</v>
      </c>
      <c r="HV222" s="27">
        <v>13.300000000000002</v>
      </c>
      <c r="HW222" s="27">
        <v>13.300000000000002</v>
      </c>
      <c r="HX222" s="27">
        <v>13.300000000000002</v>
      </c>
      <c r="HY222" s="27">
        <v>13.300000000000002</v>
      </c>
      <c r="HZ222" s="27">
        <v>13.300000000000002</v>
      </c>
      <c r="IA222" s="129">
        <v>23.7</v>
      </c>
    </row>
    <row r="223" spans="15:235" ht="17.45" customHeight="1">
      <c r="O223" s="17"/>
      <c r="P223" s="17"/>
      <c r="Q223" s="17"/>
      <c r="R223" s="17"/>
      <c r="S223" s="17"/>
      <c r="T223" s="17"/>
      <c r="U223" s="17"/>
      <c r="V223" s="17"/>
      <c r="W223" s="17"/>
      <c r="X223" s="129">
        <v>21.8</v>
      </c>
      <c r="Y223" s="27"/>
      <c r="AI223" s="129">
        <v>21.8</v>
      </c>
      <c r="AK223" s="129">
        <v>9.2000000000000028</v>
      </c>
      <c r="AL223" s="129">
        <v>9.2000000000000028</v>
      </c>
      <c r="AM223" s="129">
        <v>9.2000000000000028</v>
      </c>
      <c r="AN223" s="129">
        <v>9.2000000000000028</v>
      </c>
      <c r="AO223" s="129">
        <v>9.2000000000000028</v>
      </c>
      <c r="AP223" s="129">
        <v>9.2000000000000028</v>
      </c>
      <c r="AQ223" s="129">
        <v>9.2000000000000028</v>
      </c>
      <c r="AR223" s="129">
        <v>9.2000000000000028</v>
      </c>
      <c r="AS223" s="129">
        <v>9.2000000000000028</v>
      </c>
      <c r="AT223" s="129">
        <v>21.8</v>
      </c>
      <c r="AV223" s="129">
        <v>12.200000000000003</v>
      </c>
      <c r="AW223" s="129">
        <v>12.200000000000003</v>
      </c>
      <c r="AX223" s="129">
        <v>12.200000000000003</v>
      </c>
      <c r="AY223" s="129">
        <v>12.200000000000003</v>
      </c>
      <c r="AZ223" s="129">
        <v>12.200000000000003</v>
      </c>
      <c r="BA223" s="129">
        <v>12.200000000000003</v>
      </c>
      <c r="BB223" s="129">
        <v>12.200000000000003</v>
      </c>
      <c r="BC223" s="129">
        <v>12.200000000000003</v>
      </c>
      <c r="BD223" s="129">
        <v>12.200000000000003</v>
      </c>
      <c r="BE223" s="129">
        <v>21.8</v>
      </c>
      <c r="BG223" s="129">
        <v>15.599999999999994</v>
      </c>
      <c r="BH223" s="129">
        <v>15.599999999999994</v>
      </c>
      <c r="BI223" s="129">
        <v>15.599999999999994</v>
      </c>
      <c r="BJ223" s="129">
        <v>15.599999999999994</v>
      </c>
      <c r="BK223" s="129">
        <v>15.599999999999994</v>
      </c>
      <c r="BL223" s="129">
        <v>15.599999999999994</v>
      </c>
      <c r="BM223" s="129">
        <v>15.599999999999994</v>
      </c>
      <c r="BN223" s="129">
        <v>15.599999999999994</v>
      </c>
      <c r="BO223" s="129">
        <v>15.599999999999994</v>
      </c>
      <c r="BP223" s="129">
        <v>21.8</v>
      </c>
      <c r="BR223" s="129">
        <v>15.599999999999994</v>
      </c>
      <c r="BS223" s="129">
        <v>15.599999999999994</v>
      </c>
      <c r="BT223" s="129">
        <v>15.599999999999994</v>
      </c>
      <c r="BU223" s="129">
        <v>15.599999999999994</v>
      </c>
      <c r="BV223" s="129">
        <v>15.599999999999994</v>
      </c>
      <c r="BW223" s="129">
        <v>15.599999999999994</v>
      </c>
      <c r="BX223" s="129">
        <v>15.599999999999994</v>
      </c>
      <c r="BY223" s="129">
        <v>15.599999999999994</v>
      </c>
      <c r="BZ223" s="129">
        <v>15.599999999999994</v>
      </c>
      <c r="CA223" s="129">
        <v>21.8</v>
      </c>
      <c r="CC223" s="129">
        <v>9</v>
      </c>
      <c r="CD223" s="129">
        <v>9</v>
      </c>
      <c r="CE223" s="129">
        <v>9</v>
      </c>
      <c r="CF223" s="129">
        <v>9</v>
      </c>
      <c r="CG223" s="129">
        <v>9</v>
      </c>
      <c r="CH223" s="129">
        <v>9</v>
      </c>
      <c r="CI223" s="129">
        <v>9</v>
      </c>
      <c r="CJ223" s="129">
        <v>9</v>
      </c>
      <c r="CK223" s="129">
        <v>9</v>
      </c>
      <c r="CL223" s="129">
        <v>21.8</v>
      </c>
      <c r="CN223" s="129">
        <v>10.200000000000003</v>
      </c>
      <c r="CO223" s="129">
        <v>10.200000000000003</v>
      </c>
      <c r="CP223" s="129">
        <v>10.200000000000003</v>
      </c>
      <c r="CQ223" s="129">
        <v>10.200000000000003</v>
      </c>
      <c r="CR223" s="129">
        <v>10.200000000000003</v>
      </c>
      <c r="CS223" s="129">
        <v>10.200000000000003</v>
      </c>
      <c r="CT223" s="129">
        <v>10.200000000000003</v>
      </c>
      <c r="CU223" s="129">
        <v>10.200000000000003</v>
      </c>
      <c r="CV223" s="129">
        <v>10.200000000000003</v>
      </c>
      <c r="CW223" s="129">
        <v>21.8</v>
      </c>
      <c r="CY223" s="129">
        <v>14.200000000000003</v>
      </c>
      <c r="CZ223" s="129">
        <v>14.200000000000003</v>
      </c>
      <c r="DA223" s="129">
        <v>14.200000000000003</v>
      </c>
      <c r="DB223" s="129">
        <v>14.200000000000003</v>
      </c>
      <c r="DC223" s="129">
        <v>14.200000000000003</v>
      </c>
      <c r="DD223" s="129">
        <v>14.200000000000003</v>
      </c>
      <c r="DE223" s="129">
        <v>14.200000000000003</v>
      </c>
      <c r="DF223" s="129">
        <v>14.200000000000003</v>
      </c>
      <c r="DG223" s="129">
        <v>14.200000000000003</v>
      </c>
      <c r="DH223" s="129">
        <v>21.8</v>
      </c>
      <c r="DJ223" s="129">
        <v>14.200000000000003</v>
      </c>
      <c r="DK223" s="129">
        <v>14.200000000000003</v>
      </c>
      <c r="DL223" s="129">
        <v>14.200000000000003</v>
      </c>
      <c r="DM223" s="129">
        <v>14.200000000000003</v>
      </c>
      <c r="DN223" s="129">
        <v>14.200000000000003</v>
      </c>
      <c r="DO223" s="129">
        <v>14.200000000000003</v>
      </c>
      <c r="DP223" s="129">
        <v>14.200000000000003</v>
      </c>
      <c r="DQ223" s="129">
        <v>14.200000000000003</v>
      </c>
      <c r="DR223" s="129">
        <v>14.200000000000003</v>
      </c>
      <c r="DS223" s="129">
        <v>21.8</v>
      </c>
      <c r="EH223" s="27">
        <v>6.2000000000000028</v>
      </c>
      <c r="EI223" s="27">
        <v>6.2000000000000028</v>
      </c>
      <c r="EJ223" s="27">
        <v>6.2000000000000028</v>
      </c>
      <c r="EK223" s="27">
        <v>6.2000000000000028</v>
      </c>
      <c r="EL223" s="27">
        <v>6.2000000000000028</v>
      </c>
      <c r="EM223" s="27">
        <v>6.2000000000000028</v>
      </c>
      <c r="EN223" s="27">
        <v>6.2000000000000028</v>
      </c>
      <c r="EO223" s="27">
        <v>6.2000000000000028</v>
      </c>
      <c r="EP223" s="27">
        <v>6.2000000000000028</v>
      </c>
      <c r="EQ223" s="129">
        <v>23.8</v>
      </c>
      <c r="ES223" s="27">
        <v>16.400000000000006</v>
      </c>
      <c r="ET223" s="27">
        <v>16.400000000000006</v>
      </c>
      <c r="EU223" s="27">
        <v>16.400000000000006</v>
      </c>
      <c r="EV223" s="27">
        <v>16.400000000000006</v>
      </c>
      <c r="EW223" s="27">
        <v>16.400000000000006</v>
      </c>
      <c r="EX223" s="27">
        <v>16.400000000000006</v>
      </c>
      <c r="EY223" s="27">
        <v>16.400000000000006</v>
      </c>
      <c r="EZ223" s="27">
        <v>16.400000000000006</v>
      </c>
      <c r="FA223" s="27">
        <v>16.400000000000006</v>
      </c>
      <c r="FB223" s="129">
        <v>23.8</v>
      </c>
      <c r="FD223" s="27">
        <v>21.199999999999989</v>
      </c>
      <c r="FE223" s="27">
        <v>21.199999999999989</v>
      </c>
      <c r="FF223" s="27">
        <v>21.199999999999989</v>
      </c>
      <c r="FG223" s="27">
        <v>21.199999999999989</v>
      </c>
      <c r="FH223" s="27">
        <v>21.199999999999989</v>
      </c>
      <c r="FI223" s="27">
        <v>21.199999999999989</v>
      </c>
      <c r="FJ223" s="27">
        <v>21.199999999999989</v>
      </c>
      <c r="FK223" s="27">
        <v>21.199999999999989</v>
      </c>
      <c r="FL223" s="27">
        <v>21.199999999999989</v>
      </c>
      <c r="FM223" s="129">
        <v>23.8</v>
      </c>
      <c r="FO223" s="27">
        <v>29.800000000000011</v>
      </c>
      <c r="FP223" s="27">
        <v>29.800000000000011</v>
      </c>
      <c r="FQ223" s="27">
        <v>29.800000000000011</v>
      </c>
      <c r="FR223" s="27">
        <v>29.800000000000011</v>
      </c>
      <c r="FS223" s="27">
        <v>29.800000000000011</v>
      </c>
      <c r="FT223" s="27">
        <v>29.800000000000011</v>
      </c>
      <c r="FU223" s="27">
        <v>29.800000000000011</v>
      </c>
      <c r="FV223" s="27">
        <v>29.800000000000011</v>
      </c>
      <c r="FW223" s="27">
        <v>29.800000000000011</v>
      </c>
      <c r="FX223" s="129">
        <v>23.8</v>
      </c>
      <c r="FZ223" s="27">
        <v>29.800000000000011</v>
      </c>
      <c r="GA223" s="27">
        <v>29.800000000000011</v>
      </c>
      <c r="GB223" s="27">
        <v>29.800000000000011</v>
      </c>
      <c r="GC223" s="27">
        <v>29.800000000000011</v>
      </c>
      <c r="GD223" s="27">
        <v>29.800000000000011</v>
      </c>
      <c r="GE223" s="27">
        <v>29.800000000000011</v>
      </c>
      <c r="GF223" s="27">
        <v>29.800000000000011</v>
      </c>
      <c r="GG223" s="27">
        <v>29.800000000000011</v>
      </c>
      <c r="GH223" s="27">
        <v>29.800000000000011</v>
      </c>
      <c r="GI223" s="129">
        <v>23.8</v>
      </c>
      <c r="GJ223" s="27"/>
      <c r="GK223" s="27">
        <v>8</v>
      </c>
      <c r="GL223" s="27">
        <v>8</v>
      </c>
      <c r="GM223" s="27">
        <v>8</v>
      </c>
      <c r="GN223" s="27">
        <v>8</v>
      </c>
      <c r="GO223" s="27">
        <v>8</v>
      </c>
      <c r="GP223" s="27">
        <v>8</v>
      </c>
      <c r="GQ223" s="27">
        <v>8</v>
      </c>
      <c r="GR223" s="27">
        <v>8</v>
      </c>
      <c r="GS223" s="27">
        <v>8</v>
      </c>
      <c r="GT223" s="129">
        <v>23.8</v>
      </c>
      <c r="GV223" s="27">
        <v>9.2000000000000028</v>
      </c>
      <c r="GW223" s="27">
        <v>9.2000000000000028</v>
      </c>
      <c r="GX223" s="27">
        <v>9.2000000000000028</v>
      </c>
      <c r="GY223" s="27">
        <v>9.2000000000000028</v>
      </c>
      <c r="GZ223" s="27">
        <v>9.2000000000000028</v>
      </c>
      <c r="HA223" s="27">
        <v>9.2000000000000028</v>
      </c>
      <c r="HB223" s="27">
        <v>9.2000000000000028</v>
      </c>
      <c r="HC223" s="27">
        <v>9.2000000000000028</v>
      </c>
      <c r="HD223" s="27">
        <v>9.2000000000000028</v>
      </c>
      <c r="HE223" s="129">
        <v>23.8</v>
      </c>
      <c r="HG223" s="27">
        <v>13.200000000000003</v>
      </c>
      <c r="HH223" s="27">
        <v>13.200000000000003</v>
      </c>
      <c r="HI223" s="27">
        <v>13.200000000000003</v>
      </c>
      <c r="HJ223" s="27">
        <v>13.200000000000003</v>
      </c>
      <c r="HK223" s="27">
        <v>13.200000000000003</v>
      </c>
      <c r="HL223" s="27">
        <v>13.200000000000003</v>
      </c>
      <c r="HM223" s="27">
        <v>13.200000000000003</v>
      </c>
      <c r="HN223" s="27">
        <v>13.200000000000003</v>
      </c>
      <c r="HO223" s="27">
        <v>13.200000000000003</v>
      </c>
      <c r="HP223" s="129">
        <v>23.8</v>
      </c>
      <c r="HR223" s="27">
        <v>13.200000000000003</v>
      </c>
      <c r="HS223" s="27">
        <v>13.200000000000003</v>
      </c>
      <c r="HT223" s="27">
        <v>13.200000000000003</v>
      </c>
      <c r="HU223" s="27">
        <v>13.200000000000003</v>
      </c>
      <c r="HV223" s="27">
        <v>13.200000000000003</v>
      </c>
      <c r="HW223" s="27">
        <v>13.200000000000003</v>
      </c>
      <c r="HX223" s="27">
        <v>13.200000000000003</v>
      </c>
      <c r="HY223" s="27">
        <v>13.200000000000003</v>
      </c>
      <c r="HZ223" s="27">
        <v>13.200000000000003</v>
      </c>
      <c r="IA223" s="129">
        <v>23.8</v>
      </c>
    </row>
    <row r="224" spans="15:235" ht="17.45" customHeight="1">
      <c r="O224" s="17"/>
      <c r="P224" s="17"/>
      <c r="Q224" s="17"/>
      <c r="R224" s="17"/>
      <c r="S224" s="17"/>
      <c r="T224" s="17"/>
      <c r="U224" s="17"/>
      <c r="V224" s="17"/>
      <c r="W224" s="17"/>
      <c r="X224" s="129">
        <v>21.9</v>
      </c>
      <c r="Y224" s="27"/>
      <c r="AI224" s="129">
        <v>21.9</v>
      </c>
      <c r="AK224" s="129">
        <v>9.1000000000000032</v>
      </c>
      <c r="AL224" s="129">
        <v>9.1000000000000032</v>
      </c>
      <c r="AM224" s="129">
        <v>9.1000000000000032</v>
      </c>
      <c r="AN224" s="129">
        <v>9.1000000000000032</v>
      </c>
      <c r="AO224" s="129">
        <v>9.1000000000000032</v>
      </c>
      <c r="AP224" s="129">
        <v>9.1000000000000032</v>
      </c>
      <c r="AQ224" s="129">
        <v>9.1000000000000032</v>
      </c>
      <c r="AR224" s="129">
        <v>9.1000000000000032</v>
      </c>
      <c r="AS224" s="129">
        <v>9.1000000000000032</v>
      </c>
      <c r="AT224" s="129">
        <v>21.9</v>
      </c>
      <c r="AV224" s="129">
        <v>12.100000000000003</v>
      </c>
      <c r="AW224" s="129">
        <v>12.100000000000003</v>
      </c>
      <c r="AX224" s="129">
        <v>12.100000000000003</v>
      </c>
      <c r="AY224" s="129">
        <v>12.100000000000003</v>
      </c>
      <c r="AZ224" s="129">
        <v>12.100000000000003</v>
      </c>
      <c r="BA224" s="129">
        <v>12.100000000000003</v>
      </c>
      <c r="BB224" s="129">
        <v>12.100000000000003</v>
      </c>
      <c r="BC224" s="129">
        <v>12.100000000000003</v>
      </c>
      <c r="BD224" s="129">
        <v>12.100000000000003</v>
      </c>
      <c r="BE224" s="129">
        <v>21.9</v>
      </c>
      <c r="BG224" s="129">
        <v>15.299999999999994</v>
      </c>
      <c r="BH224" s="129">
        <v>15.299999999999994</v>
      </c>
      <c r="BI224" s="129">
        <v>15.299999999999994</v>
      </c>
      <c r="BJ224" s="129">
        <v>15.299999999999994</v>
      </c>
      <c r="BK224" s="129">
        <v>15.299999999999994</v>
      </c>
      <c r="BL224" s="129">
        <v>15.299999999999994</v>
      </c>
      <c r="BM224" s="129">
        <v>15.299999999999994</v>
      </c>
      <c r="BN224" s="129">
        <v>15.299999999999994</v>
      </c>
      <c r="BO224" s="129">
        <v>15.299999999999994</v>
      </c>
      <c r="BP224" s="129">
        <v>21.9</v>
      </c>
      <c r="BR224" s="129">
        <v>15.299999999999994</v>
      </c>
      <c r="BS224" s="129">
        <v>15.299999999999994</v>
      </c>
      <c r="BT224" s="129">
        <v>15.299999999999994</v>
      </c>
      <c r="BU224" s="129">
        <v>15.299999999999994</v>
      </c>
      <c r="BV224" s="129">
        <v>15.299999999999994</v>
      </c>
      <c r="BW224" s="129">
        <v>15.299999999999994</v>
      </c>
      <c r="BX224" s="129">
        <v>15.299999999999994</v>
      </c>
      <c r="BY224" s="129">
        <v>15.299999999999994</v>
      </c>
      <c r="BZ224" s="129">
        <v>15.299999999999994</v>
      </c>
      <c r="CA224" s="129">
        <v>21.9</v>
      </c>
      <c r="CC224" s="129">
        <v>9</v>
      </c>
      <c r="CD224" s="129">
        <v>9</v>
      </c>
      <c r="CE224" s="129">
        <v>9</v>
      </c>
      <c r="CF224" s="129">
        <v>9</v>
      </c>
      <c r="CG224" s="129">
        <v>9</v>
      </c>
      <c r="CH224" s="129">
        <v>9</v>
      </c>
      <c r="CI224" s="129">
        <v>9</v>
      </c>
      <c r="CJ224" s="129">
        <v>9</v>
      </c>
      <c r="CK224" s="129">
        <v>9</v>
      </c>
      <c r="CL224" s="129">
        <v>21.9</v>
      </c>
      <c r="CN224" s="129">
        <v>10.100000000000003</v>
      </c>
      <c r="CO224" s="129">
        <v>10.100000000000003</v>
      </c>
      <c r="CP224" s="129">
        <v>10.100000000000003</v>
      </c>
      <c r="CQ224" s="129">
        <v>10.100000000000003</v>
      </c>
      <c r="CR224" s="129">
        <v>10.100000000000003</v>
      </c>
      <c r="CS224" s="129">
        <v>10.100000000000003</v>
      </c>
      <c r="CT224" s="129">
        <v>10.100000000000003</v>
      </c>
      <c r="CU224" s="129">
        <v>10.100000000000003</v>
      </c>
      <c r="CV224" s="129">
        <v>10.100000000000003</v>
      </c>
      <c r="CW224" s="129">
        <v>21.9</v>
      </c>
      <c r="CY224" s="129">
        <v>14.100000000000003</v>
      </c>
      <c r="CZ224" s="129">
        <v>14.100000000000003</v>
      </c>
      <c r="DA224" s="129">
        <v>14.100000000000003</v>
      </c>
      <c r="DB224" s="129">
        <v>14.100000000000003</v>
      </c>
      <c r="DC224" s="129">
        <v>14.100000000000003</v>
      </c>
      <c r="DD224" s="129">
        <v>14.100000000000003</v>
      </c>
      <c r="DE224" s="129">
        <v>14.100000000000003</v>
      </c>
      <c r="DF224" s="129">
        <v>14.100000000000003</v>
      </c>
      <c r="DG224" s="129">
        <v>14.100000000000003</v>
      </c>
      <c r="DH224" s="129">
        <v>21.9</v>
      </c>
      <c r="DJ224" s="129">
        <v>14.100000000000003</v>
      </c>
      <c r="DK224" s="129">
        <v>14.100000000000003</v>
      </c>
      <c r="DL224" s="129">
        <v>14.100000000000003</v>
      </c>
      <c r="DM224" s="129">
        <v>14.100000000000003</v>
      </c>
      <c r="DN224" s="129">
        <v>14.100000000000003</v>
      </c>
      <c r="DO224" s="129">
        <v>14.100000000000003</v>
      </c>
      <c r="DP224" s="129">
        <v>14.100000000000003</v>
      </c>
      <c r="DQ224" s="129">
        <v>14.100000000000003</v>
      </c>
      <c r="DR224" s="129">
        <v>14.100000000000003</v>
      </c>
      <c r="DS224" s="129">
        <v>21.9</v>
      </c>
      <c r="EH224" s="27">
        <v>6.1000000000000032</v>
      </c>
      <c r="EI224" s="27">
        <v>6.1000000000000032</v>
      </c>
      <c r="EJ224" s="27">
        <v>6.1000000000000032</v>
      </c>
      <c r="EK224" s="27">
        <v>6.1000000000000032</v>
      </c>
      <c r="EL224" s="27">
        <v>6.1000000000000032</v>
      </c>
      <c r="EM224" s="27">
        <v>6.1000000000000032</v>
      </c>
      <c r="EN224" s="27">
        <v>6.1000000000000032</v>
      </c>
      <c r="EO224" s="27">
        <v>6.1000000000000032</v>
      </c>
      <c r="EP224" s="27">
        <v>6.1000000000000032</v>
      </c>
      <c r="EQ224" s="129">
        <v>23.9</v>
      </c>
      <c r="ES224" s="27">
        <v>16.200000000000006</v>
      </c>
      <c r="ET224" s="27">
        <v>16.200000000000006</v>
      </c>
      <c r="EU224" s="27">
        <v>16.200000000000006</v>
      </c>
      <c r="EV224" s="27">
        <v>16.200000000000006</v>
      </c>
      <c r="EW224" s="27">
        <v>16.200000000000006</v>
      </c>
      <c r="EX224" s="27">
        <v>16.200000000000006</v>
      </c>
      <c r="EY224" s="27">
        <v>16.200000000000006</v>
      </c>
      <c r="EZ224" s="27">
        <v>16.200000000000006</v>
      </c>
      <c r="FA224" s="27">
        <v>16.200000000000006</v>
      </c>
      <c r="FB224" s="129">
        <v>23.9</v>
      </c>
      <c r="FD224" s="27">
        <v>21.099999999999987</v>
      </c>
      <c r="FE224" s="27">
        <v>21.099999999999987</v>
      </c>
      <c r="FF224" s="27">
        <v>21.099999999999987</v>
      </c>
      <c r="FG224" s="27">
        <v>21.099999999999987</v>
      </c>
      <c r="FH224" s="27">
        <v>21.099999999999987</v>
      </c>
      <c r="FI224" s="27">
        <v>21.099999999999987</v>
      </c>
      <c r="FJ224" s="27">
        <v>21.099999999999987</v>
      </c>
      <c r="FK224" s="27">
        <v>21.099999999999987</v>
      </c>
      <c r="FL224" s="27">
        <v>21.099999999999987</v>
      </c>
      <c r="FM224" s="129">
        <v>23.9</v>
      </c>
      <c r="FO224" s="27">
        <v>29.400000000000013</v>
      </c>
      <c r="FP224" s="27">
        <v>29.400000000000013</v>
      </c>
      <c r="FQ224" s="27">
        <v>29.400000000000013</v>
      </c>
      <c r="FR224" s="27">
        <v>29.400000000000013</v>
      </c>
      <c r="FS224" s="27">
        <v>29.400000000000013</v>
      </c>
      <c r="FT224" s="27">
        <v>29.400000000000013</v>
      </c>
      <c r="FU224" s="27">
        <v>29.400000000000013</v>
      </c>
      <c r="FV224" s="27">
        <v>29.400000000000013</v>
      </c>
      <c r="FW224" s="27">
        <v>29.400000000000013</v>
      </c>
      <c r="FX224" s="129">
        <v>23.9</v>
      </c>
      <c r="FZ224" s="27">
        <v>29.400000000000013</v>
      </c>
      <c r="GA224" s="27">
        <v>29.400000000000013</v>
      </c>
      <c r="GB224" s="27">
        <v>29.400000000000013</v>
      </c>
      <c r="GC224" s="27">
        <v>29.400000000000013</v>
      </c>
      <c r="GD224" s="27">
        <v>29.400000000000013</v>
      </c>
      <c r="GE224" s="27">
        <v>29.400000000000013</v>
      </c>
      <c r="GF224" s="27">
        <v>29.400000000000013</v>
      </c>
      <c r="GG224" s="27">
        <v>29.400000000000013</v>
      </c>
      <c r="GH224" s="27">
        <v>29.400000000000013</v>
      </c>
      <c r="GI224" s="129">
        <v>23.9</v>
      </c>
      <c r="GJ224" s="27"/>
      <c r="GK224" s="27">
        <v>8</v>
      </c>
      <c r="GL224" s="27">
        <v>8</v>
      </c>
      <c r="GM224" s="27">
        <v>8</v>
      </c>
      <c r="GN224" s="27">
        <v>8</v>
      </c>
      <c r="GO224" s="27">
        <v>8</v>
      </c>
      <c r="GP224" s="27">
        <v>8</v>
      </c>
      <c r="GQ224" s="27">
        <v>8</v>
      </c>
      <c r="GR224" s="27">
        <v>8</v>
      </c>
      <c r="GS224" s="27">
        <v>8</v>
      </c>
      <c r="GT224" s="129">
        <v>23.9</v>
      </c>
      <c r="GV224" s="27">
        <v>9.1000000000000032</v>
      </c>
      <c r="GW224" s="27">
        <v>9.1000000000000032</v>
      </c>
      <c r="GX224" s="27">
        <v>9.1000000000000032</v>
      </c>
      <c r="GY224" s="27">
        <v>9.1000000000000032</v>
      </c>
      <c r="GZ224" s="27">
        <v>9.1000000000000032</v>
      </c>
      <c r="HA224" s="27">
        <v>9.1000000000000032</v>
      </c>
      <c r="HB224" s="27">
        <v>9.1000000000000032</v>
      </c>
      <c r="HC224" s="27">
        <v>9.1000000000000032</v>
      </c>
      <c r="HD224" s="27">
        <v>9.1000000000000032</v>
      </c>
      <c r="HE224" s="129">
        <v>23.9</v>
      </c>
      <c r="HG224" s="27">
        <v>13.100000000000003</v>
      </c>
      <c r="HH224" s="27">
        <v>13.100000000000003</v>
      </c>
      <c r="HI224" s="27">
        <v>13.100000000000003</v>
      </c>
      <c r="HJ224" s="27">
        <v>13.100000000000003</v>
      </c>
      <c r="HK224" s="27">
        <v>13.100000000000003</v>
      </c>
      <c r="HL224" s="27">
        <v>13.100000000000003</v>
      </c>
      <c r="HM224" s="27">
        <v>13.100000000000003</v>
      </c>
      <c r="HN224" s="27">
        <v>13.100000000000003</v>
      </c>
      <c r="HO224" s="27">
        <v>13.100000000000003</v>
      </c>
      <c r="HP224" s="129">
        <v>23.9</v>
      </c>
      <c r="HR224" s="27">
        <v>13.100000000000003</v>
      </c>
      <c r="HS224" s="27">
        <v>13.100000000000003</v>
      </c>
      <c r="HT224" s="27">
        <v>13.100000000000003</v>
      </c>
      <c r="HU224" s="27">
        <v>13.100000000000003</v>
      </c>
      <c r="HV224" s="27">
        <v>13.100000000000003</v>
      </c>
      <c r="HW224" s="27">
        <v>13.100000000000003</v>
      </c>
      <c r="HX224" s="27">
        <v>13.100000000000003</v>
      </c>
      <c r="HY224" s="27">
        <v>13.100000000000003</v>
      </c>
      <c r="HZ224" s="27">
        <v>13.100000000000003</v>
      </c>
      <c r="IA224" s="129">
        <v>23.9</v>
      </c>
    </row>
    <row r="225" spans="15:235" ht="17.45" customHeight="1">
      <c r="O225" s="17"/>
      <c r="P225" s="17"/>
      <c r="Q225" s="17"/>
      <c r="R225" s="17"/>
      <c r="S225" s="17"/>
      <c r="T225" s="17"/>
      <c r="U225" s="17"/>
      <c r="V225" s="17"/>
      <c r="W225" s="17"/>
      <c r="X225" s="129">
        <v>22</v>
      </c>
      <c r="Y225" s="27"/>
      <c r="AI225" s="129">
        <v>22</v>
      </c>
      <c r="AK225" s="129">
        <v>9</v>
      </c>
      <c r="AL225" s="129">
        <v>9</v>
      </c>
      <c r="AM225" s="129">
        <v>9</v>
      </c>
      <c r="AN225" s="129">
        <v>9</v>
      </c>
      <c r="AO225" s="129">
        <v>9</v>
      </c>
      <c r="AP225" s="129">
        <v>9</v>
      </c>
      <c r="AQ225" s="129">
        <v>9</v>
      </c>
      <c r="AR225" s="129">
        <v>9</v>
      </c>
      <c r="AS225" s="129">
        <v>9</v>
      </c>
      <c r="AT225" s="129">
        <v>22</v>
      </c>
      <c r="AV225" s="129">
        <v>12</v>
      </c>
      <c r="AW225" s="129">
        <v>12</v>
      </c>
      <c r="AX225" s="129">
        <v>12</v>
      </c>
      <c r="AY225" s="129">
        <v>12</v>
      </c>
      <c r="AZ225" s="129">
        <v>12</v>
      </c>
      <c r="BA225" s="129">
        <v>12</v>
      </c>
      <c r="BB225" s="129">
        <v>12</v>
      </c>
      <c r="BC225" s="129">
        <v>12</v>
      </c>
      <c r="BD225" s="129">
        <v>12</v>
      </c>
      <c r="BE225" s="129">
        <v>22</v>
      </c>
      <c r="BG225" s="129">
        <v>15</v>
      </c>
      <c r="BH225" s="129">
        <v>15</v>
      </c>
      <c r="BI225" s="129">
        <v>15</v>
      </c>
      <c r="BJ225" s="129">
        <v>15</v>
      </c>
      <c r="BK225" s="129">
        <v>15</v>
      </c>
      <c r="BL225" s="129">
        <v>15</v>
      </c>
      <c r="BM225" s="129">
        <v>15</v>
      </c>
      <c r="BN225" s="129">
        <v>15</v>
      </c>
      <c r="BO225" s="129">
        <v>15</v>
      </c>
      <c r="BP225" s="129">
        <v>22</v>
      </c>
      <c r="BR225" s="129">
        <v>15</v>
      </c>
      <c r="BS225" s="129">
        <v>15</v>
      </c>
      <c r="BT225" s="129">
        <v>15</v>
      </c>
      <c r="BU225" s="129">
        <v>15</v>
      </c>
      <c r="BV225" s="129">
        <v>15</v>
      </c>
      <c r="BW225" s="129">
        <v>15</v>
      </c>
      <c r="BX225" s="129">
        <v>15</v>
      </c>
      <c r="BY225" s="129">
        <v>15</v>
      </c>
      <c r="BZ225" s="129">
        <v>15</v>
      </c>
      <c r="CA225" s="129">
        <v>22</v>
      </c>
      <c r="CC225" s="129">
        <v>9</v>
      </c>
      <c r="CD225" s="129">
        <v>9</v>
      </c>
      <c r="CE225" s="129">
        <v>9</v>
      </c>
      <c r="CF225" s="129">
        <v>9</v>
      </c>
      <c r="CG225" s="129">
        <v>9</v>
      </c>
      <c r="CH225" s="129">
        <v>9</v>
      </c>
      <c r="CI225" s="129">
        <v>9</v>
      </c>
      <c r="CJ225" s="129">
        <v>9</v>
      </c>
      <c r="CK225" s="129">
        <v>9</v>
      </c>
      <c r="CL225" s="129">
        <v>22</v>
      </c>
      <c r="CN225" s="129">
        <v>10</v>
      </c>
      <c r="CO225" s="129">
        <v>10</v>
      </c>
      <c r="CP225" s="129">
        <v>10</v>
      </c>
      <c r="CQ225" s="129">
        <v>10</v>
      </c>
      <c r="CR225" s="129">
        <v>10</v>
      </c>
      <c r="CS225" s="129">
        <v>10</v>
      </c>
      <c r="CT225" s="129">
        <v>10</v>
      </c>
      <c r="CU225" s="129">
        <v>10</v>
      </c>
      <c r="CV225" s="129">
        <v>10</v>
      </c>
      <c r="CW225" s="129">
        <v>22</v>
      </c>
      <c r="CY225" s="129">
        <v>14</v>
      </c>
      <c r="CZ225" s="129">
        <v>14</v>
      </c>
      <c r="DA225" s="129">
        <v>14</v>
      </c>
      <c r="DB225" s="129">
        <v>14</v>
      </c>
      <c r="DC225" s="129">
        <v>14</v>
      </c>
      <c r="DD225" s="129">
        <v>14</v>
      </c>
      <c r="DE225" s="129">
        <v>14</v>
      </c>
      <c r="DF225" s="129">
        <v>14</v>
      </c>
      <c r="DG225" s="129">
        <v>14</v>
      </c>
      <c r="DH225" s="129">
        <v>22</v>
      </c>
      <c r="DJ225" s="129">
        <v>14</v>
      </c>
      <c r="DK225" s="129">
        <v>14</v>
      </c>
      <c r="DL225" s="129">
        <v>14</v>
      </c>
      <c r="DM225" s="129">
        <v>14</v>
      </c>
      <c r="DN225" s="129">
        <v>14</v>
      </c>
      <c r="DO225" s="129">
        <v>14</v>
      </c>
      <c r="DP225" s="129">
        <v>14</v>
      </c>
      <c r="DQ225" s="129">
        <v>14</v>
      </c>
      <c r="DR225" s="129">
        <v>14</v>
      </c>
      <c r="DS225" s="129">
        <v>22</v>
      </c>
      <c r="EH225" s="27">
        <v>6</v>
      </c>
      <c r="EI225" s="27">
        <v>6</v>
      </c>
      <c r="EJ225" s="27">
        <v>6</v>
      </c>
      <c r="EK225" s="27">
        <v>6</v>
      </c>
      <c r="EL225" s="27">
        <v>6</v>
      </c>
      <c r="EM225" s="27">
        <v>6</v>
      </c>
      <c r="EN225" s="27">
        <v>6</v>
      </c>
      <c r="EO225" s="27">
        <v>6</v>
      </c>
      <c r="EP225" s="27">
        <v>6</v>
      </c>
      <c r="EQ225" s="129">
        <v>24</v>
      </c>
      <c r="ES225" s="27">
        <v>16</v>
      </c>
      <c r="ET225" s="27">
        <v>16</v>
      </c>
      <c r="EU225" s="27">
        <v>16</v>
      </c>
      <c r="EV225" s="27">
        <v>16</v>
      </c>
      <c r="EW225" s="27">
        <v>16</v>
      </c>
      <c r="EX225" s="27">
        <v>16</v>
      </c>
      <c r="EY225" s="27">
        <v>16</v>
      </c>
      <c r="EZ225" s="27">
        <v>16</v>
      </c>
      <c r="FA225" s="27">
        <v>16</v>
      </c>
      <c r="FB225" s="129">
        <v>24</v>
      </c>
      <c r="FD225" s="27">
        <v>21</v>
      </c>
      <c r="FE225" s="27">
        <v>21</v>
      </c>
      <c r="FF225" s="27">
        <v>21</v>
      </c>
      <c r="FG225" s="27">
        <v>21</v>
      </c>
      <c r="FH225" s="27">
        <v>21</v>
      </c>
      <c r="FI225" s="27">
        <v>21</v>
      </c>
      <c r="FJ225" s="27">
        <v>21</v>
      </c>
      <c r="FK225" s="27">
        <v>21</v>
      </c>
      <c r="FL225" s="27">
        <v>21</v>
      </c>
      <c r="FM225" s="129">
        <v>24</v>
      </c>
      <c r="FO225" s="27">
        <v>29</v>
      </c>
      <c r="FP225" s="27">
        <v>29</v>
      </c>
      <c r="FQ225" s="27">
        <v>29</v>
      </c>
      <c r="FR225" s="27">
        <v>29</v>
      </c>
      <c r="FS225" s="27">
        <v>29</v>
      </c>
      <c r="FT225" s="27">
        <v>29</v>
      </c>
      <c r="FU225" s="27">
        <v>29</v>
      </c>
      <c r="FV225" s="27">
        <v>29</v>
      </c>
      <c r="FW225" s="27">
        <v>29</v>
      </c>
      <c r="FX225" s="129">
        <v>24</v>
      </c>
      <c r="FZ225" s="27">
        <v>29</v>
      </c>
      <c r="GA225" s="27">
        <v>29</v>
      </c>
      <c r="GB225" s="27">
        <v>29</v>
      </c>
      <c r="GC225" s="27">
        <v>29</v>
      </c>
      <c r="GD225" s="27">
        <v>29</v>
      </c>
      <c r="GE225" s="27">
        <v>29</v>
      </c>
      <c r="GF225" s="27">
        <v>29</v>
      </c>
      <c r="GG225" s="27">
        <v>29</v>
      </c>
      <c r="GH225" s="27">
        <v>29</v>
      </c>
      <c r="GI225" s="129">
        <v>24</v>
      </c>
      <c r="GJ225" s="27"/>
      <c r="GK225" s="27">
        <v>8</v>
      </c>
      <c r="GL225" s="27">
        <v>8</v>
      </c>
      <c r="GM225" s="27">
        <v>8</v>
      </c>
      <c r="GN225" s="27">
        <v>8</v>
      </c>
      <c r="GO225" s="27">
        <v>8</v>
      </c>
      <c r="GP225" s="27">
        <v>8</v>
      </c>
      <c r="GQ225" s="27">
        <v>8</v>
      </c>
      <c r="GR225" s="27">
        <v>8</v>
      </c>
      <c r="GS225" s="27">
        <v>8</v>
      </c>
      <c r="GT225" s="129">
        <v>24</v>
      </c>
      <c r="GV225" s="27">
        <v>9</v>
      </c>
      <c r="GW225" s="27">
        <v>9</v>
      </c>
      <c r="GX225" s="27">
        <v>9</v>
      </c>
      <c r="GY225" s="27">
        <v>9</v>
      </c>
      <c r="GZ225" s="27">
        <v>9</v>
      </c>
      <c r="HA225" s="27">
        <v>9</v>
      </c>
      <c r="HB225" s="27">
        <v>9</v>
      </c>
      <c r="HC225" s="27">
        <v>9</v>
      </c>
      <c r="HD225" s="27">
        <v>9</v>
      </c>
      <c r="HE225" s="129">
        <v>24</v>
      </c>
      <c r="HG225" s="27">
        <v>13</v>
      </c>
      <c r="HH225" s="27">
        <v>13</v>
      </c>
      <c r="HI225" s="27">
        <v>13</v>
      </c>
      <c r="HJ225" s="27">
        <v>13</v>
      </c>
      <c r="HK225" s="27">
        <v>13</v>
      </c>
      <c r="HL225" s="27">
        <v>13</v>
      </c>
      <c r="HM225" s="27">
        <v>13</v>
      </c>
      <c r="HN225" s="27">
        <v>13</v>
      </c>
      <c r="HO225" s="27">
        <v>13</v>
      </c>
      <c r="HP225" s="129">
        <v>24</v>
      </c>
      <c r="HR225" s="27">
        <v>13</v>
      </c>
      <c r="HS225" s="27">
        <v>13</v>
      </c>
      <c r="HT225" s="27">
        <v>13</v>
      </c>
      <c r="HU225" s="27">
        <v>13</v>
      </c>
      <c r="HV225" s="27">
        <v>13</v>
      </c>
      <c r="HW225" s="27">
        <v>13</v>
      </c>
      <c r="HX225" s="27">
        <v>13</v>
      </c>
      <c r="HY225" s="27">
        <v>13</v>
      </c>
      <c r="HZ225" s="27">
        <v>13</v>
      </c>
      <c r="IA225" s="129">
        <v>24</v>
      </c>
    </row>
    <row r="226" spans="15:235" ht="14.45" customHeight="1">
      <c r="O226" s="17"/>
      <c r="P226" s="17"/>
      <c r="Q226" s="17"/>
      <c r="R226" s="17"/>
      <c r="S226" s="17"/>
      <c r="T226" s="17"/>
      <c r="U226" s="17"/>
      <c r="V226" s="17"/>
      <c r="W226" s="17"/>
      <c r="X226" s="129">
        <v>22.1</v>
      </c>
      <c r="Y226" s="27"/>
      <c r="AI226" s="129">
        <v>22.1</v>
      </c>
      <c r="AK226" s="129">
        <v>8.9</v>
      </c>
      <c r="AL226" s="129">
        <v>8.9</v>
      </c>
      <c r="AM226" s="129">
        <v>8.9</v>
      </c>
      <c r="AN226" s="129">
        <v>8.9</v>
      </c>
      <c r="AO226" s="129">
        <v>8.9</v>
      </c>
      <c r="AP226" s="129">
        <v>8.9</v>
      </c>
      <c r="AQ226" s="129">
        <v>8.9</v>
      </c>
      <c r="AR226" s="129">
        <v>8.9</v>
      </c>
      <c r="AS226" s="129">
        <v>8.9</v>
      </c>
      <c r="AT226" s="129">
        <v>22.1</v>
      </c>
      <c r="AV226" s="129">
        <v>11.8</v>
      </c>
      <c r="AW226" s="129">
        <v>11.8</v>
      </c>
      <c r="AX226" s="129">
        <v>11.8</v>
      </c>
      <c r="AY226" s="129">
        <v>11.8</v>
      </c>
      <c r="AZ226" s="129">
        <v>11.8</v>
      </c>
      <c r="BA226" s="129">
        <v>11.8</v>
      </c>
      <c r="BB226" s="129">
        <v>11.8</v>
      </c>
      <c r="BC226" s="129">
        <v>11.8</v>
      </c>
      <c r="BD226" s="129">
        <v>11.8</v>
      </c>
      <c r="BE226" s="129">
        <v>22.1</v>
      </c>
      <c r="BG226" s="129">
        <v>14.9</v>
      </c>
      <c r="BH226" s="129">
        <v>14.9</v>
      </c>
      <c r="BI226" s="129">
        <v>14.9</v>
      </c>
      <c r="BJ226" s="129">
        <v>14.9</v>
      </c>
      <c r="BK226" s="129">
        <v>14.9</v>
      </c>
      <c r="BL226" s="129">
        <v>14.9</v>
      </c>
      <c r="BM226" s="129">
        <v>14.9</v>
      </c>
      <c r="BN226" s="129">
        <v>14.9</v>
      </c>
      <c r="BO226" s="129">
        <v>14.9</v>
      </c>
      <c r="BP226" s="129">
        <v>22.1</v>
      </c>
      <c r="BR226" s="129">
        <v>14.9</v>
      </c>
      <c r="BS226" s="129">
        <v>14.9</v>
      </c>
      <c r="BT226" s="129">
        <v>14.9</v>
      </c>
      <c r="BU226" s="129">
        <v>14.9</v>
      </c>
      <c r="BV226" s="129">
        <v>14.9</v>
      </c>
      <c r="BW226" s="129">
        <v>14.9</v>
      </c>
      <c r="BX226" s="129">
        <v>14.9</v>
      </c>
      <c r="BY226" s="129">
        <v>14.9</v>
      </c>
      <c r="BZ226" s="129">
        <v>14.9</v>
      </c>
      <c r="CA226" s="129">
        <v>22.1</v>
      </c>
      <c r="CC226" s="129">
        <v>8.9</v>
      </c>
      <c r="CD226" s="129">
        <v>8.9</v>
      </c>
      <c r="CE226" s="129">
        <v>8.9</v>
      </c>
      <c r="CF226" s="129">
        <v>8.9</v>
      </c>
      <c r="CG226" s="129">
        <v>8.9</v>
      </c>
      <c r="CH226" s="129">
        <v>8.9</v>
      </c>
      <c r="CI226" s="129">
        <v>8.9</v>
      </c>
      <c r="CJ226" s="129">
        <v>8.9</v>
      </c>
      <c r="CK226" s="129">
        <v>8.9</v>
      </c>
      <c r="CL226" s="129">
        <v>22.1</v>
      </c>
      <c r="CN226" s="129">
        <v>10</v>
      </c>
      <c r="CO226" s="129">
        <v>10</v>
      </c>
      <c r="CP226" s="129">
        <v>10</v>
      </c>
      <c r="CQ226" s="129">
        <v>10</v>
      </c>
      <c r="CR226" s="129">
        <v>10</v>
      </c>
      <c r="CS226" s="129">
        <v>10</v>
      </c>
      <c r="CT226" s="129">
        <v>10</v>
      </c>
      <c r="CU226" s="129">
        <v>10</v>
      </c>
      <c r="CV226" s="129">
        <v>10</v>
      </c>
      <c r="CW226" s="129">
        <v>22.1</v>
      </c>
      <c r="CY226" s="129">
        <v>14</v>
      </c>
      <c r="CZ226" s="129">
        <v>14</v>
      </c>
      <c r="DA226" s="129">
        <v>14</v>
      </c>
      <c r="DB226" s="129">
        <v>14</v>
      </c>
      <c r="DC226" s="129">
        <v>14</v>
      </c>
      <c r="DD226" s="129">
        <v>14</v>
      </c>
      <c r="DE226" s="129">
        <v>14</v>
      </c>
      <c r="DF226" s="129">
        <v>14</v>
      </c>
      <c r="DG226" s="129">
        <v>14</v>
      </c>
      <c r="DH226" s="129">
        <v>22.1</v>
      </c>
      <c r="DJ226" s="129">
        <v>14</v>
      </c>
      <c r="DK226" s="129">
        <v>14</v>
      </c>
      <c r="DL226" s="129">
        <v>14</v>
      </c>
      <c r="DM226" s="129">
        <v>14</v>
      </c>
      <c r="DN226" s="129">
        <v>14</v>
      </c>
      <c r="DO226" s="129">
        <v>14</v>
      </c>
      <c r="DP226" s="129">
        <v>14</v>
      </c>
      <c r="DQ226" s="129">
        <v>14</v>
      </c>
      <c r="DR226" s="129">
        <v>14</v>
      </c>
      <c r="DS226" s="129">
        <v>22.1</v>
      </c>
      <c r="EH226" s="27">
        <v>5.9</v>
      </c>
      <c r="EI226" s="27">
        <v>5.9</v>
      </c>
      <c r="EJ226" s="27">
        <v>5.9</v>
      </c>
      <c r="EK226" s="27">
        <v>5.9</v>
      </c>
      <c r="EL226" s="27">
        <v>5.9</v>
      </c>
      <c r="EM226" s="27">
        <v>5.9</v>
      </c>
      <c r="EN226" s="27">
        <v>5.9</v>
      </c>
      <c r="EO226" s="27">
        <v>5.9</v>
      </c>
      <c r="EP226" s="27">
        <v>5.9</v>
      </c>
      <c r="EQ226" s="129">
        <v>24.1</v>
      </c>
      <c r="ES226" s="27">
        <v>15.8</v>
      </c>
      <c r="ET226" s="27">
        <v>15.8</v>
      </c>
      <c r="EU226" s="27">
        <v>15.8</v>
      </c>
      <c r="EV226" s="27">
        <v>15.8</v>
      </c>
      <c r="EW226" s="27">
        <v>15.8</v>
      </c>
      <c r="EX226" s="27">
        <v>15.8</v>
      </c>
      <c r="EY226" s="27">
        <v>15.8</v>
      </c>
      <c r="EZ226" s="27">
        <v>15.8</v>
      </c>
      <c r="FA226" s="27">
        <v>15.8</v>
      </c>
      <c r="FB226" s="129">
        <v>24.1</v>
      </c>
      <c r="FD226" s="27">
        <v>20.8</v>
      </c>
      <c r="FE226" s="27">
        <v>20.8</v>
      </c>
      <c r="FF226" s="27">
        <v>20.8</v>
      </c>
      <c r="FG226" s="27">
        <v>20.8</v>
      </c>
      <c r="FH226" s="27">
        <v>20.8</v>
      </c>
      <c r="FI226" s="27">
        <v>20.8</v>
      </c>
      <c r="FJ226" s="27">
        <v>20.8</v>
      </c>
      <c r="FK226" s="27">
        <v>20.8</v>
      </c>
      <c r="FL226" s="27">
        <v>20.8</v>
      </c>
      <c r="FM226" s="129">
        <v>24.1</v>
      </c>
      <c r="FO226" s="27">
        <v>28.6</v>
      </c>
      <c r="FP226" s="27">
        <v>28.6</v>
      </c>
      <c r="FQ226" s="27">
        <v>28.6</v>
      </c>
      <c r="FR226" s="27">
        <v>28.6</v>
      </c>
      <c r="FS226" s="27">
        <v>28.6</v>
      </c>
      <c r="FT226" s="27">
        <v>28.6</v>
      </c>
      <c r="FU226" s="27">
        <v>28.6</v>
      </c>
      <c r="FV226" s="27">
        <v>28.6</v>
      </c>
      <c r="FW226" s="27">
        <v>28.6</v>
      </c>
      <c r="FX226" s="129">
        <v>24.1</v>
      </c>
      <c r="FZ226" s="27">
        <v>28.6</v>
      </c>
      <c r="GA226" s="27">
        <v>28.6</v>
      </c>
      <c r="GB226" s="27">
        <v>28.6</v>
      </c>
      <c r="GC226" s="27">
        <v>28.6</v>
      </c>
      <c r="GD226" s="27">
        <v>28.6</v>
      </c>
      <c r="GE226" s="27">
        <v>28.6</v>
      </c>
      <c r="GF226" s="27">
        <v>28.6</v>
      </c>
      <c r="GG226" s="27">
        <v>28.6</v>
      </c>
      <c r="GH226" s="27">
        <v>28.6</v>
      </c>
      <c r="GI226" s="129">
        <v>24.1</v>
      </c>
      <c r="GJ226" s="27"/>
      <c r="GK226" s="27">
        <v>8</v>
      </c>
      <c r="GL226" s="27">
        <v>8</v>
      </c>
      <c r="GM226" s="27">
        <v>8</v>
      </c>
      <c r="GN226" s="27">
        <v>8</v>
      </c>
      <c r="GO226" s="27">
        <v>8</v>
      </c>
      <c r="GP226" s="27">
        <v>8</v>
      </c>
      <c r="GQ226" s="27">
        <v>8</v>
      </c>
      <c r="GR226" s="27">
        <v>8</v>
      </c>
      <c r="GS226" s="27">
        <v>8</v>
      </c>
      <c r="GT226" s="129">
        <v>24.1</v>
      </c>
      <c r="GV226" s="27">
        <v>9</v>
      </c>
      <c r="GW226" s="27">
        <v>9</v>
      </c>
      <c r="GX226" s="27">
        <v>9</v>
      </c>
      <c r="GY226" s="27">
        <v>9</v>
      </c>
      <c r="GZ226" s="27">
        <v>9</v>
      </c>
      <c r="HA226" s="27">
        <v>9</v>
      </c>
      <c r="HB226" s="27">
        <v>9</v>
      </c>
      <c r="HC226" s="27">
        <v>9</v>
      </c>
      <c r="HD226" s="27">
        <v>9</v>
      </c>
      <c r="HE226" s="129">
        <v>24.1</v>
      </c>
      <c r="HG226" s="27">
        <v>12.9</v>
      </c>
      <c r="HH226" s="27">
        <v>12.9</v>
      </c>
      <c r="HI226" s="27">
        <v>12.9</v>
      </c>
      <c r="HJ226" s="27">
        <v>12.9</v>
      </c>
      <c r="HK226" s="27">
        <v>12.9</v>
      </c>
      <c r="HL226" s="27">
        <v>12.9</v>
      </c>
      <c r="HM226" s="27">
        <v>12.9</v>
      </c>
      <c r="HN226" s="27">
        <v>12.9</v>
      </c>
      <c r="HO226" s="27">
        <v>12.9</v>
      </c>
      <c r="HP226" s="129">
        <v>24.1</v>
      </c>
      <c r="HR226" s="27">
        <v>12.9</v>
      </c>
      <c r="HS226" s="27">
        <v>12.9</v>
      </c>
      <c r="HT226" s="27">
        <v>12.9</v>
      </c>
      <c r="HU226" s="27">
        <v>12.9</v>
      </c>
      <c r="HV226" s="27">
        <v>12.9</v>
      </c>
      <c r="HW226" s="27">
        <v>12.9</v>
      </c>
      <c r="HX226" s="27">
        <v>12.9</v>
      </c>
      <c r="HY226" s="27">
        <v>12.9</v>
      </c>
      <c r="HZ226" s="27">
        <v>12.9</v>
      </c>
      <c r="IA226" s="129">
        <v>24.1</v>
      </c>
    </row>
    <row r="227" spans="15:235" ht="14.45" customHeight="1">
      <c r="O227" s="17"/>
      <c r="P227" s="17"/>
      <c r="Q227" s="17"/>
      <c r="R227" s="17"/>
      <c r="S227" s="17"/>
      <c r="T227" s="17"/>
      <c r="U227" s="17"/>
      <c r="V227" s="17"/>
      <c r="W227" s="17"/>
      <c r="X227" s="129">
        <v>22.2</v>
      </c>
      <c r="Y227" s="27"/>
      <c r="AI227" s="129">
        <v>22.2</v>
      </c>
      <c r="AK227" s="129">
        <v>8.8000000000000007</v>
      </c>
      <c r="AL227" s="129">
        <v>8.8000000000000007</v>
      </c>
      <c r="AM227" s="129">
        <v>8.8000000000000007</v>
      </c>
      <c r="AN227" s="129">
        <v>8.8000000000000007</v>
      </c>
      <c r="AO227" s="129">
        <v>8.8000000000000007</v>
      </c>
      <c r="AP227" s="129">
        <v>8.8000000000000007</v>
      </c>
      <c r="AQ227" s="129">
        <v>8.8000000000000007</v>
      </c>
      <c r="AR227" s="129">
        <v>8.8000000000000007</v>
      </c>
      <c r="AS227" s="129">
        <v>8.8000000000000007</v>
      </c>
      <c r="AT227" s="129">
        <v>22.2</v>
      </c>
      <c r="AV227" s="129">
        <v>11.600000000000001</v>
      </c>
      <c r="AW227" s="129">
        <v>11.600000000000001</v>
      </c>
      <c r="AX227" s="129">
        <v>11.600000000000001</v>
      </c>
      <c r="AY227" s="129">
        <v>11.600000000000001</v>
      </c>
      <c r="AZ227" s="129">
        <v>11.600000000000001</v>
      </c>
      <c r="BA227" s="129">
        <v>11.600000000000001</v>
      </c>
      <c r="BB227" s="129">
        <v>11.600000000000001</v>
      </c>
      <c r="BC227" s="129">
        <v>11.600000000000001</v>
      </c>
      <c r="BD227" s="129">
        <v>11.600000000000001</v>
      </c>
      <c r="BE227" s="129">
        <v>22.2</v>
      </c>
      <c r="BG227" s="129">
        <v>14.8</v>
      </c>
      <c r="BH227" s="129">
        <v>14.8</v>
      </c>
      <c r="BI227" s="129">
        <v>14.8</v>
      </c>
      <c r="BJ227" s="129">
        <v>14.8</v>
      </c>
      <c r="BK227" s="129">
        <v>14.8</v>
      </c>
      <c r="BL227" s="129">
        <v>14.8</v>
      </c>
      <c r="BM227" s="129">
        <v>14.8</v>
      </c>
      <c r="BN227" s="129">
        <v>14.8</v>
      </c>
      <c r="BO227" s="129">
        <v>14.8</v>
      </c>
      <c r="BP227" s="129">
        <v>22.2</v>
      </c>
      <c r="BR227" s="129">
        <v>14.8</v>
      </c>
      <c r="BS227" s="129">
        <v>14.8</v>
      </c>
      <c r="BT227" s="129">
        <v>14.8</v>
      </c>
      <c r="BU227" s="129">
        <v>14.8</v>
      </c>
      <c r="BV227" s="129">
        <v>14.8</v>
      </c>
      <c r="BW227" s="129">
        <v>14.8</v>
      </c>
      <c r="BX227" s="129">
        <v>14.8</v>
      </c>
      <c r="BY227" s="129">
        <v>14.8</v>
      </c>
      <c r="BZ227" s="129">
        <v>14.8</v>
      </c>
      <c r="CA227" s="129">
        <v>22.2</v>
      </c>
      <c r="CC227" s="129">
        <v>8.8000000000000007</v>
      </c>
      <c r="CD227" s="129">
        <v>8.8000000000000007</v>
      </c>
      <c r="CE227" s="129">
        <v>8.8000000000000007</v>
      </c>
      <c r="CF227" s="129">
        <v>8.8000000000000007</v>
      </c>
      <c r="CG227" s="129">
        <v>8.8000000000000007</v>
      </c>
      <c r="CH227" s="129">
        <v>8.8000000000000007</v>
      </c>
      <c r="CI227" s="129">
        <v>8.8000000000000007</v>
      </c>
      <c r="CJ227" s="129">
        <v>8.8000000000000007</v>
      </c>
      <c r="CK227" s="129">
        <v>8.8000000000000007</v>
      </c>
      <c r="CL227" s="129">
        <v>22.2</v>
      </c>
      <c r="CN227" s="129">
        <v>10</v>
      </c>
      <c r="CO227" s="129">
        <v>10</v>
      </c>
      <c r="CP227" s="129">
        <v>10</v>
      </c>
      <c r="CQ227" s="129">
        <v>10</v>
      </c>
      <c r="CR227" s="129">
        <v>10</v>
      </c>
      <c r="CS227" s="129">
        <v>10</v>
      </c>
      <c r="CT227" s="129">
        <v>10</v>
      </c>
      <c r="CU227" s="129">
        <v>10</v>
      </c>
      <c r="CV227" s="129">
        <v>10</v>
      </c>
      <c r="CW227" s="129">
        <v>22.2</v>
      </c>
      <c r="CY227" s="129">
        <v>14</v>
      </c>
      <c r="CZ227" s="129">
        <v>14</v>
      </c>
      <c r="DA227" s="129">
        <v>14</v>
      </c>
      <c r="DB227" s="129">
        <v>14</v>
      </c>
      <c r="DC227" s="129">
        <v>14</v>
      </c>
      <c r="DD227" s="129">
        <v>14</v>
      </c>
      <c r="DE227" s="129">
        <v>14</v>
      </c>
      <c r="DF227" s="129">
        <v>14</v>
      </c>
      <c r="DG227" s="129">
        <v>14</v>
      </c>
      <c r="DH227" s="129">
        <v>22.2</v>
      </c>
      <c r="DJ227" s="129">
        <v>14</v>
      </c>
      <c r="DK227" s="129">
        <v>14</v>
      </c>
      <c r="DL227" s="129">
        <v>14</v>
      </c>
      <c r="DM227" s="129">
        <v>14</v>
      </c>
      <c r="DN227" s="129">
        <v>14</v>
      </c>
      <c r="DO227" s="129">
        <v>14</v>
      </c>
      <c r="DP227" s="129">
        <v>14</v>
      </c>
      <c r="DQ227" s="129">
        <v>14</v>
      </c>
      <c r="DR227" s="129">
        <v>14</v>
      </c>
      <c r="DS227" s="129">
        <v>22.2</v>
      </c>
      <c r="EH227" s="27">
        <v>5.8000000000000007</v>
      </c>
      <c r="EI227" s="27">
        <v>5.8000000000000007</v>
      </c>
      <c r="EJ227" s="27">
        <v>5.8000000000000007</v>
      </c>
      <c r="EK227" s="27">
        <v>5.8000000000000007</v>
      </c>
      <c r="EL227" s="27">
        <v>5.8000000000000007</v>
      </c>
      <c r="EM227" s="27">
        <v>5.8000000000000007</v>
      </c>
      <c r="EN227" s="27">
        <v>5.8000000000000007</v>
      </c>
      <c r="EO227" s="27">
        <v>5.8000000000000007</v>
      </c>
      <c r="EP227" s="27">
        <v>5.8000000000000007</v>
      </c>
      <c r="EQ227" s="129">
        <v>24.2</v>
      </c>
      <c r="ES227" s="27">
        <v>15.600000000000001</v>
      </c>
      <c r="ET227" s="27">
        <v>15.600000000000001</v>
      </c>
      <c r="EU227" s="27">
        <v>15.600000000000001</v>
      </c>
      <c r="EV227" s="27">
        <v>15.600000000000001</v>
      </c>
      <c r="EW227" s="27">
        <v>15.600000000000001</v>
      </c>
      <c r="EX227" s="27">
        <v>15.600000000000001</v>
      </c>
      <c r="EY227" s="27">
        <v>15.600000000000001</v>
      </c>
      <c r="EZ227" s="27">
        <v>15.600000000000001</v>
      </c>
      <c r="FA227" s="27">
        <v>15.600000000000001</v>
      </c>
      <c r="FB227" s="129">
        <v>24.2</v>
      </c>
      <c r="FD227" s="27">
        <v>20.6</v>
      </c>
      <c r="FE227" s="27">
        <v>20.6</v>
      </c>
      <c r="FF227" s="27">
        <v>20.6</v>
      </c>
      <c r="FG227" s="27">
        <v>20.6</v>
      </c>
      <c r="FH227" s="27">
        <v>20.6</v>
      </c>
      <c r="FI227" s="27">
        <v>20.6</v>
      </c>
      <c r="FJ227" s="27">
        <v>20.6</v>
      </c>
      <c r="FK227" s="27">
        <v>20.6</v>
      </c>
      <c r="FL227" s="27">
        <v>20.6</v>
      </c>
      <c r="FM227" s="129">
        <v>24.2</v>
      </c>
      <c r="FO227" s="27">
        <v>28.200000000000003</v>
      </c>
      <c r="FP227" s="27">
        <v>28.200000000000003</v>
      </c>
      <c r="FQ227" s="27">
        <v>28.200000000000003</v>
      </c>
      <c r="FR227" s="27">
        <v>28.200000000000003</v>
      </c>
      <c r="FS227" s="27">
        <v>28.200000000000003</v>
      </c>
      <c r="FT227" s="27">
        <v>28.200000000000003</v>
      </c>
      <c r="FU227" s="27">
        <v>28.200000000000003</v>
      </c>
      <c r="FV227" s="27">
        <v>28.200000000000003</v>
      </c>
      <c r="FW227" s="27">
        <v>28.200000000000003</v>
      </c>
      <c r="FX227" s="129">
        <v>24.2</v>
      </c>
      <c r="FZ227" s="27">
        <v>28.200000000000003</v>
      </c>
      <c r="GA227" s="27">
        <v>28.200000000000003</v>
      </c>
      <c r="GB227" s="27">
        <v>28.200000000000003</v>
      </c>
      <c r="GC227" s="27">
        <v>28.200000000000003</v>
      </c>
      <c r="GD227" s="27">
        <v>28.200000000000003</v>
      </c>
      <c r="GE227" s="27">
        <v>28.200000000000003</v>
      </c>
      <c r="GF227" s="27">
        <v>28.200000000000003</v>
      </c>
      <c r="GG227" s="27">
        <v>28.200000000000003</v>
      </c>
      <c r="GH227" s="27">
        <v>28.200000000000003</v>
      </c>
      <c r="GI227" s="129">
        <v>24.2</v>
      </c>
      <c r="GJ227" s="27"/>
      <c r="GK227" s="27">
        <v>8</v>
      </c>
      <c r="GL227" s="27">
        <v>8</v>
      </c>
      <c r="GM227" s="27">
        <v>8</v>
      </c>
      <c r="GN227" s="27">
        <v>8</v>
      </c>
      <c r="GO227" s="27">
        <v>8</v>
      </c>
      <c r="GP227" s="27">
        <v>8</v>
      </c>
      <c r="GQ227" s="27">
        <v>8</v>
      </c>
      <c r="GR227" s="27">
        <v>8</v>
      </c>
      <c r="GS227" s="27">
        <v>8</v>
      </c>
      <c r="GT227" s="129">
        <v>24.2</v>
      </c>
      <c r="GV227" s="27">
        <v>9</v>
      </c>
      <c r="GW227" s="27">
        <v>9</v>
      </c>
      <c r="GX227" s="27">
        <v>9</v>
      </c>
      <c r="GY227" s="27">
        <v>9</v>
      </c>
      <c r="GZ227" s="27">
        <v>9</v>
      </c>
      <c r="HA227" s="27">
        <v>9</v>
      </c>
      <c r="HB227" s="27">
        <v>9</v>
      </c>
      <c r="HC227" s="27">
        <v>9</v>
      </c>
      <c r="HD227" s="27">
        <v>9</v>
      </c>
      <c r="HE227" s="129">
        <v>24.2</v>
      </c>
      <c r="HG227" s="27">
        <v>12.8</v>
      </c>
      <c r="HH227" s="27">
        <v>12.8</v>
      </c>
      <c r="HI227" s="27">
        <v>12.8</v>
      </c>
      <c r="HJ227" s="27">
        <v>12.8</v>
      </c>
      <c r="HK227" s="27">
        <v>12.8</v>
      </c>
      <c r="HL227" s="27">
        <v>12.8</v>
      </c>
      <c r="HM227" s="27">
        <v>12.8</v>
      </c>
      <c r="HN227" s="27">
        <v>12.8</v>
      </c>
      <c r="HO227" s="27">
        <v>12.8</v>
      </c>
      <c r="HP227" s="129">
        <v>24.2</v>
      </c>
      <c r="HR227" s="27">
        <v>12.8</v>
      </c>
      <c r="HS227" s="27">
        <v>12.8</v>
      </c>
      <c r="HT227" s="27">
        <v>12.8</v>
      </c>
      <c r="HU227" s="27">
        <v>12.8</v>
      </c>
      <c r="HV227" s="27">
        <v>12.8</v>
      </c>
      <c r="HW227" s="27">
        <v>12.8</v>
      </c>
      <c r="HX227" s="27">
        <v>12.8</v>
      </c>
      <c r="HY227" s="27">
        <v>12.8</v>
      </c>
      <c r="HZ227" s="27">
        <v>12.8</v>
      </c>
      <c r="IA227" s="129">
        <v>24.2</v>
      </c>
    </row>
    <row r="228" spans="15:235" ht="14.45" customHeight="1">
      <c r="O228" s="17"/>
      <c r="P228" s="17"/>
      <c r="Q228" s="17"/>
      <c r="R228" s="17"/>
      <c r="S228" s="17"/>
      <c r="T228" s="17"/>
      <c r="U228" s="17"/>
      <c r="V228" s="17"/>
      <c r="W228" s="17"/>
      <c r="X228" s="129">
        <v>22.3</v>
      </c>
      <c r="Y228" s="27"/>
      <c r="AI228" s="129">
        <v>22.3</v>
      </c>
      <c r="AK228" s="129">
        <v>8.7000000000000011</v>
      </c>
      <c r="AL228" s="129">
        <v>8.7000000000000011</v>
      </c>
      <c r="AM228" s="129">
        <v>8.7000000000000011</v>
      </c>
      <c r="AN228" s="129">
        <v>8.7000000000000011</v>
      </c>
      <c r="AO228" s="129">
        <v>8.7000000000000011</v>
      </c>
      <c r="AP228" s="129">
        <v>8.7000000000000011</v>
      </c>
      <c r="AQ228" s="129">
        <v>8.7000000000000011</v>
      </c>
      <c r="AR228" s="129">
        <v>8.7000000000000011</v>
      </c>
      <c r="AS228" s="129">
        <v>8.7000000000000011</v>
      </c>
      <c r="AT228" s="129">
        <v>22.3</v>
      </c>
      <c r="AV228" s="129">
        <v>11.400000000000002</v>
      </c>
      <c r="AW228" s="129">
        <v>11.400000000000002</v>
      </c>
      <c r="AX228" s="129">
        <v>11.400000000000002</v>
      </c>
      <c r="AY228" s="129">
        <v>11.400000000000002</v>
      </c>
      <c r="AZ228" s="129">
        <v>11.400000000000002</v>
      </c>
      <c r="BA228" s="129">
        <v>11.400000000000002</v>
      </c>
      <c r="BB228" s="129">
        <v>11.400000000000002</v>
      </c>
      <c r="BC228" s="129">
        <v>11.400000000000002</v>
      </c>
      <c r="BD228" s="129">
        <v>11.400000000000002</v>
      </c>
      <c r="BE228" s="129">
        <v>22.3</v>
      </c>
      <c r="BG228" s="129">
        <v>14.700000000000001</v>
      </c>
      <c r="BH228" s="129">
        <v>14.700000000000001</v>
      </c>
      <c r="BI228" s="129">
        <v>14.700000000000001</v>
      </c>
      <c r="BJ228" s="129">
        <v>14.700000000000001</v>
      </c>
      <c r="BK228" s="129">
        <v>14.700000000000001</v>
      </c>
      <c r="BL228" s="129">
        <v>14.700000000000001</v>
      </c>
      <c r="BM228" s="129">
        <v>14.700000000000001</v>
      </c>
      <c r="BN228" s="129">
        <v>14.700000000000001</v>
      </c>
      <c r="BO228" s="129">
        <v>14.700000000000001</v>
      </c>
      <c r="BP228" s="129">
        <v>22.3</v>
      </c>
      <c r="BR228" s="129">
        <v>14.700000000000001</v>
      </c>
      <c r="BS228" s="129">
        <v>14.700000000000001</v>
      </c>
      <c r="BT228" s="129">
        <v>14.700000000000001</v>
      </c>
      <c r="BU228" s="129">
        <v>14.700000000000001</v>
      </c>
      <c r="BV228" s="129">
        <v>14.700000000000001</v>
      </c>
      <c r="BW228" s="129">
        <v>14.700000000000001</v>
      </c>
      <c r="BX228" s="129">
        <v>14.700000000000001</v>
      </c>
      <c r="BY228" s="129">
        <v>14.700000000000001</v>
      </c>
      <c r="BZ228" s="129">
        <v>14.700000000000001</v>
      </c>
      <c r="CA228" s="129">
        <v>22.3</v>
      </c>
      <c r="CC228" s="129">
        <v>8.7000000000000011</v>
      </c>
      <c r="CD228" s="129">
        <v>8.7000000000000011</v>
      </c>
      <c r="CE228" s="129">
        <v>8.7000000000000011</v>
      </c>
      <c r="CF228" s="129">
        <v>8.7000000000000011</v>
      </c>
      <c r="CG228" s="129">
        <v>8.7000000000000011</v>
      </c>
      <c r="CH228" s="129">
        <v>8.7000000000000011</v>
      </c>
      <c r="CI228" s="129">
        <v>8.7000000000000011</v>
      </c>
      <c r="CJ228" s="129">
        <v>8.7000000000000011</v>
      </c>
      <c r="CK228" s="129">
        <v>8.7000000000000011</v>
      </c>
      <c r="CL228" s="129">
        <v>22.3</v>
      </c>
      <c r="CN228" s="129">
        <v>10</v>
      </c>
      <c r="CO228" s="129">
        <v>10</v>
      </c>
      <c r="CP228" s="129">
        <v>10</v>
      </c>
      <c r="CQ228" s="129">
        <v>10</v>
      </c>
      <c r="CR228" s="129">
        <v>10</v>
      </c>
      <c r="CS228" s="129">
        <v>10</v>
      </c>
      <c r="CT228" s="129">
        <v>10</v>
      </c>
      <c r="CU228" s="129">
        <v>10</v>
      </c>
      <c r="CV228" s="129">
        <v>10</v>
      </c>
      <c r="CW228" s="129">
        <v>22.3</v>
      </c>
      <c r="CY228" s="129">
        <v>14</v>
      </c>
      <c r="CZ228" s="129">
        <v>14</v>
      </c>
      <c r="DA228" s="129">
        <v>14</v>
      </c>
      <c r="DB228" s="129">
        <v>14</v>
      </c>
      <c r="DC228" s="129">
        <v>14</v>
      </c>
      <c r="DD228" s="129">
        <v>14</v>
      </c>
      <c r="DE228" s="129">
        <v>14</v>
      </c>
      <c r="DF228" s="129">
        <v>14</v>
      </c>
      <c r="DG228" s="129">
        <v>14</v>
      </c>
      <c r="DH228" s="129">
        <v>22.3</v>
      </c>
      <c r="DJ228" s="129">
        <v>14</v>
      </c>
      <c r="DK228" s="129">
        <v>14</v>
      </c>
      <c r="DL228" s="129">
        <v>14</v>
      </c>
      <c r="DM228" s="129">
        <v>14</v>
      </c>
      <c r="DN228" s="129">
        <v>14</v>
      </c>
      <c r="DO228" s="129">
        <v>14</v>
      </c>
      <c r="DP228" s="129">
        <v>14</v>
      </c>
      <c r="DQ228" s="129">
        <v>14</v>
      </c>
      <c r="DR228" s="129">
        <v>14</v>
      </c>
      <c r="DS228" s="129">
        <v>22.3</v>
      </c>
      <c r="EH228" s="27">
        <v>5.7000000000000011</v>
      </c>
      <c r="EI228" s="27">
        <v>5.7000000000000011</v>
      </c>
      <c r="EJ228" s="27">
        <v>5.7000000000000011</v>
      </c>
      <c r="EK228" s="27">
        <v>5.7000000000000011</v>
      </c>
      <c r="EL228" s="27">
        <v>5.7000000000000011</v>
      </c>
      <c r="EM228" s="27">
        <v>5.7000000000000011</v>
      </c>
      <c r="EN228" s="27">
        <v>5.7000000000000011</v>
      </c>
      <c r="EO228" s="27">
        <v>5.7000000000000011</v>
      </c>
      <c r="EP228" s="27">
        <v>5.7000000000000011</v>
      </c>
      <c r="EQ228" s="129">
        <v>24.3</v>
      </c>
      <c r="ES228" s="27">
        <v>15.400000000000002</v>
      </c>
      <c r="ET228" s="27">
        <v>15.400000000000002</v>
      </c>
      <c r="EU228" s="27">
        <v>15.400000000000002</v>
      </c>
      <c r="EV228" s="27">
        <v>15.400000000000002</v>
      </c>
      <c r="EW228" s="27">
        <v>15.400000000000002</v>
      </c>
      <c r="EX228" s="27">
        <v>15.400000000000002</v>
      </c>
      <c r="EY228" s="27">
        <v>15.400000000000002</v>
      </c>
      <c r="EZ228" s="27">
        <v>15.400000000000002</v>
      </c>
      <c r="FA228" s="27">
        <v>15.400000000000002</v>
      </c>
      <c r="FB228" s="129">
        <v>24.3</v>
      </c>
      <c r="FD228" s="27">
        <v>20.400000000000002</v>
      </c>
      <c r="FE228" s="27">
        <v>20.400000000000002</v>
      </c>
      <c r="FF228" s="27">
        <v>20.400000000000002</v>
      </c>
      <c r="FG228" s="27">
        <v>20.400000000000002</v>
      </c>
      <c r="FH228" s="27">
        <v>20.400000000000002</v>
      </c>
      <c r="FI228" s="27">
        <v>20.400000000000002</v>
      </c>
      <c r="FJ228" s="27">
        <v>20.400000000000002</v>
      </c>
      <c r="FK228" s="27">
        <v>20.400000000000002</v>
      </c>
      <c r="FL228" s="27">
        <v>20.400000000000002</v>
      </c>
      <c r="FM228" s="129">
        <v>24.3</v>
      </c>
      <c r="FO228" s="27">
        <v>27.800000000000004</v>
      </c>
      <c r="FP228" s="27">
        <v>27.800000000000004</v>
      </c>
      <c r="FQ228" s="27">
        <v>27.800000000000004</v>
      </c>
      <c r="FR228" s="27">
        <v>27.800000000000004</v>
      </c>
      <c r="FS228" s="27">
        <v>27.800000000000004</v>
      </c>
      <c r="FT228" s="27">
        <v>27.800000000000004</v>
      </c>
      <c r="FU228" s="27">
        <v>27.800000000000004</v>
      </c>
      <c r="FV228" s="27">
        <v>27.800000000000004</v>
      </c>
      <c r="FW228" s="27">
        <v>27.800000000000004</v>
      </c>
      <c r="FX228" s="129">
        <v>24.3</v>
      </c>
      <c r="FZ228" s="27">
        <v>27.800000000000004</v>
      </c>
      <c r="GA228" s="27">
        <v>27.800000000000004</v>
      </c>
      <c r="GB228" s="27">
        <v>27.800000000000004</v>
      </c>
      <c r="GC228" s="27">
        <v>27.800000000000004</v>
      </c>
      <c r="GD228" s="27">
        <v>27.800000000000004</v>
      </c>
      <c r="GE228" s="27">
        <v>27.800000000000004</v>
      </c>
      <c r="GF228" s="27">
        <v>27.800000000000004</v>
      </c>
      <c r="GG228" s="27">
        <v>27.800000000000004</v>
      </c>
      <c r="GH228" s="27">
        <v>27.800000000000004</v>
      </c>
      <c r="GI228" s="129">
        <v>24.3</v>
      </c>
      <c r="GJ228" s="27"/>
      <c r="GK228" s="27">
        <v>8</v>
      </c>
      <c r="GL228" s="27">
        <v>8</v>
      </c>
      <c r="GM228" s="27">
        <v>8</v>
      </c>
      <c r="GN228" s="27">
        <v>8</v>
      </c>
      <c r="GO228" s="27">
        <v>8</v>
      </c>
      <c r="GP228" s="27">
        <v>8</v>
      </c>
      <c r="GQ228" s="27">
        <v>8</v>
      </c>
      <c r="GR228" s="27">
        <v>8</v>
      </c>
      <c r="GS228" s="27">
        <v>8</v>
      </c>
      <c r="GT228" s="129">
        <v>24.3</v>
      </c>
      <c r="GV228" s="27">
        <v>9</v>
      </c>
      <c r="GW228" s="27">
        <v>9</v>
      </c>
      <c r="GX228" s="27">
        <v>9</v>
      </c>
      <c r="GY228" s="27">
        <v>9</v>
      </c>
      <c r="GZ228" s="27">
        <v>9</v>
      </c>
      <c r="HA228" s="27">
        <v>9</v>
      </c>
      <c r="HB228" s="27">
        <v>9</v>
      </c>
      <c r="HC228" s="27">
        <v>9</v>
      </c>
      <c r="HD228" s="27">
        <v>9</v>
      </c>
      <c r="HE228" s="129">
        <v>24.3</v>
      </c>
      <c r="HG228" s="27">
        <v>12.700000000000001</v>
      </c>
      <c r="HH228" s="27">
        <v>12.700000000000001</v>
      </c>
      <c r="HI228" s="27">
        <v>12.700000000000001</v>
      </c>
      <c r="HJ228" s="27">
        <v>12.700000000000001</v>
      </c>
      <c r="HK228" s="27">
        <v>12.700000000000001</v>
      </c>
      <c r="HL228" s="27">
        <v>12.700000000000001</v>
      </c>
      <c r="HM228" s="27">
        <v>12.700000000000001</v>
      </c>
      <c r="HN228" s="27">
        <v>12.700000000000001</v>
      </c>
      <c r="HO228" s="27">
        <v>12.700000000000001</v>
      </c>
      <c r="HP228" s="129">
        <v>24.3</v>
      </c>
      <c r="HR228" s="27">
        <v>12.700000000000001</v>
      </c>
      <c r="HS228" s="27">
        <v>12.700000000000001</v>
      </c>
      <c r="HT228" s="27">
        <v>12.700000000000001</v>
      </c>
      <c r="HU228" s="27">
        <v>12.700000000000001</v>
      </c>
      <c r="HV228" s="27">
        <v>12.700000000000001</v>
      </c>
      <c r="HW228" s="27">
        <v>12.700000000000001</v>
      </c>
      <c r="HX228" s="27">
        <v>12.700000000000001</v>
      </c>
      <c r="HY228" s="27">
        <v>12.700000000000001</v>
      </c>
      <c r="HZ228" s="27">
        <v>12.700000000000001</v>
      </c>
      <c r="IA228" s="129">
        <v>24.3</v>
      </c>
    </row>
    <row r="229" spans="15:235" ht="14.45" customHeight="1">
      <c r="O229" s="17"/>
      <c r="P229" s="17"/>
      <c r="Q229" s="17"/>
      <c r="R229" s="17"/>
      <c r="S229" s="17"/>
      <c r="T229" s="17"/>
      <c r="U229" s="17"/>
      <c r="V229" s="17"/>
      <c r="W229" s="17"/>
      <c r="X229" s="129">
        <v>22.4</v>
      </c>
      <c r="Y229" s="27"/>
      <c r="AI229" s="129">
        <v>22.4</v>
      </c>
      <c r="AK229" s="129">
        <v>8.6000000000000014</v>
      </c>
      <c r="AL229" s="129">
        <v>8.6000000000000014</v>
      </c>
      <c r="AM229" s="129">
        <v>8.6000000000000014</v>
      </c>
      <c r="AN229" s="129">
        <v>8.6000000000000014</v>
      </c>
      <c r="AO229" s="129">
        <v>8.6000000000000014</v>
      </c>
      <c r="AP229" s="129">
        <v>8.6000000000000014</v>
      </c>
      <c r="AQ229" s="129">
        <v>8.6000000000000014</v>
      </c>
      <c r="AR229" s="129">
        <v>8.6000000000000014</v>
      </c>
      <c r="AS229" s="129">
        <v>8.6000000000000014</v>
      </c>
      <c r="AT229" s="129">
        <v>22.4</v>
      </c>
      <c r="AV229" s="129">
        <v>11.200000000000003</v>
      </c>
      <c r="AW229" s="129">
        <v>11.200000000000003</v>
      </c>
      <c r="AX229" s="129">
        <v>11.200000000000003</v>
      </c>
      <c r="AY229" s="129">
        <v>11.200000000000003</v>
      </c>
      <c r="AZ229" s="129">
        <v>11.200000000000003</v>
      </c>
      <c r="BA229" s="129">
        <v>11.200000000000003</v>
      </c>
      <c r="BB229" s="129">
        <v>11.200000000000003</v>
      </c>
      <c r="BC229" s="129">
        <v>11.200000000000003</v>
      </c>
      <c r="BD229" s="129">
        <v>11.200000000000003</v>
      </c>
      <c r="BE229" s="129">
        <v>22.4</v>
      </c>
      <c r="BG229" s="129">
        <v>14.600000000000001</v>
      </c>
      <c r="BH229" s="129">
        <v>14.600000000000001</v>
      </c>
      <c r="BI229" s="129">
        <v>14.600000000000001</v>
      </c>
      <c r="BJ229" s="129">
        <v>14.600000000000001</v>
      </c>
      <c r="BK229" s="129">
        <v>14.600000000000001</v>
      </c>
      <c r="BL229" s="129">
        <v>14.600000000000001</v>
      </c>
      <c r="BM229" s="129">
        <v>14.600000000000001</v>
      </c>
      <c r="BN229" s="129">
        <v>14.600000000000001</v>
      </c>
      <c r="BO229" s="129">
        <v>14.600000000000001</v>
      </c>
      <c r="BP229" s="129">
        <v>22.4</v>
      </c>
      <c r="BR229" s="129">
        <v>14.600000000000001</v>
      </c>
      <c r="BS229" s="129">
        <v>14.600000000000001</v>
      </c>
      <c r="BT229" s="129">
        <v>14.600000000000001</v>
      </c>
      <c r="BU229" s="129">
        <v>14.600000000000001</v>
      </c>
      <c r="BV229" s="129">
        <v>14.600000000000001</v>
      </c>
      <c r="BW229" s="129">
        <v>14.600000000000001</v>
      </c>
      <c r="BX229" s="129">
        <v>14.600000000000001</v>
      </c>
      <c r="BY229" s="129">
        <v>14.600000000000001</v>
      </c>
      <c r="BZ229" s="129">
        <v>14.600000000000001</v>
      </c>
      <c r="CA229" s="129">
        <v>22.4</v>
      </c>
      <c r="CC229" s="129">
        <v>8.6000000000000014</v>
      </c>
      <c r="CD229" s="129">
        <v>8.6000000000000014</v>
      </c>
      <c r="CE229" s="129">
        <v>8.6000000000000014</v>
      </c>
      <c r="CF229" s="129">
        <v>8.6000000000000014</v>
      </c>
      <c r="CG229" s="129">
        <v>8.6000000000000014</v>
      </c>
      <c r="CH229" s="129">
        <v>8.6000000000000014</v>
      </c>
      <c r="CI229" s="129">
        <v>8.6000000000000014</v>
      </c>
      <c r="CJ229" s="129">
        <v>8.6000000000000014</v>
      </c>
      <c r="CK229" s="129">
        <v>8.6000000000000014</v>
      </c>
      <c r="CL229" s="129">
        <v>22.4</v>
      </c>
      <c r="CN229" s="129">
        <v>10</v>
      </c>
      <c r="CO229" s="129">
        <v>10</v>
      </c>
      <c r="CP229" s="129">
        <v>10</v>
      </c>
      <c r="CQ229" s="129">
        <v>10</v>
      </c>
      <c r="CR229" s="129">
        <v>10</v>
      </c>
      <c r="CS229" s="129">
        <v>10</v>
      </c>
      <c r="CT229" s="129">
        <v>10</v>
      </c>
      <c r="CU229" s="129">
        <v>10</v>
      </c>
      <c r="CV229" s="129">
        <v>10</v>
      </c>
      <c r="CW229" s="129">
        <v>22.4</v>
      </c>
      <c r="CY229" s="129">
        <v>14</v>
      </c>
      <c r="CZ229" s="129">
        <v>14</v>
      </c>
      <c r="DA229" s="129">
        <v>14</v>
      </c>
      <c r="DB229" s="129">
        <v>14</v>
      </c>
      <c r="DC229" s="129">
        <v>14</v>
      </c>
      <c r="DD229" s="129">
        <v>14</v>
      </c>
      <c r="DE229" s="129">
        <v>14</v>
      </c>
      <c r="DF229" s="129">
        <v>14</v>
      </c>
      <c r="DG229" s="129">
        <v>14</v>
      </c>
      <c r="DH229" s="129">
        <v>22.4</v>
      </c>
      <c r="DJ229" s="129">
        <v>14</v>
      </c>
      <c r="DK229" s="129">
        <v>14</v>
      </c>
      <c r="DL229" s="129">
        <v>14</v>
      </c>
      <c r="DM229" s="129">
        <v>14</v>
      </c>
      <c r="DN229" s="129">
        <v>14</v>
      </c>
      <c r="DO229" s="129">
        <v>14</v>
      </c>
      <c r="DP229" s="129">
        <v>14</v>
      </c>
      <c r="DQ229" s="129">
        <v>14</v>
      </c>
      <c r="DR229" s="129">
        <v>14</v>
      </c>
      <c r="DS229" s="129">
        <v>22.4</v>
      </c>
      <c r="EH229" s="27">
        <v>5.6000000000000014</v>
      </c>
      <c r="EI229" s="27">
        <v>5.6000000000000014</v>
      </c>
      <c r="EJ229" s="27">
        <v>5.6000000000000014</v>
      </c>
      <c r="EK229" s="27">
        <v>5.6000000000000014</v>
      </c>
      <c r="EL229" s="27">
        <v>5.6000000000000014</v>
      </c>
      <c r="EM229" s="27">
        <v>5.6000000000000014</v>
      </c>
      <c r="EN229" s="27">
        <v>5.6000000000000014</v>
      </c>
      <c r="EO229" s="27">
        <v>5.6000000000000014</v>
      </c>
      <c r="EP229" s="27">
        <v>5.6000000000000014</v>
      </c>
      <c r="EQ229" s="129">
        <v>24.4</v>
      </c>
      <c r="ES229" s="27">
        <v>15.200000000000003</v>
      </c>
      <c r="ET229" s="27">
        <v>15.200000000000003</v>
      </c>
      <c r="EU229" s="27">
        <v>15.200000000000003</v>
      </c>
      <c r="EV229" s="27">
        <v>15.200000000000003</v>
      </c>
      <c r="EW229" s="27">
        <v>15.200000000000003</v>
      </c>
      <c r="EX229" s="27">
        <v>15.200000000000003</v>
      </c>
      <c r="EY229" s="27">
        <v>15.200000000000003</v>
      </c>
      <c r="EZ229" s="27">
        <v>15.200000000000003</v>
      </c>
      <c r="FA229" s="27">
        <v>15.200000000000003</v>
      </c>
      <c r="FB229" s="129">
        <v>24.4</v>
      </c>
      <c r="FD229" s="27">
        <v>20.200000000000003</v>
      </c>
      <c r="FE229" s="27">
        <v>20.200000000000003</v>
      </c>
      <c r="FF229" s="27">
        <v>20.200000000000003</v>
      </c>
      <c r="FG229" s="27">
        <v>20.200000000000003</v>
      </c>
      <c r="FH229" s="27">
        <v>20.200000000000003</v>
      </c>
      <c r="FI229" s="27">
        <v>20.200000000000003</v>
      </c>
      <c r="FJ229" s="27">
        <v>20.200000000000003</v>
      </c>
      <c r="FK229" s="27">
        <v>20.200000000000003</v>
      </c>
      <c r="FL229" s="27">
        <v>20.200000000000003</v>
      </c>
      <c r="FM229" s="129">
        <v>24.4</v>
      </c>
      <c r="FO229" s="27">
        <v>27.400000000000006</v>
      </c>
      <c r="FP229" s="27">
        <v>27.400000000000006</v>
      </c>
      <c r="FQ229" s="27">
        <v>27.400000000000006</v>
      </c>
      <c r="FR229" s="27">
        <v>27.400000000000006</v>
      </c>
      <c r="FS229" s="27">
        <v>27.400000000000006</v>
      </c>
      <c r="FT229" s="27">
        <v>27.400000000000006</v>
      </c>
      <c r="FU229" s="27">
        <v>27.400000000000006</v>
      </c>
      <c r="FV229" s="27">
        <v>27.400000000000006</v>
      </c>
      <c r="FW229" s="27">
        <v>27.400000000000006</v>
      </c>
      <c r="FX229" s="129">
        <v>24.4</v>
      </c>
      <c r="FZ229" s="27">
        <v>27.400000000000006</v>
      </c>
      <c r="GA229" s="27">
        <v>27.400000000000006</v>
      </c>
      <c r="GB229" s="27">
        <v>27.400000000000006</v>
      </c>
      <c r="GC229" s="27">
        <v>27.400000000000006</v>
      </c>
      <c r="GD229" s="27">
        <v>27.400000000000006</v>
      </c>
      <c r="GE229" s="27">
        <v>27.400000000000006</v>
      </c>
      <c r="GF229" s="27">
        <v>27.400000000000006</v>
      </c>
      <c r="GG229" s="27">
        <v>27.400000000000006</v>
      </c>
      <c r="GH229" s="27">
        <v>27.400000000000006</v>
      </c>
      <c r="GI229" s="129">
        <v>24.4</v>
      </c>
      <c r="GJ229" s="27"/>
      <c r="GK229" s="27">
        <v>8</v>
      </c>
      <c r="GL229" s="27">
        <v>8</v>
      </c>
      <c r="GM229" s="27">
        <v>8</v>
      </c>
      <c r="GN229" s="27">
        <v>8</v>
      </c>
      <c r="GO229" s="27">
        <v>8</v>
      </c>
      <c r="GP229" s="27">
        <v>8</v>
      </c>
      <c r="GQ229" s="27">
        <v>8</v>
      </c>
      <c r="GR229" s="27">
        <v>8</v>
      </c>
      <c r="GS229" s="27">
        <v>8</v>
      </c>
      <c r="GT229" s="129">
        <v>24.4</v>
      </c>
      <c r="GV229" s="27">
        <v>9</v>
      </c>
      <c r="GW229" s="27">
        <v>9</v>
      </c>
      <c r="GX229" s="27">
        <v>9</v>
      </c>
      <c r="GY229" s="27">
        <v>9</v>
      </c>
      <c r="GZ229" s="27">
        <v>9</v>
      </c>
      <c r="HA229" s="27">
        <v>9</v>
      </c>
      <c r="HB229" s="27">
        <v>9</v>
      </c>
      <c r="HC229" s="27">
        <v>9</v>
      </c>
      <c r="HD229" s="27">
        <v>9</v>
      </c>
      <c r="HE229" s="129">
        <v>24.4</v>
      </c>
      <c r="HG229" s="27">
        <v>12.600000000000001</v>
      </c>
      <c r="HH229" s="27">
        <v>12.600000000000001</v>
      </c>
      <c r="HI229" s="27">
        <v>12.600000000000001</v>
      </c>
      <c r="HJ229" s="27">
        <v>12.600000000000001</v>
      </c>
      <c r="HK229" s="27">
        <v>12.600000000000001</v>
      </c>
      <c r="HL229" s="27">
        <v>12.600000000000001</v>
      </c>
      <c r="HM229" s="27">
        <v>12.600000000000001</v>
      </c>
      <c r="HN229" s="27">
        <v>12.600000000000001</v>
      </c>
      <c r="HO229" s="27">
        <v>12.600000000000001</v>
      </c>
      <c r="HP229" s="129">
        <v>24.4</v>
      </c>
      <c r="HR229" s="27">
        <v>12.600000000000001</v>
      </c>
      <c r="HS229" s="27">
        <v>12.600000000000001</v>
      </c>
      <c r="HT229" s="27">
        <v>12.600000000000001</v>
      </c>
      <c r="HU229" s="27">
        <v>12.600000000000001</v>
      </c>
      <c r="HV229" s="27">
        <v>12.600000000000001</v>
      </c>
      <c r="HW229" s="27">
        <v>12.600000000000001</v>
      </c>
      <c r="HX229" s="27">
        <v>12.600000000000001</v>
      </c>
      <c r="HY229" s="27">
        <v>12.600000000000001</v>
      </c>
      <c r="HZ229" s="27">
        <v>12.600000000000001</v>
      </c>
      <c r="IA229" s="129">
        <v>24.4</v>
      </c>
    </row>
    <row r="230" spans="15:235" ht="14.45" customHeight="1">
      <c r="O230" s="17"/>
      <c r="P230" s="17"/>
      <c r="Q230" s="17"/>
      <c r="R230" s="17"/>
      <c r="S230" s="17"/>
      <c r="T230" s="17"/>
      <c r="U230" s="17"/>
      <c r="V230" s="17"/>
      <c r="W230" s="17"/>
      <c r="X230" s="129">
        <v>22.5</v>
      </c>
      <c r="Y230" s="27"/>
      <c r="AI230" s="129">
        <v>22.5</v>
      </c>
      <c r="AK230" s="129">
        <v>8.5000000000000018</v>
      </c>
      <c r="AL230" s="129">
        <v>8.5000000000000018</v>
      </c>
      <c r="AM230" s="129">
        <v>8.5000000000000018</v>
      </c>
      <c r="AN230" s="129">
        <v>8.5000000000000018</v>
      </c>
      <c r="AO230" s="129">
        <v>8.5000000000000018</v>
      </c>
      <c r="AP230" s="129">
        <v>8.5000000000000018</v>
      </c>
      <c r="AQ230" s="129">
        <v>8.5000000000000018</v>
      </c>
      <c r="AR230" s="129">
        <v>8.5000000000000018</v>
      </c>
      <c r="AS230" s="129">
        <v>8.5000000000000018</v>
      </c>
      <c r="AT230" s="129">
        <v>22.5</v>
      </c>
      <c r="AV230" s="129">
        <v>11.000000000000004</v>
      </c>
      <c r="AW230" s="129">
        <v>11.000000000000004</v>
      </c>
      <c r="AX230" s="129">
        <v>11.000000000000004</v>
      </c>
      <c r="AY230" s="129">
        <v>11.000000000000004</v>
      </c>
      <c r="AZ230" s="129">
        <v>11.000000000000004</v>
      </c>
      <c r="BA230" s="129">
        <v>11.000000000000004</v>
      </c>
      <c r="BB230" s="129">
        <v>11.000000000000004</v>
      </c>
      <c r="BC230" s="129">
        <v>11.000000000000004</v>
      </c>
      <c r="BD230" s="129">
        <v>11.000000000000004</v>
      </c>
      <c r="BE230" s="129">
        <v>22.5</v>
      </c>
      <c r="BG230" s="129">
        <v>14.500000000000002</v>
      </c>
      <c r="BH230" s="129">
        <v>14.500000000000002</v>
      </c>
      <c r="BI230" s="129">
        <v>14.500000000000002</v>
      </c>
      <c r="BJ230" s="129">
        <v>14.500000000000002</v>
      </c>
      <c r="BK230" s="129">
        <v>14.500000000000002</v>
      </c>
      <c r="BL230" s="129">
        <v>14.500000000000002</v>
      </c>
      <c r="BM230" s="129">
        <v>14.500000000000002</v>
      </c>
      <c r="BN230" s="129">
        <v>14.500000000000002</v>
      </c>
      <c r="BO230" s="129">
        <v>14.500000000000002</v>
      </c>
      <c r="BP230" s="129">
        <v>22.5</v>
      </c>
      <c r="BR230" s="129">
        <v>14.500000000000002</v>
      </c>
      <c r="BS230" s="129">
        <v>14.500000000000002</v>
      </c>
      <c r="BT230" s="129">
        <v>14.500000000000002</v>
      </c>
      <c r="BU230" s="129">
        <v>14.500000000000002</v>
      </c>
      <c r="BV230" s="129">
        <v>14.500000000000002</v>
      </c>
      <c r="BW230" s="129">
        <v>14.500000000000002</v>
      </c>
      <c r="BX230" s="129">
        <v>14.500000000000002</v>
      </c>
      <c r="BY230" s="129">
        <v>14.500000000000002</v>
      </c>
      <c r="BZ230" s="129">
        <v>14.500000000000002</v>
      </c>
      <c r="CA230" s="129">
        <v>22.5</v>
      </c>
      <c r="CC230" s="129">
        <v>8.5000000000000018</v>
      </c>
      <c r="CD230" s="129">
        <v>8.5000000000000018</v>
      </c>
      <c r="CE230" s="129">
        <v>8.5000000000000018</v>
      </c>
      <c r="CF230" s="129">
        <v>8.5000000000000018</v>
      </c>
      <c r="CG230" s="129">
        <v>8.5000000000000018</v>
      </c>
      <c r="CH230" s="129">
        <v>8.5000000000000018</v>
      </c>
      <c r="CI230" s="129">
        <v>8.5000000000000018</v>
      </c>
      <c r="CJ230" s="129">
        <v>8.5000000000000018</v>
      </c>
      <c r="CK230" s="129">
        <v>8.5000000000000018</v>
      </c>
      <c r="CL230" s="129">
        <v>22.5</v>
      </c>
      <c r="CN230" s="129">
        <v>10</v>
      </c>
      <c r="CO230" s="129">
        <v>10</v>
      </c>
      <c r="CP230" s="129">
        <v>10</v>
      </c>
      <c r="CQ230" s="129">
        <v>10</v>
      </c>
      <c r="CR230" s="129">
        <v>10</v>
      </c>
      <c r="CS230" s="129">
        <v>10</v>
      </c>
      <c r="CT230" s="129">
        <v>10</v>
      </c>
      <c r="CU230" s="129">
        <v>10</v>
      </c>
      <c r="CV230" s="129">
        <v>10</v>
      </c>
      <c r="CW230" s="129">
        <v>22.5</v>
      </c>
      <c r="CY230" s="129">
        <v>14</v>
      </c>
      <c r="CZ230" s="129">
        <v>14</v>
      </c>
      <c r="DA230" s="129">
        <v>14</v>
      </c>
      <c r="DB230" s="129">
        <v>14</v>
      </c>
      <c r="DC230" s="129">
        <v>14</v>
      </c>
      <c r="DD230" s="129">
        <v>14</v>
      </c>
      <c r="DE230" s="129">
        <v>14</v>
      </c>
      <c r="DF230" s="129">
        <v>14</v>
      </c>
      <c r="DG230" s="129">
        <v>14</v>
      </c>
      <c r="DH230" s="129">
        <v>22.5</v>
      </c>
      <c r="DJ230" s="129">
        <v>14</v>
      </c>
      <c r="DK230" s="129">
        <v>14</v>
      </c>
      <c r="DL230" s="129">
        <v>14</v>
      </c>
      <c r="DM230" s="129">
        <v>14</v>
      </c>
      <c r="DN230" s="129">
        <v>14</v>
      </c>
      <c r="DO230" s="129">
        <v>14</v>
      </c>
      <c r="DP230" s="129">
        <v>14</v>
      </c>
      <c r="DQ230" s="129">
        <v>14</v>
      </c>
      <c r="DR230" s="129">
        <v>14</v>
      </c>
      <c r="DS230" s="129">
        <v>22.5</v>
      </c>
      <c r="EH230" s="27">
        <v>5.5000000000000018</v>
      </c>
      <c r="EI230" s="27">
        <v>5.5000000000000018</v>
      </c>
      <c r="EJ230" s="27">
        <v>5.5000000000000018</v>
      </c>
      <c r="EK230" s="27">
        <v>5.5000000000000018</v>
      </c>
      <c r="EL230" s="27">
        <v>5.5000000000000018</v>
      </c>
      <c r="EM230" s="27">
        <v>5.5000000000000018</v>
      </c>
      <c r="EN230" s="27">
        <v>5.5000000000000018</v>
      </c>
      <c r="EO230" s="27">
        <v>5.5000000000000018</v>
      </c>
      <c r="EP230" s="27">
        <v>5.5000000000000018</v>
      </c>
      <c r="EQ230" s="129">
        <v>24.5</v>
      </c>
      <c r="ES230" s="27">
        <v>15.000000000000004</v>
      </c>
      <c r="ET230" s="27">
        <v>15.000000000000004</v>
      </c>
      <c r="EU230" s="27">
        <v>15.000000000000004</v>
      </c>
      <c r="EV230" s="27">
        <v>15.000000000000004</v>
      </c>
      <c r="EW230" s="27">
        <v>15.000000000000004</v>
      </c>
      <c r="EX230" s="27">
        <v>15.000000000000004</v>
      </c>
      <c r="EY230" s="27">
        <v>15.000000000000004</v>
      </c>
      <c r="EZ230" s="27">
        <v>15.000000000000004</v>
      </c>
      <c r="FA230" s="27">
        <v>15.000000000000004</v>
      </c>
      <c r="FB230" s="129">
        <v>24.5</v>
      </c>
      <c r="FD230" s="27">
        <v>20.000000000000004</v>
      </c>
      <c r="FE230" s="27">
        <v>20.000000000000004</v>
      </c>
      <c r="FF230" s="27">
        <v>20.000000000000004</v>
      </c>
      <c r="FG230" s="27">
        <v>20.000000000000004</v>
      </c>
      <c r="FH230" s="27">
        <v>20.000000000000004</v>
      </c>
      <c r="FI230" s="27">
        <v>20.000000000000004</v>
      </c>
      <c r="FJ230" s="27">
        <v>20.000000000000004</v>
      </c>
      <c r="FK230" s="27">
        <v>20.000000000000004</v>
      </c>
      <c r="FL230" s="27">
        <v>20.000000000000004</v>
      </c>
      <c r="FM230" s="129">
        <v>24.5</v>
      </c>
      <c r="FO230" s="27">
        <v>27.000000000000007</v>
      </c>
      <c r="FP230" s="27">
        <v>27.000000000000007</v>
      </c>
      <c r="FQ230" s="27">
        <v>27.000000000000007</v>
      </c>
      <c r="FR230" s="27">
        <v>27.000000000000007</v>
      </c>
      <c r="FS230" s="27">
        <v>27.000000000000007</v>
      </c>
      <c r="FT230" s="27">
        <v>27.000000000000007</v>
      </c>
      <c r="FU230" s="27">
        <v>27.000000000000007</v>
      </c>
      <c r="FV230" s="27">
        <v>27.000000000000007</v>
      </c>
      <c r="FW230" s="27">
        <v>27.000000000000007</v>
      </c>
      <c r="FX230" s="129">
        <v>24.5</v>
      </c>
      <c r="FZ230" s="27">
        <v>27.000000000000007</v>
      </c>
      <c r="GA230" s="27">
        <v>27.000000000000007</v>
      </c>
      <c r="GB230" s="27">
        <v>27.000000000000007</v>
      </c>
      <c r="GC230" s="27">
        <v>27.000000000000007</v>
      </c>
      <c r="GD230" s="27">
        <v>27.000000000000007</v>
      </c>
      <c r="GE230" s="27">
        <v>27.000000000000007</v>
      </c>
      <c r="GF230" s="27">
        <v>27.000000000000007</v>
      </c>
      <c r="GG230" s="27">
        <v>27.000000000000007</v>
      </c>
      <c r="GH230" s="27">
        <v>27.000000000000007</v>
      </c>
      <c r="GI230" s="129">
        <v>24.5</v>
      </c>
      <c r="GJ230" s="27"/>
      <c r="GK230" s="27">
        <v>8</v>
      </c>
      <c r="GL230" s="27">
        <v>8</v>
      </c>
      <c r="GM230" s="27">
        <v>8</v>
      </c>
      <c r="GN230" s="27">
        <v>8</v>
      </c>
      <c r="GO230" s="27">
        <v>8</v>
      </c>
      <c r="GP230" s="27">
        <v>8</v>
      </c>
      <c r="GQ230" s="27">
        <v>8</v>
      </c>
      <c r="GR230" s="27">
        <v>8</v>
      </c>
      <c r="GS230" s="27">
        <v>8</v>
      </c>
      <c r="GT230" s="129">
        <v>24.5</v>
      </c>
      <c r="GV230" s="27">
        <v>9</v>
      </c>
      <c r="GW230" s="27">
        <v>9</v>
      </c>
      <c r="GX230" s="27">
        <v>9</v>
      </c>
      <c r="GY230" s="27">
        <v>9</v>
      </c>
      <c r="GZ230" s="27">
        <v>9</v>
      </c>
      <c r="HA230" s="27">
        <v>9</v>
      </c>
      <c r="HB230" s="27">
        <v>9</v>
      </c>
      <c r="HC230" s="27">
        <v>9</v>
      </c>
      <c r="HD230" s="27">
        <v>9</v>
      </c>
      <c r="HE230" s="129">
        <v>24.5</v>
      </c>
      <c r="HG230" s="27">
        <v>12.500000000000002</v>
      </c>
      <c r="HH230" s="27">
        <v>12.500000000000002</v>
      </c>
      <c r="HI230" s="27">
        <v>12.500000000000002</v>
      </c>
      <c r="HJ230" s="27">
        <v>12.500000000000002</v>
      </c>
      <c r="HK230" s="27">
        <v>12.500000000000002</v>
      </c>
      <c r="HL230" s="27">
        <v>12.500000000000002</v>
      </c>
      <c r="HM230" s="27">
        <v>12.500000000000002</v>
      </c>
      <c r="HN230" s="27">
        <v>12.500000000000002</v>
      </c>
      <c r="HO230" s="27">
        <v>12.500000000000002</v>
      </c>
      <c r="HP230" s="129">
        <v>24.5</v>
      </c>
      <c r="HR230" s="27">
        <v>12.500000000000002</v>
      </c>
      <c r="HS230" s="27">
        <v>12.500000000000002</v>
      </c>
      <c r="HT230" s="27">
        <v>12.500000000000002</v>
      </c>
      <c r="HU230" s="27">
        <v>12.500000000000002</v>
      </c>
      <c r="HV230" s="27">
        <v>12.500000000000002</v>
      </c>
      <c r="HW230" s="27">
        <v>12.500000000000002</v>
      </c>
      <c r="HX230" s="27">
        <v>12.500000000000002</v>
      </c>
      <c r="HY230" s="27">
        <v>12.500000000000002</v>
      </c>
      <c r="HZ230" s="27">
        <v>12.500000000000002</v>
      </c>
      <c r="IA230" s="129">
        <v>24.5</v>
      </c>
    </row>
    <row r="231" spans="15:235" ht="14.45" customHeight="1">
      <c r="O231" s="17"/>
      <c r="P231" s="17"/>
      <c r="Q231" s="17"/>
      <c r="R231" s="17"/>
      <c r="S231" s="17"/>
      <c r="T231" s="17"/>
      <c r="U231" s="17"/>
      <c r="V231" s="17"/>
      <c r="W231" s="17"/>
      <c r="X231" s="129">
        <v>22.6</v>
      </c>
      <c r="Y231" s="27"/>
      <c r="AI231" s="129">
        <v>22.6</v>
      </c>
      <c r="AK231" s="129">
        <v>8.4000000000000021</v>
      </c>
      <c r="AL231" s="129">
        <v>8.4000000000000021</v>
      </c>
      <c r="AM231" s="129">
        <v>8.4000000000000021</v>
      </c>
      <c r="AN231" s="129">
        <v>8.4000000000000021</v>
      </c>
      <c r="AO231" s="129">
        <v>8.4000000000000021</v>
      </c>
      <c r="AP231" s="129">
        <v>8.4000000000000021</v>
      </c>
      <c r="AQ231" s="129">
        <v>8.4000000000000021</v>
      </c>
      <c r="AR231" s="129">
        <v>8.4000000000000021</v>
      </c>
      <c r="AS231" s="129">
        <v>8.4000000000000021</v>
      </c>
      <c r="AT231" s="129">
        <v>22.6</v>
      </c>
      <c r="AV231" s="129">
        <v>10.800000000000004</v>
      </c>
      <c r="AW231" s="129">
        <v>10.800000000000004</v>
      </c>
      <c r="AX231" s="129">
        <v>10.800000000000004</v>
      </c>
      <c r="AY231" s="129">
        <v>10.800000000000004</v>
      </c>
      <c r="AZ231" s="129">
        <v>10.800000000000004</v>
      </c>
      <c r="BA231" s="129">
        <v>10.800000000000004</v>
      </c>
      <c r="BB231" s="129">
        <v>10.800000000000004</v>
      </c>
      <c r="BC231" s="129">
        <v>10.800000000000004</v>
      </c>
      <c r="BD231" s="129">
        <v>10.800000000000004</v>
      </c>
      <c r="BE231" s="129">
        <v>22.6</v>
      </c>
      <c r="BG231" s="129">
        <v>14.400000000000002</v>
      </c>
      <c r="BH231" s="129">
        <v>14.400000000000002</v>
      </c>
      <c r="BI231" s="129">
        <v>14.400000000000002</v>
      </c>
      <c r="BJ231" s="129">
        <v>14.400000000000002</v>
      </c>
      <c r="BK231" s="129">
        <v>14.400000000000002</v>
      </c>
      <c r="BL231" s="129">
        <v>14.400000000000002</v>
      </c>
      <c r="BM231" s="129">
        <v>14.400000000000002</v>
      </c>
      <c r="BN231" s="129">
        <v>14.400000000000002</v>
      </c>
      <c r="BO231" s="129">
        <v>14.400000000000002</v>
      </c>
      <c r="BP231" s="129">
        <v>22.6</v>
      </c>
      <c r="BR231" s="129">
        <v>14.400000000000002</v>
      </c>
      <c r="BS231" s="129">
        <v>14.400000000000002</v>
      </c>
      <c r="BT231" s="129">
        <v>14.400000000000002</v>
      </c>
      <c r="BU231" s="129">
        <v>14.400000000000002</v>
      </c>
      <c r="BV231" s="129">
        <v>14.400000000000002</v>
      </c>
      <c r="BW231" s="129">
        <v>14.400000000000002</v>
      </c>
      <c r="BX231" s="129">
        <v>14.400000000000002</v>
      </c>
      <c r="BY231" s="129">
        <v>14.400000000000002</v>
      </c>
      <c r="BZ231" s="129">
        <v>14.400000000000002</v>
      </c>
      <c r="CA231" s="129">
        <v>22.6</v>
      </c>
      <c r="CC231" s="129">
        <v>8.4000000000000021</v>
      </c>
      <c r="CD231" s="129">
        <v>8.4000000000000021</v>
      </c>
      <c r="CE231" s="129">
        <v>8.4000000000000021</v>
      </c>
      <c r="CF231" s="129">
        <v>8.4000000000000021</v>
      </c>
      <c r="CG231" s="129">
        <v>8.4000000000000021</v>
      </c>
      <c r="CH231" s="129">
        <v>8.4000000000000021</v>
      </c>
      <c r="CI231" s="129">
        <v>8.4000000000000021</v>
      </c>
      <c r="CJ231" s="129">
        <v>8.4000000000000021</v>
      </c>
      <c r="CK231" s="129">
        <v>8.4000000000000021</v>
      </c>
      <c r="CL231" s="129">
        <v>22.6</v>
      </c>
      <c r="CN231" s="129">
        <v>10</v>
      </c>
      <c r="CO231" s="129">
        <v>10</v>
      </c>
      <c r="CP231" s="129">
        <v>10</v>
      </c>
      <c r="CQ231" s="129">
        <v>10</v>
      </c>
      <c r="CR231" s="129">
        <v>10</v>
      </c>
      <c r="CS231" s="129">
        <v>10</v>
      </c>
      <c r="CT231" s="129">
        <v>10</v>
      </c>
      <c r="CU231" s="129">
        <v>10</v>
      </c>
      <c r="CV231" s="129">
        <v>10</v>
      </c>
      <c r="CW231" s="129">
        <v>22.6</v>
      </c>
      <c r="CY231" s="129">
        <v>14</v>
      </c>
      <c r="CZ231" s="129">
        <v>14</v>
      </c>
      <c r="DA231" s="129">
        <v>14</v>
      </c>
      <c r="DB231" s="129">
        <v>14</v>
      </c>
      <c r="DC231" s="129">
        <v>14</v>
      </c>
      <c r="DD231" s="129">
        <v>14</v>
      </c>
      <c r="DE231" s="129">
        <v>14</v>
      </c>
      <c r="DF231" s="129">
        <v>14</v>
      </c>
      <c r="DG231" s="129">
        <v>14</v>
      </c>
      <c r="DH231" s="129">
        <v>22.6</v>
      </c>
      <c r="DJ231" s="129">
        <v>14</v>
      </c>
      <c r="DK231" s="129">
        <v>14</v>
      </c>
      <c r="DL231" s="129">
        <v>14</v>
      </c>
      <c r="DM231" s="129">
        <v>14</v>
      </c>
      <c r="DN231" s="129">
        <v>14</v>
      </c>
      <c r="DO231" s="129">
        <v>14</v>
      </c>
      <c r="DP231" s="129">
        <v>14</v>
      </c>
      <c r="DQ231" s="129">
        <v>14</v>
      </c>
      <c r="DR231" s="129">
        <v>14</v>
      </c>
      <c r="DS231" s="129">
        <v>22.6</v>
      </c>
      <c r="EH231" s="27">
        <v>5.4000000000000021</v>
      </c>
      <c r="EI231" s="27">
        <v>5.4000000000000021</v>
      </c>
      <c r="EJ231" s="27">
        <v>5.4000000000000021</v>
      </c>
      <c r="EK231" s="27">
        <v>5.4000000000000021</v>
      </c>
      <c r="EL231" s="27">
        <v>5.4000000000000021</v>
      </c>
      <c r="EM231" s="27">
        <v>5.4000000000000021</v>
      </c>
      <c r="EN231" s="27">
        <v>5.4000000000000021</v>
      </c>
      <c r="EO231" s="27">
        <v>5.4000000000000021</v>
      </c>
      <c r="EP231" s="27">
        <v>5.4000000000000021</v>
      </c>
      <c r="EQ231" s="129">
        <v>24.6</v>
      </c>
      <c r="ES231" s="27">
        <v>14.800000000000004</v>
      </c>
      <c r="ET231" s="27">
        <v>14.800000000000004</v>
      </c>
      <c r="EU231" s="27">
        <v>14.800000000000004</v>
      </c>
      <c r="EV231" s="27">
        <v>14.800000000000004</v>
      </c>
      <c r="EW231" s="27">
        <v>14.800000000000004</v>
      </c>
      <c r="EX231" s="27">
        <v>14.800000000000004</v>
      </c>
      <c r="EY231" s="27">
        <v>14.800000000000004</v>
      </c>
      <c r="EZ231" s="27">
        <v>14.800000000000004</v>
      </c>
      <c r="FA231" s="27">
        <v>14.800000000000004</v>
      </c>
      <c r="FB231" s="129">
        <v>24.6</v>
      </c>
      <c r="FD231" s="27">
        <v>19.800000000000004</v>
      </c>
      <c r="FE231" s="27">
        <v>19.800000000000004</v>
      </c>
      <c r="FF231" s="27">
        <v>19.800000000000004</v>
      </c>
      <c r="FG231" s="27">
        <v>19.800000000000004</v>
      </c>
      <c r="FH231" s="27">
        <v>19.800000000000004</v>
      </c>
      <c r="FI231" s="27">
        <v>19.800000000000004</v>
      </c>
      <c r="FJ231" s="27">
        <v>19.800000000000004</v>
      </c>
      <c r="FK231" s="27">
        <v>19.800000000000004</v>
      </c>
      <c r="FL231" s="27">
        <v>19.800000000000004</v>
      </c>
      <c r="FM231" s="129">
        <v>24.6</v>
      </c>
      <c r="FO231" s="27">
        <v>26.600000000000009</v>
      </c>
      <c r="FP231" s="27">
        <v>26.600000000000009</v>
      </c>
      <c r="FQ231" s="27">
        <v>26.600000000000009</v>
      </c>
      <c r="FR231" s="27">
        <v>26.600000000000009</v>
      </c>
      <c r="FS231" s="27">
        <v>26.600000000000009</v>
      </c>
      <c r="FT231" s="27">
        <v>26.600000000000009</v>
      </c>
      <c r="FU231" s="27">
        <v>26.600000000000009</v>
      </c>
      <c r="FV231" s="27">
        <v>26.600000000000009</v>
      </c>
      <c r="FW231" s="27">
        <v>26.600000000000009</v>
      </c>
      <c r="FX231" s="129">
        <v>24.6</v>
      </c>
      <c r="FZ231" s="27">
        <v>26.600000000000009</v>
      </c>
      <c r="GA231" s="27">
        <v>26.600000000000009</v>
      </c>
      <c r="GB231" s="27">
        <v>26.600000000000009</v>
      </c>
      <c r="GC231" s="27">
        <v>26.600000000000009</v>
      </c>
      <c r="GD231" s="27">
        <v>26.600000000000009</v>
      </c>
      <c r="GE231" s="27">
        <v>26.600000000000009</v>
      </c>
      <c r="GF231" s="27">
        <v>26.600000000000009</v>
      </c>
      <c r="GG231" s="27">
        <v>26.600000000000009</v>
      </c>
      <c r="GH231" s="27">
        <v>26.600000000000009</v>
      </c>
      <c r="GI231" s="129">
        <v>24.6</v>
      </c>
      <c r="GJ231" s="27"/>
      <c r="GK231" s="27">
        <v>8</v>
      </c>
      <c r="GL231" s="27">
        <v>8</v>
      </c>
      <c r="GM231" s="27">
        <v>8</v>
      </c>
      <c r="GN231" s="27">
        <v>8</v>
      </c>
      <c r="GO231" s="27">
        <v>8</v>
      </c>
      <c r="GP231" s="27">
        <v>8</v>
      </c>
      <c r="GQ231" s="27">
        <v>8</v>
      </c>
      <c r="GR231" s="27">
        <v>8</v>
      </c>
      <c r="GS231" s="27">
        <v>8</v>
      </c>
      <c r="GT231" s="129">
        <v>24.6</v>
      </c>
      <c r="GV231" s="27">
        <v>9</v>
      </c>
      <c r="GW231" s="27">
        <v>9</v>
      </c>
      <c r="GX231" s="27">
        <v>9</v>
      </c>
      <c r="GY231" s="27">
        <v>9</v>
      </c>
      <c r="GZ231" s="27">
        <v>9</v>
      </c>
      <c r="HA231" s="27">
        <v>9</v>
      </c>
      <c r="HB231" s="27">
        <v>9</v>
      </c>
      <c r="HC231" s="27">
        <v>9</v>
      </c>
      <c r="HD231" s="27">
        <v>9</v>
      </c>
      <c r="HE231" s="129">
        <v>24.6</v>
      </c>
      <c r="HG231" s="27">
        <v>12.400000000000002</v>
      </c>
      <c r="HH231" s="27">
        <v>12.400000000000002</v>
      </c>
      <c r="HI231" s="27">
        <v>12.400000000000002</v>
      </c>
      <c r="HJ231" s="27">
        <v>12.400000000000002</v>
      </c>
      <c r="HK231" s="27">
        <v>12.400000000000002</v>
      </c>
      <c r="HL231" s="27">
        <v>12.400000000000002</v>
      </c>
      <c r="HM231" s="27">
        <v>12.400000000000002</v>
      </c>
      <c r="HN231" s="27">
        <v>12.400000000000002</v>
      </c>
      <c r="HO231" s="27">
        <v>12.400000000000002</v>
      </c>
      <c r="HP231" s="129">
        <v>24.6</v>
      </c>
      <c r="HR231" s="27">
        <v>12.400000000000002</v>
      </c>
      <c r="HS231" s="27">
        <v>12.400000000000002</v>
      </c>
      <c r="HT231" s="27">
        <v>12.400000000000002</v>
      </c>
      <c r="HU231" s="27">
        <v>12.400000000000002</v>
      </c>
      <c r="HV231" s="27">
        <v>12.400000000000002</v>
      </c>
      <c r="HW231" s="27">
        <v>12.400000000000002</v>
      </c>
      <c r="HX231" s="27">
        <v>12.400000000000002</v>
      </c>
      <c r="HY231" s="27">
        <v>12.400000000000002</v>
      </c>
      <c r="HZ231" s="27">
        <v>12.400000000000002</v>
      </c>
      <c r="IA231" s="129">
        <v>24.6</v>
      </c>
    </row>
    <row r="232" spans="15:235" ht="14.45" customHeight="1">
      <c r="O232" s="17"/>
      <c r="P232" s="17"/>
      <c r="Q232" s="17"/>
      <c r="R232" s="17"/>
      <c r="S232" s="17"/>
      <c r="T232" s="17"/>
      <c r="U232" s="17"/>
      <c r="V232" s="17"/>
      <c r="W232" s="17"/>
      <c r="X232" s="129">
        <v>22.7</v>
      </c>
      <c r="Y232" s="27"/>
      <c r="AI232" s="129">
        <v>22.7</v>
      </c>
      <c r="AK232" s="129">
        <v>8.3000000000000025</v>
      </c>
      <c r="AL232" s="129">
        <v>8.3000000000000025</v>
      </c>
      <c r="AM232" s="129">
        <v>8.3000000000000025</v>
      </c>
      <c r="AN232" s="129">
        <v>8.3000000000000025</v>
      </c>
      <c r="AO232" s="129">
        <v>8.3000000000000025</v>
      </c>
      <c r="AP232" s="129">
        <v>8.3000000000000025</v>
      </c>
      <c r="AQ232" s="129">
        <v>8.3000000000000025</v>
      </c>
      <c r="AR232" s="129">
        <v>8.3000000000000025</v>
      </c>
      <c r="AS232" s="129">
        <v>8.3000000000000025</v>
      </c>
      <c r="AT232" s="129">
        <v>22.7</v>
      </c>
      <c r="AV232" s="129">
        <v>10.600000000000005</v>
      </c>
      <c r="AW232" s="129">
        <v>10.600000000000005</v>
      </c>
      <c r="AX232" s="129">
        <v>10.600000000000005</v>
      </c>
      <c r="AY232" s="129">
        <v>10.600000000000005</v>
      </c>
      <c r="AZ232" s="129">
        <v>10.600000000000005</v>
      </c>
      <c r="BA232" s="129">
        <v>10.600000000000005</v>
      </c>
      <c r="BB232" s="129">
        <v>10.600000000000005</v>
      </c>
      <c r="BC232" s="129">
        <v>10.600000000000005</v>
      </c>
      <c r="BD232" s="129">
        <v>10.600000000000005</v>
      </c>
      <c r="BE232" s="129">
        <v>22.7</v>
      </c>
      <c r="BG232" s="129">
        <v>14.300000000000002</v>
      </c>
      <c r="BH232" s="129">
        <v>14.300000000000002</v>
      </c>
      <c r="BI232" s="129">
        <v>14.300000000000002</v>
      </c>
      <c r="BJ232" s="129">
        <v>14.300000000000002</v>
      </c>
      <c r="BK232" s="129">
        <v>14.300000000000002</v>
      </c>
      <c r="BL232" s="129">
        <v>14.300000000000002</v>
      </c>
      <c r="BM232" s="129">
        <v>14.300000000000002</v>
      </c>
      <c r="BN232" s="129">
        <v>14.300000000000002</v>
      </c>
      <c r="BO232" s="129">
        <v>14.300000000000002</v>
      </c>
      <c r="BP232" s="129">
        <v>22.7</v>
      </c>
      <c r="BR232" s="129">
        <v>14.300000000000002</v>
      </c>
      <c r="BS232" s="129">
        <v>14.300000000000002</v>
      </c>
      <c r="BT232" s="129">
        <v>14.300000000000002</v>
      </c>
      <c r="BU232" s="129">
        <v>14.300000000000002</v>
      </c>
      <c r="BV232" s="129">
        <v>14.300000000000002</v>
      </c>
      <c r="BW232" s="129">
        <v>14.300000000000002</v>
      </c>
      <c r="BX232" s="129">
        <v>14.300000000000002</v>
      </c>
      <c r="BY232" s="129">
        <v>14.300000000000002</v>
      </c>
      <c r="BZ232" s="129">
        <v>14.300000000000002</v>
      </c>
      <c r="CA232" s="129">
        <v>22.7</v>
      </c>
      <c r="CC232" s="129">
        <v>8.3000000000000025</v>
      </c>
      <c r="CD232" s="129">
        <v>8.3000000000000025</v>
      </c>
      <c r="CE232" s="129">
        <v>8.3000000000000025</v>
      </c>
      <c r="CF232" s="129">
        <v>8.3000000000000025</v>
      </c>
      <c r="CG232" s="129">
        <v>8.3000000000000025</v>
      </c>
      <c r="CH232" s="129">
        <v>8.3000000000000025</v>
      </c>
      <c r="CI232" s="129">
        <v>8.3000000000000025</v>
      </c>
      <c r="CJ232" s="129">
        <v>8.3000000000000025</v>
      </c>
      <c r="CK232" s="129">
        <v>8.3000000000000025</v>
      </c>
      <c r="CL232" s="129">
        <v>22.7</v>
      </c>
      <c r="CN232" s="129">
        <v>10</v>
      </c>
      <c r="CO232" s="129">
        <v>10</v>
      </c>
      <c r="CP232" s="129">
        <v>10</v>
      </c>
      <c r="CQ232" s="129">
        <v>10</v>
      </c>
      <c r="CR232" s="129">
        <v>10</v>
      </c>
      <c r="CS232" s="129">
        <v>10</v>
      </c>
      <c r="CT232" s="129">
        <v>10</v>
      </c>
      <c r="CU232" s="129">
        <v>10</v>
      </c>
      <c r="CV232" s="129">
        <v>10</v>
      </c>
      <c r="CW232" s="129">
        <v>22.7</v>
      </c>
      <c r="CY232" s="129">
        <v>14</v>
      </c>
      <c r="CZ232" s="129">
        <v>14</v>
      </c>
      <c r="DA232" s="129">
        <v>14</v>
      </c>
      <c r="DB232" s="129">
        <v>14</v>
      </c>
      <c r="DC232" s="129">
        <v>14</v>
      </c>
      <c r="DD232" s="129">
        <v>14</v>
      </c>
      <c r="DE232" s="129">
        <v>14</v>
      </c>
      <c r="DF232" s="129">
        <v>14</v>
      </c>
      <c r="DG232" s="129">
        <v>14</v>
      </c>
      <c r="DH232" s="129">
        <v>22.7</v>
      </c>
      <c r="DJ232" s="129">
        <v>14</v>
      </c>
      <c r="DK232" s="129">
        <v>14</v>
      </c>
      <c r="DL232" s="129">
        <v>14</v>
      </c>
      <c r="DM232" s="129">
        <v>14</v>
      </c>
      <c r="DN232" s="129">
        <v>14</v>
      </c>
      <c r="DO232" s="129">
        <v>14</v>
      </c>
      <c r="DP232" s="129">
        <v>14</v>
      </c>
      <c r="DQ232" s="129">
        <v>14</v>
      </c>
      <c r="DR232" s="129">
        <v>14</v>
      </c>
      <c r="DS232" s="129">
        <v>22.7</v>
      </c>
      <c r="EH232" s="27">
        <v>5.3000000000000025</v>
      </c>
      <c r="EI232" s="27">
        <v>5.3000000000000025</v>
      </c>
      <c r="EJ232" s="27">
        <v>5.3000000000000025</v>
      </c>
      <c r="EK232" s="27">
        <v>5.3000000000000025</v>
      </c>
      <c r="EL232" s="27">
        <v>5.3000000000000025</v>
      </c>
      <c r="EM232" s="27">
        <v>5.3000000000000025</v>
      </c>
      <c r="EN232" s="27">
        <v>5.3000000000000025</v>
      </c>
      <c r="EO232" s="27">
        <v>5.3000000000000025</v>
      </c>
      <c r="EP232" s="27">
        <v>5.3000000000000025</v>
      </c>
      <c r="EQ232" s="129">
        <v>24.7</v>
      </c>
      <c r="ES232" s="27">
        <v>14.600000000000005</v>
      </c>
      <c r="ET232" s="27">
        <v>14.600000000000005</v>
      </c>
      <c r="EU232" s="27">
        <v>14.600000000000005</v>
      </c>
      <c r="EV232" s="27">
        <v>14.600000000000005</v>
      </c>
      <c r="EW232" s="27">
        <v>14.600000000000005</v>
      </c>
      <c r="EX232" s="27">
        <v>14.600000000000005</v>
      </c>
      <c r="EY232" s="27">
        <v>14.600000000000005</v>
      </c>
      <c r="EZ232" s="27">
        <v>14.600000000000005</v>
      </c>
      <c r="FA232" s="27">
        <v>14.600000000000005</v>
      </c>
      <c r="FB232" s="129">
        <v>24.7</v>
      </c>
      <c r="FD232" s="27">
        <v>19.600000000000005</v>
      </c>
      <c r="FE232" s="27">
        <v>19.600000000000005</v>
      </c>
      <c r="FF232" s="27">
        <v>19.600000000000005</v>
      </c>
      <c r="FG232" s="27">
        <v>19.600000000000005</v>
      </c>
      <c r="FH232" s="27">
        <v>19.600000000000005</v>
      </c>
      <c r="FI232" s="27">
        <v>19.600000000000005</v>
      </c>
      <c r="FJ232" s="27">
        <v>19.600000000000005</v>
      </c>
      <c r="FK232" s="27">
        <v>19.600000000000005</v>
      </c>
      <c r="FL232" s="27">
        <v>19.600000000000005</v>
      </c>
      <c r="FM232" s="129">
        <v>24.7</v>
      </c>
      <c r="FO232" s="27">
        <v>26.20000000000001</v>
      </c>
      <c r="FP232" s="27">
        <v>26.20000000000001</v>
      </c>
      <c r="FQ232" s="27">
        <v>26.20000000000001</v>
      </c>
      <c r="FR232" s="27">
        <v>26.20000000000001</v>
      </c>
      <c r="FS232" s="27">
        <v>26.20000000000001</v>
      </c>
      <c r="FT232" s="27">
        <v>26.20000000000001</v>
      </c>
      <c r="FU232" s="27">
        <v>26.20000000000001</v>
      </c>
      <c r="FV232" s="27">
        <v>26.20000000000001</v>
      </c>
      <c r="FW232" s="27">
        <v>26.20000000000001</v>
      </c>
      <c r="FX232" s="129">
        <v>24.7</v>
      </c>
      <c r="FZ232" s="27">
        <v>26.20000000000001</v>
      </c>
      <c r="GA232" s="27">
        <v>26.20000000000001</v>
      </c>
      <c r="GB232" s="27">
        <v>26.20000000000001</v>
      </c>
      <c r="GC232" s="27">
        <v>26.20000000000001</v>
      </c>
      <c r="GD232" s="27">
        <v>26.20000000000001</v>
      </c>
      <c r="GE232" s="27">
        <v>26.20000000000001</v>
      </c>
      <c r="GF232" s="27">
        <v>26.20000000000001</v>
      </c>
      <c r="GG232" s="27">
        <v>26.20000000000001</v>
      </c>
      <c r="GH232" s="27">
        <v>26.20000000000001</v>
      </c>
      <c r="GI232" s="129">
        <v>24.7</v>
      </c>
      <c r="GJ232" s="27"/>
      <c r="GK232" s="27">
        <v>8</v>
      </c>
      <c r="GL232" s="27">
        <v>8</v>
      </c>
      <c r="GM232" s="27">
        <v>8</v>
      </c>
      <c r="GN232" s="27">
        <v>8</v>
      </c>
      <c r="GO232" s="27">
        <v>8</v>
      </c>
      <c r="GP232" s="27">
        <v>8</v>
      </c>
      <c r="GQ232" s="27">
        <v>8</v>
      </c>
      <c r="GR232" s="27">
        <v>8</v>
      </c>
      <c r="GS232" s="27">
        <v>8</v>
      </c>
      <c r="GT232" s="129">
        <v>24.7</v>
      </c>
      <c r="GV232" s="27">
        <v>9</v>
      </c>
      <c r="GW232" s="27">
        <v>9</v>
      </c>
      <c r="GX232" s="27">
        <v>9</v>
      </c>
      <c r="GY232" s="27">
        <v>9</v>
      </c>
      <c r="GZ232" s="27">
        <v>9</v>
      </c>
      <c r="HA232" s="27">
        <v>9</v>
      </c>
      <c r="HB232" s="27">
        <v>9</v>
      </c>
      <c r="HC232" s="27">
        <v>9</v>
      </c>
      <c r="HD232" s="27">
        <v>9</v>
      </c>
      <c r="HE232" s="129">
        <v>24.7</v>
      </c>
      <c r="HG232" s="27">
        <v>12.300000000000002</v>
      </c>
      <c r="HH232" s="27">
        <v>12.300000000000002</v>
      </c>
      <c r="HI232" s="27">
        <v>12.300000000000002</v>
      </c>
      <c r="HJ232" s="27">
        <v>12.300000000000002</v>
      </c>
      <c r="HK232" s="27">
        <v>12.300000000000002</v>
      </c>
      <c r="HL232" s="27">
        <v>12.300000000000002</v>
      </c>
      <c r="HM232" s="27">
        <v>12.300000000000002</v>
      </c>
      <c r="HN232" s="27">
        <v>12.300000000000002</v>
      </c>
      <c r="HO232" s="27">
        <v>12.300000000000002</v>
      </c>
      <c r="HP232" s="129">
        <v>24.7</v>
      </c>
      <c r="HR232" s="27">
        <v>12.300000000000002</v>
      </c>
      <c r="HS232" s="27">
        <v>12.300000000000002</v>
      </c>
      <c r="HT232" s="27">
        <v>12.300000000000002</v>
      </c>
      <c r="HU232" s="27">
        <v>12.300000000000002</v>
      </c>
      <c r="HV232" s="27">
        <v>12.300000000000002</v>
      </c>
      <c r="HW232" s="27">
        <v>12.300000000000002</v>
      </c>
      <c r="HX232" s="27">
        <v>12.300000000000002</v>
      </c>
      <c r="HY232" s="27">
        <v>12.300000000000002</v>
      </c>
      <c r="HZ232" s="27">
        <v>12.300000000000002</v>
      </c>
      <c r="IA232" s="129">
        <v>24.7</v>
      </c>
    </row>
    <row r="233" spans="15:235" ht="14.45" customHeight="1">
      <c r="O233" s="17"/>
      <c r="P233" s="17"/>
      <c r="Q233" s="17"/>
      <c r="R233" s="17"/>
      <c r="S233" s="17"/>
      <c r="T233" s="17"/>
      <c r="U233" s="17"/>
      <c r="V233" s="17"/>
      <c r="W233" s="17"/>
      <c r="X233" s="129">
        <v>22.8</v>
      </c>
      <c r="Y233" s="27"/>
      <c r="AI233" s="129">
        <v>22.8</v>
      </c>
      <c r="AK233" s="129">
        <v>8.2000000000000028</v>
      </c>
      <c r="AL233" s="129">
        <v>8.2000000000000028</v>
      </c>
      <c r="AM233" s="129">
        <v>8.2000000000000028</v>
      </c>
      <c r="AN233" s="129">
        <v>8.2000000000000028</v>
      </c>
      <c r="AO233" s="129">
        <v>8.2000000000000028</v>
      </c>
      <c r="AP233" s="129">
        <v>8.2000000000000028</v>
      </c>
      <c r="AQ233" s="129">
        <v>8.2000000000000028</v>
      </c>
      <c r="AR233" s="129">
        <v>8.2000000000000028</v>
      </c>
      <c r="AS233" s="129">
        <v>8.2000000000000028</v>
      </c>
      <c r="AT233" s="129">
        <v>22.8</v>
      </c>
      <c r="AV233" s="129">
        <v>10.400000000000006</v>
      </c>
      <c r="AW233" s="129">
        <v>10.400000000000006</v>
      </c>
      <c r="AX233" s="129">
        <v>10.400000000000006</v>
      </c>
      <c r="AY233" s="129">
        <v>10.400000000000006</v>
      </c>
      <c r="AZ233" s="129">
        <v>10.400000000000006</v>
      </c>
      <c r="BA233" s="129">
        <v>10.400000000000006</v>
      </c>
      <c r="BB233" s="129">
        <v>10.400000000000006</v>
      </c>
      <c r="BC233" s="129">
        <v>10.400000000000006</v>
      </c>
      <c r="BD233" s="129">
        <v>10.400000000000006</v>
      </c>
      <c r="BE233" s="129">
        <v>22.8</v>
      </c>
      <c r="BG233" s="129">
        <v>14.200000000000003</v>
      </c>
      <c r="BH233" s="129">
        <v>14.200000000000003</v>
      </c>
      <c r="BI233" s="129">
        <v>14.200000000000003</v>
      </c>
      <c r="BJ233" s="129">
        <v>14.200000000000003</v>
      </c>
      <c r="BK233" s="129">
        <v>14.200000000000003</v>
      </c>
      <c r="BL233" s="129">
        <v>14.200000000000003</v>
      </c>
      <c r="BM233" s="129">
        <v>14.200000000000003</v>
      </c>
      <c r="BN233" s="129">
        <v>14.200000000000003</v>
      </c>
      <c r="BO233" s="129">
        <v>14.200000000000003</v>
      </c>
      <c r="BP233" s="129">
        <v>22.8</v>
      </c>
      <c r="BR233" s="129">
        <v>14.200000000000003</v>
      </c>
      <c r="BS233" s="129">
        <v>14.200000000000003</v>
      </c>
      <c r="BT233" s="129">
        <v>14.200000000000003</v>
      </c>
      <c r="BU233" s="129">
        <v>14.200000000000003</v>
      </c>
      <c r="BV233" s="129">
        <v>14.200000000000003</v>
      </c>
      <c r="BW233" s="129">
        <v>14.200000000000003</v>
      </c>
      <c r="BX233" s="129">
        <v>14.200000000000003</v>
      </c>
      <c r="BY233" s="129">
        <v>14.200000000000003</v>
      </c>
      <c r="BZ233" s="129">
        <v>14.200000000000003</v>
      </c>
      <c r="CA233" s="129">
        <v>22.8</v>
      </c>
      <c r="CC233" s="129">
        <v>8.2000000000000028</v>
      </c>
      <c r="CD233" s="129">
        <v>8.2000000000000028</v>
      </c>
      <c r="CE233" s="129">
        <v>8.2000000000000028</v>
      </c>
      <c r="CF233" s="129">
        <v>8.2000000000000028</v>
      </c>
      <c r="CG233" s="129">
        <v>8.2000000000000028</v>
      </c>
      <c r="CH233" s="129">
        <v>8.2000000000000028</v>
      </c>
      <c r="CI233" s="129">
        <v>8.2000000000000028</v>
      </c>
      <c r="CJ233" s="129">
        <v>8.2000000000000028</v>
      </c>
      <c r="CK233" s="129">
        <v>8.2000000000000028</v>
      </c>
      <c r="CL233" s="129">
        <v>22.8</v>
      </c>
      <c r="CN233" s="129">
        <v>10</v>
      </c>
      <c r="CO233" s="129">
        <v>10</v>
      </c>
      <c r="CP233" s="129">
        <v>10</v>
      </c>
      <c r="CQ233" s="129">
        <v>10</v>
      </c>
      <c r="CR233" s="129">
        <v>10</v>
      </c>
      <c r="CS233" s="129">
        <v>10</v>
      </c>
      <c r="CT233" s="129">
        <v>10</v>
      </c>
      <c r="CU233" s="129">
        <v>10</v>
      </c>
      <c r="CV233" s="129">
        <v>10</v>
      </c>
      <c r="CW233" s="129">
        <v>22.8</v>
      </c>
      <c r="CY233" s="129">
        <v>14</v>
      </c>
      <c r="CZ233" s="129">
        <v>14</v>
      </c>
      <c r="DA233" s="129">
        <v>14</v>
      </c>
      <c r="DB233" s="129">
        <v>14</v>
      </c>
      <c r="DC233" s="129">
        <v>14</v>
      </c>
      <c r="DD233" s="129">
        <v>14</v>
      </c>
      <c r="DE233" s="129">
        <v>14</v>
      </c>
      <c r="DF233" s="129">
        <v>14</v>
      </c>
      <c r="DG233" s="129">
        <v>14</v>
      </c>
      <c r="DH233" s="129">
        <v>22.8</v>
      </c>
      <c r="DJ233" s="129">
        <v>14</v>
      </c>
      <c r="DK233" s="129">
        <v>14</v>
      </c>
      <c r="DL233" s="129">
        <v>14</v>
      </c>
      <c r="DM233" s="129">
        <v>14</v>
      </c>
      <c r="DN233" s="129">
        <v>14</v>
      </c>
      <c r="DO233" s="129">
        <v>14</v>
      </c>
      <c r="DP233" s="129">
        <v>14</v>
      </c>
      <c r="DQ233" s="129">
        <v>14</v>
      </c>
      <c r="DR233" s="129">
        <v>14</v>
      </c>
      <c r="DS233" s="129">
        <v>22.8</v>
      </c>
      <c r="EH233" s="27">
        <v>5.2000000000000028</v>
      </c>
      <c r="EI233" s="27">
        <v>5.2000000000000028</v>
      </c>
      <c r="EJ233" s="27">
        <v>5.2000000000000028</v>
      </c>
      <c r="EK233" s="27">
        <v>5.2000000000000028</v>
      </c>
      <c r="EL233" s="27">
        <v>5.2000000000000028</v>
      </c>
      <c r="EM233" s="27">
        <v>5.2000000000000028</v>
      </c>
      <c r="EN233" s="27">
        <v>5.2000000000000028</v>
      </c>
      <c r="EO233" s="27">
        <v>5.2000000000000028</v>
      </c>
      <c r="EP233" s="27">
        <v>5.2000000000000028</v>
      </c>
      <c r="EQ233" s="129">
        <v>24.8</v>
      </c>
      <c r="ES233" s="27">
        <v>14.400000000000006</v>
      </c>
      <c r="ET233" s="27">
        <v>14.400000000000006</v>
      </c>
      <c r="EU233" s="27">
        <v>14.400000000000006</v>
      </c>
      <c r="EV233" s="27">
        <v>14.400000000000006</v>
      </c>
      <c r="EW233" s="27">
        <v>14.400000000000006</v>
      </c>
      <c r="EX233" s="27">
        <v>14.400000000000006</v>
      </c>
      <c r="EY233" s="27">
        <v>14.400000000000006</v>
      </c>
      <c r="EZ233" s="27">
        <v>14.400000000000006</v>
      </c>
      <c r="FA233" s="27">
        <v>14.400000000000006</v>
      </c>
      <c r="FB233" s="129">
        <v>24.8</v>
      </c>
      <c r="FD233" s="27">
        <v>19.400000000000006</v>
      </c>
      <c r="FE233" s="27">
        <v>19.400000000000006</v>
      </c>
      <c r="FF233" s="27">
        <v>19.400000000000006</v>
      </c>
      <c r="FG233" s="27">
        <v>19.400000000000006</v>
      </c>
      <c r="FH233" s="27">
        <v>19.400000000000006</v>
      </c>
      <c r="FI233" s="27">
        <v>19.400000000000006</v>
      </c>
      <c r="FJ233" s="27">
        <v>19.400000000000006</v>
      </c>
      <c r="FK233" s="27">
        <v>19.400000000000006</v>
      </c>
      <c r="FL233" s="27">
        <v>19.400000000000006</v>
      </c>
      <c r="FM233" s="129">
        <v>24.8</v>
      </c>
      <c r="FO233" s="27">
        <v>25.800000000000011</v>
      </c>
      <c r="FP233" s="27">
        <v>25.800000000000011</v>
      </c>
      <c r="FQ233" s="27">
        <v>25.800000000000011</v>
      </c>
      <c r="FR233" s="27">
        <v>25.800000000000011</v>
      </c>
      <c r="FS233" s="27">
        <v>25.800000000000011</v>
      </c>
      <c r="FT233" s="27">
        <v>25.800000000000011</v>
      </c>
      <c r="FU233" s="27">
        <v>25.800000000000011</v>
      </c>
      <c r="FV233" s="27">
        <v>25.800000000000011</v>
      </c>
      <c r="FW233" s="27">
        <v>25.800000000000011</v>
      </c>
      <c r="FX233" s="129">
        <v>24.8</v>
      </c>
      <c r="FZ233" s="27">
        <v>25.800000000000011</v>
      </c>
      <c r="GA233" s="27">
        <v>25.800000000000011</v>
      </c>
      <c r="GB233" s="27">
        <v>25.800000000000011</v>
      </c>
      <c r="GC233" s="27">
        <v>25.800000000000011</v>
      </c>
      <c r="GD233" s="27">
        <v>25.800000000000011</v>
      </c>
      <c r="GE233" s="27">
        <v>25.800000000000011</v>
      </c>
      <c r="GF233" s="27">
        <v>25.800000000000011</v>
      </c>
      <c r="GG233" s="27">
        <v>25.800000000000011</v>
      </c>
      <c r="GH233" s="27">
        <v>25.800000000000011</v>
      </c>
      <c r="GI233" s="129">
        <v>24.8</v>
      </c>
      <c r="GJ233" s="27"/>
      <c r="GK233" s="27">
        <v>8</v>
      </c>
      <c r="GL233" s="27">
        <v>8</v>
      </c>
      <c r="GM233" s="27">
        <v>8</v>
      </c>
      <c r="GN233" s="27">
        <v>8</v>
      </c>
      <c r="GO233" s="27">
        <v>8</v>
      </c>
      <c r="GP233" s="27">
        <v>8</v>
      </c>
      <c r="GQ233" s="27">
        <v>8</v>
      </c>
      <c r="GR233" s="27">
        <v>8</v>
      </c>
      <c r="GS233" s="27">
        <v>8</v>
      </c>
      <c r="GT233" s="129">
        <v>24.8</v>
      </c>
      <c r="GV233" s="27">
        <v>9</v>
      </c>
      <c r="GW233" s="27">
        <v>9</v>
      </c>
      <c r="GX233" s="27">
        <v>9</v>
      </c>
      <c r="GY233" s="27">
        <v>9</v>
      </c>
      <c r="GZ233" s="27">
        <v>9</v>
      </c>
      <c r="HA233" s="27">
        <v>9</v>
      </c>
      <c r="HB233" s="27">
        <v>9</v>
      </c>
      <c r="HC233" s="27">
        <v>9</v>
      </c>
      <c r="HD233" s="27">
        <v>9</v>
      </c>
      <c r="HE233" s="129">
        <v>24.8</v>
      </c>
      <c r="HG233" s="27">
        <v>12.200000000000003</v>
      </c>
      <c r="HH233" s="27">
        <v>12.200000000000003</v>
      </c>
      <c r="HI233" s="27">
        <v>12.200000000000003</v>
      </c>
      <c r="HJ233" s="27">
        <v>12.200000000000003</v>
      </c>
      <c r="HK233" s="27">
        <v>12.200000000000003</v>
      </c>
      <c r="HL233" s="27">
        <v>12.200000000000003</v>
      </c>
      <c r="HM233" s="27">
        <v>12.200000000000003</v>
      </c>
      <c r="HN233" s="27">
        <v>12.200000000000003</v>
      </c>
      <c r="HO233" s="27">
        <v>12.200000000000003</v>
      </c>
      <c r="HP233" s="129">
        <v>24.8</v>
      </c>
      <c r="HR233" s="27">
        <v>12.200000000000003</v>
      </c>
      <c r="HS233" s="27">
        <v>12.200000000000003</v>
      </c>
      <c r="HT233" s="27">
        <v>12.200000000000003</v>
      </c>
      <c r="HU233" s="27">
        <v>12.200000000000003</v>
      </c>
      <c r="HV233" s="27">
        <v>12.200000000000003</v>
      </c>
      <c r="HW233" s="27">
        <v>12.200000000000003</v>
      </c>
      <c r="HX233" s="27">
        <v>12.200000000000003</v>
      </c>
      <c r="HY233" s="27">
        <v>12.200000000000003</v>
      </c>
      <c r="HZ233" s="27">
        <v>12.200000000000003</v>
      </c>
      <c r="IA233" s="129">
        <v>24.8</v>
      </c>
    </row>
    <row r="234" spans="15:235" ht="14.45" customHeight="1">
      <c r="O234" s="17"/>
      <c r="P234" s="17"/>
      <c r="Q234" s="17"/>
      <c r="R234" s="17"/>
      <c r="S234" s="17"/>
      <c r="T234" s="17"/>
      <c r="U234" s="17"/>
      <c r="V234" s="17"/>
      <c r="W234" s="17"/>
      <c r="X234" s="129">
        <v>22.9</v>
      </c>
      <c r="Y234" s="27"/>
      <c r="AI234" s="129">
        <v>22.9</v>
      </c>
      <c r="AK234" s="129">
        <v>8.1000000000000032</v>
      </c>
      <c r="AL234" s="129">
        <v>8.1000000000000032</v>
      </c>
      <c r="AM234" s="129">
        <v>8.1000000000000032</v>
      </c>
      <c r="AN234" s="129">
        <v>8.1000000000000032</v>
      </c>
      <c r="AO234" s="129">
        <v>8.1000000000000032</v>
      </c>
      <c r="AP234" s="129">
        <v>8.1000000000000032</v>
      </c>
      <c r="AQ234" s="129">
        <v>8.1000000000000032</v>
      </c>
      <c r="AR234" s="129">
        <v>8.1000000000000032</v>
      </c>
      <c r="AS234" s="129">
        <v>8.1000000000000032</v>
      </c>
      <c r="AT234" s="129">
        <v>22.9</v>
      </c>
      <c r="AV234" s="129">
        <v>10.200000000000006</v>
      </c>
      <c r="AW234" s="129">
        <v>10.200000000000006</v>
      </c>
      <c r="AX234" s="129">
        <v>10.200000000000006</v>
      </c>
      <c r="AY234" s="129">
        <v>10.200000000000006</v>
      </c>
      <c r="AZ234" s="129">
        <v>10.200000000000006</v>
      </c>
      <c r="BA234" s="129">
        <v>10.200000000000006</v>
      </c>
      <c r="BB234" s="129">
        <v>10.200000000000006</v>
      </c>
      <c r="BC234" s="129">
        <v>10.200000000000006</v>
      </c>
      <c r="BD234" s="129">
        <v>10.200000000000006</v>
      </c>
      <c r="BE234" s="129">
        <v>22.9</v>
      </c>
      <c r="BG234" s="129">
        <v>14.100000000000003</v>
      </c>
      <c r="BH234" s="129">
        <v>14.100000000000003</v>
      </c>
      <c r="BI234" s="129">
        <v>14.100000000000003</v>
      </c>
      <c r="BJ234" s="129">
        <v>14.100000000000003</v>
      </c>
      <c r="BK234" s="129">
        <v>14.100000000000003</v>
      </c>
      <c r="BL234" s="129">
        <v>14.100000000000003</v>
      </c>
      <c r="BM234" s="129">
        <v>14.100000000000003</v>
      </c>
      <c r="BN234" s="129">
        <v>14.100000000000003</v>
      </c>
      <c r="BO234" s="129">
        <v>14.100000000000003</v>
      </c>
      <c r="BP234" s="129">
        <v>22.9</v>
      </c>
      <c r="BR234" s="129">
        <v>14.100000000000003</v>
      </c>
      <c r="BS234" s="129">
        <v>14.100000000000003</v>
      </c>
      <c r="BT234" s="129">
        <v>14.100000000000003</v>
      </c>
      <c r="BU234" s="129">
        <v>14.100000000000003</v>
      </c>
      <c r="BV234" s="129">
        <v>14.100000000000003</v>
      </c>
      <c r="BW234" s="129">
        <v>14.100000000000003</v>
      </c>
      <c r="BX234" s="129">
        <v>14.100000000000003</v>
      </c>
      <c r="BY234" s="129">
        <v>14.100000000000003</v>
      </c>
      <c r="BZ234" s="129">
        <v>14.100000000000003</v>
      </c>
      <c r="CA234" s="129">
        <v>22.9</v>
      </c>
      <c r="CC234" s="129">
        <v>8.1000000000000032</v>
      </c>
      <c r="CD234" s="129">
        <v>8.1000000000000032</v>
      </c>
      <c r="CE234" s="129">
        <v>8.1000000000000032</v>
      </c>
      <c r="CF234" s="129">
        <v>8.1000000000000032</v>
      </c>
      <c r="CG234" s="129">
        <v>8.1000000000000032</v>
      </c>
      <c r="CH234" s="129">
        <v>8.1000000000000032</v>
      </c>
      <c r="CI234" s="129">
        <v>8.1000000000000032</v>
      </c>
      <c r="CJ234" s="129">
        <v>8.1000000000000032</v>
      </c>
      <c r="CK234" s="129">
        <v>8.1000000000000032</v>
      </c>
      <c r="CL234" s="129">
        <v>22.9</v>
      </c>
      <c r="CN234" s="129">
        <v>10</v>
      </c>
      <c r="CO234" s="129">
        <v>10</v>
      </c>
      <c r="CP234" s="129">
        <v>10</v>
      </c>
      <c r="CQ234" s="129">
        <v>10</v>
      </c>
      <c r="CR234" s="129">
        <v>10</v>
      </c>
      <c r="CS234" s="129">
        <v>10</v>
      </c>
      <c r="CT234" s="129">
        <v>10</v>
      </c>
      <c r="CU234" s="129">
        <v>10</v>
      </c>
      <c r="CV234" s="129">
        <v>10</v>
      </c>
      <c r="CW234" s="129">
        <v>22.9</v>
      </c>
      <c r="CY234" s="129">
        <v>14</v>
      </c>
      <c r="CZ234" s="129">
        <v>14</v>
      </c>
      <c r="DA234" s="129">
        <v>14</v>
      </c>
      <c r="DB234" s="129">
        <v>14</v>
      </c>
      <c r="DC234" s="129">
        <v>14</v>
      </c>
      <c r="DD234" s="129">
        <v>14</v>
      </c>
      <c r="DE234" s="129">
        <v>14</v>
      </c>
      <c r="DF234" s="129">
        <v>14</v>
      </c>
      <c r="DG234" s="129">
        <v>14</v>
      </c>
      <c r="DH234" s="129">
        <v>22.9</v>
      </c>
      <c r="DJ234" s="129">
        <v>14</v>
      </c>
      <c r="DK234" s="129">
        <v>14</v>
      </c>
      <c r="DL234" s="129">
        <v>14</v>
      </c>
      <c r="DM234" s="129">
        <v>14</v>
      </c>
      <c r="DN234" s="129">
        <v>14</v>
      </c>
      <c r="DO234" s="129">
        <v>14</v>
      </c>
      <c r="DP234" s="129">
        <v>14</v>
      </c>
      <c r="DQ234" s="129">
        <v>14</v>
      </c>
      <c r="DR234" s="129">
        <v>14</v>
      </c>
      <c r="DS234" s="129">
        <v>22.9</v>
      </c>
      <c r="EH234" s="27">
        <v>5.1000000000000032</v>
      </c>
      <c r="EI234" s="27">
        <v>5.1000000000000032</v>
      </c>
      <c r="EJ234" s="27">
        <v>5.1000000000000032</v>
      </c>
      <c r="EK234" s="27">
        <v>5.1000000000000032</v>
      </c>
      <c r="EL234" s="27">
        <v>5.1000000000000032</v>
      </c>
      <c r="EM234" s="27">
        <v>5.1000000000000032</v>
      </c>
      <c r="EN234" s="27">
        <v>5.1000000000000032</v>
      </c>
      <c r="EO234" s="27">
        <v>5.1000000000000032</v>
      </c>
      <c r="EP234" s="27">
        <v>5.1000000000000032</v>
      </c>
      <c r="EQ234" s="129">
        <v>24.9</v>
      </c>
      <c r="ES234" s="27">
        <v>14.200000000000006</v>
      </c>
      <c r="ET234" s="27">
        <v>14.200000000000006</v>
      </c>
      <c r="EU234" s="27">
        <v>14.200000000000006</v>
      </c>
      <c r="EV234" s="27">
        <v>14.200000000000006</v>
      </c>
      <c r="EW234" s="27">
        <v>14.200000000000006</v>
      </c>
      <c r="EX234" s="27">
        <v>14.200000000000006</v>
      </c>
      <c r="EY234" s="27">
        <v>14.200000000000006</v>
      </c>
      <c r="EZ234" s="27">
        <v>14.200000000000006</v>
      </c>
      <c r="FA234" s="27">
        <v>14.200000000000006</v>
      </c>
      <c r="FB234" s="129">
        <v>24.9</v>
      </c>
      <c r="FD234" s="27">
        <v>19.200000000000006</v>
      </c>
      <c r="FE234" s="27">
        <v>19.200000000000006</v>
      </c>
      <c r="FF234" s="27">
        <v>19.200000000000006</v>
      </c>
      <c r="FG234" s="27">
        <v>19.200000000000006</v>
      </c>
      <c r="FH234" s="27">
        <v>19.200000000000006</v>
      </c>
      <c r="FI234" s="27">
        <v>19.200000000000006</v>
      </c>
      <c r="FJ234" s="27">
        <v>19.200000000000006</v>
      </c>
      <c r="FK234" s="27">
        <v>19.200000000000006</v>
      </c>
      <c r="FL234" s="27">
        <v>19.200000000000006</v>
      </c>
      <c r="FM234" s="129">
        <v>24.9</v>
      </c>
      <c r="FO234" s="27">
        <v>25.400000000000013</v>
      </c>
      <c r="FP234" s="27">
        <v>25.400000000000013</v>
      </c>
      <c r="FQ234" s="27">
        <v>25.400000000000013</v>
      </c>
      <c r="FR234" s="27">
        <v>25.400000000000013</v>
      </c>
      <c r="FS234" s="27">
        <v>25.400000000000013</v>
      </c>
      <c r="FT234" s="27">
        <v>25.400000000000013</v>
      </c>
      <c r="FU234" s="27">
        <v>25.400000000000013</v>
      </c>
      <c r="FV234" s="27">
        <v>25.400000000000013</v>
      </c>
      <c r="FW234" s="27">
        <v>25.400000000000013</v>
      </c>
      <c r="FX234" s="129">
        <v>24.9</v>
      </c>
      <c r="FZ234" s="27">
        <v>25.400000000000013</v>
      </c>
      <c r="GA234" s="27">
        <v>25.400000000000013</v>
      </c>
      <c r="GB234" s="27">
        <v>25.400000000000013</v>
      </c>
      <c r="GC234" s="27">
        <v>25.400000000000013</v>
      </c>
      <c r="GD234" s="27">
        <v>25.400000000000013</v>
      </c>
      <c r="GE234" s="27">
        <v>25.400000000000013</v>
      </c>
      <c r="GF234" s="27">
        <v>25.400000000000013</v>
      </c>
      <c r="GG234" s="27">
        <v>25.400000000000013</v>
      </c>
      <c r="GH234" s="27">
        <v>25.400000000000013</v>
      </c>
      <c r="GI234" s="129">
        <v>24.9</v>
      </c>
      <c r="GJ234" s="27"/>
      <c r="GK234" s="27">
        <v>8</v>
      </c>
      <c r="GL234" s="27">
        <v>8</v>
      </c>
      <c r="GM234" s="27">
        <v>8</v>
      </c>
      <c r="GN234" s="27">
        <v>8</v>
      </c>
      <c r="GO234" s="27">
        <v>8</v>
      </c>
      <c r="GP234" s="27">
        <v>8</v>
      </c>
      <c r="GQ234" s="27">
        <v>8</v>
      </c>
      <c r="GR234" s="27">
        <v>8</v>
      </c>
      <c r="GS234" s="27">
        <v>8</v>
      </c>
      <c r="GT234" s="129">
        <v>24.9</v>
      </c>
      <c r="GV234" s="27">
        <v>9</v>
      </c>
      <c r="GW234" s="27">
        <v>9</v>
      </c>
      <c r="GX234" s="27">
        <v>9</v>
      </c>
      <c r="GY234" s="27">
        <v>9</v>
      </c>
      <c r="GZ234" s="27">
        <v>9</v>
      </c>
      <c r="HA234" s="27">
        <v>9</v>
      </c>
      <c r="HB234" s="27">
        <v>9</v>
      </c>
      <c r="HC234" s="27">
        <v>9</v>
      </c>
      <c r="HD234" s="27">
        <v>9</v>
      </c>
      <c r="HE234" s="129">
        <v>24.9</v>
      </c>
      <c r="HG234" s="27">
        <v>12.100000000000003</v>
      </c>
      <c r="HH234" s="27">
        <v>12.100000000000003</v>
      </c>
      <c r="HI234" s="27">
        <v>12.100000000000003</v>
      </c>
      <c r="HJ234" s="27">
        <v>12.100000000000003</v>
      </c>
      <c r="HK234" s="27">
        <v>12.100000000000003</v>
      </c>
      <c r="HL234" s="27">
        <v>12.100000000000003</v>
      </c>
      <c r="HM234" s="27">
        <v>12.100000000000003</v>
      </c>
      <c r="HN234" s="27">
        <v>12.100000000000003</v>
      </c>
      <c r="HO234" s="27">
        <v>12.100000000000003</v>
      </c>
      <c r="HP234" s="129">
        <v>24.9</v>
      </c>
      <c r="HR234" s="27">
        <v>12.100000000000003</v>
      </c>
      <c r="HS234" s="27">
        <v>12.100000000000003</v>
      </c>
      <c r="HT234" s="27">
        <v>12.100000000000003</v>
      </c>
      <c r="HU234" s="27">
        <v>12.100000000000003</v>
      </c>
      <c r="HV234" s="27">
        <v>12.100000000000003</v>
      </c>
      <c r="HW234" s="27">
        <v>12.100000000000003</v>
      </c>
      <c r="HX234" s="27">
        <v>12.100000000000003</v>
      </c>
      <c r="HY234" s="27">
        <v>12.100000000000003</v>
      </c>
      <c r="HZ234" s="27">
        <v>12.100000000000003</v>
      </c>
      <c r="IA234" s="129">
        <v>24.9</v>
      </c>
    </row>
    <row r="235" spans="15:235" ht="14.45" customHeight="1">
      <c r="O235" s="17"/>
      <c r="P235" s="17"/>
      <c r="Q235" s="17"/>
      <c r="R235" s="17"/>
      <c r="S235" s="17"/>
      <c r="T235" s="17"/>
      <c r="U235" s="17"/>
      <c r="V235" s="17"/>
      <c r="W235" s="17"/>
      <c r="X235" s="129">
        <v>23</v>
      </c>
      <c r="Y235" s="27"/>
      <c r="AI235" s="129">
        <v>23</v>
      </c>
      <c r="AK235" s="129">
        <v>8</v>
      </c>
      <c r="AL235" s="129">
        <v>8</v>
      </c>
      <c r="AM235" s="129">
        <v>8</v>
      </c>
      <c r="AN235" s="129">
        <v>8</v>
      </c>
      <c r="AO235" s="129">
        <v>8</v>
      </c>
      <c r="AP235" s="129">
        <v>8</v>
      </c>
      <c r="AQ235" s="129">
        <v>8</v>
      </c>
      <c r="AR235" s="129">
        <v>8</v>
      </c>
      <c r="AS235" s="129">
        <v>8</v>
      </c>
      <c r="AT235" s="129">
        <v>23</v>
      </c>
      <c r="AV235" s="129">
        <v>10</v>
      </c>
      <c r="AW235" s="129">
        <v>10</v>
      </c>
      <c r="AX235" s="129">
        <v>10</v>
      </c>
      <c r="AY235" s="129">
        <v>10</v>
      </c>
      <c r="AZ235" s="129">
        <v>10</v>
      </c>
      <c r="BA235" s="129">
        <v>10</v>
      </c>
      <c r="BB235" s="129">
        <v>10</v>
      </c>
      <c r="BC235" s="129">
        <v>10</v>
      </c>
      <c r="BD235" s="129">
        <v>10</v>
      </c>
      <c r="BE235" s="129">
        <v>23</v>
      </c>
      <c r="BG235" s="129">
        <v>14</v>
      </c>
      <c r="BH235" s="129">
        <v>14</v>
      </c>
      <c r="BI235" s="129">
        <v>14</v>
      </c>
      <c r="BJ235" s="129">
        <v>14</v>
      </c>
      <c r="BK235" s="129">
        <v>14</v>
      </c>
      <c r="BL235" s="129">
        <v>14</v>
      </c>
      <c r="BM235" s="129">
        <v>14</v>
      </c>
      <c r="BN235" s="129">
        <v>14</v>
      </c>
      <c r="BO235" s="129">
        <v>14</v>
      </c>
      <c r="BP235" s="129">
        <v>23</v>
      </c>
      <c r="BR235" s="129">
        <v>14</v>
      </c>
      <c r="BS235" s="129">
        <v>14</v>
      </c>
      <c r="BT235" s="129">
        <v>14</v>
      </c>
      <c r="BU235" s="129">
        <v>14</v>
      </c>
      <c r="BV235" s="129">
        <v>14</v>
      </c>
      <c r="BW235" s="129">
        <v>14</v>
      </c>
      <c r="BX235" s="129">
        <v>14</v>
      </c>
      <c r="BY235" s="129">
        <v>14</v>
      </c>
      <c r="BZ235" s="129">
        <v>14</v>
      </c>
      <c r="CA235" s="129">
        <v>23</v>
      </c>
      <c r="CC235" s="129">
        <v>8</v>
      </c>
      <c r="CD235" s="129">
        <v>8</v>
      </c>
      <c r="CE235" s="129">
        <v>8</v>
      </c>
      <c r="CF235" s="129">
        <v>8</v>
      </c>
      <c r="CG235" s="129">
        <v>8</v>
      </c>
      <c r="CH235" s="129">
        <v>8</v>
      </c>
      <c r="CI235" s="129">
        <v>8</v>
      </c>
      <c r="CJ235" s="129">
        <v>8</v>
      </c>
      <c r="CK235" s="129">
        <v>8</v>
      </c>
      <c r="CL235" s="129">
        <v>23</v>
      </c>
      <c r="CN235" s="129">
        <v>10</v>
      </c>
      <c r="CO235" s="129">
        <v>10</v>
      </c>
      <c r="CP235" s="129">
        <v>10</v>
      </c>
      <c r="CQ235" s="129">
        <v>10</v>
      </c>
      <c r="CR235" s="129">
        <v>10</v>
      </c>
      <c r="CS235" s="129">
        <v>10</v>
      </c>
      <c r="CT235" s="129">
        <v>10</v>
      </c>
      <c r="CU235" s="129">
        <v>10</v>
      </c>
      <c r="CV235" s="129">
        <v>10</v>
      </c>
      <c r="CW235" s="129">
        <v>23</v>
      </c>
      <c r="CY235" s="129">
        <v>14</v>
      </c>
      <c r="CZ235" s="129">
        <v>14</v>
      </c>
      <c r="DA235" s="129">
        <v>14</v>
      </c>
      <c r="DB235" s="129">
        <v>14</v>
      </c>
      <c r="DC235" s="129">
        <v>14</v>
      </c>
      <c r="DD235" s="129">
        <v>14</v>
      </c>
      <c r="DE235" s="129">
        <v>14</v>
      </c>
      <c r="DF235" s="129">
        <v>14</v>
      </c>
      <c r="DG235" s="129">
        <v>14</v>
      </c>
      <c r="DH235" s="129">
        <v>23</v>
      </c>
      <c r="DJ235" s="129">
        <v>14</v>
      </c>
      <c r="DK235" s="129">
        <v>14</v>
      </c>
      <c r="DL235" s="129">
        <v>14</v>
      </c>
      <c r="DM235" s="129">
        <v>14</v>
      </c>
      <c r="DN235" s="129">
        <v>14</v>
      </c>
      <c r="DO235" s="129">
        <v>14</v>
      </c>
      <c r="DP235" s="129">
        <v>14</v>
      </c>
      <c r="DQ235" s="129">
        <v>14</v>
      </c>
      <c r="DR235" s="129">
        <v>14</v>
      </c>
      <c r="DS235" s="129">
        <v>23</v>
      </c>
      <c r="EH235" s="516">
        <v>5</v>
      </c>
      <c r="EI235" s="516">
        <v>5</v>
      </c>
      <c r="EJ235" s="516">
        <v>5</v>
      </c>
      <c r="EK235" s="516">
        <v>5</v>
      </c>
      <c r="EL235" s="516">
        <v>5</v>
      </c>
      <c r="EM235" s="516">
        <v>5</v>
      </c>
      <c r="EN235" s="516">
        <v>5</v>
      </c>
      <c r="EO235" s="516">
        <v>5</v>
      </c>
      <c r="EP235" s="516">
        <v>5</v>
      </c>
      <c r="EQ235" s="129">
        <v>25</v>
      </c>
      <c r="ES235" s="27">
        <v>14</v>
      </c>
      <c r="ET235" s="27">
        <v>14</v>
      </c>
      <c r="EU235" s="27">
        <v>14</v>
      </c>
      <c r="EV235" s="27">
        <v>14</v>
      </c>
      <c r="EW235" s="27">
        <v>14</v>
      </c>
      <c r="EX235" s="27">
        <v>14</v>
      </c>
      <c r="EY235" s="27">
        <v>14</v>
      </c>
      <c r="EZ235" s="27">
        <v>14</v>
      </c>
      <c r="FA235" s="27">
        <v>14</v>
      </c>
      <c r="FB235" s="129">
        <v>25</v>
      </c>
      <c r="FD235" s="27">
        <v>19</v>
      </c>
      <c r="FE235" s="27">
        <v>19</v>
      </c>
      <c r="FF235" s="27">
        <v>19</v>
      </c>
      <c r="FG235" s="27">
        <v>19</v>
      </c>
      <c r="FH235" s="27">
        <v>19</v>
      </c>
      <c r="FI235" s="27">
        <v>19</v>
      </c>
      <c r="FJ235" s="27">
        <v>19</v>
      </c>
      <c r="FK235" s="27">
        <v>19</v>
      </c>
      <c r="FL235" s="27">
        <v>19</v>
      </c>
      <c r="FM235" s="129">
        <v>25</v>
      </c>
      <c r="FO235" s="27">
        <v>25</v>
      </c>
      <c r="FP235" s="27">
        <v>25</v>
      </c>
      <c r="FQ235" s="27">
        <v>25</v>
      </c>
      <c r="FR235" s="27">
        <v>25</v>
      </c>
      <c r="FS235" s="27">
        <v>25</v>
      </c>
      <c r="FT235" s="27">
        <v>25</v>
      </c>
      <c r="FU235" s="27">
        <v>25</v>
      </c>
      <c r="FV235" s="27">
        <v>25</v>
      </c>
      <c r="FW235" s="27">
        <v>25</v>
      </c>
      <c r="FX235" s="129">
        <v>25</v>
      </c>
      <c r="FZ235" s="27">
        <v>25</v>
      </c>
      <c r="GA235" s="27">
        <v>25</v>
      </c>
      <c r="GB235" s="27">
        <v>25</v>
      </c>
      <c r="GC235" s="27">
        <v>25</v>
      </c>
      <c r="GD235" s="27">
        <v>25</v>
      </c>
      <c r="GE235" s="27">
        <v>25</v>
      </c>
      <c r="GF235" s="27">
        <v>25</v>
      </c>
      <c r="GG235" s="27">
        <v>25</v>
      </c>
      <c r="GH235" s="27">
        <v>25</v>
      </c>
      <c r="GI235" s="129">
        <v>25</v>
      </c>
      <c r="GJ235" s="27"/>
      <c r="GK235" s="27">
        <v>8</v>
      </c>
      <c r="GL235" s="27">
        <v>8</v>
      </c>
      <c r="GM235" s="27">
        <v>8</v>
      </c>
      <c r="GN235" s="27">
        <v>8</v>
      </c>
      <c r="GO235" s="27">
        <v>8</v>
      </c>
      <c r="GP235" s="27">
        <v>8</v>
      </c>
      <c r="GQ235" s="27">
        <v>8</v>
      </c>
      <c r="GR235" s="27">
        <v>8</v>
      </c>
      <c r="GS235" s="27">
        <v>8</v>
      </c>
      <c r="GT235" s="129">
        <v>25</v>
      </c>
      <c r="GV235" s="27">
        <v>9</v>
      </c>
      <c r="GW235" s="27">
        <v>9</v>
      </c>
      <c r="GX235" s="27">
        <v>9</v>
      </c>
      <c r="GY235" s="27">
        <v>9</v>
      </c>
      <c r="GZ235" s="27">
        <v>9</v>
      </c>
      <c r="HA235" s="27">
        <v>9</v>
      </c>
      <c r="HB235" s="27">
        <v>9</v>
      </c>
      <c r="HC235" s="27">
        <v>9</v>
      </c>
      <c r="HD235" s="27">
        <v>9</v>
      </c>
      <c r="HE235" s="129">
        <v>25</v>
      </c>
      <c r="HG235" s="27">
        <v>12</v>
      </c>
      <c r="HH235" s="27">
        <v>12</v>
      </c>
      <c r="HI235" s="27">
        <v>12</v>
      </c>
      <c r="HJ235" s="27">
        <v>12</v>
      </c>
      <c r="HK235" s="27">
        <v>12</v>
      </c>
      <c r="HL235" s="27">
        <v>12</v>
      </c>
      <c r="HM235" s="27">
        <v>12</v>
      </c>
      <c r="HN235" s="27">
        <v>12</v>
      </c>
      <c r="HO235" s="27">
        <v>12</v>
      </c>
      <c r="HP235" s="129">
        <v>25</v>
      </c>
      <c r="HR235" s="27">
        <v>12</v>
      </c>
      <c r="HS235" s="27">
        <v>12</v>
      </c>
      <c r="HT235" s="27">
        <v>12</v>
      </c>
      <c r="HU235" s="27">
        <v>12</v>
      </c>
      <c r="HV235" s="27">
        <v>12</v>
      </c>
      <c r="HW235" s="27">
        <v>12</v>
      </c>
      <c r="HX235" s="27">
        <v>12</v>
      </c>
      <c r="HY235" s="27">
        <v>12</v>
      </c>
      <c r="HZ235" s="27">
        <v>12</v>
      </c>
      <c r="IA235" s="129">
        <v>25</v>
      </c>
    </row>
    <row r="236" spans="15:235" ht="24.95" customHeight="1">
      <c r="O236" s="17"/>
      <c r="P236" s="17"/>
      <c r="Q236" s="17"/>
      <c r="R236" s="17"/>
      <c r="S236" s="17"/>
      <c r="T236" s="17"/>
      <c r="U236" s="17"/>
      <c r="V236" s="17"/>
      <c r="W236" s="17"/>
      <c r="X236" s="129">
        <v>23.1</v>
      </c>
      <c r="Y236" s="27"/>
      <c r="AI236" s="129">
        <v>23.1</v>
      </c>
      <c r="AK236" s="129">
        <v>7.9</v>
      </c>
      <c r="AL236" s="129">
        <v>7.9</v>
      </c>
      <c r="AM236" s="129">
        <v>7.9</v>
      </c>
      <c r="AN236" s="129">
        <v>7.9</v>
      </c>
      <c r="AO236" s="129">
        <v>7.9</v>
      </c>
      <c r="AP236" s="129">
        <v>7.9</v>
      </c>
      <c r="AQ236" s="129">
        <v>7.9</v>
      </c>
      <c r="AR236" s="129">
        <v>7.9</v>
      </c>
      <c r="AS236" s="129">
        <v>7.9</v>
      </c>
      <c r="AT236" s="129">
        <v>23.1</v>
      </c>
      <c r="AV236" s="129">
        <v>9.9</v>
      </c>
      <c r="AW236" s="129">
        <v>9.9</v>
      </c>
      <c r="AX236" s="129">
        <v>9.9</v>
      </c>
      <c r="AY236" s="129">
        <v>9.9</v>
      </c>
      <c r="AZ236" s="129">
        <v>9.9</v>
      </c>
      <c r="BA236" s="129">
        <v>9.9</v>
      </c>
      <c r="BB236" s="129">
        <v>9.9</v>
      </c>
      <c r="BC236" s="129">
        <v>9.9</v>
      </c>
      <c r="BD236" s="129">
        <v>9.9</v>
      </c>
      <c r="BE236" s="129">
        <v>23.1</v>
      </c>
      <c r="BG236" s="129">
        <v>13.8</v>
      </c>
      <c r="BH236" s="129">
        <v>13.8</v>
      </c>
      <c r="BI236" s="129">
        <v>13.8</v>
      </c>
      <c r="BJ236" s="129">
        <v>13.8</v>
      </c>
      <c r="BK236" s="129">
        <v>13.8</v>
      </c>
      <c r="BL236" s="129">
        <v>13.8</v>
      </c>
      <c r="BM236" s="129">
        <v>13.8</v>
      </c>
      <c r="BN236" s="129">
        <v>13.8</v>
      </c>
      <c r="BO236" s="129">
        <v>13.8</v>
      </c>
      <c r="BP236" s="129">
        <v>23.1</v>
      </c>
      <c r="BR236" s="129">
        <v>13.8</v>
      </c>
      <c r="BS236" s="129">
        <v>13.8</v>
      </c>
      <c r="BT236" s="129">
        <v>13.8</v>
      </c>
      <c r="BU236" s="129">
        <v>13.8</v>
      </c>
      <c r="BV236" s="129">
        <v>13.8</v>
      </c>
      <c r="BW236" s="129">
        <v>13.8</v>
      </c>
      <c r="BX236" s="129">
        <v>13.8</v>
      </c>
      <c r="BY236" s="129">
        <v>13.8</v>
      </c>
      <c r="BZ236" s="129">
        <v>13.8</v>
      </c>
      <c r="CA236" s="129">
        <v>23.1</v>
      </c>
      <c r="CC236" s="129">
        <v>8</v>
      </c>
      <c r="CD236" s="129">
        <v>8</v>
      </c>
      <c r="CE236" s="129">
        <v>8</v>
      </c>
      <c r="CF236" s="129">
        <v>8</v>
      </c>
      <c r="CG236" s="129">
        <v>8</v>
      </c>
      <c r="CH236" s="129">
        <v>8</v>
      </c>
      <c r="CI236" s="129">
        <v>8</v>
      </c>
      <c r="CJ236" s="129">
        <v>8</v>
      </c>
      <c r="CK236" s="129">
        <v>8</v>
      </c>
      <c r="CL236" s="129">
        <v>23.1</v>
      </c>
      <c r="CN236" s="129">
        <v>9.9</v>
      </c>
      <c r="CO236" s="129">
        <v>9.9</v>
      </c>
      <c r="CP236" s="129">
        <v>9.9</v>
      </c>
      <c r="CQ236" s="129">
        <v>9.9</v>
      </c>
      <c r="CR236" s="129">
        <v>9.9</v>
      </c>
      <c r="CS236" s="129">
        <v>9.9</v>
      </c>
      <c r="CT236" s="129">
        <v>9.9</v>
      </c>
      <c r="CU236" s="129">
        <v>9.9</v>
      </c>
      <c r="CV236" s="129">
        <v>9.9</v>
      </c>
      <c r="CW236" s="129">
        <v>23.1</v>
      </c>
      <c r="CY236" s="129">
        <v>13.9</v>
      </c>
      <c r="CZ236" s="129">
        <v>13.9</v>
      </c>
      <c r="DA236" s="129">
        <v>13.9</v>
      </c>
      <c r="DB236" s="129">
        <v>13.9</v>
      </c>
      <c r="DC236" s="129">
        <v>13.9</v>
      </c>
      <c r="DD236" s="129">
        <v>13.9</v>
      </c>
      <c r="DE236" s="129">
        <v>13.9</v>
      </c>
      <c r="DF236" s="129">
        <v>13.9</v>
      </c>
      <c r="DG236" s="129">
        <v>13.9</v>
      </c>
      <c r="DH236" s="129">
        <v>23.1</v>
      </c>
      <c r="DJ236" s="129">
        <v>13.9</v>
      </c>
      <c r="DK236" s="129">
        <v>13.9</v>
      </c>
      <c r="DL236" s="129">
        <v>13.9</v>
      </c>
      <c r="DM236" s="129">
        <v>13.9</v>
      </c>
      <c r="DN236" s="129">
        <v>13.9</v>
      </c>
      <c r="DO236" s="129">
        <v>13.9</v>
      </c>
      <c r="DP236" s="129">
        <v>13.9</v>
      </c>
      <c r="DQ236" s="129">
        <v>13.9</v>
      </c>
      <c r="DR236" s="129">
        <v>13.9</v>
      </c>
      <c r="DS236" s="129">
        <v>23.1</v>
      </c>
      <c r="EH236" s="27">
        <v>5</v>
      </c>
      <c r="EI236" s="27">
        <v>5</v>
      </c>
      <c r="EJ236" s="27">
        <v>5</v>
      </c>
      <c r="EK236" s="27">
        <v>5</v>
      </c>
      <c r="EL236" s="27">
        <v>5</v>
      </c>
      <c r="EM236" s="27">
        <v>5</v>
      </c>
      <c r="EN236" s="27">
        <v>5</v>
      </c>
      <c r="EO236" s="27">
        <v>5</v>
      </c>
      <c r="EP236" s="27">
        <v>5</v>
      </c>
      <c r="EQ236" s="129">
        <v>25.1</v>
      </c>
      <c r="ES236" s="27">
        <v>13.9</v>
      </c>
      <c r="ET236" s="27">
        <v>13.9</v>
      </c>
      <c r="EU236" s="27">
        <v>13.9</v>
      </c>
      <c r="EV236" s="27">
        <v>13.9</v>
      </c>
      <c r="EW236" s="27">
        <v>13.9</v>
      </c>
      <c r="EX236" s="27">
        <v>13.9</v>
      </c>
      <c r="EY236" s="27">
        <v>13.9</v>
      </c>
      <c r="EZ236" s="27">
        <v>13.9</v>
      </c>
      <c r="FA236" s="27">
        <v>13.9</v>
      </c>
      <c r="FB236" s="129">
        <v>25.1</v>
      </c>
      <c r="FD236" s="27">
        <v>18.8</v>
      </c>
      <c r="FE236" s="27">
        <v>18.8</v>
      </c>
      <c r="FF236" s="27">
        <v>18.8</v>
      </c>
      <c r="FG236" s="27">
        <v>18.8</v>
      </c>
      <c r="FH236" s="27">
        <v>18.8</v>
      </c>
      <c r="FI236" s="27">
        <v>18.8</v>
      </c>
      <c r="FJ236" s="27">
        <v>18.8</v>
      </c>
      <c r="FK236" s="27">
        <v>18.8</v>
      </c>
      <c r="FL236" s="27">
        <v>18.8</v>
      </c>
      <c r="FM236" s="129">
        <v>25.1</v>
      </c>
      <c r="FO236" s="27">
        <v>24.8</v>
      </c>
      <c r="FP236" s="27">
        <v>24.8</v>
      </c>
      <c r="FQ236" s="27">
        <v>24.8</v>
      </c>
      <c r="FR236" s="27">
        <v>24.8</v>
      </c>
      <c r="FS236" s="27">
        <v>24.8</v>
      </c>
      <c r="FT236" s="27">
        <v>24.8</v>
      </c>
      <c r="FU236" s="27">
        <v>24.8</v>
      </c>
      <c r="FV236" s="27">
        <v>24.8</v>
      </c>
      <c r="FW236" s="27">
        <v>24.8</v>
      </c>
      <c r="FX236" s="129">
        <v>25.1</v>
      </c>
      <c r="FZ236" s="27">
        <v>24.8</v>
      </c>
      <c r="GA236" s="27">
        <v>24.8</v>
      </c>
      <c r="GB236" s="27">
        <v>24.8</v>
      </c>
      <c r="GC236" s="27">
        <v>24.8</v>
      </c>
      <c r="GD236" s="27">
        <v>24.8</v>
      </c>
      <c r="GE236" s="27">
        <v>24.8</v>
      </c>
      <c r="GF236" s="27">
        <v>24.8</v>
      </c>
      <c r="GG236" s="27">
        <v>24.8</v>
      </c>
      <c r="GH236" s="27">
        <v>24.8</v>
      </c>
      <c r="GI236" s="129">
        <v>25.1</v>
      </c>
      <c r="GJ236" s="27"/>
      <c r="GK236" s="27">
        <v>7.9</v>
      </c>
      <c r="GL236" s="27">
        <v>7.9</v>
      </c>
      <c r="GM236" s="27">
        <v>7.9</v>
      </c>
      <c r="GN236" s="27">
        <v>7.9</v>
      </c>
      <c r="GO236" s="27">
        <v>7.9</v>
      </c>
      <c r="GP236" s="27">
        <v>7.9</v>
      </c>
      <c r="GQ236" s="27">
        <v>7.9</v>
      </c>
      <c r="GR236" s="27">
        <v>7.9</v>
      </c>
      <c r="GS236" s="27">
        <v>7.9</v>
      </c>
      <c r="GT236" s="129">
        <v>25.1</v>
      </c>
      <c r="GV236" s="27">
        <v>9</v>
      </c>
      <c r="GW236" s="27">
        <v>9</v>
      </c>
      <c r="GX236" s="27">
        <v>9</v>
      </c>
      <c r="GY236" s="27">
        <v>9</v>
      </c>
      <c r="GZ236" s="27">
        <v>9</v>
      </c>
      <c r="HA236" s="27">
        <v>9</v>
      </c>
      <c r="HB236" s="27">
        <v>9</v>
      </c>
      <c r="HC236" s="27">
        <v>9</v>
      </c>
      <c r="HD236" s="27">
        <v>9</v>
      </c>
      <c r="HE236" s="129">
        <v>25.1</v>
      </c>
      <c r="HG236" s="27">
        <v>12</v>
      </c>
      <c r="HH236" s="27">
        <v>12</v>
      </c>
      <c r="HI236" s="27">
        <v>12</v>
      </c>
      <c r="HJ236" s="27">
        <v>12</v>
      </c>
      <c r="HK236" s="27">
        <v>12</v>
      </c>
      <c r="HL236" s="27">
        <v>12</v>
      </c>
      <c r="HM236" s="27">
        <v>12</v>
      </c>
      <c r="HN236" s="27">
        <v>12</v>
      </c>
      <c r="HO236" s="27">
        <v>12</v>
      </c>
      <c r="HP236" s="129">
        <v>25.1</v>
      </c>
      <c r="HR236" s="27">
        <v>12</v>
      </c>
      <c r="HS236" s="27">
        <v>12</v>
      </c>
      <c r="HT236" s="27">
        <v>12</v>
      </c>
      <c r="HU236" s="27">
        <v>12</v>
      </c>
      <c r="HV236" s="27">
        <v>12</v>
      </c>
      <c r="HW236" s="27">
        <v>12</v>
      </c>
      <c r="HX236" s="27">
        <v>12</v>
      </c>
      <c r="HY236" s="27">
        <v>12</v>
      </c>
      <c r="HZ236" s="27">
        <v>12</v>
      </c>
      <c r="IA236" s="129">
        <v>25.1</v>
      </c>
    </row>
    <row r="237" spans="15:235" ht="24.95" customHeight="1">
      <c r="O237" s="17"/>
      <c r="P237" s="17"/>
      <c r="Q237" s="17"/>
      <c r="R237" s="17"/>
      <c r="S237" s="17"/>
      <c r="T237" s="17"/>
      <c r="U237" s="17"/>
      <c r="V237" s="17"/>
      <c r="W237" s="17"/>
      <c r="X237" s="129">
        <v>23.2</v>
      </c>
      <c r="Y237" s="27"/>
      <c r="AI237" s="129">
        <v>23.2</v>
      </c>
      <c r="AK237" s="129">
        <v>7.8000000000000007</v>
      </c>
      <c r="AL237" s="129">
        <v>7.8000000000000007</v>
      </c>
      <c r="AM237" s="129">
        <v>7.8000000000000007</v>
      </c>
      <c r="AN237" s="129">
        <v>7.8000000000000007</v>
      </c>
      <c r="AO237" s="129">
        <v>7.8000000000000007</v>
      </c>
      <c r="AP237" s="129">
        <v>7.8000000000000007</v>
      </c>
      <c r="AQ237" s="129">
        <v>7.8000000000000007</v>
      </c>
      <c r="AR237" s="129">
        <v>7.8000000000000007</v>
      </c>
      <c r="AS237" s="129">
        <v>7.8000000000000007</v>
      </c>
      <c r="AT237" s="129">
        <v>23.2</v>
      </c>
      <c r="AV237" s="129">
        <v>9.8000000000000007</v>
      </c>
      <c r="AW237" s="129">
        <v>9.8000000000000007</v>
      </c>
      <c r="AX237" s="129">
        <v>9.8000000000000007</v>
      </c>
      <c r="AY237" s="129">
        <v>9.8000000000000007</v>
      </c>
      <c r="AZ237" s="129">
        <v>9.8000000000000007</v>
      </c>
      <c r="BA237" s="129">
        <v>9.8000000000000007</v>
      </c>
      <c r="BB237" s="129">
        <v>9.8000000000000007</v>
      </c>
      <c r="BC237" s="129">
        <v>9.8000000000000007</v>
      </c>
      <c r="BD237" s="129">
        <v>9.8000000000000007</v>
      </c>
      <c r="BE237" s="129">
        <v>23.2</v>
      </c>
      <c r="BG237" s="129">
        <v>13.600000000000001</v>
      </c>
      <c r="BH237" s="129">
        <v>13.600000000000001</v>
      </c>
      <c r="BI237" s="129">
        <v>13.600000000000001</v>
      </c>
      <c r="BJ237" s="129">
        <v>13.600000000000001</v>
      </c>
      <c r="BK237" s="129">
        <v>13.600000000000001</v>
      </c>
      <c r="BL237" s="129">
        <v>13.600000000000001</v>
      </c>
      <c r="BM237" s="129">
        <v>13.600000000000001</v>
      </c>
      <c r="BN237" s="129">
        <v>13.600000000000001</v>
      </c>
      <c r="BO237" s="129">
        <v>13.600000000000001</v>
      </c>
      <c r="BP237" s="129">
        <v>23.2</v>
      </c>
      <c r="BR237" s="129">
        <v>13.600000000000001</v>
      </c>
      <c r="BS237" s="129">
        <v>13.600000000000001</v>
      </c>
      <c r="BT237" s="129">
        <v>13.600000000000001</v>
      </c>
      <c r="BU237" s="129">
        <v>13.600000000000001</v>
      </c>
      <c r="BV237" s="129">
        <v>13.600000000000001</v>
      </c>
      <c r="BW237" s="129">
        <v>13.600000000000001</v>
      </c>
      <c r="BX237" s="129">
        <v>13.600000000000001</v>
      </c>
      <c r="BY237" s="129">
        <v>13.600000000000001</v>
      </c>
      <c r="BZ237" s="129">
        <v>13.600000000000001</v>
      </c>
      <c r="CA237" s="129">
        <v>23.2</v>
      </c>
      <c r="CC237" s="129">
        <v>8</v>
      </c>
      <c r="CD237" s="129">
        <v>8</v>
      </c>
      <c r="CE237" s="129">
        <v>8</v>
      </c>
      <c r="CF237" s="129">
        <v>8</v>
      </c>
      <c r="CG237" s="129">
        <v>8</v>
      </c>
      <c r="CH237" s="129">
        <v>8</v>
      </c>
      <c r="CI237" s="129">
        <v>8</v>
      </c>
      <c r="CJ237" s="129">
        <v>8</v>
      </c>
      <c r="CK237" s="129">
        <v>8</v>
      </c>
      <c r="CL237" s="129">
        <v>23.2</v>
      </c>
      <c r="CN237" s="129">
        <v>9.8000000000000007</v>
      </c>
      <c r="CO237" s="129">
        <v>9.8000000000000007</v>
      </c>
      <c r="CP237" s="129">
        <v>9.8000000000000007</v>
      </c>
      <c r="CQ237" s="129">
        <v>9.8000000000000007</v>
      </c>
      <c r="CR237" s="129">
        <v>9.8000000000000007</v>
      </c>
      <c r="CS237" s="129">
        <v>9.8000000000000007</v>
      </c>
      <c r="CT237" s="129">
        <v>9.8000000000000007</v>
      </c>
      <c r="CU237" s="129">
        <v>9.8000000000000007</v>
      </c>
      <c r="CV237" s="129">
        <v>9.8000000000000007</v>
      </c>
      <c r="CW237" s="129">
        <v>23.2</v>
      </c>
      <c r="CY237" s="129">
        <v>13.8</v>
      </c>
      <c r="CZ237" s="129">
        <v>13.8</v>
      </c>
      <c r="DA237" s="129">
        <v>13.8</v>
      </c>
      <c r="DB237" s="129">
        <v>13.8</v>
      </c>
      <c r="DC237" s="129">
        <v>13.8</v>
      </c>
      <c r="DD237" s="129">
        <v>13.8</v>
      </c>
      <c r="DE237" s="129">
        <v>13.8</v>
      </c>
      <c r="DF237" s="129">
        <v>13.8</v>
      </c>
      <c r="DG237" s="129">
        <v>13.8</v>
      </c>
      <c r="DH237" s="129">
        <v>23.2</v>
      </c>
      <c r="DJ237" s="129">
        <v>13.8</v>
      </c>
      <c r="DK237" s="129">
        <v>13.8</v>
      </c>
      <c r="DL237" s="129">
        <v>13.8</v>
      </c>
      <c r="DM237" s="129">
        <v>13.8</v>
      </c>
      <c r="DN237" s="129">
        <v>13.8</v>
      </c>
      <c r="DO237" s="129">
        <v>13.8</v>
      </c>
      <c r="DP237" s="129">
        <v>13.8</v>
      </c>
      <c r="DQ237" s="129">
        <v>13.8</v>
      </c>
      <c r="DR237" s="129">
        <v>13.8</v>
      </c>
      <c r="DS237" s="129">
        <v>23.2</v>
      </c>
      <c r="EH237" s="27">
        <v>5</v>
      </c>
      <c r="EI237" s="27">
        <v>5</v>
      </c>
      <c r="EJ237" s="27">
        <v>5</v>
      </c>
      <c r="EK237" s="27">
        <v>5</v>
      </c>
      <c r="EL237" s="27">
        <v>5</v>
      </c>
      <c r="EM237" s="27">
        <v>5</v>
      </c>
      <c r="EN237" s="27">
        <v>5</v>
      </c>
      <c r="EO237" s="27">
        <v>5</v>
      </c>
      <c r="EP237" s="27">
        <v>5</v>
      </c>
      <c r="EQ237" s="129">
        <v>25.2</v>
      </c>
      <c r="ES237" s="27">
        <v>13.8</v>
      </c>
      <c r="ET237" s="27">
        <v>13.8</v>
      </c>
      <c r="EU237" s="27">
        <v>13.8</v>
      </c>
      <c r="EV237" s="27">
        <v>13.8</v>
      </c>
      <c r="EW237" s="27">
        <v>13.8</v>
      </c>
      <c r="EX237" s="27">
        <v>13.8</v>
      </c>
      <c r="EY237" s="27">
        <v>13.8</v>
      </c>
      <c r="EZ237" s="27">
        <v>13.8</v>
      </c>
      <c r="FA237" s="27">
        <v>13.8</v>
      </c>
      <c r="FB237" s="129">
        <v>25.2</v>
      </c>
      <c r="FD237" s="27">
        <v>18.600000000000001</v>
      </c>
      <c r="FE237" s="27">
        <v>18.600000000000001</v>
      </c>
      <c r="FF237" s="27">
        <v>18.600000000000001</v>
      </c>
      <c r="FG237" s="27">
        <v>18.600000000000001</v>
      </c>
      <c r="FH237" s="27">
        <v>18.600000000000001</v>
      </c>
      <c r="FI237" s="27">
        <v>18.600000000000001</v>
      </c>
      <c r="FJ237" s="27">
        <v>18.600000000000001</v>
      </c>
      <c r="FK237" s="27">
        <v>18.600000000000001</v>
      </c>
      <c r="FL237" s="27">
        <v>18.600000000000001</v>
      </c>
      <c r="FM237" s="129">
        <v>25.2</v>
      </c>
      <c r="FO237" s="27">
        <v>24.6</v>
      </c>
      <c r="FP237" s="27">
        <v>24.6</v>
      </c>
      <c r="FQ237" s="27">
        <v>24.6</v>
      </c>
      <c r="FR237" s="27">
        <v>24.6</v>
      </c>
      <c r="FS237" s="27">
        <v>24.6</v>
      </c>
      <c r="FT237" s="27">
        <v>24.6</v>
      </c>
      <c r="FU237" s="27">
        <v>24.6</v>
      </c>
      <c r="FV237" s="27">
        <v>24.6</v>
      </c>
      <c r="FW237" s="27">
        <v>24.6</v>
      </c>
      <c r="FX237" s="129">
        <v>25.2</v>
      </c>
      <c r="FZ237" s="27">
        <v>24.6</v>
      </c>
      <c r="GA237" s="27">
        <v>24.6</v>
      </c>
      <c r="GB237" s="27">
        <v>24.6</v>
      </c>
      <c r="GC237" s="27">
        <v>24.6</v>
      </c>
      <c r="GD237" s="27">
        <v>24.6</v>
      </c>
      <c r="GE237" s="27">
        <v>24.6</v>
      </c>
      <c r="GF237" s="27">
        <v>24.6</v>
      </c>
      <c r="GG237" s="27">
        <v>24.6</v>
      </c>
      <c r="GH237" s="27">
        <v>24.6</v>
      </c>
      <c r="GI237" s="129">
        <v>25.2</v>
      </c>
      <c r="GJ237" s="27"/>
      <c r="GK237" s="27">
        <v>7.8000000000000007</v>
      </c>
      <c r="GL237" s="27">
        <v>7.8000000000000007</v>
      </c>
      <c r="GM237" s="27">
        <v>7.8000000000000007</v>
      </c>
      <c r="GN237" s="27">
        <v>7.8000000000000007</v>
      </c>
      <c r="GO237" s="27">
        <v>7.8000000000000007</v>
      </c>
      <c r="GP237" s="27">
        <v>7.8000000000000007</v>
      </c>
      <c r="GQ237" s="27">
        <v>7.8000000000000007</v>
      </c>
      <c r="GR237" s="27">
        <v>7.8000000000000007</v>
      </c>
      <c r="GS237" s="27">
        <v>7.8000000000000007</v>
      </c>
      <c r="GT237" s="129">
        <v>25.2</v>
      </c>
      <c r="GV237" s="27">
        <v>9</v>
      </c>
      <c r="GW237" s="27">
        <v>9</v>
      </c>
      <c r="GX237" s="27">
        <v>9</v>
      </c>
      <c r="GY237" s="27">
        <v>9</v>
      </c>
      <c r="GZ237" s="27">
        <v>9</v>
      </c>
      <c r="HA237" s="27">
        <v>9</v>
      </c>
      <c r="HB237" s="27">
        <v>9</v>
      </c>
      <c r="HC237" s="27">
        <v>9</v>
      </c>
      <c r="HD237" s="27">
        <v>9</v>
      </c>
      <c r="HE237" s="129">
        <v>25.2</v>
      </c>
      <c r="HG237" s="27">
        <v>12</v>
      </c>
      <c r="HH237" s="27">
        <v>12</v>
      </c>
      <c r="HI237" s="27">
        <v>12</v>
      </c>
      <c r="HJ237" s="27">
        <v>12</v>
      </c>
      <c r="HK237" s="27">
        <v>12</v>
      </c>
      <c r="HL237" s="27">
        <v>12</v>
      </c>
      <c r="HM237" s="27">
        <v>12</v>
      </c>
      <c r="HN237" s="27">
        <v>12</v>
      </c>
      <c r="HO237" s="27">
        <v>12</v>
      </c>
      <c r="HP237" s="129">
        <v>25.2</v>
      </c>
      <c r="HR237" s="27">
        <v>12</v>
      </c>
      <c r="HS237" s="27">
        <v>12</v>
      </c>
      <c r="HT237" s="27">
        <v>12</v>
      </c>
      <c r="HU237" s="27">
        <v>12</v>
      </c>
      <c r="HV237" s="27">
        <v>12</v>
      </c>
      <c r="HW237" s="27">
        <v>12</v>
      </c>
      <c r="HX237" s="27">
        <v>12</v>
      </c>
      <c r="HY237" s="27">
        <v>12</v>
      </c>
      <c r="HZ237" s="27">
        <v>12</v>
      </c>
      <c r="IA237" s="129">
        <v>25.2</v>
      </c>
    </row>
    <row r="238" spans="15:235" ht="24.95" customHeight="1">
      <c r="O238" s="17"/>
      <c r="P238" s="17"/>
      <c r="Q238" s="17"/>
      <c r="R238" s="17"/>
      <c r="S238" s="17"/>
      <c r="T238" s="17"/>
      <c r="U238" s="17"/>
      <c r="V238" s="17"/>
      <c r="W238" s="17"/>
      <c r="X238" s="129">
        <v>23.3</v>
      </c>
      <c r="Y238" s="27"/>
      <c r="AI238" s="129">
        <v>23.3</v>
      </c>
      <c r="AK238" s="129">
        <v>7.7000000000000011</v>
      </c>
      <c r="AL238" s="129">
        <v>7.7000000000000011</v>
      </c>
      <c r="AM238" s="129">
        <v>7.7000000000000011</v>
      </c>
      <c r="AN238" s="129">
        <v>7.7000000000000011</v>
      </c>
      <c r="AO238" s="129">
        <v>7.7000000000000011</v>
      </c>
      <c r="AP238" s="129">
        <v>7.7000000000000011</v>
      </c>
      <c r="AQ238" s="129">
        <v>7.7000000000000011</v>
      </c>
      <c r="AR238" s="129">
        <v>7.7000000000000011</v>
      </c>
      <c r="AS238" s="129">
        <v>7.7000000000000011</v>
      </c>
      <c r="AT238" s="129">
        <v>23.3</v>
      </c>
      <c r="AV238" s="129">
        <v>9.7000000000000011</v>
      </c>
      <c r="AW238" s="129">
        <v>9.7000000000000011</v>
      </c>
      <c r="AX238" s="129">
        <v>9.7000000000000011</v>
      </c>
      <c r="AY238" s="129">
        <v>9.7000000000000011</v>
      </c>
      <c r="AZ238" s="129">
        <v>9.7000000000000011</v>
      </c>
      <c r="BA238" s="129">
        <v>9.7000000000000011</v>
      </c>
      <c r="BB238" s="129">
        <v>9.7000000000000011</v>
      </c>
      <c r="BC238" s="129">
        <v>9.7000000000000011</v>
      </c>
      <c r="BD238" s="129">
        <v>9.7000000000000011</v>
      </c>
      <c r="BE238" s="129">
        <v>23.3</v>
      </c>
      <c r="BG238" s="129">
        <v>13.400000000000002</v>
      </c>
      <c r="BH238" s="129">
        <v>13.400000000000002</v>
      </c>
      <c r="BI238" s="129">
        <v>13.400000000000002</v>
      </c>
      <c r="BJ238" s="129">
        <v>13.400000000000002</v>
      </c>
      <c r="BK238" s="129">
        <v>13.400000000000002</v>
      </c>
      <c r="BL238" s="129">
        <v>13.400000000000002</v>
      </c>
      <c r="BM238" s="129">
        <v>13.400000000000002</v>
      </c>
      <c r="BN238" s="129">
        <v>13.400000000000002</v>
      </c>
      <c r="BO238" s="129">
        <v>13.400000000000002</v>
      </c>
      <c r="BP238" s="129">
        <v>23.3</v>
      </c>
      <c r="BR238" s="129">
        <v>13.400000000000002</v>
      </c>
      <c r="BS238" s="129">
        <v>13.400000000000002</v>
      </c>
      <c r="BT238" s="129">
        <v>13.400000000000002</v>
      </c>
      <c r="BU238" s="129">
        <v>13.400000000000002</v>
      </c>
      <c r="BV238" s="129">
        <v>13.400000000000002</v>
      </c>
      <c r="BW238" s="129">
        <v>13.400000000000002</v>
      </c>
      <c r="BX238" s="129">
        <v>13.400000000000002</v>
      </c>
      <c r="BY238" s="129">
        <v>13.400000000000002</v>
      </c>
      <c r="BZ238" s="129">
        <v>13.400000000000002</v>
      </c>
      <c r="CA238" s="129">
        <v>23.3</v>
      </c>
      <c r="CC238" s="129">
        <v>8</v>
      </c>
      <c r="CD238" s="129">
        <v>8</v>
      </c>
      <c r="CE238" s="129">
        <v>8</v>
      </c>
      <c r="CF238" s="129">
        <v>8</v>
      </c>
      <c r="CG238" s="129">
        <v>8</v>
      </c>
      <c r="CH238" s="129">
        <v>8</v>
      </c>
      <c r="CI238" s="129">
        <v>8</v>
      </c>
      <c r="CJ238" s="129">
        <v>8</v>
      </c>
      <c r="CK238" s="129">
        <v>8</v>
      </c>
      <c r="CL238" s="129">
        <v>23.3</v>
      </c>
      <c r="CN238" s="129">
        <v>9.7000000000000011</v>
      </c>
      <c r="CO238" s="129">
        <v>9.7000000000000011</v>
      </c>
      <c r="CP238" s="129">
        <v>9.7000000000000011</v>
      </c>
      <c r="CQ238" s="129">
        <v>9.7000000000000011</v>
      </c>
      <c r="CR238" s="129">
        <v>9.7000000000000011</v>
      </c>
      <c r="CS238" s="129">
        <v>9.7000000000000011</v>
      </c>
      <c r="CT238" s="129">
        <v>9.7000000000000011</v>
      </c>
      <c r="CU238" s="129">
        <v>9.7000000000000011</v>
      </c>
      <c r="CV238" s="129">
        <v>9.7000000000000011</v>
      </c>
      <c r="CW238" s="129">
        <v>23.3</v>
      </c>
      <c r="CY238" s="129">
        <v>13.700000000000001</v>
      </c>
      <c r="CZ238" s="129">
        <v>13.700000000000001</v>
      </c>
      <c r="DA238" s="129">
        <v>13.700000000000001</v>
      </c>
      <c r="DB238" s="129">
        <v>13.700000000000001</v>
      </c>
      <c r="DC238" s="129">
        <v>13.700000000000001</v>
      </c>
      <c r="DD238" s="129">
        <v>13.700000000000001</v>
      </c>
      <c r="DE238" s="129">
        <v>13.700000000000001</v>
      </c>
      <c r="DF238" s="129">
        <v>13.700000000000001</v>
      </c>
      <c r="DG238" s="129">
        <v>13.700000000000001</v>
      </c>
      <c r="DH238" s="129">
        <v>23.3</v>
      </c>
      <c r="DJ238" s="129">
        <v>13.700000000000001</v>
      </c>
      <c r="DK238" s="129">
        <v>13.700000000000001</v>
      </c>
      <c r="DL238" s="129">
        <v>13.700000000000001</v>
      </c>
      <c r="DM238" s="129">
        <v>13.700000000000001</v>
      </c>
      <c r="DN238" s="129">
        <v>13.700000000000001</v>
      </c>
      <c r="DO238" s="129">
        <v>13.700000000000001</v>
      </c>
      <c r="DP238" s="129">
        <v>13.700000000000001</v>
      </c>
      <c r="DQ238" s="129">
        <v>13.700000000000001</v>
      </c>
      <c r="DR238" s="129">
        <v>13.700000000000001</v>
      </c>
      <c r="DS238" s="129">
        <v>23.3</v>
      </c>
      <c r="DW238" s="27"/>
      <c r="EH238" s="27">
        <v>5</v>
      </c>
      <c r="EI238" s="27">
        <v>5</v>
      </c>
      <c r="EJ238" s="27">
        <v>5</v>
      </c>
      <c r="EK238" s="27">
        <v>5</v>
      </c>
      <c r="EL238" s="27">
        <v>5</v>
      </c>
      <c r="EM238" s="27">
        <v>5</v>
      </c>
      <c r="EN238" s="27">
        <v>5</v>
      </c>
      <c r="EO238" s="27">
        <v>5</v>
      </c>
      <c r="EP238" s="27">
        <v>5</v>
      </c>
      <c r="EQ238" s="129">
        <v>25.3</v>
      </c>
      <c r="ES238" s="27">
        <v>13.700000000000001</v>
      </c>
      <c r="ET238" s="27">
        <v>13.700000000000001</v>
      </c>
      <c r="EU238" s="27">
        <v>13.700000000000001</v>
      </c>
      <c r="EV238" s="27">
        <v>13.700000000000001</v>
      </c>
      <c r="EW238" s="27">
        <v>13.700000000000001</v>
      </c>
      <c r="EX238" s="27">
        <v>13.700000000000001</v>
      </c>
      <c r="EY238" s="27">
        <v>13.700000000000001</v>
      </c>
      <c r="EZ238" s="27">
        <v>13.700000000000001</v>
      </c>
      <c r="FA238" s="27">
        <v>13.700000000000001</v>
      </c>
      <c r="FB238" s="129">
        <v>25.3</v>
      </c>
      <c r="FD238" s="27">
        <v>18.400000000000002</v>
      </c>
      <c r="FE238" s="27">
        <v>18.400000000000002</v>
      </c>
      <c r="FF238" s="27">
        <v>18.400000000000002</v>
      </c>
      <c r="FG238" s="27">
        <v>18.400000000000002</v>
      </c>
      <c r="FH238" s="27">
        <v>18.400000000000002</v>
      </c>
      <c r="FI238" s="27">
        <v>18.400000000000002</v>
      </c>
      <c r="FJ238" s="27">
        <v>18.400000000000002</v>
      </c>
      <c r="FK238" s="27">
        <v>18.400000000000002</v>
      </c>
      <c r="FL238" s="27">
        <v>18.400000000000002</v>
      </c>
      <c r="FM238" s="129">
        <v>25.3</v>
      </c>
      <c r="FO238" s="27">
        <v>24.400000000000002</v>
      </c>
      <c r="FP238" s="27">
        <v>24.400000000000002</v>
      </c>
      <c r="FQ238" s="27">
        <v>24.400000000000002</v>
      </c>
      <c r="FR238" s="27">
        <v>24.400000000000002</v>
      </c>
      <c r="FS238" s="27">
        <v>24.400000000000002</v>
      </c>
      <c r="FT238" s="27">
        <v>24.400000000000002</v>
      </c>
      <c r="FU238" s="27">
        <v>24.400000000000002</v>
      </c>
      <c r="FV238" s="27">
        <v>24.400000000000002</v>
      </c>
      <c r="FW238" s="27">
        <v>24.400000000000002</v>
      </c>
      <c r="FX238" s="129">
        <v>25.3</v>
      </c>
      <c r="FZ238" s="27">
        <v>24.400000000000002</v>
      </c>
      <c r="GA238" s="27">
        <v>24.400000000000002</v>
      </c>
      <c r="GB238" s="27">
        <v>24.400000000000002</v>
      </c>
      <c r="GC238" s="27">
        <v>24.400000000000002</v>
      </c>
      <c r="GD238" s="27">
        <v>24.400000000000002</v>
      </c>
      <c r="GE238" s="27">
        <v>24.400000000000002</v>
      </c>
      <c r="GF238" s="27">
        <v>24.400000000000002</v>
      </c>
      <c r="GG238" s="27">
        <v>24.400000000000002</v>
      </c>
      <c r="GH238" s="27">
        <v>24.400000000000002</v>
      </c>
      <c r="GI238" s="129">
        <v>25.3</v>
      </c>
      <c r="GJ238" s="27"/>
      <c r="GK238" s="27">
        <v>7.7000000000000011</v>
      </c>
      <c r="GL238" s="27">
        <v>7.7000000000000011</v>
      </c>
      <c r="GM238" s="27">
        <v>7.7000000000000011</v>
      </c>
      <c r="GN238" s="27">
        <v>7.7000000000000011</v>
      </c>
      <c r="GO238" s="27">
        <v>7.7000000000000011</v>
      </c>
      <c r="GP238" s="27">
        <v>7.7000000000000011</v>
      </c>
      <c r="GQ238" s="27">
        <v>7.7000000000000011</v>
      </c>
      <c r="GR238" s="27">
        <v>7.7000000000000011</v>
      </c>
      <c r="GS238" s="27">
        <v>7.7000000000000011</v>
      </c>
      <c r="GT238" s="129">
        <v>25.3</v>
      </c>
      <c r="GV238" s="27">
        <v>9</v>
      </c>
      <c r="GW238" s="27">
        <v>9</v>
      </c>
      <c r="GX238" s="27">
        <v>9</v>
      </c>
      <c r="GY238" s="27">
        <v>9</v>
      </c>
      <c r="GZ238" s="27">
        <v>9</v>
      </c>
      <c r="HA238" s="27">
        <v>9</v>
      </c>
      <c r="HB238" s="27">
        <v>9</v>
      </c>
      <c r="HC238" s="27">
        <v>9</v>
      </c>
      <c r="HD238" s="27">
        <v>9</v>
      </c>
      <c r="HE238" s="129">
        <v>25.3</v>
      </c>
      <c r="HG238" s="27">
        <v>12</v>
      </c>
      <c r="HH238" s="27">
        <v>12</v>
      </c>
      <c r="HI238" s="27">
        <v>12</v>
      </c>
      <c r="HJ238" s="27">
        <v>12</v>
      </c>
      <c r="HK238" s="27">
        <v>12</v>
      </c>
      <c r="HL238" s="27">
        <v>12</v>
      </c>
      <c r="HM238" s="27">
        <v>12</v>
      </c>
      <c r="HN238" s="27">
        <v>12</v>
      </c>
      <c r="HO238" s="27">
        <v>12</v>
      </c>
      <c r="HP238" s="129">
        <v>25.3</v>
      </c>
      <c r="HR238" s="27">
        <v>12</v>
      </c>
      <c r="HS238" s="27">
        <v>12</v>
      </c>
      <c r="HT238" s="27">
        <v>12</v>
      </c>
      <c r="HU238" s="27">
        <v>12</v>
      </c>
      <c r="HV238" s="27">
        <v>12</v>
      </c>
      <c r="HW238" s="27">
        <v>12</v>
      </c>
      <c r="HX238" s="27">
        <v>12</v>
      </c>
      <c r="HY238" s="27">
        <v>12</v>
      </c>
      <c r="HZ238" s="27">
        <v>12</v>
      </c>
      <c r="IA238" s="129">
        <v>25.3</v>
      </c>
    </row>
    <row r="239" spans="15:235" ht="24.95" customHeight="1">
      <c r="O239" s="17"/>
      <c r="P239" s="17"/>
      <c r="Q239" s="17"/>
      <c r="R239" s="17"/>
      <c r="S239" s="17"/>
      <c r="T239" s="17"/>
      <c r="U239" s="17"/>
      <c r="V239" s="17"/>
      <c r="W239" s="17"/>
      <c r="X239" s="129">
        <v>23.4</v>
      </c>
      <c r="Y239" s="27"/>
      <c r="AI239" s="129">
        <v>23.4</v>
      </c>
      <c r="AK239" s="129">
        <v>7.6000000000000014</v>
      </c>
      <c r="AL239" s="129">
        <v>7.6000000000000014</v>
      </c>
      <c r="AM239" s="129">
        <v>7.6000000000000014</v>
      </c>
      <c r="AN239" s="129">
        <v>7.6000000000000014</v>
      </c>
      <c r="AO239" s="129">
        <v>7.6000000000000014</v>
      </c>
      <c r="AP239" s="129">
        <v>7.6000000000000014</v>
      </c>
      <c r="AQ239" s="129">
        <v>7.6000000000000014</v>
      </c>
      <c r="AR239" s="129">
        <v>7.6000000000000014</v>
      </c>
      <c r="AS239" s="129">
        <v>7.6000000000000014</v>
      </c>
      <c r="AT239" s="129">
        <v>23.4</v>
      </c>
      <c r="AV239" s="129">
        <v>9.6000000000000014</v>
      </c>
      <c r="AW239" s="129">
        <v>9.6000000000000014</v>
      </c>
      <c r="AX239" s="129">
        <v>9.6000000000000014</v>
      </c>
      <c r="AY239" s="129">
        <v>9.6000000000000014</v>
      </c>
      <c r="AZ239" s="129">
        <v>9.6000000000000014</v>
      </c>
      <c r="BA239" s="129">
        <v>9.6000000000000014</v>
      </c>
      <c r="BB239" s="129">
        <v>9.6000000000000014</v>
      </c>
      <c r="BC239" s="129">
        <v>9.6000000000000014</v>
      </c>
      <c r="BD239" s="129">
        <v>9.6000000000000014</v>
      </c>
      <c r="BE239" s="129">
        <v>23.4</v>
      </c>
      <c r="BG239" s="129">
        <v>13.200000000000003</v>
      </c>
      <c r="BH239" s="129">
        <v>13.200000000000003</v>
      </c>
      <c r="BI239" s="129">
        <v>13.200000000000003</v>
      </c>
      <c r="BJ239" s="129">
        <v>13.200000000000003</v>
      </c>
      <c r="BK239" s="129">
        <v>13.200000000000003</v>
      </c>
      <c r="BL239" s="129">
        <v>13.200000000000003</v>
      </c>
      <c r="BM239" s="129">
        <v>13.200000000000003</v>
      </c>
      <c r="BN239" s="129">
        <v>13.200000000000003</v>
      </c>
      <c r="BO239" s="129">
        <v>13.200000000000003</v>
      </c>
      <c r="BP239" s="129">
        <v>23.4</v>
      </c>
      <c r="BR239" s="129">
        <v>13.200000000000003</v>
      </c>
      <c r="BS239" s="129">
        <v>13.200000000000003</v>
      </c>
      <c r="BT239" s="129">
        <v>13.200000000000003</v>
      </c>
      <c r="BU239" s="129">
        <v>13.200000000000003</v>
      </c>
      <c r="BV239" s="129">
        <v>13.200000000000003</v>
      </c>
      <c r="BW239" s="129">
        <v>13.200000000000003</v>
      </c>
      <c r="BX239" s="129">
        <v>13.200000000000003</v>
      </c>
      <c r="BY239" s="129">
        <v>13.200000000000003</v>
      </c>
      <c r="BZ239" s="129">
        <v>13.200000000000003</v>
      </c>
      <c r="CA239" s="129">
        <v>23.4</v>
      </c>
      <c r="CC239" s="129">
        <v>8</v>
      </c>
      <c r="CD239" s="129">
        <v>8</v>
      </c>
      <c r="CE239" s="129">
        <v>8</v>
      </c>
      <c r="CF239" s="129">
        <v>8</v>
      </c>
      <c r="CG239" s="129">
        <v>8</v>
      </c>
      <c r="CH239" s="129">
        <v>8</v>
      </c>
      <c r="CI239" s="129">
        <v>8</v>
      </c>
      <c r="CJ239" s="129">
        <v>8</v>
      </c>
      <c r="CK239" s="129">
        <v>8</v>
      </c>
      <c r="CL239" s="129">
        <v>23.4</v>
      </c>
      <c r="CN239" s="129">
        <v>9.6000000000000014</v>
      </c>
      <c r="CO239" s="129">
        <v>9.6000000000000014</v>
      </c>
      <c r="CP239" s="129">
        <v>9.6000000000000014</v>
      </c>
      <c r="CQ239" s="129">
        <v>9.6000000000000014</v>
      </c>
      <c r="CR239" s="129">
        <v>9.6000000000000014</v>
      </c>
      <c r="CS239" s="129">
        <v>9.6000000000000014</v>
      </c>
      <c r="CT239" s="129">
        <v>9.6000000000000014</v>
      </c>
      <c r="CU239" s="129">
        <v>9.6000000000000014</v>
      </c>
      <c r="CV239" s="129">
        <v>9.6000000000000014</v>
      </c>
      <c r="CW239" s="129">
        <v>23.4</v>
      </c>
      <c r="CY239" s="129">
        <v>13.600000000000001</v>
      </c>
      <c r="CZ239" s="129">
        <v>13.600000000000001</v>
      </c>
      <c r="DA239" s="129">
        <v>13.600000000000001</v>
      </c>
      <c r="DB239" s="129">
        <v>13.600000000000001</v>
      </c>
      <c r="DC239" s="129">
        <v>13.600000000000001</v>
      </c>
      <c r="DD239" s="129">
        <v>13.600000000000001</v>
      </c>
      <c r="DE239" s="129">
        <v>13.600000000000001</v>
      </c>
      <c r="DF239" s="129">
        <v>13.600000000000001</v>
      </c>
      <c r="DG239" s="129">
        <v>13.600000000000001</v>
      </c>
      <c r="DH239" s="129">
        <v>23.4</v>
      </c>
      <c r="DJ239" s="129">
        <v>13.600000000000001</v>
      </c>
      <c r="DK239" s="129">
        <v>13.600000000000001</v>
      </c>
      <c r="DL239" s="129">
        <v>13.600000000000001</v>
      </c>
      <c r="DM239" s="129">
        <v>13.600000000000001</v>
      </c>
      <c r="DN239" s="129">
        <v>13.600000000000001</v>
      </c>
      <c r="DO239" s="129">
        <v>13.600000000000001</v>
      </c>
      <c r="DP239" s="129">
        <v>13.600000000000001</v>
      </c>
      <c r="DQ239" s="129">
        <v>13.600000000000001</v>
      </c>
      <c r="DR239" s="129">
        <v>13.600000000000001</v>
      </c>
      <c r="DS239" s="129">
        <v>23.4</v>
      </c>
      <c r="DW239" s="27"/>
      <c r="EH239" s="27">
        <v>5</v>
      </c>
      <c r="EI239" s="27">
        <v>5</v>
      </c>
      <c r="EJ239" s="27">
        <v>5</v>
      </c>
      <c r="EK239" s="27">
        <v>5</v>
      </c>
      <c r="EL239" s="27">
        <v>5</v>
      </c>
      <c r="EM239" s="27">
        <v>5</v>
      </c>
      <c r="EN239" s="27">
        <v>5</v>
      </c>
      <c r="EO239" s="27">
        <v>5</v>
      </c>
      <c r="EP239" s="27">
        <v>5</v>
      </c>
      <c r="EQ239" s="129">
        <v>25.4</v>
      </c>
      <c r="ES239" s="27">
        <v>13.600000000000001</v>
      </c>
      <c r="ET239" s="27">
        <v>13.600000000000001</v>
      </c>
      <c r="EU239" s="27">
        <v>13.600000000000001</v>
      </c>
      <c r="EV239" s="27">
        <v>13.600000000000001</v>
      </c>
      <c r="EW239" s="27">
        <v>13.600000000000001</v>
      </c>
      <c r="EX239" s="27">
        <v>13.600000000000001</v>
      </c>
      <c r="EY239" s="27">
        <v>13.600000000000001</v>
      </c>
      <c r="EZ239" s="27">
        <v>13.600000000000001</v>
      </c>
      <c r="FA239" s="27">
        <v>13.600000000000001</v>
      </c>
      <c r="FB239" s="129">
        <v>25.4</v>
      </c>
      <c r="FD239" s="27">
        <v>18.200000000000003</v>
      </c>
      <c r="FE239" s="27">
        <v>18.200000000000003</v>
      </c>
      <c r="FF239" s="27">
        <v>18.200000000000003</v>
      </c>
      <c r="FG239" s="27">
        <v>18.200000000000003</v>
      </c>
      <c r="FH239" s="27">
        <v>18.200000000000003</v>
      </c>
      <c r="FI239" s="27">
        <v>18.200000000000003</v>
      </c>
      <c r="FJ239" s="27">
        <v>18.200000000000003</v>
      </c>
      <c r="FK239" s="27">
        <v>18.200000000000003</v>
      </c>
      <c r="FL239" s="27">
        <v>18.200000000000003</v>
      </c>
      <c r="FM239" s="129">
        <v>25.4</v>
      </c>
      <c r="FO239" s="27">
        <v>24.200000000000003</v>
      </c>
      <c r="FP239" s="27">
        <v>24.200000000000003</v>
      </c>
      <c r="FQ239" s="27">
        <v>24.200000000000003</v>
      </c>
      <c r="FR239" s="27">
        <v>24.200000000000003</v>
      </c>
      <c r="FS239" s="27">
        <v>24.200000000000003</v>
      </c>
      <c r="FT239" s="27">
        <v>24.200000000000003</v>
      </c>
      <c r="FU239" s="27">
        <v>24.200000000000003</v>
      </c>
      <c r="FV239" s="27">
        <v>24.200000000000003</v>
      </c>
      <c r="FW239" s="27">
        <v>24.200000000000003</v>
      </c>
      <c r="FX239" s="129">
        <v>25.4</v>
      </c>
      <c r="FZ239" s="27">
        <v>24.200000000000003</v>
      </c>
      <c r="GA239" s="27">
        <v>24.200000000000003</v>
      </c>
      <c r="GB239" s="27">
        <v>24.200000000000003</v>
      </c>
      <c r="GC239" s="27">
        <v>24.200000000000003</v>
      </c>
      <c r="GD239" s="27">
        <v>24.200000000000003</v>
      </c>
      <c r="GE239" s="27">
        <v>24.200000000000003</v>
      </c>
      <c r="GF239" s="27">
        <v>24.200000000000003</v>
      </c>
      <c r="GG239" s="27">
        <v>24.200000000000003</v>
      </c>
      <c r="GH239" s="27">
        <v>24.200000000000003</v>
      </c>
      <c r="GI239" s="129">
        <v>25.4</v>
      </c>
      <c r="GJ239" s="27"/>
      <c r="GK239" s="27">
        <v>7.6000000000000014</v>
      </c>
      <c r="GL239" s="27">
        <v>7.6000000000000014</v>
      </c>
      <c r="GM239" s="27">
        <v>7.6000000000000014</v>
      </c>
      <c r="GN239" s="27">
        <v>7.6000000000000014</v>
      </c>
      <c r="GO239" s="27">
        <v>7.6000000000000014</v>
      </c>
      <c r="GP239" s="27">
        <v>7.6000000000000014</v>
      </c>
      <c r="GQ239" s="27">
        <v>7.6000000000000014</v>
      </c>
      <c r="GR239" s="27">
        <v>7.6000000000000014</v>
      </c>
      <c r="GS239" s="27">
        <v>7.6000000000000014</v>
      </c>
      <c r="GT239" s="129">
        <v>25.4</v>
      </c>
      <c r="GV239" s="27">
        <v>9</v>
      </c>
      <c r="GW239" s="27">
        <v>9</v>
      </c>
      <c r="GX239" s="27">
        <v>9</v>
      </c>
      <c r="GY239" s="27">
        <v>9</v>
      </c>
      <c r="GZ239" s="27">
        <v>9</v>
      </c>
      <c r="HA239" s="27">
        <v>9</v>
      </c>
      <c r="HB239" s="27">
        <v>9</v>
      </c>
      <c r="HC239" s="27">
        <v>9</v>
      </c>
      <c r="HD239" s="27">
        <v>9</v>
      </c>
      <c r="HE239" s="129">
        <v>25.4</v>
      </c>
      <c r="HG239" s="27">
        <v>12</v>
      </c>
      <c r="HH239" s="27">
        <v>12</v>
      </c>
      <c r="HI239" s="27">
        <v>12</v>
      </c>
      <c r="HJ239" s="27">
        <v>12</v>
      </c>
      <c r="HK239" s="27">
        <v>12</v>
      </c>
      <c r="HL239" s="27">
        <v>12</v>
      </c>
      <c r="HM239" s="27">
        <v>12</v>
      </c>
      <c r="HN239" s="27">
        <v>12</v>
      </c>
      <c r="HO239" s="27">
        <v>12</v>
      </c>
      <c r="HP239" s="129">
        <v>25.4</v>
      </c>
      <c r="HR239" s="27">
        <v>12</v>
      </c>
      <c r="HS239" s="27">
        <v>12</v>
      </c>
      <c r="HT239" s="27">
        <v>12</v>
      </c>
      <c r="HU239" s="27">
        <v>12</v>
      </c>
      <c r="HV239" s="27">
        <v>12</v>
      </c>
      <c r="HW239" s="27">
        <v>12</v>
      </c>
      <c r="HX239" s="27">
        <v>12</v>
      </c>
      <c r="HY239" s="27">
        <v>12</v>
      </c>
      <c r="HZ239" s="27">
        <v>12</v>
      </c>
      <c r="IA239" s="129">
        <v>25.4</v>
      </c>
    </row>
    <row r="240" spans="15:235" ht="24.95" customHeight="1">
      <c r="O240" s="17"/>
      <c r="P240" s="17"/>
      <c r="Q240" s="17"/>
      <c r="R240" s="17"/>
      <c r="S240" s="17"/>
      <c r="T240" s="17"/>
      <c r="U240" s="17"/>
      <c r="V240" s="17"/>
      <c r="W240" s="17"/>
      <c r="X240" s="129">
        <v>23.5</v>
      </c>
      <c r="Y240" s="27"/>
      <c r="AI240" s="129">
        <v>23.5</v>
      </c>
      <c r="AK240" s="129">
        <v>7.5000000000000018</v>
      </c>
      <c r="AL240" s="129">
        <v>7.5000000000000018</v>
      </c>
      <c r="AM240" s="129">
        <v>7.5000000000000018</v>
      </c>
      <c r="AN240" s="129">
        <v>7.5000000000000018</v>
      </c>
      <c r="AO240" s="129">
        <v>7.5000000000000018</v>
      </c>
      <c r="AP240" s="129">
        <v>7.5000000000000018</v>
      </c>
      <c r="AQ240" s="129">
        <v>7.5000000000000018</v>
      </c>
      <c r="AR240" s="129">
        <v>7.5000000000000018</v>
      </c>
      <c r="AS240" s="129">
        <v>7.5000000000000018</v>
      </c>
      <c r="AT240" s="129">
        <v>23.5</v>
      </c>
      <c r="AV240" s="129">
        <v>9.5000000000000018</v>
      </c>
      <c r="AW240" s="129">
        <v>9.5000000000000018</v>
      </c>
      <c r="AX240" s="129">
        <v>9.5000000000000018</v>
      </c>
      <c r="AY240" s="129">
        <v>9.5000000000000018</v>
      </c>
      <c r="AZ240" s="129">
        <v>9.5000000000000018</v>
      </c>
      <c r="BA240" s="129">
        <v>9.5000000000000018</v>
      </c>
      <c r="BB240" s="129">
        <v>9.5000000000000018</v>
      </c>
      <c r="BC240" s="129">
        <v>9.5000000000000018</v>
      </c>
      <c r="BD240" s="129">
        <v>9.5000000000000018</v>
      </c>
      <c r="BE240" s="129">
        <v>23.5</v>
      </c>
      <c r="BG240" s="129">
        <v>13.000000000000004</v>
      </c>
      <c r="BH240" s="129">
        <v>13.000000000000004</v>
      </c>
      <c r="BI240" s="129">
        <v>13.000000000000004</v>
      </c>
      <c r="BJ240" s="129">
        <v>13.000000000000004</v>
      </c>
      <c r="BK240" s="129">
        <v>13.000000000000004</v>
      </c>
      <c r="BL240" s="129">
        <v>13.000000000000004</v>
      </c>
      <c r="BM240" s="129">
        <v>13.000000000000004</v>
      </c>
      <c r="BN240" s="129">
        <v>13.000000000000004</v>
      </c>
      <c r="BO240" s="129">
        <v>13.000000000000004</v>
      </c>
      <c r="BP240" s="129">
        <v>23.5</v>
      </c>
      <c r="BR240" s="129">
        <v>13.000000000000004</v>
      </c>
      <c r="BS240" s="129">
        <v>13.000000000000004</v>
      </c>
      <c r="BT240" s="129">
        <v>13.000000000000004</v>
      </c>
      <c r="BU240" s="129">
        <v>13.000000000000004</v>
      </c>
      <c r="BV240" s="129">
        <v>13.000000000000004</v>
      </c>
      <c r="BW240" s="129">
        <v>13.000000000000004</v>
      </c>
      <c r="BX240" s="129">
        <v>13.000000000000004</v>
      </c>
      <c r="BY240" s="129">
        <v>13.000000000000004</v>
      </c>
      <c r="BZ240" s="129">
        <v>13.000000000000004</v>
      </c>
      <c r="CA240" s="129">
        <v>23.5</v>
      </c>
      <c r="CC240" s="129">
        <v>8</v>
      </c>
      <c r="CD240" s="129">
        <v>8</v>
      </c>
      <c r="CE240" s="129">
        <v>8</v>
      </c>
      <c r="CF240" s="129">
        <v>8</v>
      </c>
      <c r="CG240" s="129">
        <v>8</v>
      </c>
      <c r="CH240" s="129">
        <v>8</v>
      </c>
      <c r="CI240" s="129">
        <v>8</v>
      </c>
      <c r="CJ240" s="129">
        <v>8</v>
      </c>
      <c r="CK240" s="129">
        <v>8</v>
      </c>
      <c r="CL240" s="129">
        <v>23.5</v>
      </c>
      <c r="CN240" s="129">
        <v>9.5000000000000018</v>
      </c>
      <c r="CO240" s="129">
        <v>9.5000000000000018</v>
      </c>
      <c r="CP240" s="129">
        <v>9.5000000000000018</v>
      </c>
      <c r="CQ240" s="129">
        <v>9.5000000000000018</v>
      </c>
      <c r="CR240" s="129">
        <v>9.5000000000000018</v>
      </c>
      <c r="CS240" s="129">
        <v>9.5000000000000018</v>
      </c>
      <c r="CT240" s="129">
        <v>9.5000000000000018</v>
      </c>
      <c r="CU240" s="129">
        <v>9.5000000000000018</v>
      </c>
      <c r="CV240" s="129">
        <v>9.5000000000000018</v>
      </c>
      <c r="CW240" s="129">
        <v>23.5</v>
      </c>
      <c r="CY240" s="129">
        <v>13.500000000000002</v>
      </c>
      <c r="CZ240" s="129">
        <v>13.500000000000002</v>
      </c>
      <c r="DA240" s="129">
        <v>13.500000000000002</v>
      </c>
      <c r="DB240" s="129">
        <v>13.500000000000002</v>
      </c>
      <c r="DC240" s="129">
        <v>13.500000000000002</v>
      </c>
      <c r="DD240" s="129">
        <v>13.500000000000002</v>
      </c>
      <c r="DE240" s="129">
        <v>13.500000000000002</v>
      </c>
      <c r="DF240" s="129">
        <v>13.500000000000002</v>
      </c>
      <c r="DG240" s="129">
        <v>13.500000000000002</v>
      </c>
      <c r="DH240" s="129">
        <v>23.5</v>
      </c>
      <c r="DJ240" s="129">
        <v>13.500000000000002</v>
      </c>
      <c r="DK240" s="129">
        <v>13.500000000000002</v>
      </c>
      <c r="DL240" s="129">
        <v>13.500000000000002</v>
      </c>
      <c r="DM240" s="129">
        <v>13.500000000000002</v>
      </c>
      <c r="DN240" s="129">
        <v>13.500000000000002</v>
      </c>
      <c r="DO240" s="129">
        <v>13.500000000000002</v>
      </c>
      <c r="DP240" s="129">
        <v>13.500000000000002</v>
      </c>
      <c r="DQ240" s="129">
        <v>13.500000000000002</v>
      </c>
      <c r="DR240" s="129">
        <v>13.500000000000002</v>
      </c>
      <c r="DS240" s="129">
        <v>23.5</v>
      </c>
      <c r="DW240" s="27"/>
      <c r="EH240" s="27">
        <v>5</v>
      </c>
      <c r="EI240" s="27">
        <v>5</v>
      </c>
      <c r="EJ240" s="27">
        <v>5</v>
      </c>
      <c r="EK240" s="27">
        <v>5</v>
      </c>
      <c r="EL240" s="27">
        <v>5</v>
      </c>
      <c r="EM240" s="27">
        <v>5</v>
      </c>
      <c r="EN240" s="27">
        <v>5</v>
      </c>
      <c r="EO240" s="27">
        <v>5</v>
      </c>
      <c r="EP240" s="27">
        <v>5</v>
      </c>
      <c r="EQ240" s="129">
        <v>25.5</v>
      </c>
      <c r="ES240" s="27">
        <v>13.500000000000002</v>
      </c>
      <c r="ET240" s="27">
        <v>13.500000000000002</v>
      </c>
      <c r="EU240" s="27">
        <v>13.500000000000002</v>
      </c>
      <c r="EV240" s="27">
        <v>13.500000000000002</v>
      </c>
      <c r="EW240" s="27">
        <v>13.500000000000002</v>
      </c>
      <c r="EX240" s="27">
        <v>13.500000000000002</v>
      </c>
      <c r="EY240" s="27">
        <v>13.500000000000002</v>
      </c>
      <c r="EZ240" s="27">
        <v>13.500000000000002</v>
      </c>
      <c r="FA240" s="27">
        <v>13.500000000000002</v>
      </c>
      <c r="FB240" s="129">
        <v>25.5</v>
      </c>
      <c r="FD240" s="27">
        <v>18.000000000000004</v>
      </c>
      <c r="FE240" s="27">
        <v>18.000000000000004</v>
      </c>
      <c r="FF240" s="27">
        <v>18.000000000000004</v>
      </c>
      <c r="FG240" s="27">
        <v>18.000000000000004</v>
      </c>
      <c r="FH240" s="27">
        <v>18.000000000000004</v>
      </c>
      <c r="FI240" s="27">
        <v>18.000000000000004</v>
      </c>
      <c r="FJ240" s="27">
        <v>18.000000000000004</v>
      </c>
      <c r="FK240" s="27">
        <v>18.000000000000004</v>
      </c>
      <c r="FL240" s="27">
        <v>18.000000000000004</v>
      </c>
      <c r="FM240" s="129">
        <v>25.5</v>
      </c>
      <c r="FO240" s="27">
        <v>24.000000000000004</v>
      </c>
      <c r="FP240" s="27">
        <v>24.000000000000004</v>
      </c>
      <c r="FQ240" s="27">
        <v>24.000000000000004</v>
      </c>
      <c r="FR240" s="27">
        <v>24.000000000000004</v>
      </c>
      <c r="FS240" s="27">
        <v>24.000000000000004</v>
      </c>
      <c r="FT240" s="27">
        <v>24.000000000000004</v>
      </c>
      <c r="FU240" s="27">
        <v>24.000000000000004</v>
      </c>
      <c r="FV240" s="27">
        <v>24.000000000000004</v>
      </c>
      <c r="FW240" s="27">
        <v>24.000000000000004</v>
      </c>
      <c r="FX240" s="129">
        <v>25.5</v>
      </c>
      <c r="FZ240" s="27">
        <v>24.000000000000004</v>
      </c>
      <c r="GA240" s="27">
        <v>24.000000000000004</v>
      </c>
      <c r="GB240" s="27">
        <v>24.000000000000004</v>
      </c>
      <c r="GC240" s="27">
        <v>24.000000000000004</v>
      </c>
      <c r="GD240" s="27">
        <v>24.000000000000004</v>
      </c>
      <c r="GE240" s="27">
        <v>24.000000000000004</v>
      </c>
      <c r="GF240" s="27">
        <v>24.000000000000004</v>
      </c>
      <c r="GG240" s="27">
        <v>24.000000000000004</v>
      </c>
      <c r="GH240" s="27">
        <v>24.000000000000004</v>
      </c>
      <c r="GI240" s="129">
        <v>25.5</v>
      </c>
      <c r="GJ240" s="27"/>
      <c r="GK240" s="27">
        <v>7.5000000000000018</v>
      </c>
      <c r="GL240" s="27">
        <v>7.5000000000000018</v>
      </c>
      <c r="GM240" s="27">
        <v>7.5000000000000018</v>
      </c>
      <c r="GN240" s="27">
        <v>7.5000000000000018</v>
      </c>
      <c r="GO240" s="27">
        <v>7.5000000000000018</v>
      </c>
      <c r="GP240" s="27">
        <v>7.5000000000000018</v>
      </c>
      <c r="GQ240" s="27">
        <v>7.5000000000000018</v>
      </c>
      <c r="GR240" s="27">
        <v>7.5000000000000018</v>
      </c>
      <c r="GS240" s="27">
        <v>7.5000000000000018</v>
      </c>
      <c r="GT240" s="129">
        <v>25.5</v>
      </c>
      <c r="GV240" s="27">
        <v>9</v>
      </c>
      <c r="GW240" s="27">
        <v>9</v>
      </c>
      <c r="GX240" s="27">
        <v>9</v>
      </c>
      <c r="GY240" s="27">
        <v>9</v>
      </c>
      <c r="GZ240" s="27">
        <v>9</v>
      </c>
      <c r="HA240" s="27">
        <v>9</v>
      </c>
      <c r="HB240" s="27">
        <v>9</v>
      </c>
      <c r="HC240" s="27">
        <v>9</v>
      </c>
      <c r="HD240" s="27">
        <v>9</v>
      </c>
      <c r="HE240" s="129">
        <v>25.5</v>
      </c>
      <c r="HG240" s="27">
        <v>12</v>
      </c>
      <c r="HH240" s="27">
        <v>12</v>
      </c>
      <c r="HI240" s="27">
        <v>12</v>
      </c>
      <c r="HJ240" s="27">
        <v>12</v>
      </c>
      <c r="HK240" s="27">
        <v>12</v>
      </c>
      <c r="HL240" s="27">
        <v>12</v>
      </c>
      <c r="HM240" s="27">
        <v>12</v>
      </c>
      <c r="HN240" s="27">
        <v>12</v>
      </c>
      <c r="HO240" s="27">
        <v>12</v>
      </c>
      <c r="HP240" s="129">
        <v>25.5</v>
      </c>
      <c r="HR240" s="27">
        <v>12</v>
      </c>
      <c r="HS240" s="27">
        <v>12</v>
      </c>
      <c r="HT240" s="27">
        <v>12</v>
      </c>
      <c r="HU240" s="27">
        <v>12</v>
      </c>
      <c r="HV240" s="27">
        <v>12</v>
      </c>
      <c r="HW240" s="27">
        <v>12</v>
      </c>
      <c r="HX240" s="27">
        <v>12</v>
      </c>
      <c r="HY240" s="27">
        <v>12</v>
      </c>
      <c r="HZ240" s="27">
        <v>12</v>
      </c>
      <c r="IA240" s="129">
        <v>25.5</v>
      </c>
    </row>
    <row r="241" spans="15:235" ht="24.95" customHeight="1">
      <c r="O241" s="17"/>
      <c r="P241" s="17"/>
      <c r="Q241" s="17"/>
      <c r="R241" s="17"/>
      <c r="S241" s="17"/>
      <c r="T241" s="17"/>
      <c r="U241" s="17"/>
      <c r="V241" s="17"/>
      <c r="W241" s="17"/>
      <c r="X241" s="129">
        <v>23.6</v>
      </c>
      <c r="Y241" s="27"/>
      <c r="AI241" s="129">
        <v>23.6</v>
      </c>
      <c r="AK241" s="129">
        <v>7.4000000000000021</v>
      </c>
      <c r="AL241" s="129">
        <v>7.4000000000000021</v>
      </c>
      <c r="AM241" s="129">
        <v>7.4000000000000021</v>
      </c>
      <c r="AN241" s="129">
        <v>7.4000000000000021</v>
      </c>
      <c r="AO241" s="129">
        <v>7.4000000000000021</v>
      </c>
      <c r="AP241" s="129">
        <v>7.4000000000000021</v>
      </c>
      <c r="AQ241" s="129">
        <v>7.4000000000000021</v>
      </c>
      <c r="AR241" s="129">
        <v>7.4000000000000021</v>
      </c>
      <c r="AS241" s="129">
        <v>7.4000000000000021</v>
      </c>
      <c r="AT241" s="129">
        <v>23.6</v>
      </c>
      <c r="AV241" s="129">
        <v>9.4000000000000021</v>
      </c>
      <c r="AW241" s="129">
        <v>9.4000000000000021</v>
      </c>
      <c r="AX241" s="129">
        <v>9.4000000000000021</v>
      </c>
      <c r="AY241" s="129">
        <v>9.4000000000000021</v>
      </c>
      <c r="AZ241" s="129">
        <v>9.4000000000000021</v>
      </c>
      <c r="BA241" s="129">
        <v>9.4000000000000021</v>
      </c>
      <c r="BB241" s="129">
        <v>9.4000000000000021</v>
      </c>
      <c r="BC241" s="129">
        <v>9.4000000000000021</v>
      </c>
      <c r="BD241" s="129">
        <v>9.4000000000000021</v>
      </c>
      <c r="BE241" s="129">
        <v>23.6</v>
      </c>
      <c r="BG241" s="129">
        <v>12.800000000000004</v>
      </c>
      <c r="BH241" s="129">
        <v>12.800000000000004</v>
      </c>
      <c r="BI241" s="129">
        <v>12.800000000000004</v>
      </c>
      <c r="BJ241" s="129">
        <v>12.800000000000004</v>
      </c>
      <c r="BK241" s="129">
        <v>12.800000000000004</v>
      </c>
      <c r="BL241" s="129">
        <v>12.800000000000004</v>
      </c>
      <c r="BM241" s="129">
        <v>12.800000000000004</v>
      </c>
      <c r="BN241" s="129">
        <v>12.800000000000004</v>
      </c>
      <c r="BO241" s="129">
        <v>12.800000000000004</v>
      </c>
      <c r="BP241" s="129">
        <v>23.6</v>
      </c>
      <c r="BR241" s="129">
        <v>12.800000000000004</v>
      </c>
      <c r="BS241" s="129">
        <v>12.800000000000004</v>
      </c>
      <c r="BT241" s="129">
        <v>12.800000000000004</v>
      </c>
      <c r="BU241" s="129">
        <v>12.800000000000004</v>
      </c>
      <c r="BV241" s="129">
        <v>12.800000000000004</v>
      </c>
      <c r="BW241" s="129">
        <v>12.800000000000004</v>
      </c>
      <c r="BX241" s="129">
        <v>12.800000000000004</v>
      </c>
      <c r="BY241" s="129">
        <v>12.800000000000004</v>
      </c>
      <c r="BZ241" s="129">
        <v>12.800000000000004</v>
      </c>
      <c r="CA241" s="129">
        <v>23.6</v>
      </c>
      <c r="CC241" s="129">
        <v>8</v>
      </c>
      <c r="CD241" s="129">
        <v>8</v>
      </c>
      <c r="CE241" s="129">
        <v>8</v>
      </c>
      <c r="CF241" s="129">
        <v>8</v>
      </c>
      <c r="CG241" s="129">
        <v>8</v>
      </c>
      <c r="CH241" s="129">
        <v>8</v>
      </c>
      <c r="CI241" s="129">
        <v>8</v>
      </c>
      <c r="CJ241" s="129">
        <v>8</v>
      </c>
      <c r="CK241" s="129">
        <v>8</v>
      </c>
      <c r="CL241" s="129">
        <v>23.6</v>
      </c>
      <c r="CN241" s="129">
        <v>9.4000000000000021</v>
      </c>
      <c r="CO241" s="129">
        <v>9.4000000000000021</v>
      </c>
      <c r="CP241" s="129">
        <v>9.4000000000000021</v>
      </c>
      <c r="CQ241" s="129">
        <v>9.4000000000000021</v>
      </c>
      <c r="CR241" s="129">
        <v>9.4000000000000021</v>
      </c>
      <c r="CS241" s="129">
        <v>9.4000000000000021</v>
      </c>
      <c r="CT241" s="129">
        <v>9.4000000000000021</v>
      </c>
      <c r="CU241" s="129">
        <v>9.4000000000000021</v>
      </c>
      <c r="CV241" s="129">
        <v>9.4000000000000021</v>
      </c>
      <c r="CW241" s="129">
        <v>23.6</v>
      </c>
      <c r="CY241" s="129">
        <v>13.400000000000002</v>
      </c>
      <c r="CZ241" s="129">
        <v>13.400000000000002</v>
      </c>
      <c r="DA241" s="129">
        <v>13.400000000000002</v>
      </c>
      <c r="DB241" s="129">
        <v>13.400000000000002</v>
      </c>
      <c r="DC241" s="129">
        <v>13.400000000000002</v>
      </c>
      <c r="DD241" s="129">
        <v>13.400000000000002</v>
      </c>
      <c r="DE241" s="129">
        <v>13.400000000000002</v>
      </c>
      <c r="DF241" s="129">
        <v>13.400000000000002</v>
      </c>
      <c r="DG241" s="129">
        <v>13.400000000000002</v>
      </c>
      <c r="DH241" s="129">
        <v>23.6</v>
      </c>
      <c r="DJ241" s="129">
        <v>13.400000000000002</v>
      </c>
      <c r="DK241" s="129">
        <v>13.400000000000002</v>
      </c>
      <c r="DL241" s="129">
        <v>13.400000000000002</v>
      </c>
      <c r="DM241" s="129">
        <v>13.400000000000002</v>
      </c>
      <c r="DN241" s="129">
        <v>13.400000000000002</v>
      </c>
      <c r="DO241" s="129">
        <v>13.400000000000002</v>
      </c>
      <c r="DP241" s="129">
        <v>13.400000000000002</v>
      </c>
      <c r="DQ241" s="129">
        <v>13.400000000000002</v>
      </c>
      <c r="DR241" s="129">
        <v>13.400000000000002</v>
      </c>
      <c r="DS241" s="129">
        <v>23.6</v>
      </c>
      <c r="DW241" s="27"/>
      <c r="EH241" s="27">
        <v>5</v>
      </c>
      <c r="EI241" s="27">
        <v>5</v>
      </c>
      <c r="EJ241" s="27">
        <v>5</v>
      </c>
      <c r="EK241" s="27">
        <v>5</v>
      </c>
      <c r="EL241" s="27">
        <v>5</v>
      </c>
      <c r="EM241" s="27">
        <v>5</v>
      </c>
      <c r="EN241" s="27">
        <v>5</v>
      </c>
      <c r="EO241" s="27">
        <v>5</v>
      </c>
      <c r="EP241" s="27">
        <v>5</v>
      </c>
      <c r="EQ241" s="129">
        <v>25.6</v>
      </c>
      <c r="ES241" s="27">
        <v>13.400000000000002</v>
      </c>
      <c r="ET241" s="27">
        <v>13.400000000000002</v>
      </c>
      <c r="EU241" s="27">
        <v>13.400000000000002</v>
      </c>
      <c r="EV241" s="27">
        <v>13.400000000000002</v>
      </c>
      <c r="EW241" s="27">
        <v>13.400000000000002</v>
      </c>
      <c r="EX241" s="27">
        <v>13.400000000000002</v>
      </c>
      <c r="EY241" s="27">
        <v>13.400000000000002</v>
      </c>
      <c r="EZ241" s="27">
        <v>13.400000000000002</v>
      </c>
      <c r="FA241" s="27">
        <v>13.400000000000002</v>
      </c>
      <c r="FB241" s="129">
        <v>25.6</v>
      </c>
      <c r="FD241" s="27">
        <v>17.800000000000004</v>
      </c>
      <c r="FE241" s="27">
        <v>17.800000000000004</v>
      </c>
      <c r="FF241" s="27">
        <v>17.800000000000004</v>
      </c>
      <c r="FG241" s="27">
        <v>17.800000000000004</v>
      </c>
      <c r="FH241" s="27">
        <v>17.800000000000004</v>
      </c>
      <c r="FI241" s="27">
        <v>17.800000000000004</v>
      </c>
      <c r="FJ241" s="27">
        <v>17.800000000000004</v>
      </c>
      <c r="FK241" s="27">
        <v>17.800000000000004</v>
      </c>
      <c r="FL241" s="27">
        <v>17.800000000000004</v>
      </c>
      <c r="FM241" s="129">
        <v>25.6</v>
      </c>
      <c r="FO241" s="27">
        <v>23.800000000000004</v>
      </c>
      <c r="FP241" s="27">
        <v>23.800000000000004</v>
      </c>
      <c r="FQ241" s="27">
        <v>23.800000000000004</v>
      </c>
      <c r="FR241" s="27">
        <v>23.800000000000004</v>
      </c>
      <c r="FS241" s="27">
        <v>23.800000000000004</v>
      </c>
      <c r="FT241" s="27">
        <v>23.800000000000004</v>
      </c>
      <c r="FU241" s="27">
        <v>23.800000000000004</v>
      </c>
      <c r="FV241" s="27">
        <v>23.800000000000004</v>
      </c>
      <c r="FW241" s="27">
        <v>23.800000000000004</v>
      </c>
      <c r="FX241" s="129">
        <v>25.6</v>
      </c>
      <c r="FZ241" s="27">
        <v>23.800000000000004</v>
      </c>
      <c r="GA241" s="27">
        <v>23.800000000000004</v>
      </c>
      <c r="GB241" s="27">
        <v>23.800000000000004</v>
      </c>
      <c r="GC241" s="27">
        <v>23.800000000000004</v>
      </c>
      <c r="GD241" s="27">
        <v>23.800000000000004</v>
      </c>
      <c r="GE241" s="27">
        <v>23.800000000000004</v>
      </c>
      <c r="GF241" s="27">
        <v>23.800000000000004</v>
      </c>
      <c r="GG241" s="27">
        <v>23.800000000000004</v>
      </c>
      <c r="GH241" s="27">
        <v>23.800000000000004</v>
      </c>
      <c r="GI241" s="129">
        <v>25.6</v>
      </c>
      <c r="GJ241" s="27"/>
      <c r="GK241" s="27">
        <v>7.4000000000000021</v>
      </c>
      <c r="GL241" s="27">
        <v>7.4000000000000021</v>
      </c>
      <c r="GM241" s="27">
        <v>7.4000000000000021</v>
      </c>
      <c r="GN241" s="27">
        <v>7.4000000000000021</v>
      </c>
      <c r="GO241" s="27">
        <v>7.4000000000000021</v>
      </c>
      <c r="GP241" s="27">
        <v>7.4000000000000021</v>
      </c>
      <c r="GQ241" s="27">
        <v>7.4000000000000021</v>
      </c>
      <c r="GR241" s="27">
        <v>7.4000000000000021</v>
      </c>
      <c r="GS241" s="27">
        <v>7.4000000000000021</v>
      </c>
      <c r="GT241" s="129">
        <v>25.6</v>
      </c>
      <c r="GV241" s="27">
        <v>9</v>
      </c>
      <c r="GW241" s="27">
        <v>9</v>
      </c>
      <c r="GX241" s="27">
        <v>9</v>
      </c>
      <c r="GY241" s="27">
        <v>9</v>
      </c>
      <c r="GZ241" s="27">
        <v>9</v>
      </c>
      <c r="HA241" s="27">
        <v>9</v>
      </c>
      <c r="HB241" s="27">
        <v>9</v>
      </c>
      <c r="HC241" s="27">
        <v>9</v>
      </c>
      <c r="HD241" s="27">
        <v>9</v>
      </c>
      <c r="HE241" s="129">
        <v>25.6</v>
      </c>
      <c r="HG241" s="27">
        <v>12</v>
      </c>
      <c r="HH241" s="27">
        <v>12</v>
      </c>
      <c r="HI241" s="27">
        <v>12</v>
      </c>
      <c r="HJ241" s="27">
        <v>12</v>
      </c>
      <c r="HK241" s="27">
        <v>12</v>
      </c>
      <c r="HL241" s="27">
        <v>12</v>
      </c>
      <c r="HM241" s="27">
        <v>12</v>
      </c>
      <c r="HN241" s="27">
        <v>12</v>
      </c>
      <c r="HO241" s="27">
        <v>12</v>
      </c>
      <c r="HP241" s="129">
        <v>25.6</v>
      </c>
      <c r="HR241" s="27">
        <v>12</v>
      </c>
      <c r="HS241" s="27">
        <v>12</v>
      </c>
      <c r="HT241" s="27">
        <v>12</v>
      </c>
      <c r="HU241" s="27">
        <v>12</v>
      </c>
      <c r="HV241" s="27">
        <v>12</v>
      </c>
      <c r="HW241" s="27">
        <v>12</v>
      </c>
      <c r="HX241" s="27">
        <v>12</v>
      </c>
      <c r="HY241" s="27">
        <v>12</v>
      </c>
      <c r="HZ241" s="27">
        <v>12</v>
      </c>
      <c r="IA241" s="129">
        <v>25.6</v>
      </c>
    </row>
    <row r="242" spans="15:235" ht="24.95" customHeight="1">
      <c r="O242" s="17"/>
      <c r="P242" s="17"/>
      <c r="Q242" s="17"/>
      <c r="R242" s="17"/>
      <c r="S242" s="17"/>
      <c r="T242" s="17"/>
      <c r="U242" s="17"/>
      <c r="V242" s="17"/>
      <c r="W242" s="17"/>
      <c r="X242" s="129">
        <v>23.7</v>
      </c>
      <c r="Y242" s="27"/>
      <c r="AI242" s="129">
        <v>23.7</v>
      </c>
      <c r="AK242" s="129">
        <v>7.3000000000000025</v>
      </c>
      <c r="AL242" s="129">
        <v>7.3000000000000025</v>
      </c>
      <c r="AM242" s="129">
        <v>7.3000000000000025</v>
      </c>
      <c r="AN242" s="129">
        <v>7.3000000000000025</v>
      </c>
      <c r="AO242" s="129">
        <v>7.3000000000000025</v>
      </c>
      <c r="AP242" s="129">
        <v>7.3000000000000025</v>
      </c>
      <c r="AQ242" s="129">
        <v>7.3000000000000025</v>
      </c>
      <c r="AR242" s="129">
        <v>7.3000000000000025</v>
      </c>
      <c r="AS242" s="129">
        <v>7.3000000000000025</v>
      </c>
      <c r="AT242" s="129">
        <v>23.7</v>
      </c>
      <c r="AV242" s="129">
        <v>9.3000000000000025</v>
      </c>
      <c r="AW242" s="129">
        <v>9.3000000000000025</v>
      </c>
      <c r="AX242" s="129">
        <v>9.3000000000000025</v>
      </c>
      <c r="AY242" s="129">
        <v>9.3000000000000025</v>
      </c>
      <c r="AZ242" s="129">
        <v>9.3000000000000025</v>
      </c>
      <c r="BA242" s="129">
        <v>9.3000000000000025</v>
      </c>
      <c r="BB242" s="129">
        <v>9.3000000000000025</v>
      </c>
      <c r="BC242" s="129">
        <v>9.3000000000000025</v>
      </c>
      <c r="BD242" s="129">
        <v>9.3000000000000025</v>
      </c>
      <c r="BE242" s="129">
        <v>23.7</v>
      </c>
      <c r="BG242" s="129">
        <v>12.600000000000005</v>
      </c>
      <c r="BH242" s="129">
        <v>12.600000000000005</v>
      </c>
      <c r="BI242" s="129">
        <v>12.600000000000005</v>
      </c>
      <c r="BJ242" s="129">
        <v>12.600000000000005</v>
      </c>
      <c r="BK242" s="129">
        <v>12.600000000000005</v>
      </c>
      <c r="BL242" s="129">
        <v>12.600000000000005</v>
      </c>
      <c r="BM242" s="129">
        <v>12.600000000000005</v>
      </c>
      <c r="BN242" s="129">
        <v>12.600000000000005</v>
      </c>
      <c r="BO242" s="129">
        <v>12.600000000000005</v>
      </c>
      <c r="BP242" s="129">
        <v>23.7</v>
      </c>
      <c r="BR242" s="129">
        <v>12.600000000000005</v>
      </c>
      <c r="BS242" s="129">
        <v>12.600000000000005</v>
      </c>
      <c r="BT242" s="129">
        <v>12.600000000000005</v>
      </c>
      <c r="BU242" s="129">
        <v>12.600000000000005</v>
      </c>
      <c r="BV242" s="129">
        <v>12.600000000000005</v>
      </c>
      <c r="BW242" s="129">
        <v>12.600000000000005</v>
      </c>
      <c r="BX242" s="129">
        <v>12.600000000000005</v>
      </c>
      <c r="BY242" s="129">
        <v>12.600000000000005</v>
      </c>
      <c r="BZ242" s="129">
        <v>12.600000000000005</v>
      </c>
      <c r="CA242" s="129">
        <v>23.7</v>
      </c>
      <c r="CC242" s="129">
        <v>8</v>
      </c>
      <c r="CD242" s="129">
        <v>8</v>
      </c>
      <c r="CE242" s="129">
        <v>8</v>
      </c>
      <c r="CF242" s="129">
        <v>8</v>
      </c>
      <c r="CG242" s="129">
        <v>8</v>
      </c>
      <c r="CH242" s="129">
        <v>8</v>
      </c>
      <c r="CI242" s="129">
        <v>8</v>
      </c>
      <c r="CJ242" s="129">
        <v>8</v>
      </c>
      <c r="CK242" s="129">
        <v>8</v>
      </c>
      <c r="CL242" s="129">
        <v>23.7</v>
      </c>
      <c r="CN242" s="129">
        <v>9.3000000000000025</v>
      </c>
      <c r="CO242" s="129">
        <v>9.3000000000000025</v>
      </c>
      <c r="CP242" s="129">
        <v>9.3000000000000025</v>
      </c>
      <c r="CQ242" s="129">
        <v>9.3000000000000025</v>
      </c>
      <c r="CR242" s="129">
        <v>9.3000000000000025</v>
      </c>
      <c r="CS242" s="129">
        <v>9.3000000000000025</v>
      </c>
      <c r="CT242" s="129">
        <v>9.3000000000000025</v>
      </c>
      <c r="CU242" s="129">
        <v>9.3000000000000025</v>
      </c>
      <c r="CV242" s="129">
        <v>9.3000000000000025</v>
      </c>
      <c r="CW242" s="129">
        <v>23.7</v>
      </c>
      <c r="CY242" s="129">
        <v>13.300000000000002</v>
      </c>
      <c r="CZ242" s="129">
        <v>13.300000000000002</v>
      </c>
      <c r="DA242" s="129">
        <v>13.300000000000002</v>
      </c>
      <c r="DB242" s="129">
        <v>13.300000000000002</v>
      </c>
      <c r="DC242" s="129">
        <v>13.300000000000002</v>
      </c>
      <c r="DD242" s="129">
        <v>13.300000000000002</v>
      </c>
      <c r="DE242" s="129">
        <v>13.300000000000002</v>
      </c>
      <c r="DF242" s="129">
        <v>13.300000000000002</v>
      </c>
      <c r="DG242" s="129">
        <v>13.300000000000002</v>
      </c>
      <c r="DH242" s="129">
        <v>23.7</v>
      </c>
      <c r="DJ242" s="129">
        <v>13.300000000000002</v>
      </c>
      <c r="DK242" s="129">
        <v>13.300000000000002</v>
      </c>
      <c r="DL242" s="129">
        <v>13.300000000000002</v>
      </c>
      <c r="DM242" s="129">
        <v>13.300000000000002</v>
      </c>
      <c r="DN242" s="129">
        <v>13.300000000000002</v>
      </c>
      <c r="DO242" s="129">
        <v>13.300000000000002</v>
      </c>
      <c r="DP242" s="129">
        <v>13.300000000000002</v>
      </c>
      <c r="DQ242" s="129">
        <v>13.300000000000002</v>
      </c>
      <c r="DR242" s="129">
        <v>13.300000000000002</v>
      </c>
      <c r="DS242" s="129">
        <v>23.7</v>
      </c>
      <c r="DW242" s="27"/>
      <c r="EH242" s="27">
        <v>5</v>
      </c>
      <c r="EI242" s="27">
        <v>5</v>
      </c>
      <c r="EJ242" s="27">
        <v>5</v>
      </c>
      <c r="EK242" s="27">
        <v>5</v>
      </c>
      <c r="EL242" s="27">
        <v>5</v>
      </c>
      <c r="EM242" s="27">
        <v>5</v>
      </c>
      <c r="EN242" s="27">
        <v>5</v>
      </c>
      <c r="EO242" s="27">
        <v>5</v>
      </c>
      <c r="EP242" s="27">
        <v>5</v>
      </c>
      <c r="EQ242" s="129">
        <v>25.7</v>
      </c>
      <c r="ES242" s="27">
        <v>13.300000000000002</v>
      </c>
      <c r="ET242" s="27">
        <v>13.300000000000002</v>
      </c>
      <c r="EU242" s="27">
        <v>13.300000000000002</v>
      </c>
      <c r="EV242" s="27">
        <v>13.300000000000002</v>
      </c>
      <c r="EW242" s="27">
        <v>13.300000000000002</v>
      </c>
      <c r="EX242" s="27">
        <v>13.300000000000002</v>
      </c>
      <c r="EY242" s="27">
        <v>13.300000000000002</v>
      </c>
      <c r="EZ242" s="27">
        <v>13.300000000000002</v>
      </c>
      <c r="FA242" s="27">
        <v>13.300000000000002</v>
      </c>
      <c r="FB242" s="129">
        <v>25.7</v>
      </c>
      <c r="FD242" s="27">
        <v>17.600000000000005</v>
      </c>
      <c r="FE242" s="27">
        <v>17.600000000000005</v>
      </c>
      <c r="FF242" s="27">
        <v>17.600000000000005</v>
      </c>
      <c r="FG242" s="27">
        <v>17.600000000000005</v>
      </c>
      <c r="FH242" s="27">
        <v>17.600000000000005</v>
      </c>
      <c r="FI242" s="27">
        <v>17.600000000000005</v>
      </c>
      <c r="FJ242" s="27">
        <v>17.600000000000005</v>
      </c>
      <c r="FK242" s="27">
        <v>17.600000000000005</v>
      </c>
      <c r="FL242" s="27">
        <v>17.600000000000005</v>
      </c>
      <c r="FM242" s="129">
        <v>25.7</v>
      </c>
      <c r="FO242" s="27">
        <v>23.600000000000005</v>
      </c>
      <c r="FP242" s="27">
        <v>23.600000000000005</v>
      </c>
      <c r="FQ242" s="27">
        <v>23.600000000000005</v>
      </c>
      <c r="FR242" s="27">
        <v>23.600000000000005</v>
      </c>
      <c r="FS242" s="27">
        <v>23.600000000000005</v>
      </c>
      <c r="FT242" s="27">
        <v>23.600000000000005</v>
      </c>
      <c r="FU242" s="27">
        <v>23.600000000000005</v>
      </c>
      <c r="FV242" s="27">
        <v>23.600000000000005</v>
      </c>
      <c r="FW242" s="27">
        <v>23.600000000000005</v>
      </c>
      <c r="FX242" s="129">
        <v>25.7</v>
      </c>
      <c r="FZ242" s="27">
        <v>23.600000000000005</v>
      </c>
      <c r="GA242" s="27">
        <v>23.600000000000005</v>
      </c>
      <c r="GB242" s="27">
        <v>23.600000000000005</v>
      </c>
      <c r="GC242" s="27">
        <v>23.600000000000005</v>
      </c>
      <c r="GD242" s="27">
        <v>23.600000000000005</v>
      </c>
      <c r="GE242" s="27">
        <v>23.600000000000005</v>
      </c>
      <c r="GF242" s="27">
        <v>23.600000000000005</v>
      </c>
      <c r="GG242" s="27">
        <v>23.600000000000005</v>
      </c>
      <c r="GH242" s="27">
        <v>23.600000000000005</v>
      </c>
      <c r="GI242" s="129">
        <v>25.7</v>
      </c>
      <c r="GJ242" s="27"/>
      <c r="GK242" s="27">
        <v>7.3000000000000025</v>
      </c>
      <c r="GL242" s="27">
        <v>7.3000000000000025</v>
      </c>
      <c r="GM242" s="27">
        <v>7.3000000000000025</v>
      </c>
      <c r="GN242" s="27">
        <v>7.3000000000000025</v>
      </c>
      <c r="GO242" s="27">
        <v>7.3000000000000025</v>
      </c>
      <c r="GP242" s="27">
        <v>7.3000000000000025</v>
      </c>
      <c r="GQ242" s="27">
        <v>7.3000000000000025</v>
      </c>
      <c r="GR242" s="27">
        <v>7.3000000000000025</v>
      </c>
      <c r="GS242" s="27">
        <v>7.3000000000000025</v>
      </c>
      <c r="GT242" s="129">
        <v>25.7</v>
      </c>
      <c r="GV242" s="27">
        <v>9</v>
      </c>
      <c r="GW242" s="27">
        <v>9</v>
      </c>
      <c r="GX242" s="27">
        <v>9</v>
      </c>
      <c r="GY242" s="27">
        <v>9</v>
      </c>
      <c r="GZ242" s="27">
        <v>9</v>
      </c>
      <c r="HA242" s="27">
        <v>9</v>
      </c>
      <c r="HB242" s="27">
        <v>9</v>
      </c>
      <c r="HC242" s="27">
        <v>9</v>
      </c>
      <c r="HD242" s="27">
        <v>9</v>
      </c>
      <c r="HE242" s="129">
        <v>25.7</v>
      </c>
      <c r="HG242" s="27">
        <v>12</v>
      </c>
      <c r="HH242" s="27">
        <v>12</v>
      </c>
      <c r="HI242" s="27">
        <v>12</v>
      </c>
      <c r="HJ242" s="27">
        <v>12</v>
      </c>
      <c r="HK242" s="27">
        <v>12</v>
      </c>
      <c r="HL242" s="27">
        <v>12</v>
      </c>
      <c r="HM242" s="27">
        <v>12</v>
      </c>
      <c r="HN242" s="27">
        <v>12</v>
      </c>
      <c r="HO242" s="27">
        <v>12</v>
      </c>
      <c r="HP242" s="129">
        <v>25.7</v>
      </c>
      <c r="HR242" s="27">
        <v>12</v>
      </c>
      <c r="HS242" s="27">
        <v>12</v>
      </c>
      <c r="HT242" s="27">
        <v>12</v>
      </c>
      <c r="HU242" s="27">
        <v>12</v>
      </c>
      <c r="HV242" s="27">
        <v>12</v>
      </c>
      <c r="HW242" s="27">
        <v>12</v>
      </c>
      <c r="HX242" s="27">
        <v>12</v>
      </c>
      <c r="HY242" s="27">
        <v>12</v>
      </c>
      <c r="HZ242" s="27">
        <v>12</v>
      </c>
      <c r="IA242" s="129">
        <v>25.7</v>
      </c>
    </row>
    <row r="243" spans="15:235" ht="24.95" customHeight="1">
      <c r="O243" s="17"/>
      <c r="P243" s="17"/>
      <c r="Q243" s="17"/>
      <c r="R243" s="17"/>
      <c r="S243" s="17"/>
      <c r="T243" s="17"/>
      <c r="U243" s="17"/>
      <c r="V243" s="17"/>
      <c r="W243" s="17"/>
      <c r="X243" s="129">
        <v>23.8</v>
      </c>
      <c r="Y243" s="27"/>
      <c r="AI243" s="129">
        <v>23.8</v>
      </c>
      <c r="AK243" s="129">
        <v>7.2000000000000028</v>
      </c>
      <c r="AL243" s="129">
        <v>7.2000000000000028</v>
      </c>
      <c r="AM243" s="129">
        <v>7.2000000000000028</v>
      </c>
      <c r="AN243" s="129">
        <v>7.2000000000000028</v>
      </c>
      <c r="AO243" s="129">
        <v>7.2000000000000028</v>
      </c>
      <c r="AP243" s="129">
        <v>7.2000000000000028</v>
      </c>
      <c r="AQ243" s="129">
        <v>7.2000000000000028</v>
      </c>
      <c r="AR243" s="129">
        <v>7.2000000000000028</v>
      </c>
      <c r="AS243" s="129">
        <v>7.2000000000000028</v>
      </c>
      <c r="AT243" s="129">
        <v>23.8</v>
      </c>
      <c r="AV243" s="129">
        <v>9.2000000000000028</v>
      </c>
      <c r="AW243" s="129">
        <v>9.2000000000000028</v>
      </c>
      <c r="AX243" s="129">
        <v>9.2000000000000028</v>
      </c>
      <c r="AY243" s="129">
        <v>9.2000000000000028</v>
      </c>
      <c r="AZ243" s="129">
        <v>9.2000000000000028</v>
      </c>
      <c r="BA243" s="129">
        <v>9.2000000000000028</v>
      </c>
      <c r="BB243" s="129">
        <v>9.2000000000000028</v>
      </c>
      <c r="BC243" s="129">
        <v>9.2000000000000028</v>
      </c>
      <c r="BD243" s="129">
        <v>9.2000000000000028</v>
      </c>
      <c r="BE243" s="129">
        <v>23.8</v>
      </c>
      <c r="BG243" s="129">
        <v>12.400000000000006</v>
      </c>
      <c r="BH243" s="129">
        <v>12.400000000000006</v>
      </c>
      <c r="BI243" s="129">
        <v>12.400000000000006</v>
      </c>
      <c r="BJ243" s="129">
        <v>12.400000000000006</v>
      </c>
      <c r="BK243" s="129">
        <v>12.400000000000006</v>
      </c>
      <c r="BL243" s="129">
        <v>12.400000000000006</v>
      </c>
      <c r="BM243" s="129">
        <v>12.400000000000006</v>
      </c>
      <c r="BN243" s="129">
        <v>12.400000000000006</v>
      </c>
      <c r="BO243" s="129">
        <v>12.400000000000006</v>
      </c>
      <c r="BP243" s="129">
        <v>23.8</v>
      </c>
      <c r="BR243" s="129">
        <v>12.400000000000006</v>
      </c>
      <c r="BS243" s="129">
        <v>12.400000000000006</v>
      </c>
      <c r="BT243" s="129">
        <v>12.400000000000006</v>
      </c>
      <c r="BU243" s="129">
        <v>12.400000000000006</v>
      </c>
      <c r="BV243" s="129">
        <v>12.400000000000006</v>
      </c>
      <c r="BW243" s="129">
        <v>12.400000000000006</v>
      </c>
      <c r="BX243" s="129">
        <v>12.400000000000006</v>
      </c>
      <c r="BY243" s="129">
        <v>12.400000000000006</v>
      </c>
      <c r="BZ243" s="129">
        <v>12.400000000000006</v>
      </c>
      <c r="CA243" s="129">
        <v>23.8</v>
      </c>
      <c r="CC243" s="129">
        <v>8</v>
      </c>
      <c r="CD243" s="129">
        <v>8</v>
      </c>
      <c r="CE243" s="129">
        <v>8</v>
      </c>
      <c r="CF243" s="129">
        <v>8</v>
      </c>
      <c r="CG243" s="129">
        <v>8</v>
      </c>
      <c r="CH243" s="129">
        <v>8</v>
      </c>
      <c r="CI243" s="129">
        <v>8</v>
      </c>
      <c r="CJ243" s="129">
        <v>8</v>
      </c>
      <c r="CK243" s="129">
        <v>8</v>
      </c>
      <c r="CL243" s="129">
        <v>23.8</v>
      </c>
      <c r="CN243" s="129">
        <v>9.2000000000000028</v>
      </c>
      <c r="CO243" s="129">
        <v>9.2000000000000028</v>
      </c>
      <c r="CP243" s="129">
        <v>9.2000000000000028</v>
      </c>
      <c r="CQ243" s="129">
        <v>9.2000000000000028</v>
      </c>
      <c r="CR243" s="129">
        <v>9.2000000000000028</v>
      </c>
      <c r="CS243" s="129">
        <v>9.2000000000000028</v>
      </c>
      <c r="CT243" s="129">
        <v>9.2000000000000028</v>
      </c>
      <c r="CU243" s="129">
        <v>9.2000000000000028</v>
      </c>
      <c r="CV243" s="129">
        <v>9.2000000000000028</v>
      </c>
      <c r="CW243" s="129">
        <v>23.8</v>
      </c>
      <c r="CY243" s="129">
        <v>13.200000000000003</v>
      </c>
      <c r="CZ243" s="129">
        <v>13.200000000000003</v>
      </c>
      <c r="DA243" s="129">
        <v>13.200000000000003</v>
      </c>
      <c r="DB243" s="129">
        <v>13.200000000000003</v>
      </c>
      <c r="DC243" s="129">
        <v>13.200000000000003</v>
      </c>
      <c r="DD243" s="129">
        <v>13.200000000000003</v>
      </c>
      <c r="DE243" s="129">
        <v>13.200000000000003</v>
      </c>
      <c r="DF243" s="129">
        <v>13.200000000000003</v>
      </c>
      <c r="DG243" s="129">
        <v>13.200000000000003</v>
      </c>
      <c r="DH243" s="129">
        <v>23.8</v>
      </c>
      <c r="DJ243" s="129">
        <v>13.200000000000003</v>
      </c>
      <c r="DK243" s="129">
        <v>13.200000000000003</v>
      </c>
      <c r="DL243" s="129">
        <v>13.200000000000003</v>
      </c>
      <c r="DM243" s="129">
        <v>13.200000000000003</v>
      </c>
      <c r="DN243" s="129">
        <v>13.200000000000003</v>
      </c>
      <c r="DO243" s="129">
        <v>13.200000000000003</v>
      </c>
      <c r="DP243" s="129">
        <v>13.200000000000003</v>
      </c>
      <c r="DQ243" s="129">
        <v>13.200000000000003</v>
      </c>
      <c r="DR243" s="129">
        <v>13.200000000000003</v>
      </c>
      <c r="DS243" s="129">
        <v>23.8</v>
      </c>
      <c r="DW243" s="27"/>
      <c r="EH243" s="27">
        <v>5</v>
      </c>
      <c r="EI243" s="27">
        <v>5</v>
      </c>
      <c r="EJ243" s="27">
        <v>5</v>
      </c>
      <c r="EK243" s="27">
        <v>5</v>
      </c>
      <c r="EL243" s="27">
        <v>5</v>
      </c>
      <c r="EM243" s="27">
        <v>5</v>
      </c>
      <c r="EN243" s="27">
        <v>5</v>
      </c>
      <c r="EO243" s="27">
        <v>5</v>
      </c>
      <c r="EP243" s="27">
        <v>5</v>
      </c>
      <c r="EQ243" s="129">
        <v>25.8</v>
      </c>
      <c r="ES243" s="27">
        <v>13.200000000000003</v>
      </c>
      <c r="ET243" s="27">
        <v>13.200000000000003</v>
      </c>
      <c r="EU243" s="27">
        <v>13.200000000000003</v>
      </c>
      <c r="EV243" s="27">
        <v>13.200000000000003</v>
      </c>
      <c r="EW243" s="27">
        <v>13.200000000000003</v>
      </c>
      <c r="EX243" s="27">
        <v>13.200000000000003</v>
      </c>
      <c r="EY243" s="27">
        <v>13.200000000000003</v>
      </c>
      <c r="EZ243" s="27">
        <v>13.200000000000003</v>
      </c>
      <c r="FA243" s="27">
        <v>13.200000000000003</v>
      </c>
      <c r="FB243" s="129">
        <v>25.8</v>
      </c>
      <c r="FD243" s="27">
        <v>17.400000000000006</v>
      </c>
      <c r="FE243" s="27">
        <v>17.400000000000006</v>
      </c>
      <c r="FF243" s="27">
        <v>17.400000000000006</v>
      </c>
      <c r="FG243" s="27">
        <v>17.400000000000006</v>
      </c>
      <c r="FH243" s="27">
        <v>17.400000000000006</v>
      </c>
      <c r="FI243" s="27">
        <v>17.400000000000006</v>
      </c>
      <c r="FJ243" s="27">
        <v>17.400000000000006</v>
      </c>
      <c r="FK243" s="27">
        <v>17.400000000000006</v>
      </c>
      <c r="FL243" s="27">
        <v>17.400000000000006</v>
      </c>
      <c r="FM243" s="129">
        <v>25.8</v>
      </c>
      <c r="FO243" s="27">
        <v>23.400000000000006</v>
      </c>
      <c r="FP243" s="27">
        <v>23.400000000000006</v>
      </c>
      <c r="FQ243" s="27">
        <v>23.400000000000006</v>
      </c>
      <c r="FR243" s="27">
        <v>23.400000000000006</v>
      </c>
      <c r="FS243" s="27">
        <v>23.400000000000006</v>
      </c>
      <c r="FT243" s="27">
        <v>23.400000000000006</v>
      </c>
      <c r="FU243" s="27">
        <v>23.400000000000006</v>
      </c>
      <c r="FV243" s="27">
        <v>23.400000000000006</v>
      </c>
      <c r="FW243" s="27">
        <v>23.400000000000006</v>
      </c>
      <c r="FX243" s="129">
        <v>25.8</v>
      </c>
      <c r="FZ243" s="27">
        <v>23.400000000000006</v>
      </c>
      <c r="GA243" s="27">
        <v>23.400000000000006</v>
      </c>
      <c r="GB243" s="27">
        <v>23.400000000000006</v>
      </c>
      <c r="GC243" s="27">
        <v>23.400000000000006</v>
      </c>
      <c r="GD243" s="27">
        <v>23.400000000000006</v>
      </c>
      <c r="GE243" s="27">
        <v>23.400000000000006</v>
      </c>
      <c r="GF243" s="27">
        <v>23.400000000000006</v>
      </c>
      <c r="GG243" s="27">
        <v>23.400000000000006</v>
      </c>
      <c r="GH243" s="27">
        <v>23.400000000000006</v>
      </c>
      <c r="GI243" s="129">
        <v>25.8</v>
      </c>
      <c r="GJ243" s="27"/>
      <c r="GK243" s="27">
        <v>7.2000000000000028</v>
      </c>
      <c r="GL243" s="27">
        <v>7.2000000000000028</v>
      </c>
      <c r="GM243" s="27">
        <v>7.2000000000000028</v>
      </c>
      <c r="GN243" s="27">
        <v>7.2000000000000028</v>
      </c>
      <c r="GO243" s="27">
        <v>7.2000000000000028</v>
      </c>
      <c r="GP243" s="27">
        <v>7.2000000000000028</v>
      </c>
      <c r="GQ243" s="27">
        <v>7.2000000000000028</v>
      </c>
      <c r="GR243" s="27">
        <v>7.2000000000000028</v>
      </c>
      <c r="GS243" s="27">
        <v>7.2000000000000028</v>
      </c>
      <c r="GT243" s="129">
        <v>25.8</v>
      </c>
      <c r="GV243" s="27">
        <v>9</v>
      </c>
      <c r="GW243" s="27">
        <v>9</v>
      </c>
      <c r="GX243" s="27">
        <v>9</v>
      </c>
      <c r="GY243" s="27">
        <v>9</v>
      </c>
      <c r="GZ243" s="27">
        <v>9</v>
      </c>
      <c r="HA243" s="27">
        <v>9</v>
      </c>
      <c r="HB243" s="27">
        <v>9</v>
      </c>
      <c r="HC243" s="27">
        <v>9</v>
      </c>
      <c r="HD243" s="27">
        <v>9</v>
      </c>
      <c r="HE243" s="129">
        <v>25.8</v>
      </c>
      <c r="HG243" s="27">
        <v>12</v>
      </c>
      <c r="HH243" s="27">
        <v>12</v>
      </c>
      <c r="HI243" s="27">
        <v>12</v>
      </c>
      <c r="HJ243" s="27">
        <v>12</v>
      </c>
      <c r="HK243" s="27">
        <v>12</v>
      </c>
      <c r="HL243" s="27">
        <v>12</v>
      </c>
      <c r="HM243" s="27">
        <v>12</v>
      </c>
      <c r="HN243" s="27">
        <v>12</v>
      </c>
      <c r="HO243" s="27">
        <v>12</v>
      </c>
      <c r="HP243" s="129">
        <v>25.8</v>
      </c>
      <c r="HR243" s="27">
        <v>12</v>
      </c>
      <c r="HS243" s="27">
        <v>12</v>
      </c>
      <c r="HT243" s="27">
        <v>12</v>
      </c>
      <c r="HU243" s="27">
        <v>12</v>
      </c>
      <c r="HV243" s="27">
        <v>12</v>
      </c>
      <c r="HW243" s="27">
        <v>12</v>
      </c>
      <c r="HX243" s="27">
        <v>12</v>
      </c>
      <c r="HY243" s="27">
        <v>12</v>
      </c>
      <c r="HZ243" s="27">
        <v>12</v>
      </c>
      <c r="IA243" s="129">
        <v>25.8</v>
      </c>
    </row>
    <row r="244" spans="15:235" ht="24.95" customHeight="1">
      <c r="O244" s="17"/>
      <c r="P244" s="17"/>
      <c r="Q244" s="17"/>
      <c r="R244" s="17"/>
      <c r="S244" s="17"/>
      <c r="T244" s="17"/>
      <c r="U244" s="17"/>
      <c r="V244" s="17"/>
      <c r="W244" s="17"/>
      <c r="X244" s="129">
        <v>23.9</v>
      </c>
      <c r="Y244" s="27"/>
      <c r="AI244" s="129">
        <v>23.9</v>
      </c>
      <c r="AK244" s="129">
        <v>7.1000000000000032</v>
      </c>
      <c r="AL244" s="129">
        <v>7.1000000000000032</v>
      </c>
      <c r="AM244" s="129">
        <v>7.1000000000000032</v>
      </c>
      <c r="AN244" s="129">
        <v>7.1000000000000032</v>
      </c>
      <c r="AO244" s="129">
        <v>7.1000000000000032</v>
      </c>
      <c r="AP244" s="129">
        <v>7.1000000000000032</v>
      </c>
      <c r="AQ244" s="129">
        <v>7.1000000000000032</v>
      </c>
      <c r="AR244" s="129">
        <v>7.1000000000000032</v>
      </c>
      <c r="AS244" s="129">
        <v>7.1000000000000032</v>
      </c>
      <c r="AT244" s="129">
        <v>23.9</v>
      </c>
      <c r="AV244" s="129">
        <v>9.1000000000000032</v>
      </c>
      <c r="AW244" s="129">
        <v>9.1000000000000032</v>
      </c>
      <c r="AX244" s="129">
        <v>9.1000000000000032</v>
      </c>
      <c r="AY244" s="129">
        <v>9.1000000000000032</v>
      </c>
      <c r="AZ244" s="129">
        <v>9.1000000000000032</v>
      </c>
      <c r="BA244" s="129">
        <v>9.1000000000000032</v>
      </c>
      <c r="BB244" s="129">
        <v>9.1000000000000032</v>
      </c>
      <c r="BC244" s="129">
        <v>9.1000000000000032</v>
      </c>
      <c r="BD244" s="129">
        <v>9.1000000000000032</v>
      </c>
      <c r="BE244" s="129">
        <v>23.9</v>
      </c>
      <c r="BG244" s="129">
        <v>12.200000000000006</v>
      </c>
      <c r="BH244" s="129">
        <v>12.200000000000006</v>
      </c>
      <c r="BI244" s="129">
        <v>12.200000000000006</v>
      </c>
      <c r="BJ244" s="129">
        <v>12.200000000000006</v>
      </c>
      <c r="BK244" s="129">
        <v>12.200000000000006</v>
      </c>
      <c r="BL244" s="129">
        <v>12.200000000000006</v>
      </c>
      <c r="BM244" s="129">
        <v>12.200000000000006</v>
      </c>
      <c r="BN244" s="129">
        <v>12.200000000000006</v>
      </c>
      <c r="BO244" s="129">
        <v>12.200000000000006</v>
      </c>
      <c r="BP244" s="129">
        <v>23.9</v>
      </c>
      <c r="BR244" s="129">
        <v>12.200000000000006</v>
      </c>
      <c r="BS244" s="129">
        <v>12.200000000000006</v>
      </c>
      <c r="BT244" s="129">
        <v>12.200000000000006</v>
      </c>
      <c r="BU244" s="129">
        <v>12.200000000000006</v>
      </c>
      <c r="BV244" s="129">
        <v>12.200000000000006</v>
      </c>
      <c r="BW244" s="129">
        <v>12.200000000000006</v>
      </c>
      <c r="BX244" s="129">
        <v>12.200000000000006</v>
      </c>
      <c r="BY244" s="129">
        <v>12.200000000000006</v>
      </c>
      <c r="BZ244" s="129">
        <v>12.200000000000006</v>
      </c>
      <c r="CA244" s="129">
        <v>23.9</v>
      </c>
      <c r="CC244" s="129">
        <v>8</v>
      </c>
      <c r="CD244" s="129">
        <v>8</v>
      </c>
      <c r="CE244" s="129">
        <v>8</v>
      </c>
      <c r="CF244" s="129">
        <v>8</v>
      </c>
      <c r="CG244" s="129">
        <v>8</v>
      </c>
      <c r="CH244" s="129">
        <v>8</v>
      </c>
      <c r="CI244" s="129">
        <v>8</v>
      </c>
      <c r="CJ244" s="129">
        <v>8</v>
      </c>
      <c r="CK244" s="129">
        <v>8</v>
      </c>
      <c r="CL244" s="129">
        <v>23.9</v>
      </c>
      <c r="CN244" s="129">
        <v>9.1000000000000032</v>
      </c>
      <c r="CO244" s="129">
        <v>9.1000000000000032</v>
      </c>
      <c r="CP244" s="129">
        <v>9.1000000000000032</v>
      </c>
      <c r="CQ244" s="129">
        <v>9.1000000000000032</v>
      </c>
      <c r="CR244" s="129">
        <v>9.1000000000000032</v>
      </c>
      <c r="CS244" s="129">
        <v>9.1000000000000032</v>
      </c>
      <c r="CT244" s="129">
        <v>9.1000000000000032</v>
      </c>
      <c r="CU244" s="129">
        <v>9.1000000000000032</v>
      </c>
      <c r="CV244" s="129">
        <v>9.1000000000000032</v>
      </c>
      <c r="CW244" s="129">
        <v>23.9</v>
      </c>
      <c r="CY244" s="129">
        <v>13.100000000000003</v>
      </c>
      <c r="CZ244" s="129">
        <v>13.100000000000003</v>
      </c>
      <c r="DA244" s="129">
        <v>13.100000000000003</v>
      </c>
      <c r="DB244" s="129">
        <v>13.100000000000003</v>
      </c>
      <c r="DC244" s="129">
        <v>13.100000000000003</v>
      </c>
      <c r="DD244" s="129">
        <v>13.100000000000003</v>
      </c>
      <c r="DE244" s="129">
        <v>13.100000000000003</v>
      </c>
      <c r="DF244" s="129">
        <v>13.100000000000003</v>
      </c>
      <c r="DG244" s="129">
        <v>13.100000000000003</v>
      </c>
      <c r="DH244" s="129">
        <v>23.9</v>
      </c>
      <c r="DJ244" s="129">
        <v>13.100000000000003</v>
      </c>
      <c r="DK244" s="129">
        <v>13.100000000000003</v>
      </c>
      <c r="DL244" s="129">
        <v>13.100000000000003</v>
      </c>
      <c r="DM244" s="129">
        <v>13.100000000000003</v>
      </c>
      <c r="DN244" s="129">
        <v>13.100000000000003</v>
      </c>
      <c r="DO244" s="129">
        <v>13.100000000000003</v>
      </c>
      <c r="DP244" s="129">
        <v>13.100000000000003</v>
      </c>
      <c r="DQ244" s="129">
        <v>13.100000000000003</v>
      </c>
      <c r="DR244" s="129">
        <v>13.100000000000003</v>
      </c>
      <c r="DS244" s="129">
        <v>23.9</v>
      </c>
      <c r="DW244" s="27"/>
      <c r="EH244" s="27">
        <v>5</v>
      </c>
      <c r="EI244" s="27">
        <v>5</v>
      </c>
      <c r="EJ244" s="27">
        <v>5</v>
      </c>
      <c r="EK244" s="27">
        <v>5</v>
      </c>
      <c r="EL244" s="27">
        <v>5</v>
      </c>
      <c r="EM244" s="27">
        <v>5</v>
      </c>
      <c r="EN244" s="27">
        <v>5</v>
      </c>
      <c r="EO244" s="27">
        <v>5</v>
      </c>
      <c r="EP244" s="27">
        <v>5</v>
      </c>
      <c r="EQ244" s="129">
        <v>25.9</v>
      </c>
      <c r="ES244" s="27">
        <v>13.100000000000003</v>
      </c>
      <c r="ET244" s="27">
        <v>13.100000000000003</v>
      </c>
      <c r="EU244" s="27">
        <v>13.100000000000003</v>
      </c>
      <c r="EV244" s="27">
        <v>13.100000000000003</v>
      </c>
      <c r="EW244" s="27">
        <v>13.100000000000003</v>
      </c>
      <c r="EX244" s="27">
        <v>13.100000000000003</v>
      </c>
      <c r="EY244" s="27">
        <v>13.100000000000003</v>
      </c>
      <c r="EZ244" s="27">
        <v>13.100000000000003</v>
      </c>
      <c r="FA244" s="27">
        <v>13.100000000000003</v>
      </c>
      <c r="FB244" s="129">
        <v>25.9</v>
      </c>
      <c r="FD244" s="27">
        <v>17.200000000000006</v>
      </c>
      <c r="FE244" s="27">
        <v>17.200000000000006</v>
      </c>
      <c r="FF244" s="27">
        <v>17.200000000000006</v>
      </c>
      <c r="FG244" s="27">
        <v>17.200000000000006</v>
      </c>
      <c r="FH244" s="27">
        <v>17.200000000000006</v>
      </c>
      <c r="FI244" s="27">
        <v>17.200000000000006</v>
      </c>
      <c r="FJ244" s="27">
        <v>17.200000000000006</v>
      </c>
      <c r="FK244" s="27">
        <v>17.200000000000006</v>
      </c>
      <c r="FL244" s="27">
        <v>17.200000000000006</v>
      </c>
      <c r="FM244" s="129">
        <v>25.9</v>
      </c>
      <c r="FO244" s="27">
        <v>23.200000000000006</v>
      </c>
      <c r="FP244" s="27">
        <v>23.200000000000006</v>
      </c>
      <c r="FQ244" s="27">
        <v>23.200000000000006</v>
      </c>
      <c r="FR244" s="27">
        <v>23.200000000000006</v>
      </c>
      <c r="FS244" s="27">
        <v>23.200000000000006</v>
      </c>
      <c r="FT244" s="27">
        <v>23.200000000000006</v>
      </c>
      <c r="FU244" s="27">
        <v>23.200000000000006</v>
      </c>
      <c r="FV244" s="27">
        <v>23.200000000000006</v>
      </c>
      <c r="FW244" s="27">
        <v>23.200000000000006</v>
      </c>
      <c r="FX244" s="129">
        <v>25.9</v>
      </c>
      <c r="FZ244" s="27">
        <v>23.200000000000006</v>
      </c>
      <c r="GA244" s="27">
        <v>23.200000000000006</v>
      </c>
      <c r="GB244" s="27">
        <v>23.200000000000006</v>
      </c>
      <c r="GC244" s="27">
        <v>23.200000000000006</v>
      </c>
      <c r="GD244" s="27">
        <v>23.200000000000006</v>
      </c>
      <c r="GE244" s="27">
        <v>23.200000000000006</v>
      </c>
      <c r="GF244" s="27">
        <v>23.200000000000006</v>
      </c>
      <c r="GG244" s="27">
        <v>23.200000000000006</v>
      </c>
      <c r="GH244" s="27">
        <v>23.200000000000006</v>
      </c>
      <c r="GI244" s="129">
        <v>25.9</v>
      </c>
      <c r="GJ244" s="27"/>
      <c r="GK244" s="27">
        <v>7.1000000000000032</v>
      </c>
      <c r="GL244" s="27">
        <v>7.1000000000000032</v>
      </c>
      <c r="GM244" s="27">
        <v>7.1000000000000032</v>
      </c>
      <c r="GN244" s="27">
        <v>7.1000000000000032</v>
      </c>
      <c r="GO244" s="27">
        <v>7.1000000000000032</v>
      </c>
      <c r="GP244" s="27">
        <v>7.1000000000000032</v>
      </c>
      <c r="GQ244" s="27">
        <v>7.1000000000000032</v>
      </c>
      <c r="GR244" s="27">
        <v>7.1000000000000032</v>
      </c>
      <c r="GS244" s="27">
        <v>7.1000000000000032</v>
      </c>
      <c r="GT244" s="129">
        <v>25.9</v>
      </c>
      <c r="GV244" s="27">
        <v>9</v>
      </c>
      <c r="GW244" s="27">
        <v>9</v>
      </c>
      <c r="GX244" s="27">
        <v>9</v>
      </c>
      <c r="GY244" s="27">
        <v>9</v>
      </c>
      <c r="GZ244" s="27">
        <v>9</v>
      </c>
      <c r="HA244" s="27">
        <v>9</v>
      </c>
      <c r="HB244" s="27">
        <v>9</v>
      </c>
      <c r="HC244" s="27">
        <v>9</v>
      </c>
      <c r="HD244" s="27">
        <v>9</v>
      </c>
      <c r="HE244" s="129">
        <v>25.9</v>
      </c>
      <c r="HG244" s="27">
        <v>12</v>
      </c>
      <c r="HH244" s="27">
        <v>12</v>
      </c>
      <c r="HI244" s="27">
        <v>12</v>
      </c>
      <c r="HJ244" s="27">
        <v>12</v>
      </c>
      <c r="HK244" s="27">
        <v>12</v>
      </c>
      <c r="HL244" s="27">
        <v>12</v>
      </c>
      <c r="HM244" s="27">
        <v>12</v>
      </c>
      <c r="HN244" s="27">
        <v>12</v>
      </c>
      <c r="HO244" s="27">
        <v>12</v>
      </c>
      <c r="HP244" s="129">
        <v>25.9</v>
      </c>
      <c r="HR244" s="27">
        <v>12</v>
      </c>
      <c r="HS244" s="27">
        <v>12</v>
      </c>
      <c r="HT244" s="27">
        <v>12</v>
      </c>
      <c r="HU244" s="27">
        <v>12</v>
      </c>
      <c r="HV244" s="27">
        <v>12</v>
      </c>
      <c r="HW244" s="27">
        <v>12</v>
      </c>
      <c r="HX244" s="27">
        <v>12</v>
      </c>
      <c r="HY244" s="27">
        <v>12</v>
      </c>
      <c r="HZ244" s="27">
        <v>12</v>
      </c>
      <c r="IA244" s="129">
        <v>25.9</v>
      </c>
    </row>
    <row r="245" spans="15:235" ht="24.95" customHeight="1">
      <c r="O245" s="17"/>
      <c r="P245" s="17"/>
      <c r="Q245" s="17"/>
      <c r="R245" s="17"/>
      <c r="S245" s="17"/>
      <c r="T245" s="17"/>
      <c r="U245" s="17"/>
      <c r="V245" s="17"/>
      <c r="W245" s="17"/>
      <c r="X245" s="129">
        <v>24</v>
      </c>
      <c r="Y245" s="27"/>
      <c r="AI245" s="129">
        <v>24</v>
      </c>
      <c r="AK245" s="129">
        <v>7</v>
      </c>
      <c r="AL245" s="129">
        <v>7</v>
      </c>
      <c r="AM245" s="129">
        <v>7</v>
      </c>
      <c r="AN245" s="129">
        <v>7</v>
      </c>
      <c r="AO245" s="129">
        <v>7</v>
      </c>
      <c r="AP245" s="129">
        <v>7</v>
      </c>
      <c r="AQ245" s="129">
        <v>7</v>
      </c>
      <c r="AR245" s="129">
        <v>7</v>
      </c>
      <c r="AS245" s="129">
        <v>7</v>
      </c>
      <c r="AT245" s="129">
        <v>24</v>
      </c>
      <c r="AV245" s="129">
        <v>9</v>
      </c>
      <c r="AW245" s="129">
        <v>9</v>
      </c>
      <c r="AX245" s="129">
        <v>9</v>
      </c>
      <c r="AY245" s="129">
        <v>9</v>
      </c>
      <c r="AZ245" s="129">
        <v>9</v>
      </c>
      <c r="BA245" s="129">
        <v>9</v>
      </c>
      <c r="BB245" s="129">
        <v>9</v>
      </c>
      <c r="BC245" s="129">
        <v>9</v>
      </c>
      <c r="BD245" s="129">
        <v>9</v>
      </c>
      <c r="BE245" s="129">
        <v>24</v>
      </c>
      <c r="BG245" s="129">
        <v>12</v>
      </c>
      <c r="BH245" s="129">
        <v>12</v>
      </c>
      <c r="BI245" s="129">
        <v>12</v>
      </c>
      <c r="BJ245" s="129">
        <v>12</v>
      </c>
      <c r="BK245" s="129">
        <v>12</v>
      </c>
      <c r="BL245" s="129">
        <v>12</v>
      </c>
      <c r="BM245" s="129">
        <v>12</v>
      </c>
      <c r="BN245" s="129">
        <v>12</v>
      </c>
      <c r="BO245" s="129">
        <v>12</v>
      </c>
      <c r="BP245" s="129">
        <v>24</v>
      </c>
      <c r="BR245" s="129">
        <v>12</v>
      </c>
      <c r="BS245" s="129">
        <v>12</v>
      </c>
      <c r="BT245" s="129">
        <v>12</v>
      </c>
      <c r="BU245" s="129">
        <v>12</v>
      </c>
      <c r="BV245" s="129">
        <v>12</v>
      </c>
      <c r="BW245" s="129">
        <v>12</v>
      </c>
      <c r="BX245" s="129">
        <v>12</v>
      </c>
      <c r="BY245" s="129">
        <v>12</v>
      </c>
      <c r="BZ245" s="129">
        <v>12</v>
      </c>
      <c r="CA245" s="129">
        <v>24</v>
      </c>
      <c r="CC245" s="129">
        <v>8</v>
      </c>
      <c r="CD245" s="129">
        <v>8</v>
      </c>
      <c r="CE245" s="129">
        <v>8</v>
      </c>
      <c r="CF245" s="129">
        <v>8</v>
      </c>
      <c r="CG245" s="129">
        <v>8</v>
      </c>
      <c r="CH245" s="129">
        <v>8</v>
      </c>
      <c r="CI245" s="129">
        <v>8</v>
      </c>
      <c r="CJ245" s="129">
        <v>8</v>
      </c>
      <c r="CK245" s="129">
        <v>8</v>
      </c>
      <c r="CL245" s="129">
        <v>24</v>
      </c>
      <c r="CN245" s="129">
        <v>9</v>
      </c>
      <c r="CO245" s="129">
        <v>9</v>
      </c>
      <c r="CP245" s="129">
        <v>9</v>
      </c>
      <c r="CQ245" s="129">
        <v>9</v>
      </c>
      <c r="CR245" s="129">
        <v>9</v>
      </c>
      <c r="CS245" s="129">
        <v>9</v>
      </c>
      <c r="CT245" s="129">
        <v>9</v>
      </c>
      <c r="CU245" s="129">
        <v>9</v>
      </c>
      <c r="CV245" s="129">
        <v>9</v>
      </c>
      <c r="CW245" s="129">
        <v>24</v>
      </c>
      <c r="CY245" s="129">
        <v>13</v>
      </c>
      <c r="CZ245" s="129">
        <v>13</v>
      </c>
      <c r="DA245" s="129">
        <v>13</v>
      </c>
      <c r="DB245" s="129">
        <v>13</v>
      </c>
      <c r="DC245" s="129">
        <v>13</v>
      </c>
      <c r="DD245" s="129">
        <v>13</v>
      </c>
      <c r="DE245" s="129">
        <v>13</v>
      </c>
      <c r="DF245" s="129">
        <v>13</v>
      </c>
      <c r="DG245" s="129">
        <v>13</v>
      </c>
      <c r="DH245" s="129">
        <v>24</v>
      </c>
      <c r="DJ245" s="129">
        <v>13</v>
      </c>
      <c r="DK245" s="129">
        <v>13</v>
      </c>
      <c r="DL245" s="129">
        <v>13</v>
      </c>
      <c r="DM245" s="129">
        <v>13</v>
      </c>
      <c r="DN245" s="129">
        <v>13</v>
      </c>
      <c r="DO245" s="129">
        <v>13</v>
      </c>
      <c r="DP245" s="129">
        <v>13</v>
      </c>
      <c r="DQ245" s="129">
        <v>13</v>
      </c>
      <c r="DR245" s="129">
        <v>13</v>
      </c>
      <c r="DS245" s="129">
        <v>24</v>
      </c>
      <c r="DW245" s="27"/>
      <c r="EH245" s="516">
        <v>5</v>
      </c>
      <c r="EI245" s="516">
        <v>5</v>
      </c>
      <c r="EJ245" s="516">
        <v>5</v>
      </c>
      <c r="EK245" s="516">
        <v>5</v>
      </c>
      <c r="EL245" s="516">
        <v>5</v>
      </c>
      <c r="EM245" s="516">
        <v>5</v>
      </c>
      <c r="EN245" s="516">
        <v>5</v>
      </c>
      <c r="EO245" s="516">
        <v>5</v>
      </c>
      <c r="EP245" s="516">
        <v>5</v>
      </c>
      <c r="EQ245" s="129">
        <v>26</v>
      </c>
      <c r="ES245" s="27">
        <v>13</v>
      </c>
      <c r="ET245" s="27">
        <v>13</v>
      </c>
      <c r="EU245" s="27">
        <v>13</v>
      </c>
      <c r="EV245" s="27">
        <v>13</v>
      </c>
      <c r="EW245" s="27">
        <v>13</v>
      </c>
      <c r="EX245" s="27">
        <v>13</v>
      </c>
      <c r="EY245" s="27">
        <v>13</v>
      </c>
      <c r="EZ245" s="27">
        <v>13</v>
      </c>
      <c r="FA245" s="27">
        <v>13</v>
      </c>
      <c r="FB245" s="129">
        <v>26</v>
      </c>
      <c r="FD245" s="27">
        <v>17</v>
      </c>
      <c r="FE245" s="27">
        <v>17</v>
      </c>
      <c r="FF245" s="27">
        <v>17</v>
      </c>
      <c r="FG245" s="27">
        <v>17</v>
      </c>
      <c r="FH245" s="27">
        <v>17</v>
      </c>
      <c r="FI245" s="27">
        <v>17</v>
      </c>
      <c r="FJ245" s="27">
        <v>17</v>
      </c>
      <c r="FK245" s="27">
        <v>17</v>
      </c>
      <c r="FL245" s="27">
        <v>17</v>
      </c>
      <c r="FM245" s="129">
        <v>26</v>
      </c>
      <c r="FO245" s="27">
        <v>23</v>
      </c>
      <c r="FP245" s="27">
        <v>23</v>
      </c>
      <c r="FQ245" s="27">
        <v>23</v>
      </c>
      <c r="FR245" s="27">
        <v>23</v>
      </c>
      <c r="FS245" s="27">
        <v>23</v>
      </c>
      <c r="FT245" s="27">
        <v>23</v>
      </c>
      <c r="FU245" s="27">
        <v>23</v>
      </c>
      <c r="FV245" s="27">
        <v>23</v>
      </c>
      <c r="FW245" s="27">
        <v>23</v>
      </c>
      <c r="FX245" s="129">
        <v>26</v>
      </c>
      <c r="FZ245" s="27">
        <v>23</v>
      </c>
      <c r="GA245" s="27">
        <v>23</v>
      </c>
      <c r="GB245" s="27">
        <v>23</v>
      </c>
      <c r="GC245" s="27">
        <v>23</v>
      </c>
      <c r="GD245" s="27">
        <v>23</v>
      </c>
      <c r="GE245" s="27">
        <v>23</v>
      </c>
      <c r="GF245" s="27">
        <v>23</v>
      </c>
      <c r="GG245" s="27">
        <v>23</v>
      </c>
      <c r="GH245" s="27">
        <v>23</v>
      </c>
      <c r="GI245" s="129">
        <v>26</v>
      </c>
      <c r="GJ245" s="27"/>
      <c r="GK245" s="27">
        <v>7</v>
      </c>
      <c r="GL245" s="27">
        <v>7</v>
      </c>
      <c r="GM245" s="27">
        <v>7</v>
      </c>
      <c r="GN245" s="27">
        <v>7</v>
      </c>
      <c r="GO245" s="27">
        <v>7</v>
      </c>
      <c r="GP245" s="27">
        <v>7</v>
      </c>
      <c r="GQ245" s="27">
        <v>7</v>
      </c>
      <c r="GR245" s="27">
        <v>7</v>
      </c>
      <c r="GS245" s="27">
        <v>7</v>
      </c>
      <c r="GT245" s="129">
        <v>26</v>
      </c>
      <c r="GV245" s="27">
        <v>9</v>
      </c>
      <c r="GW245" s="27">
        <v>9</v>
      </c>
      <c r="GX245" s="27">
        <v>9</v>
      </c>
      <c r="GY245" s="27">
        <v>9</v>
      </c>
      <c r="GZ245" s="27">
        <v>9</v>
      </c>
      <c r="HA245" s="27">
        <v>9</v>
      </c>
      <c r="HB245" s="27">
        <v>9</v>
      </c>
      <c r="HC245" s="27">
        <v>9</v>
      </c>
      <c r="HD245" s="27">
        <v>9</v>
      </c>
      <c r="HE245" s="129">
        <v>26</v>
      </c>
      <c r="HG245" s="27">
        <v>12</v>
      </c>
      <c r="HH245" s="27">
        <v>12</v>
      </c>
      <c r="HI245" s="27">
        <v>12</v>
      </c>
      <c r="HJ245" s="27">
        <v>12</v>
      </c>
      <c r="HK245" s="27">
        <v>12</v>
      </c>
      <c r="HL245" s="27">
        <v>12</v>
      </c>
      <c r="HM245" s="27">
        <v>12</v>
      </c>
      <c r="HN245" s="27">
        <v>12</v>
      </c>
      <c r="HO245" s="27">
        <v>12</v>
      </c>
      <c r="HP245" s="129">
        <v>26</v>
      </c>
      <c r="HR245" s="27">
        <v>12</v>
      </c>
      <c r="HS245" s="27">
        <v>12</v>
      </c>
      <c r="HT245" s="27">
        <v>12</v>
      </c>
      <c r="HU245" s="27">
        <v>12</v>
      </c>
      <c r="HV245" s="27">
        <v>12</v>
      </c>
      <c r="HW245" s="27">
        <v>12</v>
      </c>
      <c r="HX245" s="27">
        <v>12</v>
      </c>
      <c r="HY245" s="27">
        <v>12</v>
      </c>
      <c r="HZ245" s="27">
        <v>12</v>
      </c>
      <c r="IA245" s="129">
        <v>26</v>
      </c>
    </row>
    <row r="246" spans="15:235" ht="24.95" customHeight="1">
      <c r="O246" s="17"/>
      <c r="P246" s="17"/>
      <c r="Q246" s="17"/>
      <c r="R246" s="17"/>
      <c r="S246" s="17"/>
      <c r="T246" s="17"/>
      <c r="U246" s="17"/>
      <c r="V246" s="17"/>
      <c r="W246" s="17"/>
      <c r="X246" s="129">
        <v>24.1</v>
      </c>
      <c r="Y246" s="27"/>
      <c r="AI246" s="129">
        <v>24.1</v>
      </c>
      <c r="AK246" s="129">
        <v>6.9</v>
      </c>
      <c r="AL246" s="129">
        <v>6.9</v>
      </c>
      <c r="AM246" s="129">
        <v>6.9</v>
      </c>
      <c r="AN246" s="129">
        <v>6.9</v>
      </c>
      <c r="AO246" s="129">
        <v>6.9</v>
      </c>
      <c r="AP246" s="129">
        <v>6.9</v>
      </c>
      <c r="AQ246" s="129">
        <v>6.9</v>
      </c>
      <c r="AR246" s="129">
        <v>6.9</v>
      </c>
      <c r="AS246" s="129">
        <v>6.9</v>
      </c>
      <c r="AT246" s="129">
        <v>24.1</v>
      </c>
      <c r="AV246" s="129">
        <v>8.9</v>
      </c>
      <c r="AW246" s="129">
        <v>8.9</v>
      </c>
      <c r="AX246" s="129">
        <v>8.9</v>
      </c>
      <c r="AY246" s="129">
        <v>8.9</v>
      </c>
      <c r="AZ246" s="129">
        <v>8.9</v>
      </c>
      <c r="BA246" s="129">
        <v>8.9</v>
      </c>
      <c r="BB246" s="129">
        <v>8.9</v>
      </c>
      <c r="BC246" s="129">
        <v>8.9</v>
      </c>
      <c r="BD246" s="129">
        <v>8.9</v>
      </c>
      <c r="BE246" s="129">
        <v>24.1</v>
      </c>
      <c r="BG246" s="129">
        <v>11.9</v>
      </c>
      <c r="BH246" s="129">
        <v>11.9</v>
      </c>
      <c r="BI246" s="129">
        <v>11.9</v>
      </c>
      <c r="BJ246" s="129">
        <v>11.9</v>
      </c>
      <c r="BK246" s="129">
        <v>11.9</v>
      </c>
      <c r="BL246" s="129">
        <v>11.9</v>
      </c>
      <c r="BM246" s="129">
        <v>11.9</v>
      </c>
      <c r="BN246" s="129">
        <v>11.9</v>
      </c>
      <c r="BO246" s="129">
        <v>11.9</v>
      </c>
      <c r="BP246" s="129">
        <v>24.1</v>
      </c>
      <c r="BR246" s="129">
        <v>11.9</v>
      </c>
      <c r="BS246" s="129">
        <v>11.9</v>
      </c>
      <c r="BT246" s="129">
        <v>11.9</v>
      </c>
      <c r="BU246" s="129">
        <v>11.9</v>
      </c>
      <c r="BV246" s="129">
        <v>11.9</v>
      </c>
      <c r="BW246" s="129">
        <v>11.9</v>
      </c>
      <c r="BX246" s="129">
        <v>11.9</v>
      </c>
      <c r="BY246" s="129">
        <v>11.9</v>
      </c>
      <c r="BZ246" s="129">
        <v>11.9</v>
      </c>
      <c r="CA246" s="129">
        <v>24.1</v>
      </c>
      <c r="CC246" s="129">
        <v>7.9</v>
      </c>
      <c r="CD246" s="129">
        <v>7.9</v>
      </c>
      <c r="CE246" s="129">
        <v>7.9</v>
      </c>
      <c r="CF246" s="129">
        <v>7.9</v>
      </c>
      <c r="CG246" s="129">
        <v>7.9</v>
      </c>
      <c r="CH246" s="129">
        <v>7.9</v>
      </c>
      <c r="CI246" s="129">
        <v>7.9</v>
      </c>
      <c r="CJ246" s="129">
        <v>7.9</v>
      </c>
      <c r="CK246" s="129">
        <v>7.9</v>
      </c>
      <c r="CL246" s="129">
        <v>24.1</v>
      </c>
      <c r="CN246" s="129">
        <v>9</v>
      </c>
      <c r="CO246" s="129">
        <v>9</v>
      </c>
      <c r="CP246" s="129">
        <v>9</v>
      </c>
      <c r="CQ246" s="129">
        <v>9</v>
      </c>
      <c r="CR246" s="129">
        <v>9</v>
      </c>
      <c r="CS246" s="129">
        <v>9</v>
      </c>
      <c r="CT246" s="129">
        <v>9</v>
      </c>
      <c r="CU246" s="129">
        <v>9</v>
      </c>
      <c r="CV246" s="129">
        <v>9</v>
      </c>
      <c r="CW246" s="129">
        <v>24.1</v>
      </c>
      <c r="CY246" s="129">
        <v>12.9</v>
      </c>
      <c r="CZ246" s="129">
        <v>12.9</v>
      </c>
      <c r="DA246" s="129">
        <v>12.9</v>
      </c>
      <c r="DB246" s="129">
        <v>12.9</v>
      </c>
      <c r="DC246" s="129">
        <v>12.9</v>
      </c>
      <c r="DD246" s="129">
        <v>12.9</v>
      </c>
      <c r="DE246" s="129">
        <v>12.9</v>
      </c>
      <c r="DF246" s="129">
        <v>12.9</v>
      </c>
      <c r="DG246" s="129">
        <v>12.9</v>
      </c>
      <c r="DH246" s="129">
        <v>24.1</v>
      </c>
      <c r="DJ246" s="129">
        <v>12.9</v>
      </c>
      <c r="DK246" s="129">
        <v>12.9</v>
      </c>
      <c r="DL246" s="129">
        <v>12.9</v>
      </c>
      <c r="DM246" s="129">
        <v>12.9</v>
      </c>
      <c r="DN246" s="129">
        <v>12.9</v>
      </c>
      <c r="DO246" s="129">
        <v>12.9</v>
      </c>
      <c r="DP246" s="129">
        <v>12.9</v>
      </c>
      <c r="DQ246" s="129">
        <v>12.9</v>
      </c>
      <c r="DR246" s="129">
        <v>12.9</v>
      </c>
      <c r="DS246" s="129">
        <v>24.1</v>
      </c>
      <c r="DW246" s="27"/>
      <c r="EH246" s="27"/>
      <c r="EQ246" s="129">
        <v>26.1</v>
      </c>
      <c r="ES246" s="27">
        <v>12.8</v>
      </c>
      <c r="ET246" s="27">
        <v>12.8</v>
      </c>
      <c r="EU246" s="27">
        <v>12.8</v>
      </c>
      <c r="EV246" s="27">
        <v>12.8</v>
      </c>
      <c r="EW246" s="27">
        <v>12.8</v>
      </c>
      <c r="EX246" s="27">
        <v>12.8</v>
      </c>
      <c r="EY246" s="27">
        <v>12.8</v>
      </c>
      <c r="EZ246" s="27">
        <v>12.8</v>
      </c>
      <c r="FA246" s="27">
        <v>12.8</v>
      </c>
      <c r="FB246" s="129">
        <v>26.1</v>
      </c>
      <c r="FD246" s="27">
        <v>16.8</v>
      </c>
      <c r="FE246" s="27">
        <v>16.8</v>
      </c>
      <c r="FF246" s="27">
        <v>16.8</v>
      </c>
      <c r="FG246" s="27">
        <v>16.8</v>
      </c>
      <c r="FH246" s="27">
        <v>16.8</v>
      </c>
      <c r="FI246" s="27">
        <v>16.8</v>
      </c>
      <c r="FJ246" s="27">
        <v>16.8</v>
      </c>
      <c r="FK246" s="27">
        <v>16.8</v>
      </c>
      <c r="FL246" s="27">
        <v>16.8</v>
      </c>
      <c r="FM246" s="129">
        <v>26.1</v>
      </c>
      <c r="FO246" s="27">
        <v>22.7</v>
      </c>
      <c r="FP246" s="27">
        <v>22.7</v>
      </c>
      <c r="FQ246" s="27">
        <v>22.7</v>
      </c>
      <c r="FR246" s="27">
        <v>22.7</v>
      </c>
      <c r="FS246" s="27">
        <v>22.7</v>
      </c>
      <c r="FT246" s="27">
        <v>22.7</v>
      </c>
      <c r="FU246" s="27">
        <v>22.7</v>
      </c>
      <c r="FV246" s="27">
        <v>22.7</v>
      </c>
      <c r="FW246" s="27">
        <v>22.7</v>
      </c>
      <c r="FX246" s="129">
        <v>26.1</v>
      </c>
      <c r="FZ246" s="27">
        <v>22.7</v>
      </c>
      <c r="GA246" s="27">
        <v>22.7</v>
      </c>
      <c r="GB246" s="27">
        <v>22.7</v>
      </c>
      <c r="GC246" s="27">
        <v>22.7</v>
      </c>
      <c r="GD246" s="27">
        <v>22.7</v>
      </c>
      <c r="GE246" s="27">
        <v>22.7</v>
      </c>
      <c r="GF246" s="27">
        <v>22.7</v>
      </c>
      <c r="GG246" s="27">
        <v>22.7</v>
      </c>
      <c r="GH246" s="27">
        <v>22.7</v>
      </c>
      <c r="GI246" s="129">
        <v>26.1</v>
      </c>
      <c r="GJ246" s="27"/>
      <c r="GK246" s="27">
        <v>7</v>
      </c>
      <c r="GL246" s="27">
        <v>7</v>
      </c>
      <c r="GM246" s="27">
        <v>7</v>
      </c>
      <c r="GN246" s="27">
        <v>7</v>
      </c>
      <c r="GO246" s="27">
        <v>7</v>
      </c>
      <c r="GP246" s="27">
        <v>7</v>
      </c>
      <c r="GQ246" s="27">
        <v>7</v>
      </c>
      <c r="GR246" s="27">
        <v>7</v>
      </c>
      <c r="GS246" s="27">
        <v>7</v>
      </c>
      <c r="GT246" s="129">
        <v>26.1</v>
      </c>
      <c r="GV246" s="27">
        <v>8.9</v>
      </c>
      <c r="GW246" s="27">
        <v>8.9</v>
      </c>
      <c r="GX246" s="27">
        <v>8.9</v>
      </c>
      <c r="GY246" s="27">
        <v>8.9</v>
      </c>
      <c r="GZ246" s="27">
        <v>8.9</v>
      </c>
      <c r="HA246" s="27">
        <v>8.9</v>
      </c>
      <c r="HB246" s="27">
        <v>8.9</v>
      </c>
      <c r="HC246" s="27">
        <v>8.9</v>
      </c>
      <c r="HD246" s="27">
        <v>8.9</v>
      </c>
      <c r="HE246" s="129">
        <v>26.1</v>
      </c>
      <c r="HG246" s="27">
        <v>12</v>
      </c>
      <c r="HH246" s="27">
        <v>12</v>
      </c>
      <c r="HI246" s="27">
        <v>12</v>
      </c>
      <c r="HJ246" s="27">
        <v>12</v>
      </c>
      <c r="HK246" s="27">
        <v>12</v>
      </c>
      <c r="HL246" s="27">
        <v>12</v>
      </c>
      <c r="HM246" s="27">
        <v>12</v>
      </c>
      <c r="HN246" s="27">
        <v>12</v>
      </c>
      <c r="HO246" s="27">
        <v>12</v>
      </c>
      <c r="HP246" s="129">
        <v>26.1</v>
      </c>
      <c r="HR246" s="27">
        <v>12</v>
      </c>
      <c r="HS246" s="27">
        <v>12</v>
      </c>
      <c r="HT246" s="27">
        <v>12</v>
      </c>
      <c r="HU246" s="27">
        <v>12</v>
      </c>
      <c r="HV246" s="27">
        <v>12</v>
      </c>
      <c r="HW246" s="27">
        <v>12</v>
      </c>
      <c r="HX246" s="27">
        <v>12</v>
      </c>
      <c r="HY246" s="27">
        <v>12</v>
      </c>
      <c r="HZ246" s="27">
        <v>12</v>
      </c>
      <c r="IA246" s="129">
        <v>26.1</v>
      </c>
    </row>
    <row r="247" spans="15:235" ht="24.95" customHeight="1">
      <c r="O247" s="17"/>
      <c r="P247" s="17"/>
      <c r="Q247" s="17"/>
      <c r="R247" s="17"/>
      <c r="S247" s="17"/>
      <c r="T247" s="17"/>
      <c r="U247" s="17"/>
      <c r="V247" s="17"/>
      <c r="W247" s="17"/>
      <c r="X247" s="129">
        <v>24.2</v>
      </c>
      <c r="Y247" s="27"/>
      <c r="AI247" s="129">
        <v>24.2</v>
      </c>
      <c r="AK247" s="129">
        <v>6.8000000000000007</v>
      </c>
      <c r="AL247" s="129">
        <v>6.8000000000000007</v>
      </c>
      <c r="AM247" s="129">
        <v>6.8000000000000007</v>
      </c>
      <c r="AN247" s="129">
        <v>6.8000000000000007</v>
      </c>
      <c r="AO247" s="129">
        <v>6.8000000000000007</v>
      </c>
      <c r="AP247" s="129">
        <v>6.8000000000000007</v>
      </c>
      <c r="AQ247" s="129">
        <v>6.8000000000000007</v>
      </c>
      <c r="AR247" s="129">
        <v>6.8000000000000007</v>
      </c>
      <c r="AS247" s="129">
        <v>6.8000000000000007</v>
      </c>
      <c r="AT247" s="129">
        <v>24.2</v>
      </c>
      <c r="AV247" s="129">
        <v>8.8000000000000007</v>
      </c>
      <c r="AW247" s="129">
        <v>8.8000000000000007</v>
      </c>
      <c r="AX247" s="129">
        <v>8.8000000000000007</v>
      </c>
      <c r="AY247" s="129">
        <v>8.8000000000000007</v>
      </c>
      <c r="AZ247" s="129">
        <v>8.8000000000000007</v>
      </c>
      <c r="BA247" s="129">
        <v>8.8000000000000007</v>
      </c>
      <c r="BB247" s="129">
        <v>8.8000000000000007</v>
      </c>
      <c r="BC247" s="129">
        <v>8.8000000000000007</v>
      </c>
      <c r="BD247" s="129">
        <v>8.8000000000000007</v>
      </c>
      <c r="BE247" s="129">
        <v>24.2</v>
      </c>
      <c r="BG247" s="129">
        <v>11.8</v>
      </c>
      <c r="BH247" s="129">
        <v>11.8</v>
      </c>
      <c r="BI247" s="129">
        <v>11.8</v>
      </c>
      <c r="BJ247" s="129">
        <v>11.8</v>
      </c>
      <c r="BK247" s="129">
        <v>11.8</v>
      </c>
      <c r="BL247" s="129">
        <v>11.8</v>
      </c>
      <c r="BM247" s="129">
        <v>11.8</v>
      </c>
      <c r="BN247" s="129">
        <v>11.8</v>
      </c>
      <c r="BO247" s="129">
        <v>11.8</v>
      </c>
      <c r="BP247" s="129">
        <v>24.2</v>
      </c>
      <c r="BR247" s="129">
        <v>11.8</v>
      </c>
      <c r="BS247" s="129">
        <v>11.8</v>
      </c>
      <c r="BT247" s="129">
        <v>11.8</v>
      </c>
      <c r="BU247" s="129">
        <v>11.8</v>
      </c>
      <c r="BV247" s="129">
        <v>11.8</v>
      </c>
      <c r="BW247" s="129">
        <v>11.8</v>
      </c>
      <c r="BX247" s="129">
        <v>11.8</v>
      </c>
      <c r="BY247" s="129">
        <v>11.8</v>
      </c>
      <c r="BZ247" s="129">
        <v>11.8</v>
      </c>
      <c r="CA247" s="129">
        <v>24.2</v>
      </c>
      <c r="CC247" s="129">
        <v>7.8000000000000007</v>
      </c>
      <c r="CD247" s="129">
        <v>7.8000000000000007</v>
      </c>
      <c r="CE247" s="129">
        <v>7.8000000000000007</v>
      </c>
      <c r="CF247" s="129">
        <v>7.8000000000000007</v>
      </c>
      <c r="CG247" s="129">
        <v>7.8000000000000007</v>
      </c>
      <c r="CH247" s="129">
        <v>7.8000000000000007</v>
      </c>
      <c r="CI247" s="129">
        <v>7.8000000000000007</v>
      </c>
      <c r="CJ247" s="129">
        <v>7.8000000000000007</v>
      </c>
      <c r="CK247" s="129">
        <v>7.8000000000000007</v>
      </c>
      <c r="CL247" s="129">
        <v>24.2</v>
      </c>
      <c r="CN247" s="129">
        <v>9</v>
      </c>
      <c r="CO247" s="129">
        <v>9</v>
      </c>
      <c r="CP247" s="129">
        <v>9</v>
      </c>
      <c r="CQ247" s="129">
        <v>9</v>
      </c>
      <c r="CR247" s="129">
        <v>9</v>
      </c>
      <c r="CS247" s="129">
        <v>9</v>
      </c>
      <c r="CT247" s="129">
        <v>9</v>
      </c>
      <c r="CU247" s="129">
        <v>9</v>
      </c>
      <c r="CV247" s="129">
        <v>9</v>
      </c>
      <c r="CW247" s="129">
        <v>24.2</v>
      </c>
      <c r="CY247" s="129">
        <v>12.8</v>
      </c>
      <c r="CZ247" s="129">
        <v>12.8</v>
      </c>
      <c r="DA247" s="129">
        <v>12.8</v>
      </c>
      <c r="DB247" s="129">
        <v>12.8</v>
      </c>
      <c r="DC247" s="129">
        <v>12.8</v>
      </c>
      <c r="DD247" s="129">
        <v>12.8</v>
      </c>
      <c r="DE247" s="129">
        <v>12.8</v>
      </c>
      <c r="DF247" s="129">
        <v>12.8</v>
      </c>
      <c r="DG247" s="129">
        <v>12.8</v>
      </c>
      <c r="DH247" s="129">
        <v>24.2</v>
      </c>
      <c r="DJ247" s="129">
        <v>12.8</v>
      </c>
      <c r="DK247" s="129">
        <v>12.8</v>
      </c>
      <c r="DL247" s="129">
        <v>12.8</v>
      </c>
      <c r="DM247" s="129">
        <v>12.8</v>
      </c>
      <c r="DN247" s="129">
        <v>12.8</v>
      </c>
      <c r="DO247" s="129">
        <v>12.8</v>
      </c>
      <c r="DP247" s="129">
        <v>12.8</v>
      </c>
      <c r="DQ247" s="129">
        <v>12.8</v>
      </c>
      <c r="DR247" s="129">
        <v>12.8</v>
      </c>
      <c r="DS247" s="129">
        <v>24.2</v>
      </c>
      <c r="DW247" s="27"/>
      <c r="EQ247" s="129">
        <v>26.2</v>
      </c>
      <c r="ES247" s="27">
        <v>12.600000000000001</v>
      </c>
      <c r="ET247" s="27">
        <v>12.600000000000001</v>
      </c>
      <c r="EU247" s="27">
        <v>12.600000000000001</v>
      </c>
      <c r="EV247" s="27">
        <v>12.600000000000001</v>
      </c>
      <c r="EW247" s="27">
        <v>12.600000000000001</v>
      </c>
      <c r="EX247" s="27">
        <v>12.600000000000001</v>
      </c>
      <c r="EY247" s="27">
        <v>12.600000000000001</v>
      </c>
      <c r="EZ247" s="27">
        <v>12.600000000000001</v>
      </c>
      <c r="FA247" s="27">
        <v>12.600000000000001</v>
      </c>
      <c r="FB247" s="129">
        <v>26.2</v>
      </c>
      <c r="FD247" s="27">
        <v>16.600000000000001</v>
      </c>
      <c r="FE247" s="27">
        <v>16.600000000000001</v>
      </c>
      <c r="FF247" s="27">
        <v>16.600000000000001</v>
      </c>
      <c r="FG247" s="27">
        <v>16.600000000000001</v>
      </c>
      <c r="FH247" s="27">
        <v>16.600000000000001</v>
      </c>
      <c r="FI247" s="27">
        <v>16.600000000000001</v>
      </c>
      <c r="FJ247" s="27">
        <v>16.600000000000001</v>
      </c>
      <c r="FK247" s="27">
        <v>16.600000000000001</v>
      </c>
      <c r="FL247" s="27">
        <v>16.600000000000001</v>
      </c>
      <c r="FM247" s="129">
        <v>26.2</v>
      </c>
      <c r="FO247" s="27">
        <v>22.4</v>
      </c>
      <c r="FP247" s="27">
        <v>22.4</v>
      </c>
      <c r="FQ247" s="27">
        <v>22.4</v>
      </c>
      <c r="FR247" s="27">
        <v>22.4</v>
      </c>
      <c r="FS247" s="27">
        <v>22.4</v>
      </c>
      <c r="FT247" s="27">
        <v>22.4</v>
      </c>
      <c r="FU247" s="27">
        <v>22.4</v>
      </c>
      <c r="FV247" s="27">
        <v>22.4</v>
      </c>
      <c r="FW247" s="27">
        <v>22.4</v>
      </c>
      <c r="FX247" s="129">
        <v>26.2</v>
      </c>
      <c r="FZ247" s="27">
        <v>22.4</v>
      </c>
      <c r="GA247" s="27">
        <v>22.4</v>
      </c>
      <c r="GB247" s="27">
        <v>22.4</v>
      </c>
      <c r="GC247" s="27">
        <v>22.4</v>
      </c>
      <c r="GD247" s="27">
        <v>22.4</v>
      </c>
      <c r="GE247" s="27">
        <v>22.4</v>
      </c>
      <c r="GF247" s="27">
        <v>22.4</v>
      </c>
      <c r="GG247" s="27">
        <v>22.4</v>
      </c>
      <c r="GH247" s="27">
        <v>22.4</v>
      </c>
      <c r="GI247" s="129">
        <v>26.2</v>
      </c>
      <c r="GJ247" s="27"/>
      <c r="GK247" s="27">
        <v>7</v>
      </c>
      <c r="GL247" s="27">
        <v>7</v>
      </c>
      <c r="GM247" s="27">
        <v>7</v>
      </c>
      <c r="GN247" s="27">
        <v>7</v>
      </c>
      <c r="GO247" s="27">
        <v>7</v>
      </c>
      <c r="GP247" s="27">
        <v>7</v>
      </c>
      <c r="GQ247" s="27">
        <v>7</v>
      </c>
      <c r="GR247" s="27">
        <v>7</v>
      </c>
      <c r="GS247" s="27">
        <v>7</v>
      </c>
      <c r="GT247" s="129">
        <v>26.2</v>
      </c>
      <c r="GV247" s="27">
        <v>8.8000000000000007</v>
      </c>
      <c r="GW247" s="27">
        <v>8.8000000000000007</v>
      </c>
      <c r="GX247" s="27">
        <v>8.8000000000000007</v>
      </c>
      <c r="GY247" s="27">
        <v>8.8000000000000007</v>
      </c>
      <c r="GZ247" s="27">
        <v>8.8000000000000007</v>
      </c>
      <c r="HA247" s="27">
        <v>8.8000000000000007</v>
      </c>
      <c r="HB247" s="27">
        <v>8.8000000000000007</v>
      </c>
      <c r="HC247" s="27">
        <v>8.8000000000000007</v>
      </c>
      <c r="HD247" s="27">
        <v>8.8000000000000007</v>
      </c>
      <c r="HE247" s="129">
        <v>26.2</v>
      </c>
      <c r="HG247" s="27">
        <v>12</v>
      </c>
      <c r="HH247" s="27">
        <v>12</v>
      </c>
      <c r="HI247" s="27">
        <v>12</v>
      </c>
      <c r="HJ247" s="27">
        <v>12</v>
      </c>
      <c r="HK247" s="27">
        <v>12</v>
      </c>
      <c r="HL247" s="27">
        <v>12</v>
      </c>
      <c r="HM247" s="27">
        <v>12</v>
      </c>
      <c r="HN247" s="27">
        <v>12</v>
      </c>
      <c r="HO247" s="27">
        <v>12</v>
      </c>
      <c r="HP247" s="129">
        <v>26.2</v>
      </c>
      <c r="HR247" s="27">
        <v>12</v>
      </c>
      <c r="HS247" s="27">
        <v>12</v>
      </c>
      <c r="HT247" s="27">
        <v>12</v>
      </c>
      <c r="HU247" s="27">
        <v>12</v>
      </c>
      <c r="HV247" s="27">
        <v>12</v>
      </c>
      <c r="HW247" s="27">
        <v>12</v>
      </c>
      <c r="HX247" s="27">
        <v>12</v>
      </c>
      <c r="HY247" s="27">
        <v>12</v>
      </c>
      <c r="HZ247" s="27">
        <v>12</v>
      </c>
      <c r="IA247" s="129">
        <v>26.2</v>
      </c>
    </row>
    <row r="248" spans="15:235" ht="3" customHeight="1">
      <c r="O248" s="17"/>
      <c r="P248" s="17"/>
      <c r="Q248" s="17"/>
      <c r="R248" s="17"/>
      <c r="S248" s="17"/>
      <c r="T248" s="17"/>
      <c r="U248" s="17"/>
      <c r="V248" s="17"/>
      <c r="W248" s="17"/>
      <c r="X248" s="129">
        <v>24.3</v>
      </c>
      <c r="Y248" s="27"/>
      <c r="AI248" s="129">
        <v>24.3</v>
      </c>
      <c r="AK248" s="129">
        <v>6.7000000000000011</v>
      </c>
      <c r="AL248" s="129">
        <v>6.7000000000000011</v>
      </c>
      <c r="AM248" s="129">
        <v>6.7000000000000011</v>
      </c>
      <c r="AN248" s="129">
        <v>6.7000000000000011</v>
      </c>
      <c r="AO248" s="129">
        <v>6.7000000000000011</v>
      </c>
      <c r="AP248" s="129">
        <v>6.7000000000000011</v>
      </c>
      <c r="AQ248" s="129">
        <v>6.7000000000000011</v>
      </c>
      <c r="AR248" s="129">
        <v>6.7000000000000011</v>
      </c>
      <c r="AS248" s="129">
        <v>6.7000000000000011</v>
      </c>
      <c r="AT248" s="129">
        <v>24.3</v>
      </c>
      <c r="AV248" s="129">
        <v>8.7000000000000011</v>
      </c>
      <c r="AW248" s="129">
        <v>8.7000000000000011</v>
      </c>
      <c r="AX248" s="129">
        <v>8.7000000000000011</v>
      </c>
      <c r="AY248" s="129">
        <v>8.7000000000000011</v>
      </c>
      <c r="AZ248" s="129">
        <v>8.7000000000000011</v>
      </c>
      <c r="BA248" s="129">
        <v>8.7000000000000011</v>
      </c>
      <c r="BB248" s="129">
        <v>8.7000000000000011</v>
      </c>
      <c r="BC248" s="129">
        <v>8.7000000000000011</v>
      </c>
      <c r="BD248" s="129">
        <v>8.7000000000000011</v>
      </c>
      <c r="BE248" s="129">
        <v>24.3</v>
      </c>
      <c r="BG248" s="129">
        <v>11.700000000000001</v>
      </c>
      <c r="BH248" s="129">
        <v>11.700000000000001</v>
      </c>
      <c r="BI248" s="129">
        <v>11.700000000000001</v>
      </c>
      <c r="BJ248" s="129">
        <v>11.700000000000001</v>
      </c>
      <c r="BK248" s="129">
        <v>11.700000000000001</v>
      </c>
      <c r="BL248" s="129">
        <v>11.700000000000001</v>
      </c>
      <c r="BM248" s="129">
        <v>11.700000000000001</v>
      </c>
      <c r="BN248" s="129">
        <v>11.700000000000001</v>
      </c>
      <c r="BO248" s="129">
        <v>11.700000000000001</v>
      </c>
      <c r="BP248" s="129">
        <v>24.3</v>
      </c>
      <c r="BR248" s="129">
        <v>11.700000000000001</v>
      </c>
      <c r="BS248" s="129">
        <v>11.700000000000001</v>
      </c>
      <c r="BT248" s="129">
        <v>11.700000000000001</v>
      </c>
      <c r="BU248" s="129">
        <v>11.700000000000001</v>
      </c>
      <c r="BV248" s="129">
        <v>11.700000000000001</v>
      </c>
      <c r="BW248" s="129">
        <v>11.700000000000001</v>
      </c>
      <c r="BX248" s="129">
        <v>11.700000000000001</v>
      </c>
      <c r="BY248" s="129">
        <v>11.700000000000001</v>
      </c>
      <c r="BZ248" s="129">
        <v>11.700000000000001</v>
      </c>
      <c r="CA248" s="129">
        <v>24.3</v>
      </c>
      <c r="CC248" s="129">
        <v>7.7000000000000011</v>
      </c>
      <c r="CD248" s="129">
        <v>7.7000000000000011</v>
      </c>
      <c r="CE248" s="129">
        <v>7.7000000000000011</v>
      </c>
      <c r="CF248" s="129">
        <v>7.7000000000000011</v>
      </c>
      <c r="CG248" s="129">
        <v>7.7000000000000011</v>
      </c>
      <c r="CH248" s="129">
        <v>7.7000000000000011</v>
      </c>
      <c r="CI248" s="129">
        <v>7.7000000000000011</v>
      </c>
      <c r="CJ248" s="129">
        <v>7.7000000000000011</v>
      </c>
      <c r="CK248" s="129">
        <v>7.7000000000000011</v>
      </c>
      <c r="CL248" s="129">
        <v>24.3</v>
      </c>
      <c r="CN248" s="129">
        <v>9</v>
      </c>
      <c r="CO248" s="129">
        <v>9</v>
      </c>
      <c r="CP248" s="129">
        <v>9</v>
      </c>
      <c r="CQ248" s="129">
        <v>9</v>
      </c>
      <c r="CR248" s="129">
        <v>9</v>
      </c>
      <c r="CS248" s="129">
        <v>9</v>
      </c>
      <c r="CT248" s="129">
        <v>9</v>
      </c>
      <c r="CU248" s="129">
        <v>9</v>
      </c>
      <c r="CV248" s="129">
        <v>9</v>
      </c>
      <c r="CW248" s="129">
        <v>24.3</v>
      </c>
      <c r="CY248" s="129">
        <v>12.700000000000001</v>
      </c>
      <c r="CZ248" s="129">
        <v>12.700000000000001</v>
      </c>
      <c r="DA248" s="129">
        <v>12.700000000000001</v>
      </c>
      <c r="DB248" s="129">
        <v>12.700000000000001</v>
      </c>
      <c r="DC248" s="129">
        <v>12.700000000000001</v>
      </c>
      <c r="DD248" s="129">
        <v>12.700000000000001</v>
      </c>
      <c r="DE248" s="129">
        <v>12.700000000000001</v>
      </c>
      <c r="DF248" s="129">
        <v>12.700000000000001</v>
      </c>
      <c r="DG248" s="129">
        <v>12.700000000000001</v>
      </c>
      <c r="DH248" s="129">
        <v>24.3</v>
      </c>
      <c r="DJ248" s="129">
        <v>12.700000000000001</v>
      </c>
      <c r="DK248" s="129">
        <v>12.700000000000001</v>
      </c>
      <c r="DL248" s="129">
        <v>12.700000000000001</v>
      </c>
      <c r="DM248" s="129">
        <v>12.700000000000001</v>
      </c>
      <c r="DN248" s="129">
        <v>12.700000000000001</v>
      </c>
      <c r="DO248" s="129">
        <v>12.700000000000001</v>
      </c>
      <c r="DP248" s="129">
        <v>12.700000000000001</v>
      </c>
      <c r="DQ248" s="129">
        <v>12.700000000000001</v>
      </c>
      <c r="DR248" s="129">
        <v>12.700000000000001</v>
      </c>
      <c r="DS248" s="129">
        <v>24.3</v>
      </c>
      <c r="DW248" s="27"/>
      <c r="EQ248" s="129">
        <v>26.3</v>
      </c>
      <c r="ES248" s="27">
        <v>12.400000000000002</v>
      </c>
      <c r="ET248" s="27">
        <v>12.400000000000002</v>
      </c>
      <c r="EU248" s="27">
        <v>12.400000000000002</v>
      </c>
      <c r="EV248" s="27">
        <v>12.400000000000002</v>
      </c>
      <c r="EW248" s="27">
        <v>12.400000000000002</v>
      </c>
      <c r="EX248" s="27">
        <v>12.400000000000002</v>
      </c>
      <c r="EY248" s="27">
        <v>12.400000000000002</v>
      </c>
      <c r="EZ248" s="27">
        <v>12.400000000000002</v>
      </c>
      <c r="FA248" s="27">
        <v>12.400000000000002</v>
      </c>
      <c r="FB248" s="129">
        <v>26.3</v>
      </c>
      <c r="FD248" s="27">
        <v>16.400000000000002</v>
      </c>
      <c r="FE248" s="27">
        <v>16.400000000000002</v>
      </c>
      <c r="FF248" s="27">
        <v>16.400000000000002</v>
      </c>
      <c r="FG248" s="27">
        <v>16.400000000000002</v>
      </c>
      <c r="FH248" s="27">
        <v>16.400000000000002</v>
      </c>
      <c r="FI248" s="27">
        <v>16.400000000000002</v>
      </c>
      <c r="FJ248" s="27">
        <v>16.400000000000002</v>
      </c>
      <c r="FK248" s="27">
        <v>16.400000000000002</v>
      </c>
      <c r="FL248" s="27">
        <v>16.400000000000002</v>
      </c>
      <c r="FM248" s="129">
        <v>26.3</v>
      </c>
      <c r="FO248" s="27">
        <v>22.099999999999998</v>
      </c>
      <c r="FP248" s="27">
        <v>22.099999999999998</v>
      </c>
      <c r="FQ248" s="27">
        <v>22.099999999999998</v>
      </c>
      <c r="FR248" s="27">
        <v>22.099999999999998</v>
      </c>
      <c r="FS248" s="27">
        <v>22.099999999999998</v>
      </c>
      <c r="FT248" s="27">
        <v>22.099999999999998</v>
      </c>
      <c r="FU248" s="27">
        <v>22.099999999999998</v>
      </c>
      <c r="FV248" s="27">
        <v>22.099999999999998</v>
      </c>
      <c r="FW248" s="27">
        <v>22.099999999999998</v>
      </c>
      <c r="FX248" s="129">
        <v>26.3</v>
      </c>
      <c r="FZ248" s="27">
        <v>22.099999999999998</v>
      </c>
      <c r="GA248" s="27">
        <v>22.099999999999998</v>
      </c>
      <c r="GB248" s="27">
        <v>22.099999999999998</v>
      </c>
      <c r="GC248" s="27">
        <v>22.099999999999998</v>
      </c>
      <c r="GD248" s="27">
        <v>22.099999999999998</v>
      </c>
      <c r="GE248" s="27">
        <v>22.099999999999998</v>
      </c>
      <c r="GF248" s="27">
        <v>22.099999999999998</v>
      </c>
      <c r="GG248" s="27">
        <v>22.099999999999998</v>
      </c>
      <c r="GH248" s="27">
        <v>22.099999999999998</v>
      </c>
      <c r="GI248" s="129">
        <v>26.3</v>
      </c>
      <c r="GJ248" s="27"/>
      <c r="GK248" s="27">
        <v>7</v>
      </c>
      <c r="GL248" s="27">
        <v>7</v>
      </c>
      <c r="GM248" s="27">
        <v>7</v>
      </c>
      <c r="GN248" s="27">
        <v>7</v>
      </c>
      <c r="GO248" s="27">
        <v>7</v>
      </c>
      <c r="GP248" s="27">
        <v>7</v>
      </c>
      <c r="GQ248" s="27">
        <v>7</v>
      </c>
      <c r="GR248" s="27">
        <v>7</v>
      </c>
      <c r="GS248" s="27">
        <v>7</v>
      </c>
      <c r="GT248" s="129">
        <v>26.3</v>
      </c>
      <c r="GV248" s="27">
        <v>8.7000000000000011</v>
      </c>
      <c r="GW248" s="27">
        <v>8.7000000000000011</v>
      </c>
      <c r="GX248" s="27">
        <v>8.7000000000000011</v>
      </c>
      <c r="GY248" s="27">
        <v>8.7000000000000011</v>
      </c>
      <c r="GZ248" s="27">
        <v>8.7000000000000011</v>
      </c>
      <c r="HA248" s="27">
        <v>8.7000000000000011</v>
      </c>
      <c r="HB248" s="27">
        <v>8.7000000000000011</v>
      </c>
      <c r="HC248" s="27">
        <v>8.7000000000000011</v>
      </c>
      <c r="HD248" s="27">
        <v>8.7000000000000011</v>
      </c>
      <c r="HE248" s="129">
        <v>26.3</v>
      </c>
      <c r="HG248" s="27">
        <v>12</v>
      </c>
      <c r="HH248" s="27">
        <v>12</v>
      </c>
      <c r="HI248" s="27">
        <v>12</v>
      </c>
      <c r="HJ248" s="27">
        <v>12</v>
      </c>
      <c r="HK248" s="27">
        <v>12</v>
      </c>
      <c r="HL248" s="27">
        <v>12</v>
      </c>
      <c r="HM248" s="27">
        <v>12</v>
      </c>
      <c r="HN248" s="27">
        <v>12</v>
      </c>
      <c r="HO248" s="27">
        <v>12</v>
      </c>
      <c r="HP248" s="129">
        <v>26.3</v>
      </c>
      <c r="HR248" s="27">
        <v>12</v>
      </c>
      <c r="HS248" s="27">
        <v>12</v>
      </c>
      <c r="HT248" s="27">
        <v>12</v>
      </c>
      <c r="HU248" s="27">
        <v>12</v>
      </c>
      <c r="HV248" s="27">
        <v>12</v>
      </c>
      <c r="HW248" s="27">
        <v>12</v>
      </c>
      <c r="HX248" s="27">
        <v>12</v>
      </c>
      <c r="HY248" s="27">
        <v>12</v>
      </c>
      <c r="HZ248" s="27">
        <v>12</v>
      </c>
      <c r="IA248" s="129">
        <v>26.3</v>
      </c>
    </row>
    <row r="249" spans="15:235" ht="3" customHeight="1">
      <c r="O249" s="17"/>
      <c r="P249" s="17"/>
      <c r="Q249" s="17"/>
      <c r="R249" s="17"/>
      <c r="S249" s="17"/>
      <c r="T249" s="17"/>
      <c r="U249" s="17"/>
      <c r="V249" s="17"/>
      <c r="W249" s="17"/>
      <c r="X249" s="129">
        <v>24.4</v>
      </c>
      <c r="Y249" s="27"/>
      <c r="AI249" s="129">
        <v>24.4</v>
      </c>
      <c r="AK249" s="129">
        <v>6.6000000000000014</v>
      </c>
      <c r="AL249" s="129">
        <v>6.6000000000000014</v>
      </c>
      <c r="AM249" s="129">
        <v>6.6000000000000014</v>
      </c>
      <c r="AN249" s="129">
        <v>6.6000000000000014</v>
      </c>
      <c r="AO249" s="129">
        <v>6.6000000000000014</v>
      </c>
      <c r="AP249" s="129">
        <v>6.6000000000000014</v>
      </c>
      <c r="AQ249" s="129">
        <v>6.6000000000000014</v>
      </c>
      <c r="AR249" s="129">
        <v>6.6000000000000014</v>
      </c>
      <c r="AS249" s="129">
        <v>6.6000000000000014</v>
      </c>
      <c r="AT249" s="129">
        <v>24.4</v>
      </c>
      <c r="AV249" s="129">
        <v>8.6000000000000014</v>
      </c>
      <c r="AW249" s="129">
        <v>8.6000000000000014</v>
      </c>
      <c r="AX249" s="129">
        <v>8.6000000000000014</v>
      </c>
      <c r="AY249" s="129">
        <v>8.6000000000000014</v>
      </c>
      <c r="AZ249" s="129">
        <v>8.6000000000000014</v>
      </c>
      <c r="BA249" s="129">
        <v>8.6000000000000014</v>
      </c>
      <c r="BB249" s="129">
        <v>8.6000000000000014</v>
      </c>
      <c r="BC249" s="129">
        <v>8.6000000000000014</v>
      </c>
      <c r="BD249" s="129">
        <v>8.6000000000000014</v>
      </c>
      <c r="BE249" s="129">
        <v>24.4</v>
      </c>
      <c r="BG249" s="129">
        <v>11.600000000000001</v>
      </c>
      <c r="BH249" s="129">
        <v>11.600000000000001</v>
      </c>
      <c r="BI249" s="129">
        <v>11.600000000000001</v>
      </c>
      <c r="BJ249" s="129">
        <v>11.600000000000001</v>
      </c>
      <c r="BK249" s="129">
        <v>11.600000000000001</v>
      </c>
      <c r="BL249" s="129">
        <v>11.600000000000001</v>
      </c>
      <c r="BM249" s="129">
        <v>11.600000000000001</v>
      </c>
      <c r="BN249" s="129">
        <v>11.600000000000001</v>
      </c>
      <c r="BO249" s="129">
        <v>11.600000000000001</v>
      </c>
      <c r="BP249" s="129">
        <v>24.4</v>
      </c>
      <c r="BR249" s="129">
        <v>11.600000000000001</v>
      </c>
      <c r="BS249" s="129">
        <v>11.600000000000001</v>
      </c>
      <c r="BT249" s="129">
        <v>11.600000000000001</v>
      </c>
      <c r="BU249" s="129">
        <v>11.600000000000001</v>
      </c>
      <c r="BV249" s="129">
        <v>11.600000000000001</v>
      </c>
      <c r="BW249" s="129">
        <v>11.600000000000001</v>
      </c>
      <c r="BX249" s="129">
        <v>11.600000000000001</v>
      </c>
      <c r="BY249" s="129">
        <v>11.600000000000001</v>
      </c>
      <c r="BZ249" s="129">
        <v>11.600000000000001</v>
      </c>
      <c r="CA249" s="129">
        <v>24.4</v>
      </c>
      <c r="CC249" s="129">
        <v>7.6000000000000014</v>
      </c>
      <c r="CD249" s="129">
        <v>7.6000000000000014</v>
      </c>
      <c r="CE249" s="129">
        <v>7.6000000000000014</v>
      </c>
      <c r="CF249" s="129">
        <v>7.6000000000000014</v>
      </c>
      <c r="CG249" s="129">
        <v>7.6000000000000014</v>
      </c>
      <c r="CH249" s="129">
        <v>7.6000000000000014</v>
      </c>
      <c r="CI249" s="129">
        <v>7.6000000000000014</v>
      </c>
      <c r="CJ249" s="129">
        <v>7.6000000000000014</v>
      </c>
      <c r="CK249" s="129">
        <v>7.6000000000000014</v>
      </c>
      <c r="CL249" s="129">
        <v>24.4</v>
      </c>
      <c r="CN249" s="129">
        <v>9</v>
      </c>
      <c r="CO249" s="129">
        <v>9</v>
      </c>
      <c r="CP249" s="129">
        <v>9</v>
      </c>
      <c r="CQ249" s="129">
        <v>9</v>
      </c>
      <c r="CR249" s="129">
        <v>9</v>
      </c>
      <c r="CS249" s="129">
        <v>9</v>
      </c>
      <c r="CT249" s="129">
        <v>9</v>
      </c>
      <c r="CU249" s="129">
        <v>9</v>
      </c>
      <c r="CV249" s="129">
        <v>9</v>
      </c>
      <c r="CW249" s="129">
        <v>24.4</v>
      </c>
      <c r="CY249" s="129">
        <v>12.600000000000001</v>
      </c>
      <c r="CZ249" s="129">
        <v>12.600000000000001</v>
      </c>
      <c r="DA249" s="129">
        <v>12.600000000000001</v>
      </c>
      <c r="DB249" s="129">
        <v>12.600000000000001</v>
      </c>
      <c r="DC249" s="129">
        <v>12.600000000000001</v>
      </c>
      <c r="DD249" s="129">
        <v>12.600000000000001</v>
      </c>
      <c r="DE249" s="129">
        <v>12.600000000000001</v>
      </c>
      <c r="DF249" s="129">
        <v>12.600000000000001</v>
      </c>
      <c r="DG249" s="129">
        <v>12.600000000000001</v>
      </c>
      <c r="DH249" s="129">
        <v>24.4</v>
      </c>
      <c r="DJ249" s="129">
        <v>12.600000000000001</v>
      </c>
      <c r="DK249" s="129">
        <v>12.600000000000001</v>
      </c>
      <c r="DL249" s="129">
        <v>12.600000000000001</v>
      </c>
      <c r="DM249" s="129">
        <v>12.600000000000001</v>
      </c>
      <c r="DN249" s="129">
        <v>12.600000000000001</v>
      </c>
      <c r="DO249" s="129">
        <v>12.600000000000001</v>
      </c>
      <c r="DP249" s="129">
        <v>12.600000000000001</v>
      </c>
      <c r="DQ249" s="129">
        <v>12.600000000000001</v>
      </c>
      <c r="DR249" s="129">
        <v>12.600000000000001</v>
      </c>
      <c r="DS249" s="129">
        <v>24.4</v>
      </c>
      <c r="DW249" s="27"/>
      <c r="EQ249" s="129">
        <v>26.4</v>
      </c>
      <c r="ES249" s="27">
        <v>12.200000000000003</v>
      </c>
      <c r="ET249" s="27">
        <v>12.200000000000003</v>
      </c>
      <c r="EU249" s="27">
        <v>12.200000000000003</v>
      </c>
      <c r="EV249" s="27">
        <v>12.200000000000003</v>
      </c>
      <c r="EW249" s="27">
        <v>12.200000000000003</v>
      </c>
      <c r="EX249" s="27">
        <v>12.200000000000003</v>
      </c>
      <c r="EY249" s="27">
        <v>12.200000000000003</v>
      </c>
      <c r="EZ249" s="27">
        <v>12.200000000000003</v>
      </c>
      <c r="FA249" s="27">
        <v>12.200000000000003</v>
      </c>
      <c r="FB249" s="129">
        <v>26.4</v>
      </c>
      <c r="FD249" s="27">
        <v>16.200000000000003</v>
      </c>
      <c r="FE249" s="27">
        <v>16.200000000000003</v>
      </c>
      <c r="FF249" s="27">
        <v>16.200000000000003</v>
      </c>
      <c r="FG249" s="27">
        <v>16.200000000000003</v>
      </c>
      <c r="FH249" s="27">
        <v>16.200000000000003</v>
      </c>
      <c r="FI249" s="27">
        <v>16.200000000000003</v>
      </c>
      <c r="FJ249" s="27">
        <v>16.200000000000003</v>
      </c>
      <c r="FK249" s="27">
        <v>16.200000000000003</v>
      </c>
      <c r="FL249" s="27">
        <v>16.200000000000003</v>
      </c>
      <c r="FM249" s="129">
        <v>26.4</v>
      </c>
      <c r="FO249" s="27">
        <v>21.799999999999997</v>
      </c>
      <c r="FP249" s="27">
        <v>21.799999999999997</v>
      </c>
      <c r="FQ249" s="27">
        <v>21.799999999999997</v>
      </c>
      <c r="FR249" s="27">
        <v>21.799999999999997</v>
      </c>
      <c r="FS249" s="27">
        <v>21.799999999999997</v>
      </c>
      <c r="FT249" s="27">
        <v>21.799999999999997</v>
      </c>
      <c r="FU249" s="27">
        <v>21.799999999999997</v>
      </c>
      <c r="FV249" s="27">
        <v>21.799999999999997</v>
      </c>
      <c r="FW249" s="27">
        <v>21.799999999999997</v>
      </c>
      <c r="FX249" s="129">
        <v>26.4</v>
      </c>
      <c r="FZ249" s="27">
        <v>21.799999999999997</v>
      </c>
      <c r="GA249" s="27">
        <v>21.799999999999997</v>
      </c>
      <c r="GB249" s="27">
        <v>21.799999999999997</v>
      </c>
      <c r="GC249" s="27">
        <v>21.799999999999997</v>
      </c>
      <c r="GD249" s="27">
        <v>21.799999999999997</v>
      </c>
      <c r="GE249" s="27">
        <v>21.799999999999997</v>
      </c>
      <c r="GF249" s="27">
        <v>21.799999999999997</v>
      </c>
      <c r="GG249" s="27">
        <v>21.799999999999997</v>
      </c>
      <c r="GH249" s="27">
        <v>21.799999999999997</v>
      </c>
      <c r="GI249" s="129">
        <v>26.4</v>
      </c>
      <c r="GJ249" s="27"/>
      <c r="GK249" s="27">
        <v>7</v>
      </c>
      <c r="GL249" s="27">
        <v>7</v>
      </c>
      <c r="GM249" s="27">
        <v>7</v>
      </c>
      <c r="GN249" s="27">
        <v>7</v>
      </c>
      <c r="GO249" s="27">
        <v>7</v>
      </c>
      <c r="GP249" s="27">
        <v>7</v>
      </c>
      <c r="GQ249" s="27">
        <v>7</v>
      </c>
      <c r="GR249" s="27">
        <v>7</v>
      </c>
      <c r="GS249" s="27">
        <v>7</v>
      </c>
      <c r="GT249" s="129">
        <v>26.4</v>
      </c>
      <c r="GV249" s="27">
        <v>8.6000000000000014</v>
      </c>
      <c r="GW249" s="27">
        <v>8.6000000000000014</v>
      </c>
      <c r="GX249" s="27">
        <v>8.6000000000000014</v>
      </c>
      <c r="GY249" s="27">
        <v>8.6000000000000014</v>
      </c>
      <c r="GZ249" s="27">
        <v>8.6000000000000014</v>
      </c>
      <c r="HA249" s="27">
        <v>8.6000000000000014</v>
      </c>
      <c r="HB249" s="27">
        <v>8.6000000000000014</v>
      </c>
      <c r="HC249" s="27">
        <v>8.6000000000000014</v>
      </c>
      <c r="HD249" s="27">
        <v>8.6000000000000014</v>
      </c>
      <c r="HE249" s="129">
        <v>26.4</v>
      </c>
      <c r="HG249" s="27">
        <v>12</v>
      </c>
      <c r="HH249" s="27">
        <v>12</v>
      </c>
      <c r="HI249" s="27">
        <v>12</v>
      </c>
      <c r="HJ249" s="27">
        <v>12</v>
      </c>
      <c r="HK249" s="27">
        <v>12</v>
      </c>
      <c r="HL249" s="27">
        <v>12</v>
      </c>
      <c r="HM249" s="27">
        <v>12</v>
      </c>
      <c r="HN249" s="27">
        <v>12</v>
      </c>
      <c r="HO249" s="27">
        <v>12</v>
      </c>
      <c r="HP249" s="129">
        <v>26.4</v>
      </c>
      <c r="HR249" s="27">
        <v>12</v>
      </c>
      <c r="HS249" s="27">
        <v>12</v>
      </c>
      <c r="HT249" s="27">
        <v>12</v>
      </c>
      <c r="HU249" s="27">
        <v>12</v>
      </c>
      <c r="HV249" s="27">
        <v>12</v>
      </c>
      <c r="HW249" s="27">
        <v>12</v>
      </c>
      <c r="HX249" s="27">
        <v>12</v>
      </c>
      <c r="HY249" s="27">
        <v>12</v>
      </c>
      <c r="HZ249" s="27">
        <v>12</v>
      </c>
      <c r="IA249" s="129">
        <v>26.4</v>
      </c>
    </row>
    <row r="250" spans="15:235" ht="3" customHeight="1">
      <c r="O250" s="17"/>
      <c r="P250" s="17"/>
      <c r="Q250" s="17"/>
      <c r="R250" s="17"/>
      <c r="S250" s="17"/>
      <c r="T250" s="17"/>
      <c r="U250" s="17"/>
      <c r="V250" s="17"/>
      <c r="W250" s="17"/>
      <c r="X250" s="129">
        <v>24.5</v>
      </c>
      <c r="Y250" s="27"/>
      <c r="AI250" s="129">
        <v>24.5</v>
      </c>
      <c r="AK250" s="129">
        <v>6.5000000000000018</v>
      </c>
      <c r="AL250" s="129">
        <v>6.5000000000000018</v>
      </c>
      <c r="AM250" s="129">
        <v>6.5000000000000018</v>
      </c>
      <c r="AN250" s="129">
        <v>6.5000000000000018</v>
      </c>
      <c r="AO250" s="129">
        <v>6.5000000000000018</v>
      </c>
      <c r="AP250" s="129">
        <v>6.5000000000000018</v>
      </c>
      <c r="AQ250" s="129">
        <v>6.5000000000000018</v>
      </c>
      <c r="AR250" s="129">
        <v>6.5000000000000018</v>
      </c>
      <c r="AS250" s="129">
        <v>6.5000000000000018</v>
      </c>
      <c r="AT250" s="129">
        <v>24.5</v>
      </c>
      <c r="AV250" s="129">
        <v>8.5000000000000018</v>
      </c>
      <c r="AW250" s="129">
        <v>8.5000000000000018</v>
      </c>
      <c r="AX250" s="129">
        <v>8.5000000000000018</v>
      </c>
      <c r="AY250" s="129">
        <v>8.5000000000000018</v>
      </c>
      <c r="AZ250" s="129">
        <v>8.5000000000000018</v>
      </c>
      <c r="BA250" s="129">
        <v>8.5000000000000018</v>
      </c>
      <c r="BB250" s="129">
        <v>8.5000000000000018</v>
      </c>
      <c r="BC250" s="129">
        <v>8.5000000000000018</v>
      </c>
      <c r="BD250" s="129">
        <v>8.5000000000000018</v>
      </c>
      <c r="BE250" s="129">
        <v>24.5</v>
      </c>
      <c r="BG250" s="129">
        <v>11.500000000000002</v>
      </c>
      <c r="BH250" s="129">
        <v>11.500000000000002</v>
      </c>
      <c r="BI250" s="129">
        <v>11.500000000000002</v>
      </c>
      <c r="BJ250" s="129">
        <v>11.500000000000002</v>
      </c>
      <c r="BK250" s="129">
        <v>11.500000000000002</v>
      </c>
      <c r="BL250" s="129">
        <v>11.500000000000002</v>
      </c>
      <c r="BM250" s="129">
        <v>11.500000000000002</v>
      </c>
      <c r="BN250" s="129">
        <v>11.500000000000002</v>
      </c>
      <c r="BO250" s="129">
        <v>11.500000000000002</v>
      </c>
      <c r="BP250" s="129">
        <v>24.5</v>
      </c>
      <c r="BR250" s="129">
        <v>11.500000000000002</v>
      </c>
      <c r="BS250" s="129">
        <v>11.500000000000002</v>
      </c>
      <c r="BT250" s="129">
        <v>11.500000000000002</v>
      </c>
      <c r="BU250" s="129">
        <v>11.500000000000002</v>
      </c>
      <c r="BV250" s="129">
        <v>11.500000000000002</v>
      </c>
      <c r="BW250" s="129">
        <v>11.500000000000002</v>
      </c>
      <c r="BX250" s="129">
        <v>11.500000000000002</v>
      </c>
      <c r="BY250" s="129">
        <v>11.500000000000002</v>
      </c>
      <c r="BZ250" s="129">
        <v>11.500000000000002</v>
      </c>
      <c r="CA250" s="129">
        <v>24.5</v>
      </c>
      <c r="CC250" s="129">
        <v>7.5000000000000018</v>
      </c>
      <c r="CD250" s="129">
        <v>7.5000000000000018</v>
      </c>
      <c r="CE250" s="129">
        <v>7.5000000000000018</v>
      </c>
      <c r="CF250" s="129">
        <v>7.5000000000000018</v>
      </c>
      <c r="CG250" s="129">
        <v>7.5000000000000018</v>
      </c>
      <c r="CH250" s="129">
        <v>7.5000000000000018</v>
      </c>
      <c r="CI250" s="129">
        <v>7.5000000000000018</v>
      </c>
      <c r="CJ250" s="129">
        <v>7.5000000000000018</v>
      </c>
      <c r="CK250" s="129">
        <v>7.5000000000000018</v>
      </c>
      <c r="CL250" s="129">
        <v>24.5</v>
      </c>
      <c r="CN250" s="129">
        <v>9</v>
      </c>
      <c r="CO250" s="129">
        <v>9</v>
      </c>
      <c r="CP250" s="129">
        <v>9</v>
      </c>
      <c r="CQ250" s="129">
        <v>9</v>
      </c>
      <c r="CR250" s="129">
        <v>9</v>
      </c>
      <c r="CS250" s="129">
        <v>9</v>
      </c>
      <c r="CT250" s="129">
        <v>9</v>
      </c>
      <c r="CU250" s="129">
        <v>9</v>
      </c>
      <c r="CV250" s="129">
        <v>9</v>
      </c>
      <c r="CW250" s="129">
        <v>24.5</v>
      </c>
      <c r="CY250" s="129">
        <v>12.500000000000002</v>
      </c>
      <c r="CZ250" s="129">
        <v>12.500000000000002</v>
      </c>
      <c r="DA250" s="129">
        <v>12.500000000000002</v>
      </c>
      <c r="DB250" s="129">
        <v>12.500000000000002</v>
      </c>
      <c r="DC250" s="129">
        <v>12.500000000000002</v>
      </c>
      <c r="DD250" s="129">
        <v>12.500000000000002</v>
      </c>
      <c r="DE250" s="129">
        <v>12.500000000000002</v>
      </c>
      <c r="DF250" s="129">
        <v>12.500000000000002</v>
      </c>
      <c r="DG250" s="129">
        <v>12.500000000000002</v>
      </c>
      <c r="DH250" s="129">
        <v>24.5</v>
      </c>
      <c r="DJ250" s="129">
        <v>12.500000000000002</v>
      </c>
      <c r="DK250" s="129">
        <v>12.500000000000002</v>
      </c>
      <c r="DL250" s="129">
        <v>12.500000000000002</v>
      </c>
      <c r="DM250" s="129">
        <v>12.500000000000002</v>
      </c>
      <c r="DN250" s="129">
        <v>12.500000000000002</v>
      </c>
      <c r="DO250" s="129">
        <v>12.500000000000002</v>
      </c>
      <c r="DP250" s="129">
        <v>12.500000000000002</v>
      </c>
      <c r="DQ250" s="129">
        <v>12.500000000000002</v>
      </c>
      <c r="DR250" s="129">
        <v>12.500000000000002</v>
      </c>
      <c r="DS250" s="129">
        <v>24.5</v>
      </c>
      <c r="DW250" s="27"/>
      <c r="EQ250" s="129">
        <v>26.5</v>
      </c>
      <c r="ES250" s="27">
        <v>12.000000000000004</v>
      </c>
      <c r="ET250" s="27">
        <v>12.000000000000004</v>
      </c>
      <c r="EU250" s="27">
        <v>12.000000000000004</v>
      </c>
      <c r="EV250" s="27">
        <v>12.000000000000004</v>
      </c>
      <c r="EW250" s="27">
        <v>12.000000000000004</v>
      </c>
      <c r="EX250" s="27">
        <v>12.000000000000004</v>
      </c>
      <c r="EY250" s="27">
        <v>12.000000000000004</v>
      </c>
      <c r="EZ250" s="27">
        <v>12.000000000000004</v>
      </c>
      <c r="FA250" s="27">
        <v>12.000000000000004</v>
      </c>
      <c r="FB250" s="129">
        <v>26.5</v>
      </c>
      <c r="FD250" s="27">
        <v>16.000000000000004</v>
      </c>
      <c r="FE250" s="27">
        <v>16.000000000000004</v>
      </c>
      <c r="FF250" s="27">
        <v>16.000000000000004</v>
      </c>
      <c r="FG250" s="27">
        <v>16.000000000000004</v>
      </c>
      <c r="FH250" s="27">
        <v>16.000000000000004</v>
      </c>
      <c r="FI250" s="27">
        <v>16.000000000000004</v>
      </c>
      <c r="FJ250" s="27">
        <v>16.000000000000004</v>
      </c>
      <c r="FK250" s="27">
        <v>16.000000000000004</v>
      </c>
      <c r="FL250" s="27">
        <v>16.000000000000004</v>
      </c>
      <c r="FM250" s="129">
        <v>26.5</v>
      </c>
      <c r="FO250" s="27">
        <v>21.499999999999996</v>
      </c>
      <c r="FP250" s="27">
        <v>21.499999999999996</v>
      </c>
      <c r="FQ250" s="27">
        <v>21.499999999999996</v>
      </c>
      <c r="FR250" s="27">
        <v>21.499999999999996</v>
      </c>
      <c r="FS250" s="27">
        <v>21.499999999999996</v>
      </c>
      <c r="FT250" s="27">
        <v>21.499999999999996</v>
      </c>
      <c r="FU250" s="27">
        <v>21.499999999999996</v>
      </c>
      <c r="FV250" s="27">
        <v>21.499999999999996</v>
      </c>
      <c r="FW250" s="27">
        <v>21.499999999999996</v>
      </c>
      <c r="FX250" s="129">
        <v>26.5</v>
      </c>
      <c r="FZ250" s="27">
        <v>21.499999999999996</v>
      </c>
      <c r="GA250" s="27">
        <v>21.499999999999996</v>
      </c>
      <c r="GB250" s="27">
        <v>21.499999999999996</v>
      </c>
      <c r="GC250" s="27">
        <v>21.499999999999996</v>
      </c>
      <c r="GD250" s="27">
        <v>21.499999999999996</v>
      </c>
      <c r="GE250" s="27">
        <v>21.499999999999996</v>
      </c>
      <c r="GF250" s="27">
        <v>21.499999999999996</v>
      </c>
      <c r="GG250" s="27">
        <v>21.499999999999996</v>
      </c>
      <c r="GH250" s="27">
        <v>21.499999999999996</v>
      </c>
      <c r="GI250" s="129">
        <v>26.5</v>
      </c>
      <c r="GJ250" s="27"/>
      <c r="GK250" s="27">
        <v>7</v>
      </c>
      <c r="GL250" s="27">
        <v>7</v>
      </c>
      <c r="GM250" s="27">
        <v>7</v>
      </c>
      <c r="GN250" s="27">
        <v>7</v>
      </c>
      <c r="GO250" s="27">
        <v>7</v>
      </c>
      <c r="GP250" s="27">
        <v>7</v>
      </c>
      <c r="GQ250" s="27">
        <v>7</v>
      </c>
      <c r="GR250" s="27">
        <v>7</v>
      </c>
      <c r="GS250" s="27">
        <v>7</v>
      </c>
      <c r="GT250" s="129">
        <v>26.5</v>
      </c>
      <c r="GV250" s="27">
        <v>8.5000000000000018</v>
      </c>
      <c r="GW250" s="27">
        <v>8.5000000000000018</v>
      </c>
      <c r="GX250" s="27">
        <v>8.5000000000000018</v>
      </c>
      <c r="GY250" s="27">
        <v>8.5000000000000018</v>
      </c>
      <c r="GZ250" s="27">
        <v>8.5000000000000018</v>
      </c>
      <c r="HA250" s="27">
        <v>8.5000000000000018</v>
      </c>
      <c r="HB250" s="27">
        <v>8.5000000000000018</v>
      </c>
      <c r="HC250" s="27">
        <v>8.5000000000000018</v>
      </c>
      <c r="HD250" s="27">
        <v>8.5000000000000018</v>
      </c>
      <c r="HE250" s="129">
        <v>26.5</v>
      </c>
      <c r="HG250" s="27">
        <v>12</v>
      </c>
      <c r="HH250" s="27">
        <v>12</v>
      </c>
      <c r="HI250" s="27">
        <v>12</v>
      </c>
      <c r="HJ250" s="27">
        <v>12</v>
      </c>
      <c r="HK250" s="27">
        <v>12</v>
      </c>
      <c r="HL250" s="27">
        <v>12</v>
      </c>
      <c r="HM250" s="27">
        <v>12</v>
      </c>
      <c r="HN250" s="27">
        <v>12</v>
      </c>
      <c r="HO250" s="27">
        <v>12</v>
      </c>
      <c r="HP250" s="129">
        <v>26.5</v>
      </c>
      <c r="HR250" s="27">
        <v>12</v>
      </c>
      <c r="HS250" s="27">
        <v>12</v>
      </c>
      <c r="HT250" s="27">
        <v>12</v>
      </c>
      <c r="HU250" s="27">
        <v>12</v>
      </c>
      <c r="HV250" s="27">
        <v>12</v>
      </c>
      <c r="HW250" s="27">
        <v>12</v>
      </c>
      <c r="HX250" s="27">
        <v>12</v>
      </c>
      <c r="HY250" s="27">
        <v>12</v>
      </c>
      <c r="HZ250" s="27">
        <v>12</v>
      </c>
      <c r="IA250" s="129">
        <v>26.5</v>
      </c>
    </row>
    <row r="251" spans="15:235" ht="3" customHeight="1">
      <c r="O251" s="17"/>
      <c r="P251" s="17"/>
      <c r="Q251" s="17"/>
      <c r="R251" s="17"/>
      <c r="S251" s="17"/>
      <c r="T251" s="17"/>
      <c r="U251" s="17"/>
      <c r="V251" s="17"/>
      <c r="W251" s="17"/>
      <c r="X251" s="129">
        <v>24.6</v>
      </c>
      <c r="Y251" s="27"/>
      <c r="AI251" s="129">
        <v>24.6</v>
      </c>
      <c r="AK251" s="129">
        <v>6.4000000000000021</v>
      </c>
      <c r="AL251" s="129">
        <v>6.4000000000000021</v>
      </c>
      <c r="AM251" s="129">
        <v>6.4000000000000021</v>
      </c>
      <c r="AN251" s="129">
        <v>6.4000000000000021</v>
      </c>
      <c r="AO251" s="129">
        <v>6.4000000000000021</v>
      </c>
      <c r="AP251" s="129">
        <v>6.4000000000000021</v>
      </c>
      <c r="AQ251" s="129">
        <v>6.4000000000000021</v>
      </c>
      <c r="AR251" s="129">
        <v>6.4000000000000021</v>
      </c>
      <c r="AS251" s="129">
        <v>6.4000000000000021</v>
      </c>
      <c r="AT251" s="129">
        <v>24.6</v>
      </c>
      <c r="AV251" s="129">
        <v>8.4000000000000021</v>
      </c>
      <c r="AW251" s="129">
        <v>8.4000000000000021</v>
      </c>
      <c r="AX251" s="129">
        <v>8.4000000000000021</v>
      </c>
      <c r="AY251" s="129">
        <v>8.4000000000000021</v>
      </c>
      <c r="AZ251" s="129">
        <v>8.4000000000000021</v>
      </c>
      <c r="BA251" s="129">
        <v>8.4000000000000021</v>
      </c>
      <c r="BB251" s="129">
        <v>8.4000000000000021</v>
      </c>
      <c r="BC251" s="129">
        <v>8.4000000000000021</v>
      </c>
      <c r="BD251" s="129">
        <v>8.4000000000000021</v>
      </c>
      <c r="BE251" s="129">
        <v>24.6</v>
      </c>
      <c r="BG251" s="129">
        <v>11.400000000000002</v>
      </c>
      <c r="BH251" s="129">
        <v>11.400000000000002</v>
      </c>
      <c r="BI251" s="129">
        <v>11.400000000000002</v>
      </c>
      <c r="BJ251" s="129">
        <v>11.400000000000002</v>
      </c>
      <c r="BK251" s="129">
        <v>11.400000000000002</v>
      </c>
      <c r="BL251" s="129">
        <v>11.400000000000002</v>
      </c>
      <c r="BM251" s="129">
        <v>11.400000000000002</v>
      </c>
      <c r="BN251" s="129">
        <v>11.400000000000002</v>
      </c>
      <c r="BO251" s="129">
        <v>11.400000000000002</v>
      </c>
      <c r="BP251" s="129">
        <v>24.6</v>
      </c>
      <c r="BR251" s="129">
        <v>11.400000000000002</v>
      </c>
      <c r="BS251" s="129">
        <v>11.400000000000002</v>
      </c>
      <c r="BT251" s="129">
        <v>11.400000000000002</v>
      </c>
      <c r="BU251" s="129">
        <v>11.400000000000002</v>
      </c>
      <c r="BV251" s="129">
        <v>11.400000000000002</v>
      </c>
      <c r="BW251" s="129">
        <v>11.400000000000002</v>
      </c>
      <c r="BX251" s="129">
        <v>11.400000000000002</v>
      </c>
      <c r="BY251" s="129">
        <v>11.400000000000002</v>
      </c>
      <c r="BZ251" s="129">
        <v>11.400000000000002</v>
      </c>
      <c r="CA251" s="129">
        <v>24.6</v>
      </c>
      <c r="CC251" s="129">
        <v>7.4000000000000021</v>
      </c>
      <c r="CD251" s="129">
        <v>7.4000000000000021</v>
      </c>
      <c r="CE251" s="129">
        <v>7.4000000000000021</v>
      </c>
      <c r="CF251" s="129">
        <v>7.4000000000000021</v>
      </c>
      <c r="CG251" s="129">
        <v>7.4000000000000021</v>
      </c>
      <c r="CH251" s="129">
        <v>7.4000000000000021</v>
      </c>
      <c r="CI251" s="129">
        <v>7.4000000000000021</v>
      </c>
      <c r="CJ251" s="129">
        <v>7.4000000000000021</v>
      </c>
      <c r="CK251" s="129">
        <v>7.4000000000000021</v>
      </c>
      <c r="CL251" s="129">
        <v>24.6</v>
      </c>
      <c r="CN251" s="129">
        <v>9</v>
      </c>
      <c r="CO251" s="129">
        <v>9</v>
      </c>
      <c r="CP251" s="129">
        <v>9</v>
      </c>
      <c r="CQ251" s="129">
        <v>9</v>
      </c>
      <c r="CR251" s="129">
        <v>9</v>
      </c>
      <c r="CS251" s="129">
        <v>9</v>
      </c>
      <c r="CT251" s="129">
        <v>9</v>
      </c>
      <c r="CU251" s="129">
        <v>9</v>
      </c>
      <c r="CV251" s="129">
        <v>9</v>
      </c>
      <c r="CW251" s="129">
        <v>24.6</v>
      </c>
      <c r="CY251" s="129">
        <v>12.400000000000002</v>
      </c>
      <c r="CZ251" s="129">
        <v>12.400000000000002</v>
      </c>
      <c r="DA251" s="129">
        <v>12.400000000000002</v>
      </c>
      <c r="DB251" s="129">
        <v>12.400000000000002</v>
      </c>
      <c r="DC251" s="129">
        <v>12.400000000000002</v>
      </c>
      <c r="DD251" s="129">
        <v>12.400000000000002</v>
      </c>
      <c r="DE251" s="129">
        <v>12.400000000000002</v>
      </c>
      <c r="DF251" s="129">
        <v>12.400000000000002</v>
      </c>
      <c r="DG251" s="129">
        <v>12.400000000000002</v>
      </c>
      <c r="DH251" s="129">
        <v>24.6</v>
      </c>
      <c r="DJ251" s="129">
        <v>12.400000000000002</v>
      </c>
      <c r="DK251" s="129">
        <v>12.400000000000002</v>
      </c>
      <c r="DL251" s="129">
        <v>12.400000000000002</v>
      </c>
      <c r="DM251" s="129">
        <v>12.400000000000002</v>
      </c>
      <c r="DN251" s="129">
        <v>12.400000000000002</v>
      </c>
      <c r="DO251" s="129">
        <v>12.400000000000002</v>
      </c>
      <c r="DP251" s="129">
        <v>12.400000000000002</v>
      </c>
      <c r="DQ251" s="129">
        <v>12.400000000000002</v>
      </c>
      <c r="DR251" s="129">
        <v>12.400000000000002</v>
      </c>
      <c r="DS251" s="129">
        <v>24.6</v>
      </c>
      <c r="DW251" s="27"/>
      <c r="EQ251" s="129">
        <v>26.6</v>
      </c>
      <c r="ES251" s="27">
        <v>11.800000000000004</v>
      </c>
      <c r="ET251" s="27">
        <v>11.800000000000004</v>
      </c>
      <c r="EU251" s="27">
        <v>11.800000000000004</v>
      </c>
      <c r="EV251" s="27">
        <v>11.800000000000004</v>
      </c>
      <c r="EW251" s="27">
        <v>11.800000000000004</v>
      </c>
      <c r="EX251" s="27">
        <v>11.800000000000004</v>
      </c>
      <c r="EY251" s="27">
        <v>11.800000000000004</v>
      </c>
      <c r="EZ251" s="27">
        <v>11.800000000000004</v>
      </c>
      <c r="FA251" s="27">
        <v>11.800000000000004</v>
      </c>
      <c r="FB251" s="129">
        <v>26.6</v>
      </c>
      <c r="FD251" s="27">
        <v>15.800000000000004</v>
      </c>
      <c r="FE251" s="27">
        <v>15.800000000000004</v>
      </c>
      <c r="FF251" s="27">
        <v>15.800000000000004</v>
      </c>
      <c r="FG251" s="27">
        <v>15.800000000000004</v>
      </c>
      <c r="FH251" s="27">
        <v>15.800000000000004</v>
      </c>
      <c r="FI251" s="27">
        <v>15.800000000000004</v>
      </c>
      <c r="FJ251" s="27">
        <v>15.800000000000004</v>
      </c>
      <c r="FK251" s="27">
        <v>15.800000000000004</v>
      </c>
      <c r="FL251" s="27">
        <v>15.800000000000004</v>
      </c>
      <c r="FM251" s="129">
        <v>26.6</v>
      </c>
      <c r="FO251" s="27">
        <v>21.199999999999996</v>
      </c>
      <c r="FP251" s="27">
        <v>21.199999999999996</v>
      </c>
      <c r="FQ251" s="27">
        <v>21.199999999999996</v>
      </c>
      <c r="FR251" s="27">
        <v>21.199999999999996</v>
      </c>
      <c r="FS251" s="27">
        <v>21.199999999999996</v>
      </c>
      <c r="FT251" s="27">
        <v>21.199999999999996</v>
      </c>
      <c r="FU251" s="27">
        <v>21.199999999999996</v>
      </c>
      <c r="FV251" s="27">
        <v>21.199999999999996</v>
      </c>
      <c r="FW251" s="27">
        <v>21.199999999999996</v>
      </c>
      <c r="FX251" s="129">
        <v>26.6</v>
      </c>
      <c r="FZ251" s="27">
        <v>21.199999999999996</v>
      </c>
      <c r="GA251" s="27">
        <v>21.199999999999996</v>
      </c>
      <c r="GB251" s="27">
        <v>21.199999999999996</v>
      </c>
      <c r="GC251" s="27">
        <v>21.199999999999996</v>
      </c>
      <c r="GD251" s="27">
        <v>21.199999999999996</v>
      </c>
      <c r="GE251" s="27">
        <v>21.199999999999996</v>
      </c>
      <c r="GF251" s="27">
        <v>21.199999999999996</v>
      </c>
      <c r="GG251" s="27">
        <v>21.199999999999996</v>
      </c>
      <c r="GH251" s="27">
        <v>21.199999999999996</v>
      </c>
      <c r="GI251" s="129">
        <v>26.6</v>
      </c>
      <c r="GJ251" s="27"/>
      <c r="GK251" s="27">
        <v>7</v>
      </c>
      <c r="GL251" s="27">
        <v>7</v>
      </c>
      <c r="GM251" s="27">
        <v>7</v>
      </c>
      <c r="GN251" s="27">
        <v>7</v>
      </c>
      <c r="GO251" s="27">
        <v>7</v>
      </c>
      <c r="GP251" s="27">
        <v>7</v>
      </c>
      <c r="GQ251" s="27">
        <v>7</v>
      </c>
      <c r="GR251" s="27">
        <v>7</v>
      </c>
      <c r="GS251" s="27">
        <v>7</v>
      </c>
      <c r="GT251" s="129">
        <v>26.6</v>
      </c>
      <c r="GV251" s="27">
        <v>8.4000000000000021</v>
      </c>
      <c r="GW251" s="27">
        <v>8.4000000000000021</v>
      </c>
      <c r="GX251" s="27">
        <v>8.4000000000000021</v>
      </c>
      <c r="GY251" s="27">
        <v>8.4000000000000021</v>
      </c>
      <c r="GZ251" s="27">
        <v>8.4000000000000021</v>
      </c>
      <c r="HA251" s="27">
        <v>8.4000000000000021</v>
      </c>
      <c r="HB251" s="27">
        <v>8.4000000000000021</v>
      </c>
      <c r="HC251" s="27">
        <v>8.4000000000000021</v>
      </c>
      <c r="HD251" s="27">
        <v>8.4000000000000021</v>
      </c>
      <c r="HE251" s="129">
        <v>26.6</v>
      </c>
      <c r="HG251" s="27">
        <v>12</v>
      </c>
      <c r="HH251" s="27">
        <v>12</v>
      </c>
      <c r="HI251" s="27">
        <v>12</v>
      </c>
      <c r="HJ251" s="27">
        <v>12</v>
      </c>
      <c r="HK251" s="27">
        <v>12</v>
      </c>
      <c r="HL251" s="27">
        <v>12</v>
      </c>
      <c r="HM251" s="27">
        <v>12</v>
      </c>
      <c r="HN251" s="27">
        <v>12</v>
      </c>
      <c r="HO251" s="27">
        <v>12</v>
      </c>
      <c r="HP251" s="129">
        <v>26.6</v>
      </c>
      <c r="HR251" s="27">
        <v>12</v>
      </c>
      <c r="HS251" s="27">
        <v>12</v>
      </c>
      <c r="HT251" s="27">
        <v>12</v>
      </c>
      <c r="HU251" s="27">
        <v>12</v>
      </c>
      <c r="HV251" s="27">
        <v>12</v>
      </c>
      <c r="HW251" s="27">
        <v>12</v>
      </c>
      <c r="HX251" s="27">
        <v>12</v>
      </c>
      <c r="HY251" s="27">
        <v>12</v>
      </c>
      <c r="HZ251" s="27">
        <v>12</v>
      </c>
      <c r="IA251" s="129">
        <v>26.6</v>
      </c>
    </row>
    <row r="252" spans="15:235" ht="3" customHeight="1">
      <c r="O252" s="17"/>
      <c r="P252" s="17"/>
      <c r="Q252" s="17"/>
      <c r="R252" s="17"/>
      <c r="S252" s="17"/>
      <c r="T252" s="17"/>
      <c r="U252" s="17"/>
      <c r="V252" s="17"/>
      <c r="W252" s="17"/>
      <c r="X252" s="129">
        <v>24.7</v>
      </c>
      <c r="Y252" s="27"/>
      <c r="AI252" s="129">
        <v>24.7</v>
      </c>
      <c r="AK252" s="129">
        <v>6.3000000000000025</v>
      </c>
      <c r="AL252" s="129">
        <v>6.3000000000000025</v>
      </c>
      <c r="AM252" s="129">
        <v>6.3000000000000025</v>
      </c>
      <c r="AN252" s="129">
        <v>6.3000000000000025</v>
      </c>
      <c r="AO252" s="129">
        <v>6.3000000000000025</v>
      </c>
      <c r="AP252" s="129">
        <v>6.3000000000000025</v>
      </c>
      <c r="AQ252" s="129">
        <v>6.3000000000000025</v>
      </c>
      <c r="AR252" s="129">
        <v>6.3000000000000025</v>
      </c>
      <c r="AS252" s="129">
        <v>6.3000000000000025</v>
      </c>
      <c r="AT252" s="129">
        <v>24.7</v>
      </c>
      <c r="AV252" s="129">
        <v>8.3000000000000025</v>
      </c>
      <c r="AW252" s="129">
        <v>8.3000000000000025</v>
      </c>
      <c r="AX252" s="129">
        <v>8.3000000000000025</v>
      </c>
      <c r="AY252" s="129">
        <v>8.3000000000000025</v>
      </c>
      <c r="AZ252" s="129">
        <v>8.3000000000000025</v>
      </c>
      <c r="BA252" s="129">
        <v>8.3000000000000025</v>
      </c>
      <c r="BB252" s="129">
        <v>8.3000000000000025</v>
      </c>
      <c r="BC252" s="129">
        <v>8.3000000000000025</v>
      </c>
      <c r="BD252" s="129">
        <v>8.3000000000000025</v>
      </c>
      <c r="BE252" s="129">
        <v>24.7</v>
      </c>
      <c r="BG252" s="129">
        <v>11.300000000000002</v>
      </c>
      <c r="BH252" s="129">
        <v>11.300000000000002</v>
      </c>
      <c r="BI252" s="129">
        <v>11.300000000000002</v>
      </c>
      <c r="BJ252" s="129">
        <v>11.300000000000002</v>
      </c>
      <c r="BK252" s="129">
        <v>11.300000000000002</v>
      </c>
      <c r="BL252" s="129">
        <v>11.300000000000002</v>
      </c>
      <c r="BM252" s="129">
        <v>11.300000000000002</v>
      </c>
      <c r="BN252" s="129">
        <v>11.300000000000002</v>
      </c>
      <c r="BO252" s="129">
        <v>11.300000000000002</v>
      </c>
      <c r="BP252" s="129">
        <v>24.7</v>
      </c>
      <c r="BR252" s="129">
        <v>11.300000000000002</v>
      </c>
      <c r="BS252" s="129">
        <v>11.300000000000002</v>
      </c>
      <c r="BT252" s="129">
        <v>11.300000000000002</v>
      </c>
      <c r="BU252" s="129">
        <v>11.300000000000002</v>
      </c>
      <c r="BV252" s="129">
        <v>11.300000000000002</v>
      </c>
      <c r="BW252" s="129">
        <v>11.300000000000002</v>
      </c>
      <c r="BX252" s="129">
        <v>11.300000000000002</v>
      </c>
      <c r="BY252" s="129">
        <v>11.300000000000002</v>
      </c>
      <c r="BZ252" s="129">
        <v>11.300000000000002</v>
      </c>
      <c r="CA252" s="129">
        <v>24.7</v>
      </c>
      <c r="CC252" s="129">
        <v>7.3000000000000025</v>
      </c>
      <c r="CD252" s="129">
        <v>7.3000000000000025</v>
      </c>
      <c r="CE252" s="129">
        <v>7.3000000000000025</v>
      </c>
      <c r="CF252" s="129">
        <v>7.3000000000000025</v>
      </c>
      <c r="CG252" s="129">
        <v>7.3000000000000025</v>
      </c>
      <c r="CH252" s="129">
        <v>7.3000000000000025</v>
      </c>
      <c r="CI252" s="129">
        <v>7.3000000000000025</v>
      </c>
      <c r="CJ252" s="129">
        <v>7.3000000000000025</v>
      </c>
      <c r="CK252" s="129">
        <v>7.3000000000000025</v>
      </c>
      <c r="CL252" s="129">
        <v>24.7</v>
      </c>
      <c r="CN252" s="129">
        <v>9</v>
      </c>
      <c r="CO252" s="129">
        <v>9</v>
      </c>
      <c r="CP252" s="129">
        <v>9</v>
      </c>
      <c r="CQ252" s="129">
        <v>9</v>
      </c>
      <c r="CR252" s="129">
        <v>9</v>
      </c>
      <c r="CS252" s="129">
        <v>9</v>
      </c>
      <c r="CT252" s="129">
        <v>9</v>
      </c>
      <c r="CU252" s="129">
        <v>9</v>
      </c>
      <c r="CV252" s="129">
        <v>9</v>
      </c>
      <c r="CW252" s="129">
        <v>24.7</v>
      </c>
      <c r="CY252" s="129">
        <v>12.300000000000002</v>
      </c>
      <c r="CZ252" s="129">
        <v>12.300000000000002</v>
      </c>
      <c r="DA252" s="129">
        <v>12.300000000000002</v>
      </c>
      <c r="DB252" s="129">
        <v>12.300000000000002</v>
      </c>
      <c r="DC252" s="129">
        <v>12.300000000000002</v>
      </c>
      <c r="DD252" s="129">
        <v>12.300000000000002</v>
      </c>
      <c r="DE252" s="129">
        <v>12.300000000000002</v>
      </c>
      <c r="DF252" s="129">
        <v>12.300000000000002</v>
      </c>
      <c r="DG252" s="129">
        <v>12.300000000000002</v>
      </c>
      <c r="DH252" s="129">
        <v>24.7</v>
      </c>
      <c r="DJ252" s="129">
        <v>12.300000000000002</v>
      </c>
      <c r="DK252" s="129">
        <v>12.300000000000002</v>
      </c>
      <c r="DL252" s="129">
        <v>12.300000000000002</v>
      </c>
      <c r="DM252" s="129">
        <v>12.300000000000002</v>
      </c>
      <c r="DN252" s="129">
        <v>12.300000000000002</v>
      </c>
      <c r="DO252" s="129">
        <v>12.300000000000002</v>
      </c>
      <c r="DP252" s="129">
        <v>12.300000000000002</v>
      </c>
      <c r="DQ252" s="129">
        <v>12.300000000000002</v>
      </c>
      <c r="DR252" s="129">
        <v>12.300000000000002</v>
      </c>
      <c r="DS252" s="129">
        <v>24.7</v>
      </c>
      <c r="DW252" s="27"/>
      <c r="EQ252" s="129">
        <v>26.7</v>
      </c>
      <c r="ES252" s="27">
        <v>11.600000000000005</v>
      </c>
      <c r="ET252" s="27">
        <v>11.600000000000005</v>
      </c>
      <c r="EU252" s="27">
        <v>11.600000000000005</v>
      </c>
      <c r="EV252" s="27">
        <v>11.600000000000005</v>
      </c>
      <c r="EW252" s="27">
        <v>11.600000000000005</v>
      </c>
      <c r="EX252" s="27">
        <v>11.600000000000005</v>
      </c>
      <c r="EY252" s="27">
        <v>11.600000000000005</v>
      </c>
      <c r="EZ252" s="27">
        <v>11.600000000000005</v>
      </c>
      <c r="FA252" s="27">
        <v>11.600000000000005</v>
      </c>
      <c r="FB252" s="129">
        <v>26.7</v>
      </c>
      <c r="FD252" s="27">
        <v>15.600000000000005</v>
      </c>
      <c r="FE252" s="27">
        <v>15.600000000000005</v>
      </c>
      <c r="FF252" s="27">
        <v>15.600000000000005</v>
      </c>
      <c r="FG252" s="27">
        <v>15.600000000000005</v>
      </c>
      <c r="FH252" s="27">
        <v>15.600000000000005</v>
      </c>
      <c r="FI252" s="27">
        <v>15.600000000000005</v>
      </c>
      <c r="FJ252" s="27">
        <v>15.600000000000005</v>
      </c>
      <c r="FK252" s="27">
        <v>15.600000000000005</v>
      </c>
      <c r="FL252" s="27">
        <v>15.600000000000005</v>
      </c>
      <c r="FM252" s="129">
        <v>26.7</v>
      </c>
      <c r="FO252" s="27">
        <v>20.899999999999995</v>
      </c>
      <c r="FP252" s="27">
        <v>20.899999999999995</v>
      </c>
      <c r="FQ252" s="27">
        <v>20.899999999999995</v>
      </c>
      <c r="FR252" s="27">
        <v>20.899999999999995</v>
      </c>
      <c r="FS252" s="27">
        <v>20.899999999999995</v>
      </c>
      <c r="FT252" s="27">
        <v>20.899999999999995</v>
      </c>
      <c r="FU252" s="27">
        <v>20.899999999999995</v>
      </c>
      <c r="FV252" s="27">
        <v>20.899999999999995</v>
      </c>
      <c r="FW252" s="27">
        <v>20.899999999999995</v>
      </c>
      <c r="FX252" s="129">
        <v>26.7</v>
      </c>
      <c r="FZ252" s="27">
        <v>20.899999999999995</v>
      </c>
      <c r="GA252" s="27">
        <v>20.899999999999995</v>
      </c>
      <c r="GB252" s="27">
        <v>20.899999999999995</v>
      </c>
      <c r="GC252" s="27">
        <v>20.899999999999995</v>
      </c>
      <c r="GD252" s="27">
        <v>20.899999999999995</v>
      </c>
      <c r="GE252" s="27">
        <v>20.899999999999995</v>
      </c>
      <c r="GF252" s="27">
        <v>20.899999999999995</v>
      </c>
      <c r="GG252" s="27">
        <v>20.899999999999995</v>
      </c>
      <c r="GH252" s="27">
        <v>20.899999999999995</v>
      </c>
      <c r="GI252" s="129">
        <v>26.7</v>
      </c>
      <c r="GJ252" s="27"/>
      <c r="GK252" s="27">
        <v>7</v>
      </c>
      <c r="GL252" s="27">
        <v>7</v>
      </c>
      <c r="GM252" s="27">
        <v>7</v>
      </c>
      <c r="GN252" s="27">
        <v>7</v>
      </c>
      <c r="GO252" s="27">
        <v>7</v>
      </c>
      <c r="GP252" s="27">
        <v>7</v>
      </c>
      <c r="GQ252" s="27">
        <v>7</v>
      </c>
      <c r="GR252" s="27">
        <v>7</v>
      </c>
      <c r="GS252" s="27">
        <v>7</v>
      </c>
      <c r="GT252" s="129">
        <v>26.7</v>
      </c>
      <c r="GV252" s="27">
        <v>8.3000000000000025</v>
      </c>
      <c r="GW252" s="27">
        <v>8.3000000000000025</v>
      </c>
      <c r="GX252" s="27">
        <v>8.3000000000000025</v>
      </c>
      <c r="GY252" s="27">
        <v>8.3000000000000025</v>
      </c>
      <c r="GZ252" s="27">
        <v>8.3000000000000025</v>
      </c>
      <c r="HA252" s="27">
        <v>8.3000000000000025</v>
      </c>
      <c r="HB252" s="27">
        <v>8.3000000000000025</v>
      </c>
      <c r="HC252" s="27">
        <v>8.3000000000000025</v>
      </c>
      <c r="HD252" s="27">
        <v>8.3000000000000025</v>
      </c>
      <c r="HE252" s="129">
        <v>26.7</v>
      </c>
      <c r="HG252" s="27">
        <v>12</v>
      </c>
      <c r="HH252" s="27">
        <v>12</v>
      </c>
      <c r="HI252" s="27">
        <v>12</v>
      </c>
      <c r="HJ252" s="27">
        <v>12</v>
      </c>
      <c r="HK252" s="27">
        <v>12</v>
      </c>
      <c r="HL252" s="27">
        <v>12</v>
      </c>
      <c r="HM252" s="27">
        <v>12</v>
      </c>
      <c r="HN252" s="27">
        <v>12</v>
      </c>
      <c r="HO252" s="27">
        <v>12</v>
      </c>
      <c r="HP252" s="129">
        <v>26.7</v>
      </c>
      <c r="HR252" s="27">
        <v>12</v>
      </c>
      <c r="HS252" s="27">
        <v>12</v>
      </c>
      <c r="HT252" s="27">
        <v>12</v>
      </c>
      <c r="HU252" s="27">
        <v>12</v>
      </c>
      <c r="HV252" s="27">
        <v>12</v>
      </c>
      <c r="HW252" s="27">
        <v>12</v>
      </c>
      <c r="HX252" s="27">
        <v>12</v>
      </c>
      <c r="HY252" s="27">
        <v>12</v>
      </c>
      <c r="HZ252" s="27">
        <v>12</v>
      </c>
      <c r="IA252" s="129">
        <v>26.7</v>
      </c>
    </row>
    <row r="253" spans="15:235" ht="3" customHeight="1">
      <c r="O253" s="17"/>
      <c r="P253" s="17"/>
      <c r="Q253" s="17"/>
      <c r="R253" s="17"/>
      <c r="S253" s="17"/>
      <c r="T253" s="17"/>
      <c r="U253" s="17"/>
      <c r="V253" s="17"/>
      <c r="W253" s="17"/>
      <c r="X253" s="129">
        <v>24.8</v>
      </c>
      <c r="Y253" s="27"/>
      <c r="AI253" s="129">
        <v>24.8</v>
      </c>
      <c r="AK253" s="129">
        <v>6.2000000000000028</v>
      </c>
      <c r="AL253" s="129">
        <v>6.2000000000000028</v>
      </c>
      <c r="AM253" s="129">
        <v>6.2000000000000028</v>
      </c>
      <c r="AN253" s="129">
        <v>6.2000000000000028</v>
      </c>
      <c r="AO253" s="129">
        <v>6.2000000000000028</v>
      </c>
      <c r="AP253" s="129">
        <v>6.2000000000000028</v>
      </c>
      <c r="AQ253" s="129">
        <v>6.2000000000000028</v>
      </c>
      <c r="AR253" s="129">
        <v>6.2000000000000028</v>
      </c>
      <c r="AS253" s="129">
        <v>6.2000000000000028</v>
      </c>
      <c r="AT253" s="129">
        <v>24.8</v>
      </c>
      <c r="AV253" s="129">
        <v>8.2000000000000028</v>
      </c>
      <c r="AW253" s="129">
        <v>8.2000000000000028</v>
      </c>
      <c r="AX253" s="129">
        <v>8.2000000000000028</v>
      </c>
      <c r="AY253" s="129">
        <v>8.2000000000000028</v>
      </c>
      <c r="AZ253" s="129">
        <v>8.2000000000000028</v>
      </c>
      <c r="BA253" s="129">
        <v>8.2000000000000028</v>
      </c>
      <c r="BB253" s="129">
        <v>8.2000000000000028</v>
      </c>
      <c r="BC253" s="129">
        <v>8.2000000000000028</v>
      </c>
      <c r="BD253" s="129">
        <v>8.2000000000000028</v>
      </c>
      <c r="BE253" s="129">
        <v>24.8</v>
      </c>
      <c r="BG253" s="129">
        <v>11.200000000000003</v>
      </c>
      <c r="BH253" s="129">
        <v>11.200000000000003</v>
      </c>
      <c r="BI253" s="129">
        <v>11.200000000000003</v>
      </c>
      <c r="BJ253" s="129">
        <v>11.200000000000003</v>
      </c>
      <c r="BK253" s="129">
        <v>11.200000000000003</v>
      </c>
      <c r="BL253" s="129">
        <v>11.200000000000003</v>
      </c>
      <c r="BM253" s="129">
        <v>11.200000000000003</v>
      </c>
      <c r="BN253" s="129">
        <v>11.200000000000003</v>
      </c>
      <c r="BO253" s="129">
        <v>11.200000000000003</v>
      </c>
      <c r="BP253" s="129">
        <v>24.8</v>
      </c>
      <c r="BR253" s="129">
        <v>11.200000000000003</v>
      </c>
      <c r="BS253" s="129">
        <v>11.200000000000003</v>
      </c>
      <c r="BT253" s="129">
        <v>11.200000000000003</v>
      </c>
      <c r="BU253" s="129">
        <v>11.200000000000003</v>
      </c>
      <c r="BV253" s="129">
        <v>11.200000000000003</v>
      </c>
      <c r="BW253" s="129">
        <v>11.200000000000003</v>
      </c>
      <c r="BX253" s="129">
        <v>11.200000000000003</v>
      </c>
      <c r="BY253" s="129">
        <v>11.200000000000003</v>
      </c>
      <c r="BZ253" s="129">
        <v>11.200000000000003</v>
      </c>
      <c r="CA253" s="129">
        <v>24.8</v>
      </c>
      <c r="CC253" s="129">
        <v>7.2000000000000028</v>
      </c>
      <c r="CD253" s="129">
        <v>7.2000000000000028</v>
      </c>
      <c r="CE253" s="129">
        <v>7.2000000000000028</v>
      </c>
      <c r="CF253" s="129">
        <v>7.2000000000000028</v>
      </c>
      <c r="CG253" s="129">
        <v>7.2000000000000028</v>
      </c>
      <c r="CH253" s="129">
        <v>7.2000000000000028</v>
      </c>
      <c r="CI253" s="129">
        <v>7.2000000000000028</v>
      </c>
      <c r="CJ253" s="129">
        <v>7.2000000000000028</v>
      </c>
      <c r="CK253" s="129">
        <v>7.2000000000000028</v>
      </c>
      <c r="CL253" s="129">
        <v>24.8</v>
      </c>
      <c r="CN253" s="129">
        <v>9</v>
      </c>
      <c r="CO253" s="129">
        <v>9</v>
      </c>
      <c r="CP253" s="129">
        <v>9</v>
      </c>
      <c r="CQ253" s="129">
        <v>9</v>
      </c>
      <c r="CR253" s="129">
        <v>9</v>
      </c>
      <c r="CS253" s="129">
        <v>9</v>
      </c>
      <c r="CT253" s="129">
        <v>9</v>
      </c>
      <c r="CU253" s="129">
        <v>9</v>
      </c>
      <c r="CV253" s="129">
        <v>9</v>
      </c>
      <c r="CW253" s="129">
        <v>24.8</v>
      </c>
      <c r="CY253" s="129">
        <v>12.200000000000003</v>
      </c>
      <c r="CZ253" s="129">
        <v>12.200000000000003</v>
      </c>
      <c r="DA253" s="129">
        <v>12.200000000000003</v>
      </c>
      <c r="DB253" s="129">
        <v>12.200000000000003</v>
      </c>
      <c r="DC253" s="129">
        <v>12.200000000000003</v>
      </c>
      <c r="DD253" s="129">
        <v>12.200000000000003</v>
      </c>
      <c r="DE253" s="129">
        <v>12.200000000000003</v>
      </c>
      <c r="DF253" s="129">
        <v>12.200000000000003</v>
      </c>
      <c r="DG253" s="129">
        <v>12.200000000000003</v>
      </c>
      <c r="DH253" s="129">
        <v>24.8</v>
      </c>
      <c r="DJ253" s="129">
        <v>12.200000000000003</v>
      </c>
      <c r="DK253" s="129">
        <v>12.200000000000003</v>
      </c>
      <c r="DL253" s="129">
        <v>12.200000000000003</v>
      </c>
      <c r="DM253" s="129">
        <v>12.200000000000003</v>
      </c>
      <c r="DN253" s="129">
        <v>12.200000000000003</v>
      </c>
      <c r="DO253" s="129">
        <v>12.200000000000003</v>
      </c>
      <c r="DP253" s="129">
        <v>12.200000000000003</v>
      </c>
      <c r="DQ253" s="129">
        <v>12.200000000000003</v>
      </c>
      <c r="DR253" s="129">
        <v>12.200000000000003</v>
      </c>
      <c r="DS253" s="129">
        <v>24.8</v>
      </c>
      <c r="DW253" s="27"/>
      <c r="EQ253" s="129">
        <v>26.8</v>
      </c>
      <c r="ES253" s="27">
        <v>11.400000000000006</v>
      </c>
      <c r="ET253" s="27">
        <v>11.400000000000006</v>
      </c>
      <c r="EU253" s="27">
        <v>11.400000000000006</v>
      </c>
      <c r="EV253" s="27">
        <v>11.400000000000006</v>
      </c>
      <c r="EW253" s="27">
        <v>11.400000000000006</v>
      </c>
      <c r="EX253" s="27">
        <v>11.400000000000006</v>
      </c>
      <c r="EY253" s="27">
        <v>11.400000000000006</v>
      </c>
      <c r="EZ253" s="27">
        <v>11.400000000000006</v>
      </c>
      <c r="FA253" s="27">
        <v>11.400000000000006</v>
      </c>
      <c r="FB253" s="129">
        <v>26.8</v>
      </c>
      <c r="FD253" s="27">
        <v>15.400000000000006</v>
      </c>
      <c r="FE253" s="27">
        <v>15.400000000000006</v>
      </c>
      <c r="FF253" s="27">
        <v>15.400000000000006</v>
      </c>
      <c r="FG253" s="27">
        <v>15.400000000000006</v>
      </c>
      <c r="FH253" s="27">
        <v>15.400000000000006</v>
      </c>
      <c r="FI253" s="27">
        <v>15.400000000000006</v>
      </c>
      <c r="FJ253" s="27">
        <v>15.400000000000006</v>
      </c>
      <c r="FK253" s="27">
        <v>15.400000000000006</v>
      </c>
      <c r="FL253" s="27">
        <v>15.400000000000006</v>
      </c>
      <c r="FM253" s="129">
        <v>26.8</v>
      </c>
      <c r="FO253" s="27">
        <v>20.599999999999994</v>
      </c>
      <c r="FP253" s="27">
        <v>20.599999999999994</v>
      </c>
      <c r="FQ253" s="27">
        <v>20.599999999999994</v>
      </c>
      <c r="FR253" s="27">
        <v>20.599999999999994</v>
      </c>
      <c r="FS253" s="27">
        <v>20.599999999999994</v>
      </c>
      <c r="FT253" s="27">
        <v>20.599999999999994</v>
      </c>
      <c r="FU253" s="27">
        <v>20.599999999999994</v>
      </c>
      <c r="FV253" s="27">
        <v>20.599999999999994</v>
      </c>
      <c r="FW253" s="27">
        <v>20.599999999999994</v>
      </c>
      <c r="FX253" s="129">
        <v>26.8</v>
      </c>
      <c r="FZ253" s="27">
        <v>20.599999999999994</v>
      </c>
      <c r="GA253" s="27">
        <v>20.599999999999994</v>
      </c>
      <c r="GB253" s="27">
        <v>20.599999999999994</v>
      </c>
      <c r="GC253" s="27">
        <v>20.599999999999994</v>
      </c>
      <c r="GD253" s="27">
        <v>20.599999999999994</v>
      </c>
      <c r="GE253" s="27">
        <v>20.599999999999994</v>
      </c>
      <c r="GF253" s="27">
        <v>20.599999999999994</v>
      </c>
      <c r="GG253" s="27">
        <v>20.599999999999994</v>
      </c>
      <c r="GH253" s="27">
        <v>20.599999999999994</v>
      </c>
      <c r="GI253" s="129">
        <v>26.8</v>
      </c>
      <c r="GJ253" s="27"/>
      <c r="GK253" s="27">
        <v>7</v>
      </c>
      <c r="GL253" s="27">
        <v>7</v>
      </c>
      <c r="GM253" s="27">
        <v>7</v>
      </c>
      <c r="GN253" s="27">
        <v>7</v>
      </c>
      <c r="GO253" s="27">
        <v>7</v>
      </c>
      <c r="GP253" s="27">
        <v>7</v>
      </c>
      <c r="GQ253" s="27">
        <v>7</v>
      </c>
      <c r="GR253" s="27">
        <v>7</v>
      </c>
      <c r="GS253" s="27">
        <v>7</v>
      </c>
      <c r="GT253" s="129">
        <v>26.8</v>
      </c>
      <c r="GV253" s="27">
        <v>8.2000000000000028</v>
      </c>
      <c r="GW253" s="27">
        <v>8.2000000000000028</v>
      </c>
      <c r="GX253" s="27">
        <v>8.2000000000000028</v>
      </c>
      <c r="GY253" s="27">
        <v>8.2000000000000028</v>
      </c>
      <c r="GZ253" s="27">
        <v>8.2000000000000028</v>
      </c>
      <c r="HA253" s="27">
        <v>8.2000000000000028</v>
      </c>
      <c r="HB253" s="27">
        <v>8.2000000000000028</v>
      </c>
      <c r="HC253" s="27">
        <v>8.2000000000000028</v>
      </c>
      <c r="HD253" s="27">
        <v>8.2000000000000028</v>
      </c>
      <c r="HE253" s="129">
        <v>26.8</v>
      </c>
      <c r="HG253" s="27">
        <v>12</v>
      </c>
      <c r="HH253" s="27">
        <v>12</v>
      </c>
      <c r="HI253" s="27">
        <v>12</v>
      </c>
      <c r="HJ253" s="27">
        <v>12</v>
      </c>
      <c r="HK253" s="27">
        <v>12</v>
      </c>
      <c r="HL253" s="27">
        <v>12</v>
      </c>
      <c r="HM253" s="27">
        <v>12</v>
      </c>
      <c r="HN253" s="27">
        <v>12</v>
      </c>
      <c r="HO253" s="27">
        <v>12</v>
      </c>
      <c r="HP253" s="129">
        <v>26.8</v>
      </c>
      <c r="HR253" s="27">
        <v>12</v>
      </c>
      <c r="HS253" s="27">
        <v>12</v>
      </c>
      <c r="HT253" s="27">
        <v>12</v>
      </c>
      <c r="HU253" s="27">
        <v>12</v>
      </c>
      <c r="HV253" s="27">
        <v>12</v>
      </c>
      <c r="HW253" s="27">
        <v>12</v>
      </c>
      <c r="HX253" s="27">
        <v>12</v>
      </c>
      <c r="HY253" s="27">
        <v>12</v>
      </c>
      <c r="HZ253" s="27">
        <v>12</v>
      </c>
      <c r="IA253" s="129">
        <v>26.8</v>
      </c>
    </row>
    <row r="254" spans="15:235" ht="3" customHeight="1">
      <c r="O254" s="17"/>
      <c r="P254" s="17"/>
      <c r="Q254" s="17"/>
      <c r="R254" s="17"/>
      <c r="S254" s="17"/>
      <c r="T254" s="17"/>
      <c r="U254" s="17"/>
      <c r="V254" s="17"/>
      <c r="W254" s="17"/>
      <c r="X254" s="129">
        <v>24.9</v>
      </c>
      <c r="Y254" s="27"/>
      <c r="AI254" s="129">
        <v>24.9</v>
      </c>
      <c r="AK254" s="129">
        <v>6.1000000000000032</v>
      </c>
      <c r="AL254" s="129">
        <v>6.1000000000000032</v>
      </c>
      <c r="AM254" s="129">
        <v>6.1000000000000032</v>
      </c>
      <c r="AN254" s="129">
        <v>6.1000000000000032</v>
      </c>
      <c r="AO254" s="129">
        <v>6.1000000000000032</v>
      </c>
      <c r="AP254" s="129">
        <v>6.1000000000000032</v>
      </c>
      <c r="AQ254" s="129">
        <v>6.1000000000000032</v>
      </c>
      <c r="AR254" s="129">
        <v>6.1000000000000032</v>
      </c>
      <c r="AS254" s="129">
        <v>6.1000000000000032</v>
      </c>
      <c r="AT254" s="129">
        <v>24.9</v>
      </c>
      <c r="AV254" s="129">
        <v>8.1000000000000032</v>
      </c>
      <c r="AW254" s="129">
        <v>8.1000000000000032</v>
      </c>
      <c r="AX254" s="129">
        <v>8.1000000000000032</v>
      </c>
      <c r="AY254" s="129">
        <v>8.1000000000000032</v>
      </c>
      <c r="AZ254" s="129">
        <v>8.1000000000000032</v>
      </c>
      <c r="BA254" s="129">
        <v>8.1000000000000032</v>
      </c>
      <c r="BB254" s="129">
        <v>8.1000000000000032</v>
      </c>
      <c r="BC254" s="129">
        <v>8.1000000000000032</v>
      </c>
      <c r="BD254" s="129">
        <v>8.1000000000000032</v>
      </c>
      <c r="BE254" s="129">
        <v>24.9</v>
      </c>
      <c r="BG254" s="129">
        <v>11.100000000000003</v>
      </c>
      <c r="BH254" s="129">
        <v>11.100000000000003</v>
      </c>
      <c r="BI254" s="129">
        <v>11.100000000000003</v>
      </c>
      <c r="BJ254" s="129">
        <v>11.100000000000003</v>
      </c>
      <c r="BK254" s="129">
        <v>11.100000000000003</v>
      </c>
      <c r="BL254" s="129">
        <v>11.100000000000003</v>
      </c>
      <c r="BM254" s="129">
        <v>11.100000000000003</v>
      </c>
      <c r="BN254" s="129">
        <v>11.100000000000003</v>
      </c>
      <c r="BO254" s="129">
        <v>11.100000000000003</v>
      </c>
      <c r="BP254" s="129">
        <v>24.9</v>
      </c>
      <c r="BR254" s="129">
        <v>11.100000000000003</v>
      </c>
      <c r="BS254" s="129">
        <v>11.100000000000003</v>
      </c>
      <c r="BT254" s="129">
        <v>11.100000000000003</v>
      </c>
      <c r="BU254" s="129">
        <v>11.100000000000003</v>
      </c>
      <c r="BV254" s="129">
        <v>11.100000000000003</v>
      </c>
      <c r="BW254" s="129">
        <v>11.100000000000003</v>
      </c>
      <c r="BX254" s="129">
        <v>11.100000000000003</v>
      </c>
      <c r="BY254" s="129">
        <v>11.100000000000003</v>
      </c>
      <c r="BZ254" s="129">
        <v>11.100000000000003</v>
      </c>
      <c r="CA254" s="129">
        <v>24.9</v>
      </c>
      <c r="CC254" s="129">
        <v>7.1000000000000032</v>
      </c>
      <c r="CD254" s="129">
        <v>7.1000000000000032</v>
      </c>
      <c r="CE254" s="129">
        <v>7.1000000000000032</v>
      </c>
      <c r="CF254" s="129">
        <v>7.1000000000000032</v>
      </c>
      <c r="CG254" s="129">
        <v>7.1000000000000032</v>
      </c>
      <c r="CH254" s="129">
        <v>7.1000000000000032</v>
      </c>
      <c r="CI254" s="129">
        <v>7.1000000000000032</v>
      </c>
      <c r="CJ254" s="129">
        <v>7.1000000000000032</v>
      </c>
      <c r="CK254" s="129">
        <v>7.1000000000000032</v>
      </c>
      <c r="CL254" s="129">
        <v>24.9</v>
      </c>
      <c r="CN254" s="129">
        <v>9</v>
      </c>
      <c r="CO254" s="129">
        <v>9</v>
      </c>
      <c r="CP254" s="129">
        <v>9</v>
      </c>
      <c r="CQ254" s="129">
        <v>9</v>
      </c>
      <c r="CR254" s="129">
        <v>9</v>
      </c>
      <c r="CS254" s="129">
        <v>9</v>
      </c>
      <c r="CT254" s="129">
        <v>9</v>
      </c>
      <c r="CU254" s="129">
        <v>9</v>
      </c>
      <c r="CV254" s="129">
        <v>9</v>
      </c>
      <c r="CW254" s="129">
        <v>24.9</v>
      </c>
      <c r="CY254" s="129">
        <v>12.100000000000003</v>
      </c>
      <c r="CZ254" s="129">
        <v>12.100000000000003</v>
      </c>
      <c r="DA254" s="129">
        <v>12.100000000000003</v>
      </c>
      <c r="DB254" s="129">
        <v>12.100000000000003</v>
      </c>
      <c r="DC254" s="129">
        <v>12.100000000000003</v>
      </c>
      <c r="DD254" s="129">
        <v>12.100000000000003</v>
      </c>
      <c r="DE254" s="129">
        <v>12.100000000000003</v>
      </c>
      <c r="DF254" s="129">
        <v>12.100000000000003</v>
      </c>
      <c r="DG254" s="129">
        <v>12.100000000000003</v>
      </c>
      <c r="DH254" s="129">
        <v>24.9</v>
      </c>
      <c r="DJ254" s="129">
        <v>12.100000000000003</v>
      </c>
      <c r="DK254" s="129">
        <v>12.100000000000003</v>
      </c>
      <c r="DL254" s="129">
        <v>12.100000000000003</v>
      </c>
      <c r="DM254" s="129">
        <v>12.100000000000003</v>
      </c>
      <c r="DN254" s="129">
        <v>12.100000000000003</v>
      </c>
      <c r="DO254" s="129">
        <v>12.100000000000003</v>
      </c>
      <c r="DP254" s="129">
        <v>12.100000000000003</v>
      </c>
      <c r="DQ254" s="129">
        <v>12.100000000000003</v>
      </c>
      <c r="DR254" s="129">
        <v>12.100000000000003</v>
      </c>
      <c r="DS254" s="129">
        <v>24.9</v>
      </c>
      <c r="DW254" s="27"/>
      <c r="EQ254" s="129">
        <v>26.9</v>
      </c>
      <c r="ES254" s="27">
        <v>11.200000000000006</v>
      </c>
      <c r="ET254" s="27">
        <v>11.200000000000006</v>
      </c>
      <c r="EU254" s="27">
        <v>11.200000000000006</v>
      </c>
      <c r="EV254" s="27">
        <v>11.200000000000006</v>
      </c>
      <c r="EW254" s="27">
        <v>11.200000000000006</v>
      </c>
      <c r="EX254" s="27">
        <v>11.200000000000006</v>
      </c>
      <c r="EY254" s="27">
        <v>11.200000000000006</v>
      </c>
      <c r="EZ254" s="27">
        <v>11.200000000000006</v>
      </c>
      <c r="FA254" s="27">
        <v>11.200000000000006</v>
      </c>
      <c r="FB254" s="129">
        <v>26.9</v>
      </c>
      <c r="FD254" s="27">
        <v>15.200000000000006</v>
      </c>
      <c r="FE254" s="27">
        <v>15.200000000000006</v>
      </c>
      <c r="FF254" s="27">
        <v>15.200000000000006</v>
      </c>
      <c r="FG254" s="27">
        <v>15.200000000000006</v>
      </c>
      <c r="FH254" s="27">
        <v>15.200000000000006</v>
      </c>
      <c r="FI254" s="27">
        <v>15.200000000000006</v>
      </c>
      <c r="FJ254" s="27">
        <v>15.200000000000006</v>
      </c>
      <c r="FK254" s="27">
        <v>15.200000000000006</v>
      </c>
      <c r="FL254" s="27">
        <v>15.200000000000006</v>
      </c>
      <c r="FM254" s="129">
        <v>26.9</v>
      </c>
      <c r="FO254" s="27">
        <v>20.299999999999994</v>
      </c>
      <c r="FP254" s="27">
        <v>20.299999999999994</v>
      </c>
      <c r="FQ254" s="27">
        <v>20.299999999999994</v>
      </c>
      <c r="FR254" s="27">
        <v>20.299999999999994</v>
      </c>
      <c r="FS254" s="27">
        <v>20.299999999999994</v>
      </c>
      <c r="FT254" s="27">
        <v>20.299999999999994</v>
      </c>
      <c r="FU254" s="27">
        <v>20.299999999999994</v>
      </c>
      <c r="FV254" s="27">
        <v>20.299999999999994</v>
      </c>
      <c r="FW254" s="27">
        <v>20.299999999999994</v>
      </c>
      <c r="FX254" s="129">
        <v>26.9</v>
      </c>
      <c r="FZ254" s="27">
        <v>20.299999999999994</v>
      </c>
      <c r="GA254" s="27">
        <v>20.299999999999994</v>
      </c>
      <c r="GB254" s="27">
        <v>20.299999999999994</v>
      </c>
      <c r="GC254" s="27">
        <v>20.299999999999994</v>
      </c>
      <c r="GD254" s="27">
        <v>20.299999999999994</v>
      </c>
      <c r="GE254" s="27">
        <v>20.299999999999994</v>
      </c>
      <c r="GF254" s="27">
        <v>20.299999999999994</v>
      </c>
      <c r="GG254" s="27">
        <v>20.299999999999994</v>
      </c>
      <c r="GH254" s="27">
        <v>20.299999999999994</v>
      </c>
      <c r="GI254" s="129">
        <v>26.9</v>
      </c>
      <c r="GJ254" s="27"/>
      <c r="GK254" s="27">
        <v>7</v>
      </c>
      <c r="GL254" s="27">
        <v>7</v>
      </c>
      <c r="GM254" s="27">
        <v>7</v>
      </c>
      <c r="GN254" s="27">
        <v>7</v>
      </c>
      <c r="GO254" s="27">
        <v>7</v>
      </c>
      <c r="GP254" s="27">
        <v>7</v>
      </c>
      <c r="GQ254" s="27">
        <v>7</v>
      </c>
      <c r="GR254" s="27">
        <v>7</v>
      </c>
      <c r="GS254" s="27">
        <v>7</v>
      </c>
      <c r="GT254" s="129">
        <v>26.9</v>
      </c>
      <c r="GV254" s="27">
        <v>8.1000000000000032</v>
      </c>
      <c r="GW254" s="27">
        <v>8.1000000000000032</v>
      </c>
      <c r="GX254" s="27">
        <v>8.1000000000000032</v>
      </c>
      <c r="GY254" s="27">
        <v>8.1000000000000032</v>
      </c>
      <c r="GZ254" s="27">
        <v>8.1000000000000032</v>
      </c>
      <c r="HA254" s="27">
        <v>8.1000000000000032</v>
      </c>
      <c r="HB254" s="27">
        <v>8.1000000000000032</v>
      </c>
      <c r="HC254" s="27">
        <v>8.1000000000000032</v>
      </c>
      <c r="HD254" s="27">
        <v>8.1000000000000032</v>
      </c>
      <c r="HE254" s="129">
        <v>26.9</v>
      </c>
      <c r="HG254" s="27">
        <v>12</v>
      </c>
      <c r="HH254" s="27">
        <v>12</v>
      </c>
      <c r="HI254" s="27">
        <v>12</v>
      </c>
      <c r="HJ254" s="27">
        <v>12</v>
      </c>
      <c r="HK254" s="27">
        <v>12</v>
      </c>
      <c r="HL254" s="27">
        <v>12</v>
      </c>
      <c r="HM254" s="27">
        <v>12</v>
      </c>
      <c r="HN254" s="27">
        <v>12</v>
      </c>
      <c r="HO254" s="27">
        <v>12</v>
      </c>
      <c r="HP254" s="129">
        <v>26.9</v>
      </c>
      <c r="HR254" s="27">
        <v>12</v>
      </c>
      <c r="HS254" s="27">
        <v>12</v>
      </c>
      <c r="HT254" s="27">
        <v>12</v>
      </c>
      <c r="HU254" s="27">
        <v>12</v>
      </c>
      <c r="HV254" s="27">
        <v>12</v>
      </c>
      <c r="HW254" s="27">
        <v>12</v>
      </c>
      <c r="HX254" s="27">
        <v>12</v>
      </c>
      <c r="HY254" s="27">
        <v>12</v>
      </c>
      <c r="HZ254" s="27">
        <v>12</v>
      </c>
      <c r="IA254" s="129">
        <v>26.9</v>
      </c>
    </row>
    <row r="255" spans="15:235" ht="3" customHeight="1">
      <c r="O255" s="17"/>
      <c r="P255" s="17"/>
      <c r="Q255" s="17"/>
      <c r="R255" s="17"/>
      <c r="S255" s="17"/>
      <c r="T255" s="17"/>
      <c r="U255" s="17"/>
      <c r="V255" s="17"/>
      <c r="W255" s="17"/>
      <c r="X255" s="129">
        <v>25</v>
      </c>
      <c r="Y255" s="27"/>
      <c r="AI255" s="129">
        <v>25</v>
      </c>
      <c r="AK255" s="129">
        <v>6</v>
      </c>
      <c r="AL255" s="129">
        <v>6</v>
      </c>
      <c r="AM255" s="129">
        <v>6</v>
      </c>
      <c r="AN255" s="129">
        <v>6</v>
      </c>
      <c r="AO255" s="129">
        <v>6</v>
      </c>
      <c r="AP255" s="129">
        <v>6</v>
      </c>
      <c r="AQ255" s="129">
        <v>6</v>
      </c>
      <c r="AR255" s="129">
        <v>6</v>
      </c>
      <c r="AS255" s="129">
        <v>6</v>
      </c>
      <c r="AT255" s="129">
        <v>25</v>
      </c>
      <c r="AV255" s="129">
        <v>8</v>
      </c>
      <c r="AW255" s="129">
        <v>8</v>
      </c>
      <c r="AX255" s="129">
        <v>8</v>
      </c>
      <c r="AY255" s="129">
        <v>8</v>
      </c>
      <c r="AZ255" s="129">
        <v>8</v>
      </c>
      <c r="BA255" s="129">
        <v>8</v>
      </c>
      <c r="BB255" s="129">
        <v>8</v>
      </c>
      <c r="BC255" s="129">
        <v>8</v>
      </c>
      <c r="BD255" s="129">
        <v>8</v>
      </c>
      <c r="BE255" s="129">
        <v>25</v>
      </c>
      <c r="BG255" s="129">
        <v>11</v>
      </c>
      <c r="BH255" s="129">
        <v>11</v>
      </c>
      <c r="BI255" s="129">
        <v>11</v>
      </c>
      <c r="BJ255" s="129">
        <v>11</v>
      </c>
      <c r="BK255" s="129">
        <v>11</v>
      </c>
      <c r="BL255" s="129">
        <v>11</v>
      </c>
      <c r="BM255" s="129">
        <v>11</v>
      </c>
      <c r="BN255" s="129">
        <v>11</v>
      </c>
      <c r="BO255" s="129">
        <v>11</v>
      </c>
      <c r="BP255" s="129">
        <v>25</v>
      </c>
      <c r="BR255" s="129">
        <v>11</v>
      </c>
      <c r="BS255" s="129">
        <v>11</v>
      </c>
      <c r="BT255" s="129">
        <v>11</v>
      </c>
      <c r="BU255" s="129">
        <v>11</v>
      </c>
      <c r="BV255" s="129">
        <v>11</v>
      </c>
      <c r="BW255" s="129">
        <v>11</v>
      </c>
      <c r="BX255" s="129">
        <v>11</v>
      </c>
      <c r="BY255" s="129">
        <v>11</v>
      </c>
      <c r="BZ255" s="129">
        <v>11</v>
      </c>
      <c r="CA255" s="129">
        <v>25</v>
      </c>
      <c r="CC255" s="129">
        <v>7</v>
      </c>
      <c r="CD255" s="129">
        <v>7</v>
      </c>
      <c r="CE255" s="129">
        <v>7</v>
      </c>
      <c r="CF255" s="129">
        <v>7</v>
      </c>
      <c r="CG255" s="129">
        <v>7</v>
      </c>
      <c r="CH255" s="129">
        <v>7</v>
      </c>
      <c r="CI255" s="129">
        <v>7</v>
      </c>
      <c r="CJ255" s="129">
        <v>7</v>
      </c>
      <c r="CK255" s="129">
        <v>7</v>
      </c>
      <c r="CL255" s="129">
        <v>25</v>
      </c>
      <c r="CN255" s="129">
        <v>9</v>
      </c>
      <c r="CO255" s="129">
        <v>9</v>
      </c>
      <c r="CP255" s="129">
        <v>9</v>
      </c>
      <c r="CQ255" s="129">
        <v>9</v>
      </c>
      <c r="CR255" s="129">
        <v>9</v>
      </c>
      <c r="CS255" s="129">
        <v>9</v>
      </c>
      <c r="CT255" s="129">
        <v>9</v>
      </c>
      <c r="CU255" s="129">
        <v>9</v>
      </c>
      <c r="CV255" s="129">
        <v>9</v>
      </c>
      <c r="CW255" s="129">
        <v>25</v>
      </c>
      <c r="CY255" s="129">
        <v>12</v>
      </c>
      <c r="CZ255" s="129">
        <v>12</v>
      </c>
      <c r="DA255" s="129">
        <v>12</v>
      </c>
      <c r="DB255" s="129">
        <v>12</v>
      </c>
      <c r="DC255" s="129">
        <v>12</v>
      </c>
      <c r="DD255" s="129">
        <v>12</v>
      </c>
      <c r="DE255" s="129">
        <v>12</v>
      </c>
      <c r="DF255" s="129">
        <v>12</v>
      </c>
      <c r="DG255" s="129">
        <v>12</v>
      </c>
      <c r="DH255" s="129">
        <v>25</v>
      </c>
      <c r="DJ255" s="129">
        <v>12</v>
      </c>
      <c r="DK255" s="129">
        <v>12</v>
      </c>
      <c r="DL255" s="129">
        <v>12</v>
      </c>
      <c r="DM255" s="129">
        <v>12</v>
      </c>
      <c r="DN255" s="129">
        <v>12</v>
      </c>
      <c r="DO255" s="129">
        <v>12</v>
      </c>
      <c r="DP255" s="129">
        <v>12</v>
      </c>
      <c r="DQ255" s="129">
        <v>12</v>
      </c>
      <c r="DR255" s="129">
        <v>12</v>
      </c>
      <c r="DS255" s="129">
        <v>25</v>
      </c>
      <c r="DW255" s="27"/>
      <c r="EQ255" s="129">
        <v>27</v>
      </c>
      <c r="ES255" s="27">
        <v>11</v>
      </c>
      <c r="ET255" s="27">
        <v>11</v>
      </c>
      <c r="EU255" s="27">
        <v>11</v>
      </c>
      <c r="EV255" s="27">
        <v>11</v>
      </c>
      <c r="EW255" s="27">
        <v>11</v>
      </c>
      <c r="EX255" s="27">
        <v>11</v>
      </c>
      <c r="EY255" s="27">
        <v>11</v>
      </c>
      <c r="EZ255" s="27">
        <v>11</v>
      </c>
      <c r="FA255" s="27">
        <v>11</v>
      </c>
      <c r="FB255" s="129">
        <v>27</v>
      </c>
      <c r="FD255" s="27">
        <v>15</v>
      </c>
      <c r="FE255" s="27">
        <v>15</v>
      </c>
      <c r="FF255" s="27">
        <v>15</v>
      </c>
      <c r="FG255" s="27">
        <v>15</v>
      </c>
      <c r="FH255" s="27">
        <v>15</v>
      </c>
      <c r="FI255" s="27">
        <v>15</v>
      </c>
      <c r="FJ255" s="27">
        <v>15</v>
      </c>
      <c r="FK255" s="27">
        <v>15</v>
      </c>
      <c r="FL255" s="27">
        <v>15</v>
      </c>
      <c r="FM255" s="129">
        <v>27</v>
      </c>
      <c r="FO255" s="27">
        <v>20</v>
      </c>
      <c r="FP255" s="27">
        <v>20</v>
      </c>
      <c r="FQ255" s="27">
        <v>20</v>
      </c>
      <c r="FR255" s="27">
        <v>20</v>
      </c>
      <c r="FS255" s="27">
        <v>20</v>
      </c>
      <c r="FT255" s="27">
        <v>20</v>
      </c>
      <c r="FU255" s="27">
        <v>20</v>
      </c>
      <c r="FV255" s="27">
        <v>20</v>
      </c>
      <c r="FW255" s="27">
        <v>20</v>
      </c>
      <c r="FX255" s="129">
        <v>27</v>
      </c>
      <c r="FZ255" s="27">
        <v>20</v>
      </c>
      <c r="GA255" s="27">
        <v>20</v>
      </c>
      <c r="GB255" s="27">
        <v>20</v>
      </c>
      <c r="GC255" s="27">
        <v>20</v>
      </c>
      <c r="GD255" s="27">
        <v>20</v>
      </c>
      <c r="GE255" s="27">
        <v>20</v>
      </c>
      <c r="GF255" s="27">
        <v>20</v>
      </c>
      <c r="GG255" s="27">
        <v>20</v>
      </c>
      <c r="GH255" s="27">
        <v>20</v>
      </c>
      <c r="GI255" s="129">
        <v>27</v>
      </c>
      <c r="GJ255" s="27"/>
      <c r="GK255" s="27">
        <v>7</v>
      </c>
      <c r="GL255" s="27">
        <v>7</v>
      </c>
      <c r="GM255" s="27">
        <v>7</v>
      </c>
      <c r="GN255" s="27">
        <v>7</v>
      </c>
      <c r="GO255" s="27">
        <v>7</v>
      </c>
      <c r="GP255" s="27">
        <v>7</v>
      </c>
      <c r="GQ255" s="27">
        <v>7</v>
      </c>
      <c r="GR255" s="27">
        <v>7</v>
      </c>
      <c r="GS255" s="27">
        <v>7</v>
      </c>
      <c r="GT255" s="129">
        <v>27</v>
      </c>
      <c r="GV255" s="27">
        <v>8</v>
      </c>
      <c r="GW255" s="27">
        <v>8</v>
      </c>
      <c r="GX255" s="27">
        <v>8</v>
      </c>
      <c r="GY255" s="27">
        <v>8</v>
      </c>
      <c r="GZ255" s="27">
        <v>8</v>
      </c>
      <c r="HA255" s="27">
        <v>8</v>
      </c>
      <c r="HB255" s="27">
        <v>8</v>
      </c>
      <c r="HC255" s="27">
        <v>8</v>
      </c>
      <c r="HD255" s="27">
        <v>8</v>
      </c>
      <c r="HE255" s="129">
        <v>27</v>
      </c>
      <c r="HG255" s="27">
        <v>12</v>
      </c>
      <c r="HH255" s="27">
        <v>12</v>
      </c>
      <c r="HI255" s="27">
        <v>12</v>
      </c>
      <c r="HJ255" s="27">
        <v>12</v>
      </c>
      <c r="HK255" s="27">
        <v>12</v>
      </c>
      <c r="HL255" s="27">
        <v>12</v>
      </c>
      <c r="HM255" s="27">
        <v>12</v>
      </c>
      <c r="HN255" s="27">
        <v>12</v>
      </c>
      <c r="HO255" s="27">
        <v>12</v>
      </c>
      <c r="HP255" s="129">
        <v>27</v>
      </c>
      <c r="HR255" s="27">
        <v>12</v>
      </c>
      <c r="HS255" s="27">
        <v>12</v>
      </c>
      <c r="HT255" s="27">
        <v>12</v>
      </c>
      <c r="HU255" s="27">
        <v>12</v>
      </c>
      <c r="HV255" s="27">
        <v>12</v>
      </c>
      <c r="HW255" s="27">
        <v>12</v>
      </c>
      <c r="HX255" s="27">
        <v>12</v>
      </c>
      <c r="HY255" s="27">
        <v>12</v>
      </c>
      <c r="HZ255" s="27">
        <v>12</v>
      </c>
      <c r="IA255" s="129">
        <v>27</v>
      </c>
    </row>
    <row r="256" spans="15:235">
      <c r="O256" s="17"/>
      <c r="P256" s="17"/>
      <c r="Q256" s="17"/>
      <c r="R256" s="17"/>
      <c r="S256" s="17"/>
      <c r="T256" s="17"/>
      <c r="U256" s="17"/>
      <c r="V256" s="17"/>
      <c r="W256" s="17"/>
      <c r="X256" s="129">
        <v>25.1</v>
      </c>
      <c r="Y256" s="27"/>
      <c r="AI256" s="129">
        <v>25.1</v>
      </c>
      <c r="AK256" s="129">
        <v>5.9</v>
      </c>
      <c r="AL256" s="129">
        <v>5.9</v>
      </c>
      <c r="AM256" s="129">
        <v>5.9</v>
      </c>
      <c r="AN256" s="129">
        <v>5.9</v>
      </c>
      <c r="AO256" s="129">
        <v>5.9</v>
      </c>
      <c r="AP256" s="129">
        <v>5.9</v>
      </c>
      <c r="AQ256" s="129">
        <v>5.9</v>
      </c>
      <c r="AR256" s="129">
        <v>5.9</v>
      </c>
      <c r="AS256" s="129">
        <v>5.9</v>
      </c>
      <c r="AT256" s="129">
        <v>25.1</v>
      </c>
      <c r="AV256" s="129">
        <v>7.9</v>
      </c>
      <c r="AW256" s="129">
        <v>7.9</v>
      </c>
      <c r="AX256" s="129">
        <v>7.9</v>
      </c>
      <c r="AY256" s="129">
        <v>7.9</v>
      </c>
      <c r="AZ256" s="129">
        <v>7.9</v>
      </c>
      <c r="BA256" s="129">
        <v>7.9</v>
      </c>
      <c r="BB256" s="129">
        <v>7.9</v>
      </c>
      <c r="BC256" s="129">
        <v>7.9</v>
      </c>
      <c r="BD256" s="129">
        <v>7.9</v>
      </c>
      <c r="BE256" s="129">
        <v>25.1</v>
      </c>
      <c r="BG256" s="129">
        <v>10.8</v>
      </c>
      <c r="BH256" s="129">
        <v>10.8</v>
      </c>
      <c r="BI256" s="129">
        <v>10.8</v>
      </c>
      <c r="BJ256" s="129">
        <v>10.8</v>
      </c>
      <c r="BK256" s="129">
        <v>10.8</v>
      </c>
      <c r="BL256" s="129">
        <v>10.8</v>
      </c>
      <c r="BM256" s="129">
        <v>10.8</v>
      </c>
      <c r="BN256" s="129">
        <v>10.8</v>
      </c>
      <c r="BO256" s="129">
        <v>10.8</v>
      </c>
      <c r="BP256" s="129">
        <v>25.1</v>
      </c>
      <c r="BR256" s="129">
        <v>10.8</v>
      </c>
      <c r="BS256" s="129">
        <v>10.8</v>
      </c>
      <c r="BT256" s="129">
        <v>10.8</v>
      </c>
      <c r="BU256" s="129">
        <v>10.8</v>
      </c>
      <c r="BV256" s="129">
        <v>10.8</v>
      </c>
      <c r="BW256" s="129">
        <v>10.8</v>
      </c>
      <c r="BX256" s="129">
        <v>10.8</v>
      </c>
      <c r="BY256" s="129">
        <v>10.8</v>
      </c>
      <c r="BZ256" s="129">
        <v>10.8</v>
      </c>
      <c r="CA256" s="129">
        <v>25.1</v>
      </c>
      <c r="CC256" s="129">
        <v>6.9</v>
      </c>
      <c r="CD256" s="129">
        <v>6.9</v>
      </c>
      <c r="CE256" s="129">
        <v>6.9</v>
      </c>
      <c r="CF256" s="129">
        <v>6.9</v>
      </c>
      <c r="CG256" s="129">
        <v>6.9</v>
      </c>
      <c r="CH256" s="129">
        <v>6.9</v>
      </c>
      <c r="CI256" s="129">
        <v>6.9</v>
      </c>
      <c r="CJ256" s="129">
        <v>6.9</v>
      </c>
      <c r="CK256" s="129">
        <v>6.9</v>
      </c>
      <c r="CL256" s="129">
        <v>25.1</v>
      </c>
      <c r="CN256" s="129">
        <v>9</v>
      </c>
      <c r="CO256" s="129">
        <v>9</v>
      </c>
      <c r="CP256" s="129">
        <v>9</v>
      </c>
      <c r="CQ256" s="129">
        <v>9</v>
      </c>
      <c r="CR256" s="129">
        <v>9</v>
      </c>
      <c r="CS256" s="129">
        <v>9</v>
      </c>
      <c r="CT256" s="129">
        <v>9</v>
      </c>
      <c r="CU256" s="129">
        <v>9</v>
      </c>
      <c r="CV256" s="129">
        <v>9</v>
      </c>
      <c r="CW256" s="129">
        <v>25.1</v>
      </c>
      <c r="CY256" s="129">
        <v>12</v>
      </c>
      <c r="CZ256" s="129">
        <v>12</v>
      </c>
      <c r="DA256" s="129">
        <v>12</v>
      </c>
      <c r="DB256" s="129">
        <v>12</v>
      </c>
      <c r="DC256" s="129">
        <v>12</v>
      </c>
      <c r="DD256" s="129">
        <v>12</v>
      </c>
      <c r="DE256" s="129">
        <v>12</v>
      </c>
      <c r="DF256" s="129">
        <v>12</v>
      </c>
      <c r="DG256" s="129">
        <v>12</v>
      </c>
      <c r="DH256" s="129">
        <v>25.1</v>
      </c>
      <c r="DJ256" s="129">
        <v>12</v>
      </c>
      <c r="DK256" s="129">
        <v>12</v>
      </c>
      <c r="DL256" s="129">
        <v>12</v>
      </c>
      <c r="DM256" s="129">
        <v>12</v>
      </c>
      <c r="DN256" s="129">
        <v>12</v>
      </c>
      <c r="DO256" s="129">
        <v>12</v>
      </c>
      <c r="DP256" s="129">
        <v>12</v>
      </c>
      <c r="DQ256" s="129">
        <v>12</v>
      </c>
      <c r="DR256" s="129">
        <v>12</v>
      </c>
      <c r="DS256" s="129">
        <v>25.1</v>
      </c>
      <c r="DW256" s="27"/>
      <c r="EQ256" s="129">
        <v>27.1</v>
      </c>
      <c r="ES256" s="27">
        <v>10.9</v>
      </c>
      <c r="ET256" s="27">
        <v>10.9</v>
      </c>
      <c r="EU256" s="27">
        <v>10.9</v>
      </c>
      <c r="EV256" s="27">
        <v>10.9</v>
      </c>
      <c r="EW256" s="27">
        <v>10.9</v>
      </c>
      <c r="EX256" s="27">
        <v>10.9</v>
      </c>
      <c r="EY256" s="27">
        <v>10.9</v>
      </c>
      <c r="EZ256" s="27">
        <v>10.9</v>
      </c>
      <c r="FA256" s="27">
        <v>10.9</v>
      </c>
      <c r="FB256" s="129">
        <v>27.1</v>
      </c>
      <c r="FD256" s="27">
        <v>14.8</v>
      </c>
      <c r="FE256" s="27">
        <v>14.8</v>
      </c>
      <c r="FF256" s="27">
        <v>14.8</v>
      </c>
      <c r="FG256" s="27">
        <v>14.8</v>
      </c>
      <c r="FH256" s="27">
        <v>14.8</v>
      </c>
      <c r="FI256" s="27">
        <v>14.8</v>
      </c>
      <c r="FJ256" s="27">
        <v>14.8</v>
      </c>
      <c r="FK256" s="27">
        <v>14.8</v>
      </c>
      <c r="FL256" s="27">
        <v>14.8</v>
      </c>
      <c r="FM256" s="129">
        <v>27.1</v>
      </c>
      <c r="FO256" s="27">
        <v>19.8</v>
      </c>
      <c r="FP256" s="27">
        <v>19.8</v>
      </c>
      <c r="FQ256" s="27">
        <v>19.8</v>
      </c>
      <c r="FR256" s="27">
        <v>19.8</v>
      </c>
      <c r="FS256" s="27">
        <v>19.8</v>
      </c>
      <c r="FT256" s="27">
        <v>19.8</v>
      </c>
      <c r="FU256" s="27">
        <v>19.8</v>
      </c>
      <c r="FV256" s="27">
        <v>19.8</v>
      </c>
      <c r="FW256" s="27">
        <v>19.8</v>
      </c>
      <c r="FX256" s="129">
        <v>27.1</v>
      </c>
      <c r="FZ256" s="27">
        <v>19.8</v>
      </c>
      <c r="GA256" s="27">
        <v>19.8</v>
      </c>
      <c r="GB256" s="27">
        <v>19.8</v>
      </c>
      <c r="GC256" s="27">
        <v>19.8</v>
      </c>
      <c r="GD256" s="27">
        <v>19.8</v>
      </c>
      <c r="GE256" s="27">
        <v>19.8</v>
      </c>
      <c r="GF256" s="27">
        <v>19.8</v>
      </c>
      <c r="GG256" s="27">
        <v>19.8</v>
      </c>
      <c r="GH256" s="27">
        <v>19.8</v>
      </c>
      <c r="GI256" s="129">
        <v>27.1</v>
      </c>
      <c r="GJ256" s="27"/>
      <c r="GK256" s="27">
        <v>7</v>
      </c>
      <c r="GL256" s="27">
        <v>7</v>
      </c>
      <c r="GM256" s="27">
        <v>7</v>
      </c>
      <c r="GN256" s="27">
        <v>7</v>
      </c>
      <c r="GO256" s="27">
        <v>7</v>
      </c>
      <c r="GP256" s="27">
        <v>7</v>
      </c>
      <c r="GQ256" s="27">
        <v>7</v>
      </c>
      <c r="GR256" s="27">
        <v>7</v>
      </c>
      <c r="GS256" s="27">
        <v>7</v>
      </c>
      <c r="GT256" s="129">
        <v>27.1</v>
      </c>
      <c r="GV256" s="27">
        <v>8</v>
      </c>
      <c r="GW256" s="27">
        <v>8</v>
      </c>
      <c r="GX256" s="27">
        <v>8</v>
      </c>
      <c r="GY256" s="27">
        <v>8</v>
      </c>
      <c r="GZ256" s="27">
        <v>8</v>
      </c>
      <c r="HA256" s="27">
        <v>8</v>
      </c>
      <c r="HB256" s="27">
        <v>8</v>
      </c>
      <c r="HC256" s="27">
        <v>8</v>
      </c>
      <c r="HD256" s="27">
        <v>8</v>
      </c>
      <c r="HE256" s="129">
        <v>27.1</v>
      </c>
      <c r="HG256" s="27">
        <v>11.9</v>
      </c>
      <c r="HH256" s="27">
        <v>11.9</v>
      </c>
      <c r="HI256" s="27">
        <v>11.9</v>
      </c>
      <c r="HJ256" s="27">
        <v>11.9</v>
      </c>
      <c r="HK256" s="27">
        <v>11.9</v>
      </c>
      <c r="HL256" s="27">
        <v>11.9</v>
      </c>
      <c r="HM256" s="27">
        <v>11.9</v>
      </c>
      <c r="HN256" s="27">
        <v>11.9</v>
      </c>
      <c r="HO256" s="27">
        <v>11.9</v>
      </c>
      <c r="HP256" s="129">
        <v>27.1</v>
      </c>
      <c r="HR256" s="27">
        <v>11.9</v>
      </c>
      <c r="HS256" s="27">
        <v>11.9</v>
      </c>
      <c r="HT256" s="27">
        <v>11.9</v>
      </c>
      <c r="HU256" s="27">
        <v>11.9</v>
      </c>
      <c r="HV256" s="27">
        <v>11.9</v>
      </c>
      <c r="HW256" s="27">
        <v>11.9</v>
      </c>
      <c r="HX256" s="27">
        <v>11.9</v>
      </c>
      <c r="HY256" s="27">
        <v>11.9</v>
      </c>
      <c r="HZ256" s="27">
        <v>11.9</v>
      </c>
      <c r="IA256" s="129">
        <v>27.1</v>
      </c>
    </row>
    <row r="257" spans="15:235" ht="3" customHeight="1">
      <c r="O257" s="17"/>
      <c r="P257" s="17"/>
      <c r="Q257" s="17"/>
      <c r="R257" s="17"/>
      <c r="S257" s="17"/>
      <c r="T257" s="17"/>
      <c r="U257" s="17"/>
      <c r="V257" s="17"/>
      <c r="W257" s="17"/>
      <c r="X257" s="129">
        <v>25.2</v>
      </c>
      <c r="Y257" s="27"/>
      <c r="AI257" s="129">
        <v>25.2</v>
      </c>
      <c r="AK257" s="129">
        <v>5.8000000000000007</v>
      </c>
      <c r="AL257" s="129">
        <v>5.8000000000000007</v>
      </c>
      <c r="AM257" s="129">
        <v>5.8000000000000007</v>
      </c>
      <c r="AN257" s="129">
        <v>5.8000000000000007</v>
      </c>
      <c r="AO257" s="129">
        <v>5.8000000000000007</v>
      </c>
      <c r="AP257" s="129">
        <v>5.8000000000000007</v>
      </c>
      <c r="AQ257" s="129">
        <v>5.8000000000000007</v>
      </c>
      <c r="AR257" s="129">
        <v>5.8000000000000007</v>
      </c>
      <c r="AS257" s="129">
        <v>5.8000000000000007</v>
      </c>
      <c r="AT257" s="129">
        <v>25.2</v>
      </c>
      <c r="AV257" s="129">
        <v>7.8000000000000007</v>
      </c>
      <c r="AW257" s="129">
        <v>7.8000000000000007</v>
      </c>
      <c r="AX257" s="129">
        <v>7.8000000000000007</v>
      </c>
      <c r="AY257" s="129">
        <v>7.8000000000000007</v>
      </c>
      <c r="AZ257" s="129">
        <v>7.8000000000000007</v>
      </c>
      <c r="BA257" s="129">
        <v>7.8000000000000007</v>
      </c>
      <c r="BB257" s="129">
        <v>7.8000000000000007</v>
      </c>
      <c r="BC257" s="129">
        <v>7.8000000000000007</v>
      </c>
      <c r="BD257" s="129">
        <v>7.8000000000000007</v>
      </c>
      <c r="BE257" s="129">
        <v>25.2</v>
      </c>
      <c r="BG257" s="129">
        <v>10.600000000000001</v>
      </c>
      <c r="BH257" s="129">
        <v>10.600000000000001</v>
      </c>
      <c r="BI257" s="129">
        <v>10.600000000000001</v>
      </c>
      <c r="BJ257" s="129">
        <v>10.600000000000001</v>
      </c>
      <c r="BK257" s="129">
        <v>10.600000000000001</v>
      </c>
      <c r="BL257" s="129">
        <v>10.600000000000001</v>
      </c>
      <c r="BM257" s="129">
        <v>10.600000000000001</v>
      </c>
      <c r="BN257" s="129">
        <v>10.600000000000001</v>
      </c>
      <c r="BO257" s="129">
        <v>10.600000000000001</v>
      </c>
      <c r="BP257" s="129">
        <v>25.2</v>
      </c>
      <c r="BR257" s="129">
        <v>10.600000000000001</v>
      </c>
      <c r="BS257" s="129">
        <v>10.600000000000001</v>
      </c>
      <c r="BT257" s="129">
        <v>10.600000000000001</v>
      </c>
      <c r="BU257" s="129">
        <v>10.600000000000001</v>
      </c>
      <c r="BV257" s="129">
        <v>10.600000000000001</v>
      </c>
      <c r="BW257" s="129">
        <v>10.600000000000001</v>
      </c>
      <c r="BX257" s="129">
        <v>10.600000000000001</v>
      </c>
      <c r="BY257" s="129">
        <v>10.600000000000001</v>
      </c>
      <c r="BZ257" s="129">
        <v>10.600000000000001</v>
      </c>
      <c r="CA257" s="129">
        <v>25.2</v>
      </c>
      <c r="CC257" s="129">
        <v>6.8000000000000007</v>
      </c>
      <c r="CD257" s="129">
        <v>6.8000000000000007</v>
      </c>
      <c r="CE257" s="129">
        <v>6.8000000000000007</v>
      </c>
      <c r="CF257" s="129">
        <v>6.8000000000000007</v>
      </c>
      <c r="CG257" s="129">
        <v>6.8000000000000007</v>
      </c>
      <c r="CH257" s="129">
        <v>6.8000000000000007</v>
      </c>
      <c r="CI257" s="129">
        <v>6.8000000000000007</v>
      </c>
      <c r="CJ257" s="129">
        <v>6.8000000000000007</v>
      </c>
      <c r="CK257" s="129">
        <v>6.8000000000000007</v>
      </c>
      <c r="CL257" s="129">
        <v>25.2</v>
      </c>
      <c r="CN257" s="129">
        <v>9</v>
      </c>
      <c r="CO257" s="129">
        <v>9</v>
      </c>
      <c r="CP257" s="129">
        <v>9</v>
      </c>
      <c r="CQ257" s="129">
        <v>9</v>
      </c>
      <c r="CR257" s="129">
        <v>9</v>
      </c>
      <c r="CS257" s="129">
        <v>9</v>
      </c>
      <c r="CT257" s="129">
        <v>9</v>
      </c>
      <c r="CU257" s="129">
        <v>9</v>
      </c>
      <c r="CV257" s="129">
        <v>9</v>
      </c>
      <c r="CW257" s="129">
        <v>25.2</v>
      </c>
      <c r="CY257" s="129">
        <v>12</v>
      </c>
      <c r="CZ257" s="129">
        <v>12</v>
      </c>
      <c r="DA257" s="129">
        <v>12</v>
      </c>
      <c r="DB257" s="129">
        <v>12</v>
      </c>
      <c r="DC257" s="129">
        <v>12</v>
      </c>
      <c r="DD257" s="129">
        <v>12</v>
      </c>
      <c r="DE257" s="129">
        <v>12</v>
      </c>
      <c r="DF257" s="129">
        <v>12</v>
      </c>
      <c r="DG257" s="129">
        <v>12</v>
      </c>
      <c r="DH257" s="129">
        <v>25.2</v>
      </c>
      <c r="DJ257" s="129">
        <v>12</v>
      </c>
      <c r="DK257" s="129">
        <v>12</v>
      </c>
      <c r="DL257" s="129">
        <v>12</v>
      </c>
      <c r="DM257" s="129">
        <v>12</v>
      </c>
      <c r="DN257" s="129">
        <v>12</v>
      </c>
      <c r="DO257" s="129">
        <v>12</v>
      </c>
      <c r="DP257" s="129">
        <v>12</v>
      </c>
      <c r="DQ257" s="129">
        <v>12</v>
      </c>
      <c r="DR257" s="129">
        <v>12</v>
      </c>
      <c r="DS257" s="129">
        <v>25.2</v>
      </c>
      <c r="DW257" s="27"/>
      <c r="EQ257" s="129">
        <v>27.2</v>
      </c>
      <c r="ES257" s="27">
        <v>10.8</v>
      </c>
      <c r="ET257" s="27">
        <v>10.8</v>
      </c>
      <c r="EU257" s="27">
        <v>10.8</v>
      </c>
      <c r="EV257" s="27">
        <v>10.8</v>
      </c>
      <c r="EW257" s="27">
        <v>10.8</v>
      </c>
      <c r="EX257" s="27">
        <v>10.8</v>
      </c>
      <c r="EY257" s="27">
        <v>10.8</v>
      </c>
      <c r="EZ257" s="27">
        <v>10.8</v>
      </c>
      <c r="FA257" s="27">
        <v>10.8</v>
      </c>
      <c r="FB257" s="129">
        <v>27.2</v>
      </c>
      <c r="FD257" s="27">
        <v>14.600000000000001</v>
      </c>
      <c r="FE257" s="27">
        <v>14.600000000000001</v>
      </c>
      <c r="FF257" s="27">
        <v>14.600000000000001</v>
      </c>
      <c r="FG257" s="27">
        <v>14.600000000000001</v>
      </c>
      <c r="FH257" s="27">
        <v>14.600000000000001</v>
      </c>
      <c r="FI257" s="27">
        <v>14.600000000000001</v>
      </c>
      <c r="FJ257" s="27">
        <v>14.600000000000001</v>
      </c>
      <c r="FK257" s="27">
        <v>14.600000000000001</v>
      </c>
      <c r="FL257" s="27">
        <v>14.600000000000001</v>
      </c>
      <c r="FM257" s="129">
        <v>27.2</v>
      </c>
      <c r="FO257" s="27">
        <v>19.600000000000001</v>
      </c>
      <c r="FP257" s="27">
        <v>19.600000000000001</v>
      </c>
      <c r="FQ257" s="27">
        <v>19.600000000000001</v>
      </c>
      <c r="FR257" s="27">
        <v>19.600000000000001</v>
      </c>
      <c r="FS257" s="27">
        <v>19.600000000000001</v>
      </c>
      <c r="FT257" s="27">
        <v>19.600000000000001</v>
      </c>
      <c r="FU257" s="27">
        <v>19.600000000000001</v>
      </c>
      <c r="FV257" s="27">
        <v>19.600000000000001</v>
      </c>
      <c r="FW257" s="27">
        <v>19.600000000000001</v>
      </c>
      <c r="FX257" s="129">
        <v>27.2</v>
      </c>
      <c r="FZ257" s="27">
        <v>19.600000000000001</v>
      </c>
      <c r="GA257" s="27">
        <v>19.600000000000001</v>
      </c>
      <c r="GB257" s="27">
        <v>19.600000000000001</v>
      </c>
      <c r="GC257" s="27">
        <v>19.600000000000001</v>
      </c>
      <c r="GD257" s="27">
        <v>19.600000000000001</v>
      </c>
      <c r="GE257" s="27">
        <v>19.600000000000001</v>
      </c>
      <c r="GF257" s="27">
        <v>19.600000000000001</v>
      </c>
      <c r="GG257" s="27">
        <v>19.600000000000001</v>
      </c>
      <c r="GH257" s="27">
        <v>19.600000000000001</v>
      </c>
      <c r="GI257" s="129">
        <v>27.2</v>
      </c>
      <c r="GJ257" s="27"/>
      <c r="GK257" s="27">
        <v>7</v>
      </c>
      <c r="GL257" s="27">
        <v>7</v>
      </c>
      <c r="GM257" s="27">
        <v>7</v>
      </c>
      <c r="GN257" s="27">
        <v>7</v>
      </c>
      <c r="GO257" s="27">
        <v>7</v>
      </c>
      <c r="GP257" s="27">
        <v>7</v>
      </c>
      <c r="GQ257" s="27">
        <v>7</v>
      </c>
      <c r="GR257" s="27">
        <v>7</v>
      </c>
      <c r="GS257" s="27">
        <v>7</v>
      </c>
      <c r="GT257" s="129">
        <v>27.2</v>
      </c>
      <c r="GV257" s="27">
        <v>8</v>
      </c>
      <c r="GW257" s="27">
        <v>8</v>
      </c>
      <c r="GX257" s="27">
        <v>8</v>
      </c>
      <c r="GY257" s="27">
        <v>8</v>
      </c>
      <c r="GZ257" s="27">
        <v>8</v>
      </c>
      <c r="HA257" s="27">
        <v>8</v>
      </c>
      <c r="HB257" s="27">
        <v>8</v>
      </c>
      <c r="HC257" s="27">
        <v>8</v>
      </c>
      <c r="HD257" s="27">
        <v>8</v>
      </c>
      <c r="HE257" s="129">
        <v>27.2</v>
      </c>
      <c r="HG257" s="27">
        <v>11.8</v>
      </c>
      <c r="HH257" s="27">
        <v>11.8</v>
      </c>
      <c r="HI257" s="27">
        <v>11.8</v>
      </c>
      <c r="HJ257" s="27">
        <v>11.8</v>
      </c>
      <c r="HK257" s="27">
        <v>11.8</v>
      </c>
      <c r="HL257" s="27">
        <v>11.8</v>
      </c>
      <c r="HM257" s="27">
        <v>11.8</v>
      </c>
      <c r="HN257" s="27">
        <v>11.8</v>
      </c>
      <c r="HO257" s="27">
        <v>11.8</v>
      </c>
      <c r="HP257" s="129">
        <v>27.2</v>
      </c>
      <c r="HR257" s="27">
        <v>11.8</v>
      </c>
      <c r="HS257" s="27">
        <v>11.8</v>
      </c>
      <c r="HT257" s="27">
        <v>11.8</v>
      </c>
      <c r="HU257" s="27">
        <v>11.8</v>
      </c>
      <c r="HV257" s="27">
        <v>11.8</v>
      </c>
      <c r="HW257" s="27">
        <v>11.8</v>
      </c>
      <c r="HX257" s="27">
        <v>11.8</v>
      </c>
      <c r="HY257" s="27">
        <v>11.8</v>
      </c>
      <c r="HZ257" s="27">
        <v>11.8</v>
      </c>
      <c r="IA257" s="129">
        <v>27.2</v>
      </c>
    </row>
    <row r="258" spans="15:235" ht="3" customHeight="1">
      <c r="O258" s="17"/>
      <c r="P258" s="17"/>
      <c r="Q258" s="17"/>
      <c r="R258" s="17"/>
      <c r="S258" s="17"/>
      <c r="T258" s="17"/>
      <c r="U258" s="17"/>
      <c r="V258" s="17"/>
      <c r="W258" s="17"/>
      <c r="X258" s="129">
        <v>25.3</v>
      </c>
      <c r="Y258" s="27"/>
      <c r="AI258" s="129">
        <v>25.3</v>
      </c>
      <c r="AK258" s="129">
        <v>5.7000000000000011</v>
      </c>
      <c r="AL258" s="129">
        <v>5.7000000000000011</v>
      </c>
      <c r="AM258" s="129">
        <v>5.7000000000000011</v>
      </c>
      <c r="AN258" s="129">
        <v>5.7000000000000011</v>
      </c>
      <c r="AO258" s="129">
        <v>5.7000000000000011</v>
      </c>
      <c r="AP258" s="129">
        <v>5.7000000000000011</v>
      </c>
      <c r="AQ258" s="129">
        <v>5.7000000000000011</v>
      </c>
      <c r="AR258" s="129">
        <v>5.7000000000000011</v>
      </c>
      <c r="AS258" s="129">
        <v>5.7000000000000011</v>
      </c>
      <c r="AT258" s="129">
        <v>25.3</v>
      </c>
      <c r="AV258" s="129">
        <v>7.7000000000000011</v>
      </c>
      <c r="AW258" s="129">
        <v>7.7000000000000011</v>
      </c>
      <c r="AX258" s="129">
        <v>7.7000000000000011</v>
      </c>
      <c r="AY258" s="129">
        <v>7.7000000000000011</v>
      </c>
      <c r="AZ258" s="129">
        <v>7.7000000000000011</v>
      </c>
      <c r="BA258" s="129">
        <v>7.7000000000000011</v>
      </c>
      <c r="BB258" s="129">
        <v>7.7000000000000011</v>
      </c>
      <c r="BC258" s="129">
        <v>7.7000000000000011</v>
      </c>
      <c r="BD258" s="129">
        <v>7.7000000000000011</v>
      </c>
      <c r="BE258" s="129">
        <v>25.3</v>
      </c>
      <c r="BG258" s="129">
        <v>10.400000000000002</v>
      </c>
      <c r="BH258" s="129">
        <v>10.400000000000002</v>
      </c>
      <c r="BI258" s="129">
        <v>10.400000000000002</v>
      </c>
      <c r="BJ258" s="129">
        <v>10.400000000000002</v>
      </c>
      <c r="BK258" s="129">
        <v>10.400000000000002</v>
      </c>
      <c r="BL258" s="129">
        <v>10.400000000000002</v>
      </c>
      <c r="BM258" s="129">
        <v>10.400000000000002</v>
      </c>
      <c r="BN258" s="129">
        <v>10.400000000000002</v>
      </c>
      <c r="BO258" s="129">
        <v>10.400000000000002</v>
      </c>
      <c r="BP258" s="129">
        <v>25.3</v>
      </c>
      <c r="BR258" s="129">
        <v>10.400000000000002</v>
      </c>
      <c r="BS258" s="129">
        <v>10.400000000000002</v>
      </c>
      <c r="BT258" s="129">
        <v>10.400000000000002</v>
      </c>
      <c r="BU258" s="129">
        <v>10.400000000000002</v>
      </c>
      <c r="BV258" s="129">
        <v>10.400000000000002</v>
      </c>
      <c r="BW258" s="129">
        <v>10.400000000000002</v>
      </c>
      <c r="BX258" s="129">
        <v>10.400000000000002</v>
      </c>
      <c r="BY258" s="129">
        <v>10.400000000000002</v>
      </c>
      <c r="BZ258" s="129">
        <v>10.400000000000002</v>
      </c>
      <c r="CA258" s="129">
        <v>25.3</v>
      </c>
      <c r="CC258" s="129">
        <v>6.7000000000000011</v>
      </c>
      <c r="CD258" s="129">
        <v>6.7000000000000011</v>
      </c>
      <c r="CE258" s="129">
        <v>6.7000000000000011</v>
      </c>
      <c r="CF258" s="129">
        <v>6.7000000000000011</v>
      </c>
      <c r="CG258" s="129">
        <v>6.7000000000000011</v>
      </c>
      <c r="CH258" s="129">
        <v>6.7000000000000011</v>
      </c>
      <c r="CI258" s="129">
        <v>6.7000000000000011</v>
      </c>
      <c r="CJ258" s="129">
        <v>6.7000000000000011</v>
      </c>
      <c r="CK258" s="129">
        <v>6.7000000000000011</v>
      </c>
      <c r="CL258" s="129">
        <v>25.3</v>
      </c>
      <c r="CN258" s="129">
        <v>9</v>
      </c>
      <c r="CO258" s="129">
        <v>9</v>
      </c>
      <c r="CP258" s="129">
        <v>9</v>
      </c>
      <c r="CQ258" s="129">
        <v>9</v>
      </c>
      <c r="CR258" s="129">
        <v>9</v>
      </c>
      <c r="CS258" s="129">
        <v>9</v>
      </c>
      <c r="CT258" s="129">
        <v>9</v>
      </c>
      <c r="CU258" s="129">
        <v>9</v>
      </c>
      <c r="CV258" s="129">
        <v>9</v>
      </c>
      <c r="CW258" s="129">
        <v>25.3</v>
      </c>
      <c r="CY258" s="129">
        <v>12</v>
      </c>
      <c r="CZ258" s="129">
        <v>12</v>
      </c>
      <c r="DA258" s="129">
        <v>12</v>
      </c>
      <c r="DB258" s="129">
        <v>12</v>
      </c>
      <c r="DC258" s="129">
        <v>12</v>
      </c>
      <c r="DD258" s="129">
        <v>12</v>
      </c>
      <c r="DE258" s="129">
        <v>12</v>
      </c>
      <c r="DF258" s="129">
        <v>12</v>
      </c>
      <c r="DG258" s="129">
        <v>12</v>
      </c>
      <c r="DH258" s="129">
        <v>25.3</v>
      </c>
      <c r="DJ258" s="129">
        <v>12</v>
      </c>
      <c r="DK258" s="129">
        <v>12</v>
      </c>
      <c r="DL258" s="129">
        <v>12</v>
      </c>
      <c r="DM258" s="129">
        <v>12</v>
      </c>
      <c r="DN258" s="129">
        <v>12</v>
      </c>
      <c r="DO258" s="129">
        <v>12</v>
      </c>
      <c r="DP258" s="129">
        <v>12</v>
      </c>
      <c r="DQ258" s="129">
        <v>12</v>
      </c>
      <c r="DR258" s="129">
        <v>12</v>
      </c>
      <c r="DS258" s="129">
        <v>25.3</v>
      </c>
      <c r="DW258" s="27"/>
      <c r="EQ258" s="129">
        <v>27.3</v>
      </c>
      <c r="ES258" s="27">
        <v>10.700000000000001</v>
      </c>
      <c r="ET258" s="27">
        <v>10.700000000000001</v>
      </c>
      <c r="EU258" s="27">
        <v>10.700000000000001</v>
      </c>
      <c r="EV258" s="27">
        <v>10.700000000000001</v>
      </c>
      <c r="EW258" s="27">
        <v>10.700000000000001</v>
      </c>
      <c r="EX258" s="27">
        <v>10.700000000000001</v>
      </c>
      <c r="EY258" s="27">
        <v>10.700000000000001</v>
      </c>
      <c r="EZ258" s="27">
        <v>10.700000000000001</v>
      </c>
      <c r="FA258" s="27">
        <v>10.700000000000001</v>
      </c>
      <c r="FB258" s="129">
        <v>27.3</v>
      </c>
      <c r="FD258" s="27">
        <v>14.400000000000002</v>
      </c>
      <c r="FE258" s="27">
        <v>14.400000000000002</v>
      </c>
      <c r="FF258" s="27">
        <v>14.400000000000002</v>
      </c>
      <c r="FG258" s="27">
        <v>14.400000000000002</v>
      </c>
      <c r="FH258" s="27">
        <v>14.400000000000002</v>
      </c>
      <c r="FI258" s="27">
        <v>14.400000000000002</v>
      </c>
      <c r="FJ258" s="27">
        <v>14.400000000000002</v>
      </c>
      <c r="FK258" s="27">
        <v>14.400000000000002</v>
      </c>
      <c r="FL258" s="27">
        <v>14.400000000000002</v>
      </c>
      <c r="FM258" s="129">
        <v>27.3</v>
      </c>
      <c r="FO258" s="27">
        <v>19.400000000000002</v>
      </c>
      <c r="FP258" s="27">
        <v>19.400000000000002</v>
      </c>
      <c r="FQ258" s="27">
        <v>19.400000000000002</v>
      </c>
      <c r="FR258" s="27">
        <v>19.400000000000002</v>
      </c>
      <c r="FS258" s="27">
        <v>19.400000000000002</v>
      </c>
      <c r="FT258" s="27">
        <v>19.400000000000002</v>
      </c>
      <c r="FU258" s="27">
        <v>19.400000000000002</v>
      </c>
      <c r="FV258" s="27">
        <v>19.400000000000002</v>
      </c>
      <c r="FW258" s="27">
        <v>19.400000000000002</v>
      </c>
      <c r="FX258" s="129">
        <v>27.3</v>
      </c>
      <c r="FZ258" s="27">
        <v>19.400000000000002</v>
      </c>
      <c r="GA258" s="27">
        <v>19.400000000000002</v>
      </c>
      <c r="GB258" s="27">
        <v>19.400000000000002</v>
      </c>
      <c r="GC258" s="27">
        <v>19.400000000000002</v>
      </c>
      <c r="GD258" s="27">
        <v>19.400000000000002</v>
      </c>
      <c r="GE258" s="27">
        <v>19.400000000000002</v>
      </c>
      <c r="GF258" s="27">
        <v>19.400000000000002</v>
      </c>
      <c r="GG258" s="27">
        <v>19.400000000000002</v>
      </c>
      <c r="GH258" s="27">
        <v>19.400000000000002</v>
      </c>
      <c r="GI258" s="129">
        <v>27.3</v>
      </c>
      <c r="GJ258" s="27"/>
      <c r="GK258" s="27">
        <v>7</v>
      </c>
      <c r="GL258" s="27">
        <v>7</v>
      </c>
      <c r="GM258" s="27">
        <v>7</v>
      </c>
      <c r="GN258" s="27">
        <v>7</v>
      </c>
      <c r="GO258" s="27">
        <v>7</v>
      </c>
      <c r="GP258" s="27">
        <v>7</v>
      </c>
      <c r="GQ258" s="27">
        <v>7</v>
      </c>
      <c r="GR258" s="27">
        <v>7</v>
      </c>
      <c r="GS258" s="27">
        <v>7</v>
      </c>
      <c r="GT258" s="129">
        <v>27.3</v>
      </c>
      <c r="GV258" s="27">
        <v>8</v>
      </c>
      <c r="GW258" s="27">
        <v>8</v>
      </c>
      <c r="GX258" s="27">
        <v>8</v>
      </c>
      <c r="GY258" s="27">
        <v>8</v>
      </c>
      <c r="GZ258" s="27">
        <v>8</v>
      </c>
      <c r="HA258" s="27">
        <v>8</v>
      </c>
      <c r="HB258" s="27">
        <v>8</v>
      </c>
      <c r="HC258" s="27">
        <v>8</v>
      </c>
      <c r="HD258" s="27">
        <v>8</v>
      </c>
      <c r="HE258" s="129">
        <v>27.3</v>
      </c>
      <c r="HG258" s="27">
        <v>11.700000000000001</v>
      </c>
      <c r="HH258" s="27">
        <v>11.700000000000001</v>
      </c>
      <c r="HI258" s="27">
        <v>11.700000000000001</v>
      </c>
      <c r="HJ258" s="27">
        <v>11.700000000000001</v>
      </c>
      <c r="HK258" s="27">
        <v>11.700000000000001</v>
      </c>
      <c r="HL258" s="27">
        <v>11.700000000000001</v>
      </c>
      <c r="HM258" s="27">
        <v>11.700000000000001</v>
      </c>
      <c r="HN258" s="27">
        <v>11.700000000000001</v>
      </c>
      <c r="HO258" s="27">
        <v>11.700000000000001</v>
      </c>
      <c r="HP258" s="129">
        <v>27.3</v>
      </c>
      <c r="HR258" s="27">
        <v>11.700000000000001</v>
      </c>
      <c r="HS258" s="27">
        <v>11.700000000000001</v>
      </c>
      <c r="HT258" s="27">
        <v>11.700000000000001</v>
      </c>
      <c r="HU258" s="27">
        <v>11.700000000000001</v>
      </c>
      <c r="HV258" s="27">
        <v>11.700000000000001</v>
      </c>
      <c r="HW258" s="27">
        <v>11.700000000000001</v>
      </c>
      <c r="HX258" s="27">
        <v>11.700000000000001</v>
      </c>
      <c r="HY258" s="27">
        <v>11.700000000000001</v>
      </c>
      <c r="HZ258" s="27">
        <v>11.700000000000001</v>
      </c>
      <c r="IA258" s="129">
        <v>27.3</v>
      </c>
    </row>
    <row r="259" spans="15:235" ht="3" customHeight="1">
      <c r="O259" s="17"/>
      <c r="P259" s="17"/>
      <c r="Q259" s="17"/>
      <c r="R259" s="17"/>
      <c r="S259" s="17"/>
      <c r="T259" s="17"/>
      <c r="U259" s="17"/>
      <c r="V259" s="17"/>
      <c r="W259" s="17"/>
      <c r="X259" s="129">
        <v>25.4</v>
      </c>
      <c r="Y259" s="27"/>
      <c r="AI259" s="129">
        <v>25.4</v>
      </c>
      <c r="AK259" s="129">
        <v>5.6000000000000014</v>
      </c>
      <c r="AL259" s="129">
        <v>5.6000000000000014</v>
      </c>
      <c r="AM259" s="129">
        <v>5.6000000000000014</v>
      </c>
      <c r="AN259" s="129">
        <v>5.6000000000000014</v>
      </c>
      <c r="AO259" s="129">
        <v>5.6000000000000014</v>
      </c>
      <c r="AP259" s="129">
        <v>5.6000000000000014</v>
      </c>
      <c r="AQ259" s="129">
        <v>5.6000000000000014</v>
      </c>
      <c r="AR259" s="129">
        <v>5.6000000000000014</v>
      </c>
      <c r="AS259" s="129">
        <v>5.6000000000000014</v>
      </c>
      <c r="AT259" s="129">
        <v>25.4</v>
      </c>
      <c r="AV259" s="129">
        <v>7.6000000000000014</v>
      </c>
      <c r="AW259" s="129">
        <v>7.6000000000000014</v>
      </c>
      <c r="AX259" s="129">
        <v>7.6000000000000014</v>
      </c>
      <c r="AY259" s="129">
        <v>7.6000000000000014</v>
      </c>
      <c r="AZ259" s="129">
        <v>7.6000000000000014</v>
      </c>
      <c r="BA259" s="129">
        <v>7.6000000000000014</v>
      </c>
      <c r="BB259" s="129">
        <v>7.6000000000000014</v>
      </c>
      <c r="BC259" s="129">
        <v>7.6000000000000014</v>
      </c>
      <c r="BD259" s="129">
        <v>7.6000000000000014</v>
      </c>
      <c r="BE259" s="129">
        <v>25.4</v>
      </c>
      <c r="BG259" s="129">
        <v>10.200000000000003</v>
      </c>
      <c r="BH259" s="129">
        <v>10.200000000000003</v>
      </c>
      <c r="BI259" s="129">
        <v>10.200000000000003</v>
      </c>
      <c r="BJ259" s="129">
        <v>10.200000000000003</v>
      </c>
      <c r="BK259" s="129">
        <v>10.200000000000003</v>
      </c>
      <c r="BL259" s="129">
        <v>10.200000000000003</v>
      </c>
      <c r="BM259" s="129">
        <v>10.200000000000003</v>
      </c>
      <c r="BN259" s="129">
        <v>10.200000000000003</v>
      </c>
      <c r="BO259" s="129">
        <v>10.200000000000003</v>
      </c>
      <c r="BP259" s="129">
        <v>25.4</v>
      </c>
      <c r="BR259" s="129">
        <v>10.200000000000003</v>
      </c>
      <c r="BS259" s="129">
        <v>10.200000000000003</v>
      </c>
      <c r="BT259" s="129">
        <v>10.200000000000003</v>
      </c>
      <c r="BU259" s="129">
        <v>10.200000000000003</v>
      </c>
      <c r="BV259" s="129">
        <v>10.200000000000003</v>
      </c>
      <c r="BW259" s="129">
        <v>10.200000000000003</v>
      </c>
      <c r="BX259" s="129">
        <v>10.200000000000003</v>
      </c>
      <c r="BY259" s="129">
        <v>10.200000000000003</v>
      </c>
      <c r="BZ259" s="129">
        <v>10.200000000000003</v>
      </c>
      <c r="CA259" s="129">
        <v>25.4</v>
      </c>
      <c r="CC259" s="129">
        <v>6.6000000000000014</v>
      </c>
      <c r="CD259" s="129">
        <v>6.6000000000000014</v>
      </c>
      <c r="CE259" s="129">
        <v>6.6000000000000014</v>
      </c>
      <c r="CF259" s="129">
        <v>6.6000000000000014</v>
      </c>
      <c r="CG259" s="129">
        <v>6.6000000000000014</v>
      </c>
      <c r="CH259" s="129">
        <v>6.6000000000000014</v>
      </c>
      <c r="CI259" s="129">
        <v>6.6000000000000014</v>
      </c>
      <c r="CJ259" s="129">
        <v>6.6000000000000014</v>
      </c>
      <c r="CK259" s="129">
        <v>6.6000000000000014</v>
      </c>
      <c r="CL259" s="129">
        <v>25.4</v>
      </c>
      <c r="CN259" s="129">
        <v>9</v>
      </c>
      <c r="CO259" s="129">
        <v>9</v>
      </c>
      <c r="CP259" s="129">
        <v>9</v>
      </c>
      <c r="CQ259" s="129">
        <v>9</v>
      </c>
      <c r="CR259" s="129">
        <v>9</v>
      </c>
      <c r="CS259" s="129">
        <v>9</v>
      </c>
      <c r="CT259" s="129">
        <v>9</v>
      </c>
      <c r="CU259" s="129">
        <v>9</v>
      </c>
      <c r="CV259" s="129">
        <v>9</v>
      </c>
      <c r="CW259" s="129">
        <v>25.4</v>
      </c>
      <c r="CY259" s="129">
        <v>12</v>
      </c>
      <c r="CZ259" s="129">
        <v>12</v>
      </c>
      <c r="DA259" s="129">
        <v>12</v>
      </c>
      <c r="DB259" s="129">
        <v>12</v>
      </c>
      <c r="DC259" s="129">
        <v>12</v>
      </c>
      <c r="DD259" s="129">
        <v>12</v>
      </c>
      <c r="DE259" s="129">
        <v>12</v>
      </c>
      <c r="DF259" s="129">
        <v>12</v>
      </c>
      <c r="DG259" s="129">
        <v>12</v>
      </c>
      <c r="DH259" s="129">
        <v>25.4</v>
      </c>
      <c r="DJ259" s="129">
        <v>12</v>
      </c>
      <c r="DK259" s="129">
        <v>12</v>
      </c>
      <c r="DL259" s="129">
        <v>12</v>
      </c>
      <c r="DM259" s="129">
        <v>12</v>
      </c>
      <c r="DN259" s="129">
        <v>12</v>
      </c>
      <c r="DO259" s="129">
        <v>12</v>
      </c>
      <c r="DP259" s="129">
        <v>12</v>
      </c>
      <c r="DQ259" s="129">
        <v>12</v>
      </c>
      <c r="DR259" s="129">
        <v>12</v>
      </c>
      <c r="DS259" s="129">
        <v>25.4</v>
      </c>
      <c r="DW259" s="27"/>
      <c r="EQ259" s="129">
        <v>27.4</v>
      </c>
      <c r="ES259" s="27">
        <v>10.600000000000001</v>
      </c>
      <c r="ET259" s="27">
        <v>10.600000000000001</v>
      </c>
      <c r="EU259" s="27">
        <v>10.600000000000001</v>
      </c>
      <c r="EV259" s="27">
        <v>10.600000000000001</v>
      </c>
      <c r="EW259" s="27">
        <v>10.600000000000001</v>
      </c>
      <c r="EX259" s="27">
        <v>10.600000000000001</v>
      </c>
      <c r="EY259" s="27">
        <v>10.600000000000001</v>
      </c>
      <c r="EZ259" s="27">
        <v>10.600000000000001</v>
      </c>
      <c r="FA259" s="27">
        <v>10.600000000000001</v>
      </c>
      <c r="FB259" s="129">
        <v>27.4</v>
      </c>
      <c r="FD259" s="27">
        <v>14.200000000000003</v>
      </c>
      <c r="FE259" s="27">
        <v>14.200000000000003</v>
      </c>
      <c r="FF259" s="27">
        <v>14.200000000000003</v>
      </c>
      <c r="FG259" s="27">
        <v>14.200000000000003</v>
      </c>
      <c r="FH259" s="27">
        <v>14.200000000000003</v>
      </c>
      <c r="FI259" s="27">
        <v>14.200000000000003</v>
      </c>
      <c r="FJ259" s="27">
        <v>14.200000000000003</v>
      </c>
      <c r="FK259" s="27">
        <v>14.200000000000003</v>
      </c>
      <c r="FL259" s="27">
        <v>14.200000000000003</v>
      </c>
      <c r="FM259" s="129">
        <v>27.4</v>
      </c>
      <c r="FO259" s="27">
        <v>19.200000000000003</v>
      </c>
      <c r="FP259" s="27">
        <v>19.200000000000003</v>
      </c>
      <c r="FQ259" s="27">
        <v>19.200000000000003</v>
      </c>
      <c r="FR259" s="27">
        <v>19.200000000000003</v>
      </c>
      <c r="FS259" s="27">
        <v>19.200000000000003</v>
      </c>
      <c r="FT259" s="27">
        <v>19.200000000000003</v>
      </c>
      <c r="FU259" s="27">
        <v>19.200000000000003</v>
      </c>
      <c r="FV259" s="27">
        <v>19.200000000000003</v>
      </c>
      <c r="FW259" s="27">
        <v>19.200000000000003</v>
      </c>
      <c r="FX259" s="129">
        <v>27.4</v>
      </c>
      <c r="FZ259" s="27">
        <v>19.200000000000003</v>
      </c>
      <c r="GA259" s="27">
        <v>19.200000000000003</v>
      </c>
      <c r="GB259" s="27">
        <v>19.200000000000003</v>
      </c>
      <c r="GC259" s="27">
        <v>19.200000000000003</v>
      </c>
      <c r="GD259" s="27">
        <v>19.200000000000003</v>
      </c>
      <c r="GE259" s="27">
        <v>19.200000000000003</v>
      </c>
      <c r="GF259" s="27">
        <v>19.200000000000003</v>
      </c>
      <c r="GG259" s="27">
        <v>19.200000000000003</v>
      </c>
      <c r="GH259" s="27">
        <v>19.200000000000003</v>
      </c>
      <c r="GI259" s="129">
        <v>27.4</v>
      </c>
      <c r="GJ259" s="27"/>
      <c r="GK259" s="27">
        <v>7</v>
      </c>
      <c r="GL259" s="27">
        <v>7</v>
      </c>
      <c r="GM259" s="27">
        <v>7</v>
      </c>
      <c r="GN259" s="27">
        <v>7</v>
      </c>
      <c r="GO259" s="27">
        <v>7</v>
      </c>
      <c r="GP259" s="27">
        <v>7</v>
      </c>
      <c r="GQ259" s="27">
        <v>7</v>
      </c>
      <c r="GR259" s="27">
        <v>7</v>
      </c>
      <c r="GS259" s="27">
        <v>7</v>
      </c>
      <c r="GT259" s="129">
        <v>27.4</v>
      </c>
      <c r="GV259" s="27">
        <v>8</v>
      </c>
      <c r="GW259" s="27">
        <v>8</v>
      </c>
      <c r="GX259" s="27">
        <v>8</v>
      </c>
      <c r="GY259" s="27">
        <v>8</v>
      </c>
      <c r="GZ259" s="27">
        <v>8</v>
      </c>
      <c r="HA259" s="27">
        <v>8</v>
      </c>
      <c r="HB259" s="27">
        <v>8</v>
      </c>
      <c r="HC259" s="27">
        <v>8</v>
      </c>
      <c r="HD259" s="27">
        <v>8</v>
      </c>
      <c r="HE259" s="129">
        <v>27.4</v>
      </c>
      <c r="HG259" s="27">
        <v>11.600000000000001</v>
      </c>
      <c r="HH259" s="27">
        <v>11.600000000000001</v>
      </c>
      <c r="HI259" s="27">
        <v>11.600000000000001</v>
      </c>
      <c r="HJ259" s="27">
        <v>11.600000000000001</v>
      </c>
      <c r="HK259" s="27">
        <v>11.600000000000001</v>
      </c>
      <c r="HL259" s="27">
        <v>11.600000000000001</v>
      </c>
      <c r="HM259" s="27">
        <v>11.600000000000001</v>
      </c>
      <c r="HN259" s="27">
        <v>11.600000000000001</v>
      </c>
      <c r="HO259" s="27">
        <v>11.600000000000001</v>
      </c>
      <c r="HP259" s="129">
        <v>27.4</v>
      </c>
      <c r="HR259" s="27">
        <v>11.600000000000001</v>
      </c>
      <c r="HS259" s="27">
        <v>11.600000000000001</v>
      </c>
      <c r="HT259" s="27">
        <v>11.600000000000001</v>
      </c>
      <c r="HU259" s="27">
        <v>11.600000000000001</v>
      </c>
      <c r="HV259" s="27">
        <v>11.600000000000001</v>
      </c>
      <c r="HW259" s="27">
        <v>11.600000000000001</v>
      </c>
      <c r="HX259" s="27">
        <v>11.600000000000001</v>
      </c>
      <c r="HY259" s="27">
        <v>11.600000000000001</v>
      </c>
      <c r="HZ259" s="27">
        <v>11.600000000000001</v>
      </c>
      <c r="IA259" s="129">
        <v>27.4</v>
      </c>
    </row>
    <row r="260" spans="15:235" ht="3" customHeight="1">
      <c r="O260" s="17"/>
      <c r="P260" s="17"/>
      <c r="Q260" s="17"/>
      <c r="R260" s="17"/>
      <c r="S260" s="17"/>
      <c r="T260" s="17"/>
      <c r="U260" s="17"/>
      <c r="V260" s="17"/>
      <c r="W260" s="17"/>
      <c r="X260" s="129">
        <v>25.5</v>
      </c>
      <c r="Y260" s="27"/>
      <c r="AI260" s="129">
        <v>25.5</v>
      </c>
      <c r="AK260" s="129">
        <v>5.5000000000000018</v>
      </c>
      <c r="AL260" s="129">
        <v>5.5000000000000018</v>
      </c>
      <c r="AM260" s="129">
        <v>5.5000000000000018</v>
      </c>
      <c r="AN260" s="129">
        <v>5.5000000000000018</v>
      </c>
      <c r="AO260" s="129">
        <v>5.5000000000000018</v>
      </c>
      <c r="AP260" s="129">
        <v>5.5000000000000018</v>
      </c>
      <c r="AQ260" s="129">
        <v>5.5000000000000018</v>
      </c>
      <c r="AR260" s="129">
        <v>5.5000000000000018</v>
      </c>
      <c r="AS260" s="129">
        <v>5.5000000000000018</v>
      </c>
      <c r="AT260" s="129">
        <v>25.5</v>
      </c>
      <c r="AV260" s="129">
        <v>7.5000000000000018</v>
      </c>
      <c r="AW260" s="129">
        <v>7.5000000000000018</v>
      </c>
      <c r="AX260" s="129">
        <v>7.5000000000000018</v>
      </c>
      <c r="AY260" s="129">
        <v>7.5000000000000018</v>
      </c>
      <c r="AZ260" s="129">
        <v>7.5000000000000018</v>
      </c>
      <c r="BA260" s="129">
        <v>7.5000000000000018</v>
      </c>
      <c r="BB260" s="129">
        <v>7.5000000000000018</v>
      </c>
      <c r="BC260" s="129">
        <v>7.5000000000000018</v>
      </c>
      <c r="BD260" s="129">
        <v>7.5000000000000018</v>
      </c>
      <c r="BE260" s="129">
        <v>25.5</v>
      </c>
      <c r="BG260" s="129">
        <v>10.000000000000004</v>
      </c>
      <c r="BH260" s="129">
        <v>10.000000000000004</v>
      </c>
      <c r="BI260" s="129">
        <v>10.000000000000004</v>
      </c>
      <c r="BJ260" s="129">
        <v>10.000000000000004</v>
      </c>
      <c r="BK260" s="129">
        <v>10.000000000000004</v>
      </c>
      <c r="BL260" s="129">
        <v>10.000000000000004</v>
      </c>
      <c r="BM260" s="129">
        <v>10.000000000000004</v>
      </c>
      <c r="BN260" s="129">
        <v>10.000000000000004</v>
      </c>
      <c r="BO260" s="129">
        <v>10.000000000000004</v>
      </c>
      <c r="BP260" s="129">
        <v>25.5</v>
      </c>
      <c r="BR260" s="129">
        <v>10.000000000000004</v>
      </c>
      <c r="BS260" s="129">
        <v>10.000000000000004</v>
      </c>
      <c r="BT260" s="129">
        <v>10.000000000000004</v>
      </c>
      <c r="BU260" s="129">
        <v>10.000000000000004</v>
      </c>
      <c r="BV260" s="129">
        <v>10.000000000000004</v>
      </c>
      <c r="BW260" s="129">
        <v>10.000000000000004</v>
      </c>
      <c r="BX260" s="129">
        <v>10.000000000000004</v>
      </c>
      <c r="BY260" s="129">
        <v>10.000000000000004</v>
      </c>
      <c r="BZ260" s="129">
        <v>10.000000000000004</v>
      </c>
      <c r="CA260" s="129">
        <v>25.5</v>
      </c>
      <c r="CC260" s="129">
        <v>6.5000000000000018</v>
      </c>
      <c r="CD260" s="129">
        <v>6.5000000000000018</v>
      </c>
      <c r="CE260" s="129">
        <v>6.5000000000000018</v>
      </c>
      <c r="CF260" s="129">
        <v>6.5000000000000018</v>
      </c>
      <c r="CG260" s="129">
        <v>6.5000000000000018</v>
      </c>
      <c r="CH260" s="129">
        <v>6.5000000000000018</v>
      </c>
      <c r="CI260" s="129">
        <v>6.5000000000000018</v>
      </c>
      <c r="CJ260" s="129">
        <v>6.5000000000000018</v>
      </c>
      <c r="CK260" s="129">
        <v>6.5000000000000018</v>
      </c>
      <c r="CL260" s="129">
        <v>25.5</v>
      </c>
      <c r="CN260" s="129">
        <v>9</v>
      </c>
      <c r="CO260" s="129">
        <v>9</v>
      </c>
      <c r="CP260" s="129">
        <v>9</v>
      </c>
      <c r="CQ260" s="129">
        <v>9</v>
      </c>
      <c r="CR260" s="129">
        <v>9</v>
      </c>
      <c r="CS260" s="129">
        <v>9</v>
      </c>
      <c r="CT260" s="129">
        <v>9</v>
      </c>
      <c r="CU260" s="129">
        <v>9</v>
      </c>
      <c r="CV260" s="129">
        <v>9</v>
      </c>
      <c r="CW260" s="129">
        <v>25.5</v>
      </c>
      <c r="CY260" s="129">
        <v>12</v>
      </c>
      <c r="CZ260" s="129">
        <v>12</v>
      </c>
      <c r="DA260" s="129">
        <v>12</v>
      </c>
      <c r="DB260" s="129">
        <v>12</v>
      </c>
      <c r="DC260" s="129">
        <v>12</v>
      </c>
      <c r="DD260" s="129">
        <v>12</v>
      </c>
      <c r="DE260" s="129">
        <v>12</v>
      </c>
      <c r="DF260" s="129">
        <v>12</v>
      </c>
      <c r="DG260" s="129">
        <v>12</v>
      </c>
      <c r="DH260" s="129">
        <v>25.5</v>
      </c>
      <c r="DJ260" s="129">
        <v>12</v>
      </c>
      <c r="DK260" s="129">
        <v>12</v>
      </c>
      <c r="DL260" s="129">
        <v>12</v>
      </c>
      <c r="DM260" s="129">
        <v>12</v>
      </c>
      <c r="DN260" s="129">
        <v>12</v>
      </c>
      <c r="DO260" s="129">
        <v>12</v>
      </c>
      <c r="DP260" s="129">
        <v>12</v>
      </c>
      <c r="DQ260" s="129">
        <v>12</v>
      </c>
      <c r="DR260" s="129">
        <v>12</v>
      </c>
      <c r="DS260" s="129">
        <v>25.5</v>
      </c>
      <c r="DW260" s="27"/>
      <c r="EQ260" s="129">
        <v>27.5</v>
      </c>
      <c r="ES260" s="27">
        <v>10.500000000000002</v>
      </c>
      <c r="ET260" s="27">
        <v>10.500000000000002</v>
      </c>
      <c r="EU260" s="27">
        <v>10.500000000000002</v>
      </c>
      <c r="EV260" s="27">
        <v>10.500000000000002</v>
      </c>
      <c r="EW260" s="27">
        <v>10.500000000000002</v>
      </c>
      <c r="EX260" s="27">
        <v>10.500000000000002</v>
      </c>
      <c r="EY260" s="27">
        <v>10.500000000000002</v>
      </c>
      <c r="EZ260" s="27">
        <v>10.500000000000002</v>
      </c>
      <c r="FA260" s="27">
        <v>10.500000000000002</v>
      </c>
      <c r="FB260" s="129">
        <v>27.5</v>
      </c>
      <c r="FD260" s="27">
        <v>14.000000000000004</v>
      </c>
      <c r="FE260" s="27">
        <v>14.000000000000004</v>
      </c>
      <c r="FF260" s="27">
        <v>14.000000000000004</v>
      </c>
      <c r="FG260" s="27">
        <v>14.000000000000004</v>
      </c>
      <c r="FH260" s="27">
        <v>14.000000000000004</v>
      </c>
      <c r="FI260" s="27">
        <v>14.000000000000004</v>
      </c>
      <c r="FJ260" s="27">
        <v>14.000000000000004</v>
      </c>
      <c r="FK260" s="27">
        <v>14.000000000000004</v>
      </c>
      <c r="FL260" s="27">
        <v>14.000000000000004</v>
      </c>
      <c r="FM260" s="129">
        <v>27.5</v>
      </c>
      <c r="FO260" s="27">
        <v>19.000000000000004</v>
      </c>
      <c r="FP260" s="27">
        <v>19.000000000000004</v>
      </c>
      <c r="FQ260" s="27">
        <v>19.000000000000004</v>
      </c>
      <c r="FR260" s="27">
        <v>19.000000000000004</v>
      </c>
      <c r="FS260" s="27">
        <v>19.000000000000004</v>
      </c>
      <c r="FT260" s="27">
        <v>19.000000000000004</v>
      </c>
      <c r="FU260" s="27">
        <v>19.000000000000004</v>
      </c>
      <c r="FV260" s="27">
        <v>19.000000000000004</v>
      </c>
      <c r="FW260" s="27">
        <v>19.000000000000004</v>
      </c>
      <c r="FX260" s="129">
        <v>27.5</v>
      </c>
      <c r="FZ260" s="27">
        <v>19.000000000000004</v>
      </c>
      <c r="GA260" s="27">
        <v>19.000000000000004</v>
      </c>
      <c r="GB260" s="27">
        <v>19.000000000000004</v>
      </c>
      <c r="GC260" s="27">
        <v>19.000000000000004</v>
      </c>
      <c r="GD260" s="27">
        <v>19.000000000000004</v>
      </c>
      <c r="GE260" s="27">
        <v>19.000000000000004</v>
      </c>
      <c r="GF260" s="27">
        <v>19.000000000000004</v>
      </c>
      <c r="GG260" s="27">
        <v>19.000000000000004</v>
      </c>
      <c r="GH260" s="27">
        <v>19.000000000000004</v>
      </c>
      <c r="GI260" s="129">
        <v>27.5</v>
      </c>
      <c r="GJ260" s="27"/>
      <c r="GK260" s="27">
        <v>7</v>
      </c>
      <c r="GL260" s="27">
        <v>7</v>
      </c>
      <c r="GM260" s="27">
        <v>7</v>
      </c>
      <c r="GN260" s="27">
        <v>7</v>
      </c>
      <c r="GO260" s="27">
        <v>7</v>
      </c>
      <c r="GP260" s="27">
        <v>7</v>
      </c>
      <c r="GQ260" s="27">
        <v>7</v>
      </c>
      <c r="GR260" s="27">
        <v>7</v>
      </c>
      <c r="GS260" s="27">
        <v>7</v>
      </c>
      <c r="GT260" s="129">
        <v>27.5</v>
      </c>
      <c r="GV260" s="27">
        <v>8</v>
      </c>
      <c r="GW260" s="27">
        <v>8</v>
      </c>
      <c r="GX260" s="27">
        <v>8</v>
      </c>
      <c r="GY260" s="27">
        <v>8</v>
      </c>
      <c r="GZ260" s="27">
        <v>8</v>
      </c>
      <c r="HA260" s="27">
        <v>8</v>
      </c>
      <c r="HB260" s="27">
        <v>8</v>
      </c>
      <c r="HC260" s="27">
        <v>8</v>
      </c>
      <c r="HD260" s="27">
        <v>8</v>
      </c>
      <c r="HE260" s="129">
        <v>27.5</v>
      </c>
      <c r="HG260" s="27">
        <v>11.500000000000002</v>
      </c>
      <c r="HH260" s="27">
        <v>11.500000000000002</v>
      </c>
      <c r="HI260" s="27">
        <v>11.500000000000002</v>
      </c>
      <c r="HJ260" s="27">
        <v>11.500000000000002</v>
      </c>
      <c r="HK260" s="27">
        <v>11.500000000000002</v>
      </c>
      <c r="HL260" s="27">
        <v>11.500000000000002</v>
      </c>
      <c r="HM260" s="27">
        <v>11.500000000000002</v>
      </c>
      <c r="HN260" s="27">
        <v>11.500000000000002</v>
      </c>
      <c r="HO260" s="27">
        <v>11.500000000000002</v>
      </c>
      <c r="HP260" s="129">
        <v>27.5</v>
      </c>
      <c r="HR260" s="27">
        <v>11.500000000000002</v>
      </c>
      <c r="HS260" s="27">
        <v>11.500000000000002</v>
      </c>
      <c r="HT260" s="27">
        <v>11.500000000000002</v>
      </c>
      <c r="HU260" s="27">
        <v>11.500000000000002</v>
      </c>
      <c r="HV260" s="27">
        <v>11.500000000000002</v>
      </c>
      <c r="HW260" s="27">
        <v>11.500000000000002</v>
      </c>
      <c r="HX260" s="27">
        <v>11.500000000000002</v>
      </c>
      <c r="HY260" s="27">
        <v>11.500000000000002</v>
      </c>
      <c r="HZ260" s="27">
        <v>11.500000000000002</v>
      </c>
      <c r="IA260" s="129">
        <v>27.5</v>
      </c>
    </row>
    <row r="261" spans="15:235" ht="3" customHeight="1">
      <c r="O261" s="17"/>
      <c r="P261" s="17"/>
      <c r="Q261" s="17"/>
      <c r="R261" s="17"/>
      <c r="S261" s="17"/>
      <c r="T261" s="17"/>
      <c r="U261" s="17"/>
      <c r="V261" s="17"/>
      <c r="W261" s="17"/>
      <c r="X261" s="129">
        <v>25.6</v>
      </c>
      <c r="Y261" s="27"/>
      <c r="AI261" s="129">
        <v>25.6</v>
      </c>
      <c r="AK261" s="129">
        <v>5.4000000000000021</v>
      </c>
      <c r="AL261" s="129">
        <v>5.4000000000000021</v>
      </c>
      <c r="AM261" s="129">
        <v>5.4000000000000021</v>
      </c>
      <c r="AN261" s="129">
        <v>5.4000000000000021</v>
      </c>
      <c r="AO261" s="129">
        <v>5.4000000000000021</v>
      </c>
      <c r="AP261" s="129">
        <v>5.4000000000000021</v>
      </c>
      <c r="AQ261" s="129">
        <v>5.4000000000000021</v>
      </c>
      <c r="AR261" s="129">
        <v>5.4000000000000021</v>
      </c>
      <c r="AS261" s="129">
        <v>5.4000000000000021</v>
      </c>
      <c r="AT261" s="129">
        <v>25.6</v>
      </c>
      <c r="AV261" s="129">
        <v>7.4000000000000021</v>
      </c>
      <c r="AW261" s="129">
        <v>7.4000000000000021</v>
      </c>
      <c r="AX261" s="129">
        <v>7.4000000000000021</v>
      </c>
      <c r="AY261" s="129">
        <v>7.4000000000000021</v>
      </c>
      <c r="AZ261" s="129">
        <v>7.4000000000000021</v>
      </c>
      <c r="BA261" s="129">
        <v>7.4000000000000021</v>
      </c>
      <c r="BB261" s="129">
        <v>7.4000000000000021</v>
      </c>
      <c r="BC261" s="129">
        <v>7.4000000000000021</v>
      </c>
      <c r="BD261" s="129">
        <v>7.4000000000000021</v>
      </c>
      <c r="BE261" s="129">
        <v>25.6</v>
      </c>
      <c r="BG261" s="129">
        <v>9.8000000000000043</v>
      </c>
      <c r="BH261" s="129">
        <v>9.8000000000000043</v>
      </c>
      <c r="BI261" s="129">
        <v>9.8000000000000043</v>
      </c>
      <c r="BJ261" s="129">
        <v>9.8000000000000043</v>
      </c>
      <c r="BK261" s="129">
        <v>9.8000000000000043</v>
      </c>
      <c r="BL261" s="129">
        <v>9.8000000000000043</v>
      </c>
      <c r="BM261" s="129">
        <v>9.8000000000000043</v>
      </c>
      <c r="BN261" s="129">
        <v>9.8000000000000043</v>
      </c>
      <c r="BO261" s="129">
        <v>9.8000000000000043</v>
      </c>
      <c r="BP261" s="129">
        <v>25.6</v>
      </c>
      <c r="BR261" s="129">
        <v>9.8000000000000043</v>
      </c>
      <c r="BS261" s="129">
        <v>9.8000000000000043</v>
      </c>
      <c r="BT261" s="129">
        <v>9.8000000000000043</v>
      </c>
      <c r="BU261" s="129">
        <v>9.8000000000000043</v>
      </c>
      <c r="BV261" s="129">
        <v>9.8000000000000043</v>
      </c>
      <c r="BW261" s="129">
        <v>9.8000000000000043</v>
      </c>
      <c r="BX261" s="129">
        <v>9.8000000000000043</v>
      </c>
      <c r="BY261" s="129">
        <v>9.8000000000000043</v>
      </c>
      <c r="BZ261" s="129">
        <v>9.8000000000000043</v>
      </c>
      <c r="CA261" s="129">
        <v>25.6</v>
      </c>
      <c r="CC261" s="129">
        <v>6.4000000000000021</v>
      </c>
      <c r="CD261" s="129">
        <v>6.4000000000000021</v>
      </c>
      <c r="CE261" s="129">
        <v>6.4000000000000021</v>
      </c>
      <c r="CF261" s="129">
        <v>6.4000000000000021</v>
      </c>
      <c r="CG261" s="129">
        <v>6.4000000000000021</v>
      </c>
      <c r="CH261" s="129">
        <v>6.4000000000000021</v>
      </c>
      <c r="CI261" s="129">
        <v>6.4000000000000021</v>
      </c>
      <c r="CJ261" s="129">
        <v>6.4000000000000021</v>
      </c>
      <c r="CK261" s="129">
        <v>6.4000000000000021</v>
      </c>
      <c r="CL261" s="129">
        <v>25.6</v>
      </c>
      <c r="CN261" s="129">
        <v>9</v>
      </c>
      <c r="CO261" s="129">
        <v>9</v>
      </c>
      <c r="CP261" s="129">
        <v>9</v>
      </c>
      <c r="CQ261" s="129">
        <v>9</v>
      </c>
      <c r="CR261" s="129">
        <v>9</v>
      </c>
      <c r="CS261" s="129">
        <v>9</v>
      </c>
      <c r="CT261" s="129">
        <v>9</v>
      </c>
      <c r="CU261" s="129">
        <v>9</v>
      </c>
      <c r="CV261" s="129">
        <v>9</v>
      </c>
      <c r="CW261" s="129">
        <v>25.6</v>
      </c>
      <c r="CY261" s="129">
        <v>12</v>
      </c>
      <c r="CZ261" s="129">
        <v>12</v>
      </c>
      <c r="DA261" s="129">
        <v>12</v>
      </c>
      <c r="DB261" s="129">
        <v>12</v>
      </c>
      <c r="DC261" s="129">
        <v>12</v>
      </c>
      <c r="DD261" s="129">
        <v>12</v>
      </c>
      <c r="DE261" s="129">
        <v>12</v>
      </c>
      <c r="DF261" s="129">
        <v>12</v>
      </c>
      <c r="DG261" s="129">
        <v>12</v>
      </c>
      <c r="DH261" s="129">
        <v>25.6</v>
      </c>
      <c r="DJ261" s="129">
        <v>12</v>
      </c>
      <c r="DK261" s="129">
        <v>12</v>
      </c>
      <c r="DL261" s="129">
        <v>12</v>
      </c>
      <c r="DM261" s="129">
        <v>12</v>
      </c>
      <c r="DN261" s="129">
        <v>12</v>
      </c>
      <c r="DO261" s="129">
        <v>12</v>
      </c>
      <c r="DP261" s="129">
        <v>12</v>
      </c>
      <c r="DQ261" s="129">
        <v>12</v>
      </c>
      <c r="DR261" s="129">
        <v>12</v>
      </c>
      <c r="DS261" s="129">
        <v>25.6</v>
      </c>
      <c r="DW261" s="27"/>
      <c r="EQ261" s="129">
        <v>27.6</v>
      </c>
      <c r="ES261" s="27">
        <v>10.400000000000002</v>
      </c>
      <c r="ET261" s="27">
        <v>10.400000000000002</v>
      </c>
      <c r="EU261" s="27">
        <v>10.400000000000002</v>
      </c>
      <c r="EV261" s="27">
        <v>10.400000000000002</v>
      </c>
      <c r="EW261" s="27">
        <v>10.400000000000002</v>
      </c>
      <c r="EX261" s="27">
        <v>10.400000000000002</v>
      </c>
      <c r="EY261" s="27">
        <v>10.400000000000002</v>
      </c>
      <c r="EZ261" s="27">
        <v>10.400000000000002</v>
      </c>
      <c r="FA261" s="27">
        <v>10.400000000000002</v>
      </c>
      <c r="FB261" s="129">
        <v>27.6</v>
      </c>
      <c r="FD261" s="27">
        <v>13.800000000000004</v>
      </c>
      <c r="FE261" s="27">
        <v>13.800000000000004</v>
      </c>
      <c r="FF261" s="27">
        <v>13.800000000000004</v>
      </c>
      <c r="FG261" s="27">
        <v>13.800000000000004</v>
      </c>
      <c r="FH261" s="27">
        <v>13.800000000000004</v>
      </c>
      <c r="FI261" s="27">
        <v>13.800000000000004</v>
      </c>
      <c r="FJ261" s="27">
        <v>13.800000000000004</v>
      </c>
      <c r="FK261" s="27">
        <v>13.800000000000004</v>
      </c>
      <c r="FL261" s="27">
        <v>13.800000000000004</v>
      </c>
      <c r="FM261" s="129">
        <v>27.6</v>
      </c>
      <c r="FO261" s="27">
        <v>18.800000000000004</v>
      </c>
      <c r="FP261" s="27">
        <v>18.800000000000004</v>
      </c>
      <c r="FQ261" s="27">
        <v>18.800000000000004</v>
      </c>
      <c r="FR261" s="27">
        <v>18.800000000000004</v>
      </c>
      <c r="FS261" s="27">
        <v>18.800000000000004</v>
      </c>
      <c r="FT261" s="27">
        <v>18.800000000000004</v>
      </c>
      <c r="FU261" s="27">
        <v>18.800000000000004</v>
      </c>
      <c r="FV261" s="27">
        <v>18.800000000000004</v>
      </c>
      <c r="FW261" s="27">
        <v>18.800000000000004</v>
      </c>
      <c r="FX261" s="129">
        <v>27.6</v>
      </c>
      <c r="FZ261" s="27">
        <v>18.800000000000004</v>
      </c>
      <c r="GA261" s="27">
        <v>18.800000000000004</v>
      </c>
      <c r="GB261" s="27">
        <v>18.800000000000004</v>
      </c>
      <c r="GC261" s="27">
        <v>18.800000000000004</v>
      </c>
      <c r="GD261" s="27">
        <v>18.800000000000004</v>
      </c>
      <c r="GE261" s="27">
        <v>18.800000000000004</v>
      </c>
      <c r="GF261" s="27">
        <v>18.800000000000004</v>
      </c>
      <c r="GG261" s="27">
        <v>18.800000000000004</v>
      </c>
      <c r="GH261" s="27">
        <v>18.800000000000004</v>
      </c>
      <c r="GI261" s="129">
        <v>27.6</v>
      </c>
      <c r="GJ261" s="27"/>
      <c r="GK261" s="27">
        <v>7</v>
      </c>
      <c r="GL261" s="27">
        <v>7</v>
      </c>
      <c r="GM261" s="27">
        <v>7</v>
      </c>
      <c r="GN261" s="27">
        <v>7</v>
      </c>
      <c r="GO261" s="27">
        <v>7</v>
      </c>
      <c r="GP261" s="27">
        <v>7</v>
      </c>
      <c r="GQ261" s="27">
        <v>7</v>
      </c>
      <c r="GR261" s="27">
        <v>7</v>
      </c>
      <c r="GS261" s="27">
        <v>7</v>
      </c>
      <c r="GT261" s="129">
        <v>27.6</v>
      </c>
      <c r="GV261" s="27">
        <v>8</v>
      </c>
      <c r="GW261" s="27">
        <v>8</v>
      </c>
      <c r="GX261" s="27">
        <v>8</v>
      </c>
      <c r="GY261" s="27">
        <v>8</v>
      </c>
      <c r="GZ261" s="27">
        <v>8</v>
      </c>
      <c r="HA261" s="27">
        <v>8</v>
      </c>
      <c r="HB261" s="27">
        <v>8</v>
      </c>
      <c r="HC261" s="27">
        <v>8</v>
      </c>
      <c r="HD261" s="27">
        <v>8</v>
      </c>
      <c r="HE261" s="129">
        <v>27.6</v>
      </c>
      <c r="HG261" s="27">
        <v>11.400000000000002</v>
      </c>
      <c r="HH261" s="27">
        <v>11.400000000000002</v>
      </c>
      <c r="HI261" s="27">
        <v>11.400000000000002</v>
      </c>
      <c r="HJ261" s="27">
        <v>11.400000000000002</v>
      </c>
      <c r="HK261" s="27">
        <v>11.400000000000002</v>
      </c>
      <c r="HL261" s="27">
        <v>11.400000000000002</v>
      </c>
      <c r="HM261" s="27">
        <v>11.400000000000002</v>
      </c>
      <c r="HN261" s="27">
        <v>11.400000000000002</v>
      </c>
      <c r="HO261" s="27">
        <v>11.400000000000002</v>
      </c>
      <c r="HP261" s="129">
        <v>27.6</v>
      </c>
      <c r="HR261" s="27">
        <v>11.400000000000002</v>
      </c>
      <c r="HS261" s="27">
        <v>11.400000000000002</v>
      </c>
      <c r="HT261" s="27">
        <v>11.400000000000002</v>
      </c>
      <c r="HU261" s="27">
        <v>11.400000000000002</v>
      </c>
      <c r="HV261" s="27">
        <v>11.400000000000002</v>
      </c>
      <c r="HW261" s="27">
        <v>11.400000000000002</v>
      </c>
      <c r="HX261" s="27">
        <v>11.400000000000002</v>
      </c>
      <c r="HY261" s="27">
        <v>11.400000000000002</v>
      </c>
      <c r="HZ261" s="27">
        <v>11.400000000000002</v>
      </c>
      <c r="IA261" s="129">
        <v>27.6</v>
      </c>
    </row>
    <row r="262" spans="15:235" ht="3" customHeight="1">
      <c r="O262" s="17"/>
      <c r="P262" s="17"/>
      <c r="Q262" s="17"/>
      <c r="R262" s="17"/>
      <c r="S262" s="17"/>
      <c r="T262" s="17"/>
      <c r="U262" s="17"/>
      <c r="V262" s="17"/>
      <c r="W262" s="17"/>
      <c r="X262" s="129">
        <v>25.7</v>
      </c>
      <c r="Y262" s="27"/>
      <c r="AI262" s="129">
        <v>25.7</v>
      </c>
      <c r="AK262" s="129">
        <v>5.3000000000000025</v>
      </c>
      <c r="AL262" s="129">
        <v>5.3000000000000025</v>
      </c>
      <c r="AM262" s="129">
        <v>5.3000000000000025</v>
      </c>
      <c r="AN262" s="129">
        <v>5.3000000000000025</v>
      </c>
      <c r="AO262" s="129">
        <v>5.3000000000000025</v>
      </c>
      <c r="AP262" s="129">
        <v>5.3000000000000025</v>
      </c>
      <c r="AQ262" s="129">
        <v>5.3000000000000025</v>
      </c>
      <c r="AR262" s="129">
        <v>5.3000000000000025</v>
      </c>
      <c r="AS262" s="129">
        <v>5.3000000000000025</v>
      </c>
      <c r="AT262" s="129">
        <v>25.7</v>
      </c>
      <c r="AV262" s="129">
        <v>7.3000000000000025</v>
      </c>
      <c r="AW262" s="129">
        <v>7.3000000000000025</v>
      </c>
      <c r="AX262" s="129">
        <v>7.3000000000000025</v>
      </c>
      <c r="AY262" s="129">
        <v>7.3000000000000025</v>
      </c>
      <c r="AZ262" s="129">
        <v>7.3000000000000025</v>
      </c>
      <c r="BA262" s="129">
        <v>7.3000000000000025</v>
      </c>
      <c r="BB262" s="129">
        <v>7.3000000000000025</v>
      </c>
      <c r="BC262" s="129">
        <v>7.3000000000000025</v>
      </c>
      <c r="BD262" s="129">
        <v>7.3000000000000025</v>
      </c>
      <c r="BE262" s="129">
        <v>25.7</v>
      </c>
      <c r="BG262" s="129">
        <v>9.600000000000005</v>
      </c>
      <c r="BH262" s="129">
        <v>9.600000000000005</v>
      </c>
      <c r="BI262" s="129">
        <v>9.600000000000005</v>
      </c>
      <c r="BJ262" s="129">
        <v>9.600000000000005</v>
      </c>
      <c r="BK262" s="129">
        <v>9.600000000000005</v>
      </c>
      <c r="BL262" s="129">
        <v>9.600000000000005</v>
      </c>
      <c r="BM262" s="129">
        <v>9.600000000000005</v>
      </c>
      <c r="BN262" s="129">
        <v>9.600000000000005</v>
      </c>
      <c r="BO262" s="129">
        <v>9.600000000000005</v>
      </c>
      <c r="BP262" s="129">
        <v>25.7</v>
      </c>
      <c r="BR262" s="129">
        <v>9.600000000000005</v>
      </c>
      <c r="BS262" s="129">
        <v>9.600000000000005</v>
      </c>
      <c r="BT262" s="129">
        <v>9.600000000000005</v>
      </c>
      <c r="BU262" s="129">
        <v>9.600000000000005</v>
      </c>
      <c r="BV262" s="129">
        <v>9.600000000000005</v>
      </c>
      <c r="BW262" s="129">
        <v>9.600000000000005</v>
      </c>
      <c r="BX262" s="129">
        <v>9.600000000000005</v>
      </c>
      <c r="BY262" s="129">
        <v>9.600000000000005</v>
      </c>
      <c r="BZ262" s="129">
        <v>9.600000000000005</v>
      </c>
      <c r="CA262" s="129">
        <v>25.7</v>
      </c>
      <c r="CC262" s="129">
        <v>6.3000000000000025</v>
      </c>
      <c r="CD262" s="129">
        <v>6.3000000000000025</v>
      </c>
      <c r="CE262" s="129">
        <v>6.3000000000000025</v>
      </c>
      <c r="CF262" s="129">
        <v>6.3000000000000025</v>
      </c>
      <c r="CG262" s="129">
        <v>6.3000000000000025</v>
      </c>
      <c r="CH262" s="129">
        <v>6.3000000000000025</v>
      </c>
      <c r="CI262" s="129">
        <v>6.3000000000000025</v>
      </c>
      <c r="CJ262" s="129">
        <v>6.3000000000000025</v>
      </c>
      <c r="CK262" s="129">
        <v>6.3000000000000025</v>
      </c>
      <c r="CL262" s="129">
        <v>25.7</v>
      </c>
      <c r="CN262" s="129">
        <v>9</v>
      </c>
      <c r="CO262" s="129">
        <v>9</v>
      </c>
      <c r="CP262" s="129">
        <v>9</v>
      </c>
      <c r="CQ262" s="129">
        <v>9</v>
      </c>
      <c r="CR262" s="129">
        <v>9</v>
      </c>
      <c r="CS262" s="129">
        <v>9</v>
      </c>
      <c r="CT262" s="129">
        <v>9</v>
      </c>
      <c r="CU262" s="129">
        <v>9</v>
      </c>
      <c r="CV262" s="129">
        <v>9</v>
      </c>
      <c r="CW262" s="129">
        <v>25.7</v>
      </c>
      <c r="CY262" s="129">
        <v>12</v>
      </c>
      <c r="CZ262" s="129">
        <v>12</v>
      </c>
      <c r="DA262" s="129">
        <v>12</v>
      </c>
      <c r="DB262" s="129">
        <v>12</v>
      </c>
      <c r="DC262" s="129">
        <v>12</v>
      </c>
      <c r="DD262" s="129">
        <v>12</v>
      </c>
      <c r="DE262" s="129">
        <v>12</v>
      </c>
      <c r="DF262" s="129">
        <v>12</v>
      </c>
      <c r="DG262" s="129">
        <v>12</v>
      </c>
      <c r="DH262" s="129">
        <v>25.7</v>
      </c>
      <c r="DJ262" s="129">
        <v>12</v>
      </c>
      <c r="DK262" s="129">
        <v>12</v>
      </c>
      <c r="DL262" s="129">
        <v>12</v>
      </c>
      <c r="DM262" s="129">
        <v>12</v>
      </c>
      <c r="DN262" s="129">
        <v>12</v>
      </c>
      <c r="DO262" s="129">
        <v>12</v>
      </c>
      <c r="DP262" s="129">
        <v>12</v>
      </c>
      <c r="DQ262" s="129">
        <v>12</v>
      </c>
      <c r="DR262" s="129">
        <v>12</v>
      </c>
      <c r="DS262" s="129">
        <v>25.7</v>
      </c>
      <c r="DW262" s="27"/>
      <c r="EQ262" s="129">
        <v>27.7</v>
      </c>
      <c r="ES262" s="27">
        <v>10.300000000000002</v>
      </c>
      <c r="ET262" s="27">
        <v>10.300000000000002</v>
      </c>
      <c r="EU262" s="27">
        <v>10.300000000000002</v>
      </c>
      <c r="EV262" s="27">
        <v>10.300000000000002</v>
      </c>
      <c r="EW262" s="27">
        <v>10.300000000000002</v>
      </c>
      <c r="EX262" s="27">
        <v>10.300000000000002</v>
      </c>
      <c r="EY262" s="27">
        <v>10.300000000000002</v>
      </c>
      <c r="EZ262" s="27">
        <v>10.300000000000002</v>
      </c>
      <c r="FA262" s="27">
        <v>10.300000000000002</v>
      </c>
      <c r="FB262" s="129">
        <v>27.7</v>
      </c>
      <c r="FD262" s="27">
        <v>13.600000000000005</v>
      </c>
      <c r="FE262" s="27">
        <v>13.600000000000005</v>
      </c>
      <c r="FF262" s="27">
        <v>13.600000000000005</v>
      </c>
      <c r="FG262" s="27">
        <v>13.600000000000005</v>
      </c>
      <c r="FH262" s="27">
        <v>13.600000000000005</v>
      </c>
      <c r="FI262" s="27">
        <v>13.600000000000005</v>
      </c>
      <c r="FJ262" s="27">
        <v>13.600000000000005</v>
      </c>
      <c r="FK262" s="27">
        <v>13.600000000000005</v>
      </c>
      <c r="FL262" s="27">
        <v>13.600000000000005</v>
      </c>
      <c r="FM262" s="129">
        <v>27.7</v>
      </c>
      <c r="FO262" s="27">
        <v>18.600000000000005</v>
      </c>
      <c r="FP262" s="27">
        <v>18.600000000000005</v>
      </c>
      <c r="FQ262" s="27">
        <v>18.600000000000005</v>
      </c>
      <c r="FR262" s="27">
        <v>18.600000000000005</v>
      </c>
      <c r="FS262" s="27">
        <v>18.600000000000005</v>
      </c>
      <c r="FT262" s="27">
        <v>18.600000000000005</v>
      </c>
      <c r="FU262" s="27">
        <v>18.600000000000005</v>
      </c>
      <c r="FV262" s="27">
        <v>18.600000000000005</v>
      </c>
      <c r="FW262" s="27">
        <v>18.600000000000005</v>
      </c>
      <c r="FX262" s="129">
        <v>27.7</v>
      </c>
      <c r="FZ262" s="27">
        <v>18.600000000000005</v>
      </c>
      <c r="GA262" s="27">
        <v>18.600000000000005</v>
      </c>
      <c r="GB262" s="27">
        <v>18.600000000000005</v>
      </c>
      <c r="GC262" s="27">
        <v>18.600000000000005</v>
      </c>
      <c r="GD262" s="27">
        <v>18.600000000000005</v>
      </c>
      <c r="GE262" s="27">
        <v>18.600000000000005</v>
      </c>
      <c r="GF262" s="27">
        <v>18.600000000000005</v>
      </c>
      <c r="GG262" s="27">
        <v>18.600000000000005</v>
      </c>
      <c r="GH262" s="27">
        <v>18.600000000000005</v>
      </c>
      <c r="GI262" s="129">
        <v>27.7</v>
      </c>
      <c r="GJ262" s="27"/>
      <c r="GK262" s="27">
        <v>7</v>
      </c>
      <c r="GL262" s="27">
        <v>7</v>
      </c>
      <c r="GM262" s="27">
        <v>7</v>
      </c>
      <c r="GN262" s="27">
        <v>7</v>
      </c>
      <c r="GO262" s="27">
        <v>7</v>
      </c>
      <c r="GP262" s="27">
        <v>7</v>
      </c>
      <c r="GQ262" s="27">
        <v>7</v>
      </c>
      <c r="GR262" s="27">
        <v>7</v>
      </c>
      <c r="GS262" s="27">
        <v>7</v>
      </c>
      <c r="GT262" s="129">
        <v>27.7</v>
      </c>
      <c r="GV262" s="27">
        <v>8</v>
      </c>
      <c r="GW262" s="27">
        <v>8</v>
      </c>
      <c r="GX262" s="27">
        <v>8</v>
      </c>
      <c r="GY262" s="27">
        <v>8</v>
      </c>
      <c r="GZ262" s="27">
        <v>8</v>
      </c>
      <c r="HA262" s="27">
        <v>8</v>
      </c>
      <c r="HB262" s="27">
        <v>8</v>
      </c>
      <c r="HC262" s="27">
        <v>8</v>
      </c>
      <c r="HD262" s="27">
        <v>8</v>
      </c>
      <c r="HE262" s="129">
        <v>27.7</v>
      </c>
      <c r="HG262" s="27">
        <v>11.300000000000002</v>
      </c>
      <c r="HH262" s="27">
        <v>11.300000000000002</v>
      </c>
      <c r="HI262" s="27">
        <v>11.300000000000002</v>
      </c>
      <c r="HJ262" s="27">
        <v>11.300000000000002</v>
      </c>
      <c r="HK262" s="27">
        <v>11.300000000000002</v>
      </c>
      <c r="HL262" s="27">
        <v>11.300000000000002</v>
      </c>
      <c r="HM262" s="27">
        <v>11.300000000000002</v>
      </c>
      <c r="HN262" s="27">
        <v>11.300000000000002</v>
      </c>
      <c r="HO262" s="27">
        <v>11.300000000000002</v>
      </c>
      <c r="HP262" s="129">
        <v>27.7</v>
      </c>
      <c r="HR262" s="27">
        <v>11.300000000000002</v>
      </c>
      <c r="HS262" s="27">
        <v>11.300000000000002</v>
      </c>
      <c r="HT262" s="27">
        <v>11.300000000000002</v>
      </c>
      <c r="HU262" s="27">
        <v>11.300000000000002</v>
      </c>
      <c r="HV262" s="27">
        <v>11.300000000000002</v>
      </c>
      <c r="HW262" s="27">
        <v>11.300000000000002</v>
      </c>
      <c r="HX262" s="27">
        <v>11.300000000000002</v>
      </c>
      <c r="HY262" s="27">
        <v>11.300000000000002</v>
      </c>
      <c r="HZ262" s="27">
        <v>11.300000000000002</v>
      </c>
      <c r="IA262" s="129">
        <v>27.7</v>
      </c>
    </row>
    <row r="263" spans="15:235" ht="3" customHeight="1">
      <c r="O263" s="17"/>
      <c r="P263" s="17"/>
      <c r="Q263" s="17"/>
      <c r="R263" s="17"/>
      <c r="S263" s="17"/>
      <c r="T263" s="17"/>
      <c r="U263" s="17"/>
      <c r="V263" s="17"/>
      <c r="W263" s="17"/>
      <c r="X263" s="129">
        <v>25.8</v>
      </c>
      <c r="Y263" s="27"/>
      <c r="AI263" s="129">
        <v>25.8</v>
      </c>
      <c r="AK263" s="129">
        <v>5.2000000000000028</v>
      </c>
      <c r="AL263" s="129">
        <v>5.2000000000000028</v>
      </c>
      <c r="AM263" s="129">
        <v>5.2000000000000028</v>
      </c>
      <c r="AN263" s="129">
        <v>5.2000000000000028</v>
      </c>
      <c r="AO263" s="129">
        <v>5.2000000000000028</v>
      </c>
      <c r="AP263" s="129">
        <v>5.2000000000000028</v>
      </c>
      <c r="AQ263" s="129">
        <v>5.2000000000000028</v>
      </c>
      <c r="AR263" s="129">
        <v>5.2000000000000028</v>
      </c>
      <c r="AS263" s="129">
        <v>5.2000000000000028</v>
      </c>
      <c r="AT263" s="129">
        <v>25.8</v>
      </c>
      <c r="AV263" s="129">
        <v>7.2000000000000028</v>
      </c>
      <c r="AW263" s="129">
        <v>7.2000000000000028</v>
      </c>
      <c r="AX263" s="129">
        <v>7.2000000000000028</v>
      </c>
      <c r="AY263" s="129">
        <v>7.2000000000000028</v>
      </c>
      <c r="AZ263" s="129">
        <v>7.2000000000000028</v>
      </c>
      <c r="BA263" s="129">
        <v>7.2000000000000028</v>
      </c>
      <c r="BB263" s="129">
        <v>7.2000000000000028</v>
      </c>
      <c r="BC263" s="129">
        <v>7.2000000000000028</v>
      </c>
      <c r="BD263" s="129">
        <v>7.2000000000000028</v>
      </c>
      <c r="BE263" s="129">
        <v>25.8</v>
      </c>
      <c r="BG263" s="129">
        <v>9.4000000000000057</v>
      </c>
      <c r="BH263" s="129">
        <v>9.4000000000000057</v>
      </c>
      <c r="BI263" s="129">
        <v>9.4000000000000057</v>
      </c>
      <c r="BJ263" s="129">
        <v>9.4000000000000057</v>
      </c>
      <c r="BK263" s="129">
        <v>9.4000000000000057</v>
      </c>
      <c r="BL263" s="129">
        <v>9.4000000000000057</v>
      </c>
      <c r="BM263" s="129">
        <v>9.4000000000000057</v>
      </c>
      <c r="BN263" s="129">
        <v>9.4000000000000057</v>
      </c>
      <c r="BO263" s="129">
        <v>9.4000000000000057</v>
      </c>
      <c r="BP263" s="129">
        <v>25.8</v>
      </c>
      <c r="BR263" s="129">
        <v>9.4000000000000057</v>
      </c>
      <c r="BS263" s="129">
        <v>9.4000000000000057</v>
      </c>
      <c r="BT263" s="129">
        <v>9.4000000000000057</v>
      </c>
      <c r="BU263" s="129">
        <v>9.4000000000000057</v>
      </c>
      <c r="BV263" s="129">
        <v>9.4000000000000057</v>
      </c>
      <c r="BW263" s="129">
        <v>9.4000000000000057</v>
      </c>
      <c r="BX263" s="129">
        <v>9.4000000000000057</v>
      </c>
      <c r="BY263" s="129">
        <v>9.4000000000000057</v>
      </c>
      <c r="BZ263" s="129">
        <v>9.4000000000000057</v>
      </c>
      <c r="CA263" s="129">
        <v>25.8</v>
      </c>
      <c r="CC263" s="129">
        <v>6.2000000000000028</v>
      </c>
      <c r="CD263" s="129">
        <v>6.2000000000000028</v>
      </c>
      <c r="CE263" s="129">
        <v>6.2000000000000028</v>
      </c>
      <c r="CF263" s="129">
        <v>6.2000000000000028</v>
      </c>
      <c r="CG263" s="129">
        <v>6.2000000000000028</v>
      </c>
      <c r="CH263" s="129">
        <v>6.2000000000000028</v>
      </c>
      <c r="CI263" s="129">
        <v>6.2000000000000028</v>
      </c>
      <c r="CJ263" s="129">
        <v>6.2000000000000028</v>
      </c>
      <c r="CK263" s="129">
        <v>6.2000000000000028</v>
      </c>
      <c r="CL263" s="129">
        <v>25.8</v>
      </c>
      <c r="CN263" s="129">
        <v>9</v>
      </c>
      <c r="CO263" s="129">
        <v>9</v>
      </c>
      <c r="CP263" s="129">
        <v>9</v>
      </c>
      <c r="CQ263" s="129">
        <v>9</v>
      </c>
      <c r="CR263" s="129">
        <v>9</v>
      </c>
      <c r="CS263" s="129">
        <v>9</v>
      </c>
      <c r="CT263" s="129">
        <v>9</v>
      </c>
      <c r="CU263" s="129">
        <v>9</v>
      </c>
      <c r="CV263" s="129">
        <v>9</v>
      </c>
      <c r="CW263" s="129">
        <v>25.8</v>
      </c>
      <c r="CY263" s="129">
        <v>12</v>
      </c>
      <c r="CZ263" s="129">
        <v>12</v>
      </c>
      <c r="DA263" s="129">
        <v>12</v>
      </c>
      <c r="DB263" s="129">
        <v>12</v>
      </c>
      <c r="DC263" s="129">
        <v>12</v>
      </c>
      <c r="DD263" s="129">
        <v>12</v>
      </c>
      <c r="DE263" s="129">
        <v>12</v>
      </c>
      <c r="DF263" s="129">
        <v>12</v>
      </c>
      <c r="DG263" s="129">
        <v>12</v>
      </c>
      <c r="DH263" s="129">
        <v>25.8</v>
      </c>
      <c r="DJ263" s="129">
        <v>12</v>
      </c>
      <c r="DK263" s="129">
        <v>12</v>
      </c>
      <c r="DL263" s="129">
        <v>12</v>
      </c>
      <c r="DM263" s="129">
        <v>12</v>
      </c>
      <c r="DN263" s="129">
        <v>12</v>
      </c>
      <c r="DO263" s="129">
        <v>12</v>
      </c>
      <c r="DP263" s="129">
        <v>12</v>
      </c>
      <c r="DQ263" s="129">
        <v>12</v>
      </c>
      <c r="DR263" s="129">
        <v>12</v>
      </c>
      <c r="DS263" s="129">
        <v>25.8</v>
      </c>
      <c r="DW263" s="27"/>
      <c r="EQ263" s="129">
        <v>27.8</v>
      </c>
      <c r="ES263" s="27">
        <v>10.200000000000003</v>
      </c>
      <c r="ET263" s="27">
        <v>10.200000000000003</v>
      </c>
      <c r="EU263" s="27">
        <v>10.200000000000003</v>
      </c>
      <c r="EV263" s="27">
        <v>10.200000000000003</v>
      </c>
      <c r="EW263" s="27">
        <v>10.200000000000003</v>
      </c>
      <c r="EX263" s="27">
        <v>10.200000000000003</v>
      </c>
      <c r="EY263" s="27">
        <v>10.200000000000003</v>
      </c>
      <c r="EZ263" s="27">
        <v>10.200000000000003</v>
      </c>
      <c r="FA263" s="27">
        <v>10.200000000000003</v>
      </c>
      <c r="FB263" s="129">
        <v>27.8</v>
      </c>
      <c r="FD263" s="27">
        <v>13.400000000000006</v>
      </c>
      <c r="FE263" s="27">
        <v>13.400000000000006</v>
      </c>
      <c r="FF263" s="27">
        <v>13.400000000000006</v>
      </c>
      <c r="FG263" s="27">
        <v>13.400000000000006</v>
      </c>
      <c r="FH263" s="27">
        <v>13.400000000000006</v>
      </c>
      <c r="FI263" s="27">
        <v>13.400000000000006</v>
      </c>
      <c r="FJ263" s="27">
        <v>13.400000000000006</v>
      </c>
      <c r="FK263" s="27">
        <v>13.400000000000006</v>
      </c>
      <c r="FL263" s="27">
        <v>13.400000000000006</v>
      </c>
      <c r="FM263" s="129">
        <v>27.8</v>
      </c>
      <c r="FO263" s="27">
        <v>18.400000000000006</v>
      </c>
      <c r="FP263" s="27">
        <v>18.400000000000006</v>
      </c>
      <c r="FQ263" s="27">
        <v>18.400000000000006</v>
      </c>
      <c r="FR263" s="27">
        <v>18.400000000000006</v>
      </c>
      <c r="FS263" s="27">
        <v>18.400000000000006</v>
      </c>
      <c r="FT263" s="27">
        <v>18.400000000000006</v>
      </c>
      <c r="FU263" s="27">
        <v>18.400000000000006</v>
      </c>
      <c r="FV263" s="27">
        <v>18.400000000000006</v>
      </c>
      <c r="FW263" s="27">
        <v>18.400000000000006</v>
      </c>
      <c r="FX263" s="129">
        <v>27.8</v>
      </c>
      <c r="FZ263" s="27">
        <v>18.400000000000006</v>
      </c>
      <c r="GA263" s="27">
        <v>18.400000000000006</v>
      </c>
      <c r="GB263" s="27">
        <v>18.400000000000006</v>
      </c>
      <c r="GC263" s="27">
        <v>18.400000000000006</v>
      </c>
      <c r="GD263" s="27">
        <v>18.400000000000006</v>
      </c>
      <c r="GE263" s="27">
        <v>18.400000000000006</v>
      </c>
      <c r="GF263" s="27">
        <v>18.400000000000006</v>
      </c>
      <c r="GG263" s="27">
        <v>18.400000000000006</v>
      </c>
      <c r="GH263" s="27">
        <v>18.400000000000006</v>
      </c>
      <c r="GI263" s="129">
        <v>27.8</v>
      </c>
      <c r="GJ263" s="27"/>
      <c r="GK263" s="27">
        <v>7</v>
      </c>
      <c r="GL263" s="27">
        <v>7</v>
      </c>
      <c r="GM263" s="27">
        <v>7</v>
      </c>
      <c r="GN263" s="27">
        <v>7</v>
      </c>
      <c r="GO263" s="27">
        <v>7</v>
      </c>
      <c r="GP263" s="27">
        <v>7</v>
      </c>
      <c r="GQ263" s="27">
        <v>7</v>
      </c>
      <c r="GR263" s="27">
        <v>7</v>
      </c>
      <c r="GS263" s="27">
        <v>7</v>
      </c>
      <c r="GT263" s="129">
        <v>27.8</v>
      </c>
      <c r="GV263" s="27">
        <v>8</v>
      </c>
      <c r="GW263" s="27">
        <v>8</v>
      </c>
      <c r="GX263" s="27">
        <v>8</v>
      </c>
      <c r="GY263" s="27">
        <v>8</v>
      </c>
      <c r="GZ263" s="27">
        <v>8</v>
      </c>
      <c r="HA263" s="27">
        <v>8</v>
      </c>
      <c r="HB263" s="27">
        <v>8</v>
      </c>
      <c r="HC263" s="27">
        <v>8</v>
      </c>
      <c r="HD263" s="27">
        <v>8</v>
      </c>
      <c r="HE263" s="129">
        <v>27.8</v>
      </c>
      <c r="HG263" s="27">
        <v>11.200000000000003</v>
      </c>
      <c r="HH263" s="27">
        <v>11.200000000000003</v>
      </c>
      <c r="HI263" s="27">
        <v>11.200000000000003</v>
      </c>
      <c r="HJ263" s="27">
        <v>11.200000000000003</v>
      </c>
      <c r="HK263" s="27">
        <v>11.200000000000003</v>
      </c>
      <c r="HL263" s="27">
        <v>11.200000000000003</v>
      </c>
      <c r="HM263" s="27">
        <v>11.200000000000003</v>
      </c>
      <c r="HN263" s="27">
        <v>11.200000000000003</v>
      </c>
      <c r="HO263" s="27">
        <v>11.200000000000003</v>
      </c>
      <c r="HP263" s="129">
        <v>27.8</v>
      </c>
      <c r="HR263" s="27">
        <v>11.200000000000003</v>
      </c>
      <c r="HS263" s="27">
        <v>11.200000000000003</v>
      </c>
      <c r="HT263" s="27">
        <v>11.200000000000003</v>
      </c>
      <c r="HU263" s="27">
        <v>11.200000000000003</v>
      </c>
      <c r="HV263" s="27">
        <v>11.200000000000003</v>
      </c>
      <c r="HW263" s="27">
        <v>11.200000000000003</v>
      </c>
      <c r="HX263" s="27">
        <v>11.200000000000003</v>
      </c>
      <c r="HY263" s="27">
        <v>11.200000000000003</v>
      </c>
      <c r="HZ263" s="27">
        <v>11.200000000000003</v>
      </c>
      <c r="IA263" s="129">
        <v>27.8</v>
      </c>
    </row>
    <row r="264" spans="15:235" ht="3" customHeight="1">
      <c r="O264" s="17"/>
      <c r="P264" s="17"/>
      <c r="Q264" s="17"/>
      <c r="R264" s="17"/>
      <c r="S264" s="17"/>
      <c r="T264" s="17"/>
      <c r="U264" s="17"/>
      <c r="V264" s="17"/>
      <c r="W264" s="17"/>
      <c r="X264" s="129">
        <v>25.9</v>
      </c>
      <c r="Y264" s="27"/>
      <c r="AI264" s="129">
        <v>25.9</v>
      </c>
      <c r="AK264" s="129">
        <v>5.1000000000000032</v>
      </c>
      <c r="AL264" s="129">
        <v>5.1000000000000032</v>
      </c>
      <c r="AM264" s="129">
        <v>5.1000000000000032</v>
      </c>
      <c r="AN264" s="129">
        <v>5.1000000000000032</v>
      </c>
      <c r="AO264" s="129">
        <v>5.1000000000000032</v>
      </c>
      <c r="AP264" s="129">
        <v>5.1000000000000032</v>
      </c>
      <c r="AQ264" s="129">
        <v>5.1000000000000032</v>
      </c>
      <c r="AR264" s="129">
        <v>5.1000000000000032</v>
      </c>
      <c r="AS264" s="129">
        <v>5.1000000000000032</v>
      </c>
      <c r="AT264" s="129">
        <v>25.9</v>
      </c>
      <c r="AV264" s="129">
        <v>7.1000000000000032</v>
      </c>
      <c r="AW264" s="129">
        <v>7.1000000000000032</v>
      </c>
      <c r="AX264" s="129">
        <v>7.1000000000000032</v>
      </c>
      <c r="AY264" s="129">
        <v>7.1000000000000032</v>
      </c>
      <c r="AZ264" s="129">
        <v>7.1000000000000032</v>
      </c>
      <c r="BA264" s="129">
        <v>7.1000000000000032</v>
      </c>
      <c r="BB264" s="129">
        <v>7.1000000000000032</v>
      </c>
      <c r="BC264" s="129">
        <v>7.1000000000000032</v>
      </c>
      <c r="BD264" s="129">
        <v>7.1000000000000032</v>
      </c>
      <c r="BE264" s="129">
        <v>25.9</v>
      </c>
      <c r="BG264" s="129">
        <v>9.2000000000000064</v>
      </c>
      <c r="BH264" s="129">
        <v>9.2000000000000064</v>
      </c>
      <c r="BI264" s="129">
        <v>9.2000000000000064</v>
      </c>
      <c r="BJ264" s="129">
        <v>9.2000000000000064</v>
      </c>
      <c r="BK264" s="129">
        <v>9.2000000000000064</v>
      </c>
      <c r="BL264" s="129">
        <v>9.2000000000000064</v>
      </c>
      <c r="BM264" s="129">
        <v>9.2000000000000064</v>
      </c>
      <c r="BN264" s="129">
        <v>9.2000000000000064</v>
      </c>
      <c r="BO264" s="129">
        <v>9.2000000000000064</v>
      </c>
      <c r="BP264" s="129">
        <v>25.9</v>
      </c>
      <c r="BR264" s="129">
        <v>9.2000000000000064</v>
      </c>
      <c r="BS264" s="129">
        <v>9.2000000000000064</v>
      </c>
      <c r="BT264" s="129">
        <v>9.2000000000000064</v>
      </c>
      <c r="BU264" s="129">
        <v>9.2000000000000064</v>
      </c>
      <c r="BV264" s="129">
        <v>9.2000000000000064</v>
      </c>
      <c r="BW264" s="129">
        <v>9.2000000000000064</v>
      </c>
      <c r="BX264" s="129">
        <v>9.2000000000000064</v>
      </c>
      <c r="BY264" s="129">
        <v>9.2000000000000064</v>
      </c>
      <c r="BZ264" s="129">
        <v>9.2000000000000064</v>
      </c>
      <c r="CA264" s="129">
        <v>25.9</v>
      </c>
      <c r="CC264" s="129">
        <v>6.1000000000000032</v>
      </c>
      <c r="CD264" s="129">
        <v>6.1000000000000032</v>
      </c>
      <c r="CE264" s="129">
        <v>6.1000000000000032</v>
      </c>
      <c r="CF264" s="129">
        <v>6.1000000000000032</v>
      </c>
      <c r="CG264" s="129">
        <v>6.1000000000000032</v>
      </c>
      <c r="CH264" s="129">
        <v>6.1000000000000032</v>
      </c>
      <c r="CI264" s="129">
        <v>6.1000000000000032</v>
      </c>
      <c r="CJ264" s="129">
        <v>6.1000000000000032</v>
      </c>
      <c r="CK264" s="129">
        <v>6.1000000000000032</v>
      </c>
      <c r="CL264" s="129">
        <v>25.9</v>
      </c>
      <c r="CN264" s="129">
        <v>9</v>
      </c>
      <c r="CO264" s="129">
        <v>9</v>
      </c>
      <c r="CP264" s="129">
        <v>9</v>
      </c>
      <c r="CQ264" s="129">
        <v>9</v>
      </c>
      <c r="CR264" s="129">
        <v>9</v>
      </c>
      <c r="CS264" s="129">
        <v>9</v>
      </c>
      <c r="CT264" s="129">
        <v>9</v>
      </c>
      <c r="CU264" s="129">
        <v>9</v>
      </c>
      <c r="CV264" s="129">
        <v>9</v>
      </c>
      <c r="CW264" s="129">
        <v>25.9</v>
      </c>
      <c r="CY264" s="129">
        <v>12</v>
      </c>
      <c r="CZ264" s="129">
        <v>12</v>
      </c>
      <c r="DA264" s="129">
        <v>12</v>
      </c>
      <c r="DB264" s="129">
        <v>12</v>
      </c>
      <c r="DC264" s="129">
        <v>12</v>
      </c>
      <c r="DD264" s="129">
        <v>12</v>
      </c>
      <c r="DE264" s="129">
        <v>12</v>
      </c>
      <c r="DF264" s="129">
        <v>12</v>
      </c>
      <c r="DG264" s="129">
        <v>12</v>
      </c>
      <c r="DH264" s="129">
        <v>25.9</v>
      </c>
      <c r="DJ264" s="129">
        <v>12</v>
      </c>
      <c r="DK264" s="129">
        <v>12</v>
      </c>
      <c r="DL264" s="129">
        <v>12</v>
      </c>
      <c r="DM264" s="129">
        <v>12</v>
      </c>
      <c r="DN264" s="129">
        <v>12</v>
      </c>
      <c r="DO264" s="129">
        <v>12</v>
      </c>
      <c r="DP264" s="129">
        <v>12</v>
      </c>
      <c r="DQ264" s="129">
        <v>12</v>
      </c>
      <c r="DR264" s="129">
        <v>12</v>
      </c>
      <c r="DS264" s="129">
        <v>25.9</v>
      </c>
      <c r="DW264" s="27"/>
      <c r="EQ264" s="129">
        <v>27.9</v>
      </c>
      <c r="ES264" s="27">
        <v>10.100000000000003</v>
      </c>
      <c r="ET264" s="27">
        <v>10.100000000000003</v>
      </c>
      <c r="EU264" s="27">
        <v>10.100000000000003</v>
      </c>
      <c r="EV264" s="27">
        <v>10.100000000000003</v>
      </c>
      <c r="EW264" s="27">
        <v>10.100000000000003</v>
      </c>
      <c r="EX264" s="27">
        <v>10.100000000000003</v>
      </c>
      <c r="EY264" s="27">
        <v>10.100000000000003</v>
      </c>
      <c r="EZ264" s="27">
        <v>10.100000000000003</v>
      </c>
      <c r="FA264" s="27">
        <v>10.100000000000003</v>
      </c>
      <c r="FB264" s="129">
        <v>27.9</v>
      </c>
      <c r="FD264" s="27">
        <v>13.200000000000006</v>
      </c>
      <c r="FE264" s="27">
        <v>13.200000000000006</v>
      </c>
      <c r="FF264" s="27">
        <v>13.200000000000006</v>
      </c>
      <c r="FG264" s="27">
        <v>13.200000000000006</v>
      </c>
      <c r="FH264" s="27">
        <v>13.200000000000006</v>
      </c>
      <c r="FI264" s="27">
        <v>13.200000000000006</v>
      </c>
      <c r="FJ264" s="27">
        <v>13.200000000000006</v>
      </c>
      <c r="FK264" s="27">
        <v>13.200000000000006</v>
      </c>
      <c r="FL264" s="27">
        <v>13.200000000000006</v>
      </c>
      <c r="FM264" s="129">
        <v>27.9</v>
      </c>
      <c r="FO264" s="27">
        <v>18.200000000000006</v>
      </c>
      <c r="FP264" s="27">
        <v>18.200000000000006</v>
      </c>
      <c r="FQ264" s="27">
        <v>18.200000000000006</v>
      </c>
      <c r="FR264" s="27">
        <v>18.200000000000006</v>
      </c>
      <c r="FS264" s="27">
        <v>18.200000000000006</v>
      </c>
      <c r="FT264" s="27">
        <v>18.200000000000006</v>
      </c>
      <c r="FU264" s="27">
        <v>18.200000000000006</v>
      </c>
      <c r="FV264" s="27">
        <v>18.200000000000006</v>
      </c>
      <c r="FW264" s="27">
        <v>18.200000000000006</v>
      </c>
      <c r="FX264" s="129">
        <v>27.9</v>
      </c>
      <c r="FZ264" s="27">
        <v>18.200000000000006</v>
      </c>
      <c r="GA264" s="27">
        <v>18.200000000000006</v>
      </c>
      <c r="GB264" s="27">
        <v>18.200000000000006</v>
      </c>
      <c r="GC264" s="27">
        <v>18.200000000000006</v>
      </c>
      <c r="GD264" s="27">
        <v>18.200000000000006</v>
      </c>
      <c r="GE264" s="27">
        <v>18.200000000000006</v>
      </c>
      <c r="GF264" s="27">
        <v>18.200000000000006</v>
      </c>
      <c r="GG264" s="27">
        <v>18.200000000000006</v>
      </c>
      <c r="GH264" s="27">
        <v>18.200000000000006</v>
      </c>
      <c r="GI264" s="129">
        <v>27.9</v>
      </c>
      <c r="GJ264" s="27"/>
      <c r="GK264" s="27">
        <v>7</v>
      </c>
      <c r="GL264" s="27">
        <v>7</v>
      </c>
      <c r="GM264" s="27">
        <v>7</v>
      </c>
      <c r="GN264" s="27">
        <v>7</v>
      </c>
      <c r="GO264" s="27">
        <v>7</v>
      </c>
      <c r="GP264" s="27">
        <v>7</v>
      </c>
      <c r="GQ264" s="27">
        <v>7</v>
      </c>
      <c r="GR264" s="27">
        <v>7</v>
      </c>
      <c r="GS264" s="27">
        <v>7</v>
      </c>
      <c r="GT264" s="129">
        <v>27.9</v>
      </c>
      <c r="GV264" s="27">
        <v>8</v>
      </c>
      <c r="GW264" s="27">
        <v>8</v>
      </c>
      <c r="GX264" s="27">
        <v>8</v>
      </c>
      <c r="GY264" s="27">
        <v>8</v>
      </c>
      <c r="GZ264" s="27">
        <v>8</v>
      </c>
      <c r="HA264" s="27">
        <v>8</v>
      </c>
      <c r="HB264" s="27">
        <v>8</v>
      </c>
      <c r="HC264" s="27">
        <v>8</v>
      </c>
      <c r="HD264" s="27">
        <v>8</v>
      </c>
      <c r="HE264" s="129">
        <v>27.9</v>
      </c>
      <c r="HG264" s="27">
        <v>11.100000000000003</v>
      </c>
      <c r="HH264" s="27">
        <v>11.100000000000003</v>
      </c>
      <c r="HI264" s="27">
        <v>11.100000000000003</v>
      </c>
      <c r="HJ264" s="27">
        <v>11.100000000000003</v>
      </c>
      <c r="HK264" s="27">
        <v>11.100000000000003</v>
      </c>
      <c r="HL264" s="27">
        <v>11.100000000000003</v>
      </c>
      <c r="HM264" s="27">
        <v>11.100000000000003</v>
      </c>
      <c r="HN264" s="27">
        <v>11.100000000000003</v>
      </c>
      <c r="HO264" s="27">
        <v>11.100000000000003</v>
      </c>
      <c r="HP264" s="129">
        <v>27.9</v>
      </c>
      <c r="HR264" s="27">
        <v>11.100000000000003</v>
      </c>
      <c r="HS264" s="27">
        <v>11.100000000000003</v>
      </c>
      <c r="HT264" s="27">
        <v>11.100000000000003</v>
      </c>
      <c r="HU264" s="27">
        <v>11.100000000000003</v>
      </c>
      <c r="HV264" s="27">
        <v>11.100000000000003</v>
      </c>
      <c r="HW264" s="27">
        <v>11.100000000000003</v>
      </c>
      <c r="HX264" s="27">
        <v>11.100000000000003</v>
      </c>
      <c r="HY264" s="27">
        <v>11.100000000000003</v>
      </c>
      <c r="HZ264" s="27">
        <v>11.100000000000003</v>
      </c>
      <c r="IA264" s="129">
        <v>27.9</v>
      </c>
    </row>
    <row r="265" spans="15:235" ht="3" customHeight="1">
      <c r="O265" s="17"/>
      <c r="P265" s="17"/>
      <c r="Q265" s="17"/>
      <c r="R265" s="17"/>
      <c r="S265" s="17"/>
      <c r="T265" s="17"/>
      <c r="U265" s="17"/>
      <c r="V265" s="17"/>
      <c r="W265" s="17"/>
      <c r="X265" s="129">
        <v>26</v>
      </c>
      <c r="Y265" s="27"/>
      <c r="AI265" s="129">
        <v>26</v>
      </c>
      <c r="AK265" s="129">
        <v>5</v>
      </c>
      <c r="AL265" s="129">
        <v>5</v>
      </c>
      <c r="AM265" s="129">
        <v>5</v>
      </c>
      <c r="AN265" s="129">
        <v>5</v>
      </c>
      <c r="AO265" s="129">
        <v>5</v>
      </c>
      <c r="AP265" s="129">
        <v>5</v>
      </c>
      <c r="AQ265" s="129">
        <v>5</v>
      </c>
      <c r="AR265" s="129">
        <v>5</v>
      </c>
      <c r="AS265" s="129">
        <v>5</v>
      </c>
      <c r="AT265" s="129">
        <v>26</v>
      </c>
      <c r="AV265" s="129">
        <v>7</v>
      </c>
      <c r="AW265" s="129">
        <v>7</v>
      </c>
      <c r="AX265" s="129">
        <v>7</v>
      </c>
      <c r="AY265" s="129">
        <v>7</v>
      </c>
      <c r="AZ265" s="129">
        <v>7</v>
      </c>
      <c r="BA265" s="129">
        <v>7</v>
      </c>
      <c r="BB265" s="129">
        <v>7</v>
      </c>
      <c r="BC265" s="129">
        <v>7</v>
      </c>
      <c r="BD265" s="129">
        <v>7</v>
      </c>
      <c r="BE265" s="129">
        <v>26</v>
      </c>
      <c r="BG265" s="129">
        <v>9</v>
      </c>
      <c r="BH265" s="129">
        <v>9</v>
      </c>
      <c r="BI265" s="129">
        <v>9</v>
      </c>
      <c r="BJ265" s="129">
        <v>9</v>
      </c>
      <c r="BK265" s="129">
        <v>9</v>
      </c>
      <c r="BL265" s="129">
        <v>9</v>
      </c>
      <c r="BM265" s="129">
        <v>9</v>
      </c>
      <c r="BN265" s="129">
        <v>9</v>
      </c>
      <c r="BO265" s="129">
        <v>9</v>
      </c>
      <c r="BP265" s="129">
        <v>26</v>
      </c>
      <c r="BR265" s="129">
        <v>9</v>
      </c>
      <c r="BS265" s="129">
        <v>9</v>
      </c>
      <c r="BT265" s="129">
        <v>9</v>
      </c>
      <c r="BU265" s="129">
        <v>9</v>
      </c>
      <c r="BV265" s="129">
        <v>9</v>
      </c>
      <c r="BW265" s="129">
        <v>9</v>
      </c>
      <c r="BX265" s="129">
        <v>9</v>
      </c>
      <c r="BY265" s="129">
        <v>9</v>
      </c>
      <c r="BZ265" s="129">
        <v>9</v>
      </c>
      <c r="CA265" s="129">
        <v>26</v>
      </c>
      <c r="CC265" s="129">
        <v>6</v>
      </c>
      <c r="CD265" s="129">
        <v>6</v>
      </c>
      <c r="CE265" s="129">
        <v>6</v>
      </c>
      <c r="CF265" s="129">
        <v>6</v>
      </c>
      <c r="CG265" s="129">
        <v>6</v>
      </c>
      <c r="CH265" s="129">
        <v>6</v>
      </c>
      <c r="CI265" s="129">
        <v>6</v>
      </c>
      <c r="CJ265" s="129">
        <v>6</v>
      </c>
      <c r="CK265" s="129">
        <v>6</v>
      </c>
      <c r="CL265" s="129">
        <v>26</v>
      </c>
      <c r="CN265" s="129">
        <v>9</v>
      </c>
      <c r="CO265" s="129">
        <v>9</v>
      </c>
      <c r="CP265" s="129">
        <v>9</v>
      </c>
      <c r="CQ265" s="129">
        <v>9</v>
      </c>
      <c r="CR265" s="129">
        <v>9</v>
      </c>
      <c r="CS265" s="129">
        <v>9</v>
      </c>
      <c r="CT265" s="129">
        <v>9</v>
      </c>
      <c r="CU265" s="129">
        <v>9</v>
      </c>
      <c r="CV265" s="129">
        <v>9</v>
      </c>
      <c r="CW265" s="129">
        <v>26</v>
      </c>
      <c r="CY265" s="129">
        <v>12</v>
      </c>
      <c r="CZ265" s="129">
        <v>12</v>
      </c>
      <c r="DA265" s="129">
        <v>12</v>
      </c>
      <c r="DB265" s="129">
        <v>12</v>
      </c>
      <c r="DC265" s="129">
        <v>12</v>
      </c>
      <c r="DD265" s="129">
        <v>12</v>
      </c>
      <c r="DE265" s="129">
        <v>12</v>
      </c>
      <c r="DF265" s="129">
        <v>12</v>
      </c>
      <c r="DG265" s="129">
        <v>12</v>
      </c>
      <c r="DH265" s="129">
        <v>26</v>
      </c>
      <c r="DJ265" s="129">
        <v>12</v>
      </c>
      <c r="DK265" s="129">
        <v>12</v>
      </c>
      <c r="DL265" s="129">
        <v>12</v>
      </c>
      <c r="DM265" s="129">
        <v>12</v>
      </c>
      <c r="DN265" s="129">
        <v>12</v>
      </c>
      <c r="DO265" s="129">
        <v>12</v>
      </c>
      <c r="DP265" s="129">
        <v>12</v>
      </c>
      <c r="DQ265" s="129">
        <v>12</v>
      </c>
      <c r="DR265" s="129">
        <v>12</v>
      </c>
      <c r="DS265" s="129">
        <v>26</v>
      </c>
      <c r="DW265" s="27"/>
      <c r="EQ265" s="129">
        <v>28</v>
      </c>
      <c r="ES265" s="27">
        <v>10</v>
      </c>
      <c r="ET265" s="27">
        <v>10</v>
      </c>
      <c r="EU265" s="27">
        <v>10</v>
      </c>
      <c r="EV265" s="27">
        <v>10</v>
      </c>
      <c r="EW265" s="27">
        <v>10</v>
      </c>
      <c r="EX265" s="27">
        <v>10</v>
      </c>
      <c r="EY265" s="27">
        <v>10</v>
      </c>
      <c r="EZ265" s="27">
        <v>10</v>
      </c>
      <c r="FA265" s="27">
        <v>10</v>
      </c>
      <c r="FB265" s="129">
        <v>28</v>
      </c>
      <c r="FD265" s="27">
        <v>13</v>
      </c>
      <c r="FE265" s="27">
        <v>13</v>
      </c>
      <c r="FF265" s="27">
        <v>13</v>
      </c>
      <c r="FG265" s="27">
        <v>13</v>
      </c>
      <c r="FH265" s="27">
        <v>13</v>
      </c>
      <c r="FI265" s="27">
        <v>13</v>
      </c>
      <c r="FJ265" s="27">
        <v>13</v>
      </c>
      <c r="FK265" s="27">
        <v>13</v>
      </c>
      <c r="FL265" s="27">
        <v>13</v>
      </c>
      <c r="FM265" s="129">
        <v>28</v>
      </c>
      <c r="FO265" s="27">
        <v>18</v>
      </c>
      <c r="FP265" s="27">
        <v>18</v>
      </c>
      <c r="FQ265" s="27">
        <v>18</v>
      </c>
      <c r="FR265" s="27">
        <v>18</v>
      </c>
      <c r="FS265" s="27">
        <v>18</v>
      </c>
      <c r="FT265" s="27">
        <v>18</v>
      </c>
      <c r="FU265" s="27">
        <v>18</v>
      </c>
      <c r="FV265" s="27">
        <v>18</v>
      </c>
      <c r="FW265" s="27">
        <v>18</v>
      </c>
      <c r="FX265" s="129">
        <v>28</v>
      </c>
      <c r="FZ265" s="27">
        <v>18</v>
      </c>
      <c r="GA265" s="27">
        <v>18</v>
      </c>
      <c r="GB265" s="27">
        <v>18</v>
      </c>
      <c r="GC265" s="27">
        <v>18</v>
      </c>
      <c r="GD265" s="27">
        <v>18</v>
      </c>
      <c r="GE265" s="27">
        <v>18</v>
      </c>
      <c r="GF265" s="27">
        <v>18</v>
      </c>
      <c r="GG265" s="27">
        <v>18</v>
      </c>
      <c r="GH265" s="27">
        <v>18</v>
      </c>
      <c r="GI265" s="129">
        <v>28</v>
      </c>
      <c r="GJ265" s="27"/>
      <c r="GK265" s="27">
        <v>7</v>
      </c>
      <c r="GL265" s="27">
        <v>7</v>
      </c>
      <c r="GM265" s="27">
        <v>7</v>
      </c>
      <c r="GN265" s="27">
        <v>7</v>
      </c>
      <c r="GO265" s="27">
        <v>7</v>
      </c>
      <c r="GP265" s="27">
        <v>7</v>
      </c>
      <c r="GQ265" s="27">
        <v>7</v>
      </c>
      <c r="GR265" s="27">
        <v>7</v>
      </c>
      <c r="GS265" s="27">
        <v>7</v>
      </c>
      <c r="GT265" s="129">
        <v>28</v>
      </c>
      <c r="GV265" s="27">
        <v>8</v>
      </c>
      <c r="GW265" s="27">
        <v>8</v>
      </c>
      <c r="GX265" s="27">
        <v>8</v>
      </c>
      <c r="GY265" s="27">
        <v>8</v>
      </c>
      <c r="GZ265" s="27">
        <v>8</v>
      </c>
      <c r="HA265" s="27">
        <v>8</v>
      </c>
      <c r="HB265" s="27">
        <v>8</v>
      </c>
      <c r="HC265" s="27">
        <v>8</v>
      </c>
      <c r="HD265" s="27">
        <v>8</v>
      </c>
      <c r="HE265" s="129">
        <v>28</v>
      </c>
      <c r="HG265" s="27">
        <v>11</v>
      </c>
      <c r="HH265" s="27">
        <v>11</v>
      </c>
      <c r="HI265" s="27">
        <v>11</v>
      </c>
      <c r="HJ265" s="27">
        <v>11</v>
      </c>
      <c r="HK265" s="27">
        <v>11</v>
      </c>
      <c r="HL265" s="27">
        <v>11</v>
      </c>
      <c r="HM265" s="27">
        <v>11</v>
      </c>
      <c r="HN265" s="27">
        <v>11</v>
      </c>
      <c r="HO265" s="27">
        <v>11</v>
      </c>
      <c r="HP265" s="129">
        <v>28</v>
      </c>
      <c r="HR265" s="27">
        <v>11</v>
      </c>
      <c r="HS265" s="27">
        <v>11</v>
      </c>
      <c r="HT265" s="27">
        <v>11</v>
      </c>
      <c r="HU265" s="27">
        <v>11</v>
      </c>
      <c r="HV265" s="27">
        <v>11</v>
      </c>
      <c r="HW265" s="27">
        <v>11</v>
      </c>
      <c r="HX265" s="27">
        <v>11</v>
      </c>
      <c r="HY265" s="27">
        <v>11</v>
      </c>
      <c r="HZ265" s="27">
        <v>11</v>
      </c>
      <c r="IA265" s="129">
        <v>28</v>
      </c>
    </row>
    <row r="266" spans="15:235">
      <c r="O266" s="17"/>
      <c r="P266" s="17"/>
      <c r="Q266" s="17"/>
      <c r="R266" s="17"/>
      <c r="S266" s="17"/>
      <c r="T266" s="17"/>
      <c r="U266" s="17"/>
      <c r="V266" s="17"/>
      <c r="W266" s="17"/>
      <c r="X266" s="129">
        <v>26.1</v>
      </c>
      <c r="Y266" s="27"/>
      <c r="AI266" s="129">
        <v>26.1</v>
      </c>
      <c r="AK266" s="129">
        <v>5</v>
      </c>
      <c r="AL266" s="129">
        <v>5</v>
      </c>
      <c r="AM266" s="129">
        <v>5</v>
      </c>
      <c r="AN266" s="129">
        <v>5</v>
      </c>
      <c r="AO266" s="129">
        <v>5</v>
      </c>
      <c r="AP266" s="129">
        <v>5</v>
      </c>
      <c r="AQ266" s="129">
        <v>5</v>
      </c>
      <c r="AR266" s="129">
        <v>5</v>
      </c>
      <c r="AS266" s="129">
        <v>5</v>
      </c>
      <c r="AT266" s="129">
        <v>26.1</v>
      </c>
      <c r="AV266" s="129">
        <v>6.9</v>
      </c>
      <c r="AW266" s="129">
        <v>6.9</v>
      </c>
      <c r="AX266" s="129">
        <v>6.9</v>
      </c>
      <c r="AY266" s="129">
        <v>6.9</v>
      </c>
      <c r="AZ266" s="129">
        <v>6.9</v>
      </c>
      <c r="BA266" s="129">
        <v>6.9</v>
      </c>
      <c r="BB266" s="129">
        <v>6.9</v>
      </c>
      <c r="BC266" s="129">
        <v>6.9</v>
      </c>
      <c r="BD266" s="129">
        <v>6.9</v>
      </c>
      <c r="BE266" s="129">
        <v>26.1</v>
      </c>
      <c r="BG266" s="129">
        <v>8.9</v>
      </c>
      <c r="BH266" s="129">
        <v>8.9</v>
      </c>
      <c r="BI266" s="129">
        <v>8.9</v>
      </c>
      <c r="BJ266" s="129">
        <v>8.9</v>
      </c>
      <c r="BK266" s="129">
        <v>8.9</v>
      </c>
      <c r="BL266" s="129">
        <v>8.9</v>
      </c>
      <c r="BM266" s="129">
        <v>8.9</v>
      </c>
      <c r="BN266" s="129">
        <v>8.9</v>
      </c>
      <c r="BO266" s="129">
        <v>8.9</v>
      </c>
      <c r="BP266" s="129">
        <v>26.1</v>
      </c>
      <c r="BR266" s="129">
        <v>8.9</v>
      </c>
      <c r="BS266" s="129">
        <v>8.9</v>
      </c>
      <c r="BT266" s="129">
        <v>8.9</v>
      </c>
      <c r="BU266" s="129">
        <v>8.9</v>
      </c>
      <c r="BV266" s="129">
        <v>8.9</v>
      </c>
      <c r="BW266" s="129">
        <v>8.9</v>
      </c>
      <c r="BX266" s="129">
        <v>8.9</v>
      </c>
      <c r="BY266" s="129">
        <v>8.9</v>
      </c>
      <c r="BZ266" s="129">
        <v>8.9</v>
      </c>
      <c r="CA266" s="129">
        <v>26.1</v>
      </c>
      <c r="CC266" s="129">
        <v>5.9</v>
      </c>
      <c r="CD266" s="129">
        <v>5.9</v>
      </c>
      <c r="CE266" s="129">
        <v>5.9</v>
      </c>
      <c r="CF266" s="129">
        <v>5.9</v>
      </c>
      <c r="CG266" s="129">
        <v>5.9</v>
      </c>
      <c r="CH266" s="129">
        <v>5.9</v>
      </c>
      <c r="CI266" s="129">
        <v>5.9</v>
      </c>
      <c r="CJ266" s="129">
        <v>5.9</v>
      </c>
      <c r="CK266" s="129">
        <v>5.9</v>
      </c>
      <c r="CL266" s="129">
        <v>26.1</v>
      </c>
      <c r="CN266" s="129">
        <v>8.9</v>
      </c>
      <c r="CO266" s="129">
        <v>8.9</v>
      </c>
      <c r="CP266" s="129">
        <v>8.9</v>
      </c>
      <c r="CQ266" s="129">
        <v>8.9</v>
      </c>
      <c r="CR266" s="129">
        <v>8.9</v>
      </c>
      <c r="CS266" s="129">
        <v>8.9</v>
      </c>
      <c r="CT266" s="129">
        <v>8.9</v>
      </c>
      <c r="CU266" s="129">
        <v>8.9</v>
      </c>
      <c r="CV266" s="129">
        <v>8.9</v>
      </c>
      <c r="CW266" s="129">
        <v>26.1</v>
      </c>
      <c r="CY266" s="129">
        <v>11.9</v>
      </c>
      <c r="CZ266" s="129">
        <v>11.9</v>
      </c>
      <c r="DA266" s="129">
        <v>11.9</v>
      </c>
      <c r="DB266" s="129">
        <v>11.9</v>
      </c>
      <c r="DC266" s="129">
        <v>11.9</v>
      </c>
      <c r="DD266" s="129">
        <v>11.9</v>
      </c>
      <c r="DE266" s="129">
        <v>11.9</v>
      </c>
      <c r="DF266" s="129">
        <v>11.9</v>
      </c>
      <c r="DG266" s="129">
        <v>11.9</v>
      </c>
      <c r="DH266" s="129">
        <v>26.1</v>
      </c>
      <c r="DJ266" s="129">
        <v>11.9</v>
      </c>
      <c r="DK266" s="129">
        <v>11.9</v>
      </c>
      <c r="DL266" s="129">
        <v>11.9</v>
      </c>
      <c r="DM266" s="129">
        <v>11.9</v>
      </c>
      <c r="DN266" s="129">
        <v>11.9</v>
      </c>
      <c r="DO266" s="129">
        <v>11.9</v>
      </c>
      <c r="DP266" s="129">
        <v>11.9</v>
      </c>
      <c r="DQ266" s="129">
        <v>11.9</v>
      </c>
      <c r="DR266" s="129">
        <v>11.9</v>
      </c>
      <c r="DS266" s="129">
        <v>26.1</v>
      </c>
      <c r="DW266" s="27"/>
      <c r="EQ266" s="129">
        <v>28.1</v>
      </c>
      <c r="ES266" s="27">
        <v>9.9</v>
      </c>
      <c r="ET266" s="27">
        <v>9.9</v>
      </c>
      <c r="EU266" s="27">
        <v>9.9</v>
      </c>
      <c r="EV266" s="27">
        <v>9.9</v>
      </c>
      <c r="EW266" s="27">
        <v>9.9</v>
      </c>
      <c r="EX266" s="27">
        <v>9.9</v>
      </c>
      <c r="EY266" s="27">
        <v>9.9</v>
      </c>
      <c r="EZ266" s="27">
        <v>9.9</v>
      </c>
      <c r="FA266" s="27">
        <v>9.9</v>
      </c>
      <c r="FB266" s="129">
        <v>28.1</v>
      </c>
      <c r="FD266" s="27">
        <v>12.9</v>
      </c>
      <c r="FE266" s="27">
        <v>12.9</v>
      </c>
      <c r="FF266" s="27">
        <v>12.9</v>
      </c>
      <c r="FG266" s="27">
        <v>12.9</v>
      </c>
      <c r="FH266" s="27">
        <v>12.9</v>
      </c>
      <c r="FI266" s="27">
        <v>12.9</v>
      </c>
      <c r="FJ266" s="27">
        <v>12.9</v>
      </c>
      <c r="FK266" s="27">
        <v>12.9</v>
      </c>
      <c r="FL266" s="27">
        <v>12.9</v>
      </c>
      <c r="FM266" s="129">
        <v>28.1</v>
      </c>
      <c r="FO266" s="27">
        <v>17.8</v>
      </c>
      <c r="FP266" s="27">
        <v>17.8</v>
      </c>
      <c r="FQ266" s="27">
        <v>17.8</v>
      </c>
      <c r="FR266" s="27">
        <v>17.8</v>
      </c>
      <c r="FS266" s="27">
        <v>17.8</v>
      </c>
      <c r="FT266" s="27">
        <v>17.8</v>
      </c>
      <c r="FU266" s="27">
        <v>17.8</v>
      </c>
      <c r="FV266" s="27">
        <v>17.8</v>
      </c>
      <c r="FW266" s="27">
        <v>17.8</v>
      </c>
      <c r="FX266" s="129">
        <v>28.1</v>
      </c>
      <c r="FZ266" s="27">
        <v>17.8</v>
      </c>
      <c r="GA266" s="27">
        <v>17.8</v>
      </c>
      <c r="GB266" s="27">
        <v>17.8</v>
      </c>
      <c r="GC266" s="27">
        <v>17.8</v>
      </c>
      <c r="GD266" s="27">
        <v>17.8</v>
      </c>
      <c r="GE266" s="27">
        <v>17.8</v>
      </c>
      <c r="GF266" s="27">
        <v>17.8</v>
      </c>
      <c r="GG266" s="27">
        <v>17.8</v>
      </c>
      <c r="GH266" s="27">
        <v>17.8</v>
      </c>
      <c r="GI266" s="129">
        <v>28.1</v>
      </c>
      <c r="GJ266" s="27"/>
      <c r="GK266" s="27">
        <v>6.9</v>
      </c>
      <c r="GL266" s="27">
        <v>6.9</v>
      </c>
      <c r="GM266" s="27">
        <v>6.9</v>
      </c>
      <c r="GN266" s="27">
        <v>6.9</v>
      </c>
      <c r="GO266" s="27">
        <v>6.9</v>
      </c>
      <c r="GP266" s="27">
        <v>6.9</v>
      </c>
      <c r="GQ266" s="27">
        <v>6.9</v>
      </c>
      <c r="GR266" s="27">
        <v>6.9</v>
      </c>
      <c r="GS266" s="27">
        <v>6.9</v>
      </c>
      <c r="GT266" s="129">
        <v>28.1</v>
      </c>
      <c r="GV266" s="27">
        <v>8</v>
      </c>
      <c r="GW266" s="27">
        <v>8</v>
      </c>
      <c r="GX266" s="27">
        <v>8</v>
      </c>
      <c r="GY266" s="27">
        <v>8</v>
      </c>
      <c r="GZ266" s="27">
        <v>8</v>
      </c>
      <c r="HA266" s="27">
        <v>8</v>
      </c>
      <c r="HB266" s="27">
        <v>8</v>
      </c>
      <c r="HC266" s="27">
        <v>8</v>
      </c>
      <c r="HD266" s="27">
        <v>8</v>
      </c>
      <c r="HE266" s="129">
        <v>28.1</v>
      </c>
      <c r="HG266" s="27">
        <v>11</v>
      </c>
      <c r="HH266" s="27">
        <v>11</v>
      </c>
      <c r="HI266" s="27">
        <v>11</v>
      </c>
      <c r="HJ266" s="27">
        <v>11</v>
      </c>
      <c r="HK266" s="27">
        <v>11</v>
      </c>
      <c r="HL266" s="27">
        <v>11</v>
      </c>
      <c r="HM266" s="27">
        <v>11</v>
      </c>
      <c r="HN266" s="27">
        <v>11</v>
      </c>
      <c r="HO266" s="27">
        <v>11</v>
      </c>
      <c r="HP266" s="129">
        <v>28.1</v>
      </c>
      <c r="HR266" s="27">
        <v>11</v>
      </c>
      <c r="HS266" s="27">
        <v>11</v>
      </c>
      <c r="HT266" s="27">
        <v>11</v>
      </c>
      <c r="HU266" s="27">
        <v>11</v>
      </c>
      <c r="HV266" s="27">
        <v>11</v>
      </c>
      <c r="HW266" s="27">
        <v>11</v>
      </c>
      <c r="HX266" s="27">
        <v>11</v>
      </c>
      <c r="HY266" s="27">
        <v>11</v>
      </c>
      <c r="HZ266" s="27">
        <v>11</v>
      </c>
      <c r="IA266" s="129">
        <v>28.1</v>
      </c>
    </row>
    <row r="267" spans="15:235" ht="3" customHeight="1">
      <c r="O267" s="17"/>
      <c r="P267" s="17"/>
      <c r="Q267" s="17"/>
      <c r="R267" s="17"/>
      <c r="S267" s="17"/>
      <c r="T267" s="17"/>
      <c r="U267" s="17"/>
      <c r="V267" s="17"/>
      <c r="W267" s="17"/>
      <c r="X267" s="129">
        <v>26.2</v>
      </c>
      <c r="Y267" s="27"/>
      <c r="AI267" s="129">
        <v>26.2</v>
      </c>
      <c r="AK267" s="129">
        <v>5</v>
      </c>
      <c r="AL267" s="129">
        <v>5</v>
      </c>
      <c r="AM267" s="129">
        <v>5</v>
      </c>
      <c r="AN267" s="129">
        <v>5</v>
      </c>
      <c r="AO267" s="129">
        <v>5</v>
      </c>
      <c r="AP267" s="129">
        <v>5</v>
      </c>
      <c r="AQ267" s="129">
        <v>5</v>
      </c>
      <c r="AR267" s="129">
        <v>5</v>
      </c>
      <c r="AS267" s="129">
        <v>5</v>
      </c>
      <c r="AT267" s="129">
        <v>26.2</v>
      </c>
      <c r="AV267" s="129">
        <v>6.8000000000000007</v>
      </c>
      <c r="AW267" s="129">
        <v>6.8000000000000007</v>
      </c>
      <c r="AX267" s="129">
        <v>6.8000000000000007</v>
      </c>
      <c r="AY267" s="129">
        <v>6.8000000000000007</v>
      </c>
      <c r="AZ267" s="129">
        <v>6.8000000000000007</v>
      </c>
      <c r="BA267" s="129">
        <v>6.8000000000000007</v>
      </c>
      <c r="BB267" s="129">
        <v>6.8000000000000007</v>
      </c>
      <c r="BC267" s="129">
        <v>6.8000000000000007</v>
      </c>
      <c r="BD267" s="129">
        <v>6.8000000000000007</v>
      </c>
      <c r="BE267" s="129">
        <v>26.2</v>
      </c>
      <c r="BG267" s="129">
        <v>8.8000000000000007</v>
      </c>
      <c r="BH267" s="129">
        <v>8.8000000000000007</v>
      </c>
      <c r="BI267" s="129">
        <v>8.8000000000000007</v>
      </c>
      <c r="BJ267" s="129">
        <v>8.8000000000000007</v>
      </c>
      <c r="BK267" s="129">
        <v>8.8000000000000007</v>
      </c>
      <c r="BL267" s="129">
        <v>8.8000000000000007</v>
      </c>
      <c r="BM267" s="129">
        <v>8.8000000000000007</v>
      </c>
      <c r="BN267" s="129">
        <v>8.8000000000000007</v>
      </c>
      <c r="BO267" s="129">
        <v>8.8000000000000007</v>
      </c>
      <c r="BP267" s="129">
        <v>26.2</v>
      </c>
      <c r="BR267" s="129">
        <v>8.8000000000000007</v>
      </c>
      <c r="BS267" s="129">
        <v>8.8000000000000007</v>
      </c>
      <c r="BT267" s="129">
        <v>8.8000000000000007</v>
      </c>
      <c r="BU267" s="129">
        <v>8.8000000000000007</v>
      </c>
      <c r="BV267" s="129">
        <v>8.8000000000000007</v>
      </c>
      <c r="BW267" s="129">
        <v>8.8000000000000007</v>
      </c>
      <c r="BX267" s="129">
        <v>8.8000000000000007</v>
      </c>
      <c r="BY267" s="129">
        <v>8.8000000000000007</v>
      </c>
      <c r="BZ267" s="129">
        <v>8.8000000000000007</v>
      </c>
      <c r="CA267" s="129">
        <v>26.2</v>
      </c>
      <c r="CC267" s="129">
        <v>5.8000000000000007</v>
      </c>
      <c r="CD267" s="129">
        <v>5.8000000000000007</v>
      </c>
      <c r="CE267" s="129">
        <v>5.8000000000000007</v>
      </c>
      <c r="CF267" s="129">
        <v>5.8000000000000007</v>
      </c>
      <c r="CG267" s="129">
        <v>5.8000000000000007</v>
      </c>
      <c r="CH267" s="129">
        <v>5.8000000000000007</v>
      </c>
      <c r="CI267" s="129">
        <v>5.8000000000000007</v>
      </c>
      <c r="CJ267" s="129">
        <v>5.8000000000000007</v>
      </c>
      <c r="CK267" s="129">
        <v>5.8000000000000007</v>
      </c>
      <c r="CL267" s="129">
        <v>26.2</v>
      </c>
      <c r="CN267" s="129">
        <v>8.8000000000000007</v>
      </c>
      <c r="CO267" s="129">
        <v>8.8000000000000007</v>
      </c>
      <c r="CP267" s="129">
        <v>8.8000000000000007</v>
      </c>
      <c r="CQ267" s="129">
        <v>8.8000000000000007</v>
      </c>
      <c r="CR267" s="129">
        <v>8.8000000000000007</v>
      </c>
      <c r="CS267" s="129">
        <v>8.8000000000000007</v>
      </c>
      <c r="CT267" s="129">
        <v>8.8000000000000007</v>
      </c>
      <c r="CU267" s="129">
        <v>8.8000000000000007</v>
      </c>
      <c r="CV267" s="129">
        <v>8.8000000000000007</v>
      </c>
      <c r="CW267" s="129">
        <v>26.2</v>
      </c>
      <c r="CY267" s="129">
        <v>11.8</v>
      </c>
      <c r="CZ267" s="129">
        <v>11.8</v>
      </c>
      <c r="DA267" s="129">
        <v>11.8</v>
      </c>
      <c r="DB267" s="129">
        <v>11.8</v>
      </c>
      <c r="DC267" s="129">
        <v>11.8</v>
      </c>
      <c r="DD267" s="129">
        <v>11.8</v>
      </c>
      <c r="DE267" s="129">
        <v>11.8</v>
      </c>
      <c r="DF267" s="129">
        <v>11.8</v>
      </c>
      <c r="DG267" s="129">
        <v>11.8</v>
      </c>
      <c r="DH267" s="129">
        <v>26.2</v>
      </c>
      <c r="DJ267" s="129">
        <v>11.8</v>
      </c>
      <c r="DK267" s="129">
        <v>11.8</v>
      </c>
      <c r="DL267" s="129">
        <v>11.8</v>
      </c>
      <c r="DM267" s="129">
        <v>11.8</v>
      </c>
      <c r="DN267" s="129">
        <v>11.8</v>
      </c>
      <c r="DO267" s="129">
        <v>11.8</v>
      </c>
      <c r="DP267" s="129">
        <v>11.8</v>
      </c>
      <c r="DQ267" s="129">
        <v>11.8</v>
      </c>
      <c r="DR267" s="129">
        <v>11.8</v>
      </c>
      <c r="DS267" s="129">
        <v>26.2</v>
      </c>
      <c r="DW267" s="27"/>
      <c r="EQ267" s="129">
        <v>28.2</v>
      </c>
      <c r="ES267" s="27">
        <v>9.8000000000000007</v>
      </c>
      <c r="ET267" s="27">
        <v>9.8000000000000007</v>
      </c>
      <c r="EU267" s="27">
        <v>9.8000000000000007</v>
      </c>
      <c r="EV267" s="27">
        <v>9.8000000000000007</v>
      </c>
      <c r="EW267" s="27">
        <v>9.8000000000000007</v>
      </c>
      <c r="EX267" s="27">
        <v>9.8000000000000007</v>
      </c>
      <c r="EY267" s="27">
        <v>9.8000000000000007</v>
      </c>
      <c r="EZ267" s="27">
        <v>9.8000000000000007</v>
      </c>
      <c r="FA267" s="27">
        <v>9.8000000000000007</v>
      </c>
      <c r="FB267" s="129">
        <v>28.2</v>
      </c>
      <c r="FD267" s="27">
        <v>12.8</v>
      </c>
      <c r="FE267" s="27">
        <v>12.8</v>
      </c>
      <c r="FF267" s="27">
        <v>12.8</v>
      </c>
      <c r="FG267" s="27">
        <v>12.8</v>
      </c>
      <c r="FH267" s="27">
        <v>12.8</v>
      </c>
      <c r="FI267" s="27">
        <v>12.8</v>
      </c>
      <c r="FJ267" s="27">
        <v>12.8</v>
      </c>
      <c r="FK267" s="27">
        <v>12.8</v>
      </c>
      <c r="FL267" s="27">
        <v>12.8</v>
      </c>
      <c r="FM267" s="129">
        <v>28.2</v>
      </c>
      <c r="FO267" s="27">
        <v>17.600000000000001</v>
      </c>
      <c r="FP267" s="27">
        <v>17.600000000000001</v>
      </c>
      <c r="FQ267" s="27">
        <v>17.600000000000001</v>
      </c>
      <c r="FR267" s="27">
        <v>17.600000000000001</v>
      </c>
      <c r="FS267" s="27">
        <v>17.600000000000001</v>
      </c>
      <c r="FT267" s="27">
        <v>17.600000000000001</v>
      </c>
      <c r="FU267" s="27">
        <v>17.600000000000001</v>
      </c>
      <c r="FV267" s="27">
        <v>17.600000000000001</v>
      </c>
      <c r="FW267" s="27">
        <v>17.600000000000001</v>
      </c>
      <c r="FX267" s="129">
        <v>28.2</v>
      </c>
      <c r="FZ267" s="27">
        <v>17.600000000000001</v>
      </c>
      <c r="GA267" s="27">
        <v>17.600000000000001</v>
      </c>
      <c r="GB267" s="27">
        <v>17.600000000000001</v>
      </c>
      <c r="GC267" s="27">
        <v>17.600000000000001</v>
      </c>
      <c r="GD267" s="27">
        <v>17.600000000000001</v>
      </c>
      <c r="GE267" s="27">
        <v>17.600000000000001</v>
      </c>
      <c r="GF267" s="27">
        <v>17.600000000000001</v>
      </c>
      <c r="GG267" s="27">
        <v>17.600000000000001</v>
      </c>
      <c r="GH267" s="27">
        <v>17.600000000000001</v>
      </c>
      <c r="GI267" s="129">
        <v>28.2</v>
      </c>
      <c r="GJ267" s="27"/>
      <c r="GK267" s="27">
        <v>6.8000000000000007</v>
      </c>
      <c r="GL267" s="27">
        <v>6.8000000000000007</v>
      </c>
      <c r="GM267" s="27">
        <v>6.8000000000000007</v>
      </c>
      <c r="GN267" s="27">
        <v>6.8000000000000007</v>
      </c>
      <c r="GO267" s="27">
        <v>6.8000000000000007</v>
      </c>
      <c r="GP267" s="27">
        <v>6.8000000000000007</v>
      </c>
      <c r="GQ267" s="27">
        <v>6.8000000000000007</v>
      </c>
      <c r="GR267" s="27">
        <v>6.8000000000000007</v>
      </c>
      <c r="GS267" s="27">
        <v>6.8000000000000007</v>
      </c>
      <c r="GT267" s="129">
        <v>28.2</v>
      </c>
      <c r="GV267" s="27">
        <v>8</v>
      </c>
      <c r="GW267" s="27">
        <v>8</v>
      </c>
      <c r="GX267" s="27">
        <v>8</v>
      </c>
      <c r="GY267" s="27">
        <v>8</v>
      </c>
      <c r="GZ267" s="27">
        <v>8</v>
      </c>
      <c r="HA267" s="27">
        <v>8</v>
      </c>
      <c r="HB267" s="27">
        <v>8</v>
      </c>
      <c r="HC267" s="27">
        <v>8</v>
      </c>
      <c r="HD267" s="27">
        <v>8</v>
      </c>
      <c r="HE267" s="129">
        <v>28.2</v>
      </c>
      <c r="HG267" s="27">
        <v>11</v>
      </c>
      <c r="HH267" s="27">
        <v>11</v>
      </c>
      <c r="HI267" s="27">
        <v>11</v>
      </c>
      <c r="HJ267" s="27">
        <v>11</v>
      </c>
      <c r="HK267" s="27">
        <v>11</v>
      </c>
      <c r="HL267" s="27">
        <v>11</v>
      </c>
      <c r="HM267" s="27">
        <v>11</v>
      </c>
      <c r="HN267" s="27">
        <v>11</v>
      </c>
      <c r="HO267" s="27">
        <v>11</v>
      </c>
      <c r="HP267" s="129">
        <v>28.2</v>
      </c>
      <c r="HR267" s="27">
        <v>11</v>
      </c>
      <c r="HS267" s="27">
        <v>11</v>
      </c>
      <c r="HT267" s="27">
        <v>11</v>
      </c>
      <c r="HU267" s="27">
        <v>11</v>
      </c>
      <c r="HV267" s="27">
        <v>11</v>
      </c>
      <c r="HW267" s="27">
        <v>11</v>
      </c>
      <c r="HX267" s="27">
        <v>11</v>
      </c>
      <c r="HY267" s="27">
        <v>11</v>
      </c>
      <c r="HZ267" s="27">
        <v>11</v>
      </c>
      <c r="IA267" s="129">
        <v>28.2</v>
      </c>
    </row>
    <row r="268" spans="15:235" ht="3" customHeight="1">
      <c r="O268" s="17"/>
      <c r="P268" s="17"/>
      <c r="Q268" s="17"/>
      <c r="R268" s="17"/>
      <c r="S268" s="17"/>
      <c r="T268" s="17"/>
      <c r="U268" s="17"/>
      <c r="V268" s="17"/>
      <c r="W268" s="17"/>
      <c r="X268" s="129">
        <v>26.3</v>
      </c>
      <c r="Y268" s="27"/>
      <c r="AI268" s="129">
        <v>26.3</v>
      </c>
      <c r="AK268" s="129">
        <v>5</v>
      </c>
      <c r="AL268" s="129">
        <v>5</v>
      </c>
      <c r="AM268" s="129">
        <v>5</v>
      </c>
      <c r="AN268" s="129">
        <v>5</v>
      </c>
      <c r="AO268" s="129">
        <v>5</v>
      </c>
      <c r="AP268" s="129">
        <v>5</v>
      </c>
      <c r="AQ268" s="129">
        <v>5</v>
      </c>
      <c r="AR268" s="129">
        <v>5</v>
      </c>
      <c r="AS268" s="129">
        <v>5</v>
      </c>
      <c r="AT268" s="129">
        <v>26.3</v>
      </c>
      <c r="AV268" s="129">
        <v>6.7000000000000011</v>
      </c>
      <c r="AW268" s="129">
        <v>6.7000000000000011</v>
      </c>
      <c r="AX268" s="129">
        <v>6.7000000000000011</v>
      </c>
      <c r="AY268" s="129">
        <v>6.7000000000000011</v>
      </c>
      <c r="AZ268" s="129">
        <v>6.7000000000000011</v>
      </c>
      <c r="BA268" s="129">
        <v>6.7000000000000011</v>
      </c>
      <c r="BB268" s="129">
        <v>6.7000000000000011</v>
      </c>
      <c r="BC268" s="129">
        <v>6.7000000000000011</v>
      </c>
      <c r="BD268" s="129">
        <v>6.7000000000000011</v>
      </c>
      <c r="BE268" s="129">
        <v>26.3</v>
      </c>
      <c r="BG268" s="129">
        <v>8.7000000000000011</v>
      </c>
      <c r="BH268" s="129">
        <v>8.7000000000000011</v>
      </c>
      <c r="BI268" s="129">
        <v>8.7000000000000011</v>
      </c>
      <c r="BJ268" s="129">
        <v>8.7000000000000011</v>
      </c>
      <c r="BK268" s="129">
        <v>8.7000000000000011</v>
      </c>
      <c r="BL268" s="129">
        <v>8.7000000000000011</v>
      </c>
      <c r="BM268" s="129">
        <v>8.7000000000000011</v>
      </c>
      <c r="BN268" s="129">
        <v>8.7000000000000011</v>
      </c>
      <c r="BO268" s="129">
        <v>8.7000000000000011</v>
      </c>
      <c r="BP268" s="129">
        <v>26.3</v>
      </c>
      <c r="BR268" s="129">
        <v>8.7000000000000011</v>
      </c>
      <c r="BS268" s="129">
        <v>8.7000000000000011</v>
      </c>
      <c r="BT268" s="129">
        <v>8.7000000000000011</v>
      </c>
      <c r="BU268" s="129">
        <v>8.7000000000000011</v>
      </c>
      <c r="BV268" s="129">
        <v>8.7000000000000011</v>
      </c>
      <c r="BW268" s="129">
        <v>8.7000000000000011</v>
      </c>
      <c r="BX268" s="129">
        <v>8.7000000000000011</v>
      </c>
      <c r="BY268" s="129">
        <v>8.7000000000000011</v>
      </c>
      <c r="BZ268" s="129">
        <v>8.7000000000000011</v>
      </c>
      <c r="CA268" s="129">
        <v>26.3</v>
      </c>
      <c r="CC268" s="129">
        <v>5.7000000000000011</v>
      </c>
      <c r="CD268" s="129">
        <v>5.7000000000000011</v>
      </c>
      <c r="CE268" s="129">
        <v>5.7000000000000011</v>
      </c>
      <c r="CF268" s="129">
        <v>5.7000000000000011</v>
      </c>
      <c r="CG268" s="129">
        <v>5.7000000000000011</v>
      </c>
      <c r="CH268" s="129">
        <v>5.7000000000000011</v>
      </c>
      <c r="CI268" s="129">
        <v>5.7000000000000011</v>
      </c>
      <c r="CJ268" s="129">
        <v>5.7000000000000011</v>
      </c>
      <c r="CK268" s="129">
        <v>5.7000000000000011</v>
      </c>
      <c r="CL268" s="129">
        <v>26.3</v>
      </c>
      <c r="CN268" s="129">
        <v>8.7000000000000011</v>
      </c>
      <c r="CO268" s="129">
        <v>8.7000000000000011</v>
      </c>
      <c r="CP268" s="129">
        <v>8.7000000000000011</v>
      </c>
      <c r="CQ268" s="129">
        <v>8.7000000000000011</v>
      </c>
      <c r="CR268" s="129">
        <v>8.7000000000000011</v>
      </c>
      <c r="CS268" s="129">
        <v>8.7000000000000011</v>
      </c>
      <c r="CT268" s="129">
        <v>8.7000000000000011</v>
      </c>
      <c r="CU268" s="129">
        <v>8.7000000000000011</v>
      </c>
      <c r="CV268" s="129">
        <v>8.7000000000000011</v>
      </c>
      <c r="CW268" s="129">
        <v>26.3</v>
      </c>
      <c r="CY268" s="129">
        <v>11.700000000000001</v>
      </c>
      <c r="CZ268" s="129">
        <v>11.700000000000001</v>
      </c>
      <c r="DA268" s="129">
        <v>11.700000000000001</v>
      </c>
      <c r="DB268" s="129">
        <v>11.700000000000001</v>
      </c>
      <c r="DC268" s="129">
        <v>11.700000000000001</v>
      </c>
      <c r="DD268" s="129">
        <v>11.700000000000001</v>
      </c>
      <c r="DE268" s="129">
        <v>11.700000000000001</v>
      </c>
      <c r="DF268" s="129">
        <v>11.700000000000001</v>
      </c>
      <c r="DG268" s="129">
        <v>11.700000000000001</v>
      </c>
      <c r="DH268" s="129">
        <v>26.3</v>
      </c>
      <c r="DJ268" s="129">
        <v>11.700000000000001</v>
      </c>
      <c r="DK268" s="129">
        <v>11.700000000000001</v>
      </c>
      <c r="DL268" s="129">
        <v>11.700000000000001</v>
      </c>
      <c r="DM268" s="129">
        <v>11.700000000000001</v>
      </c>
      <c r="DN268" s="129">
        <v>11.700000000000001</v>
      </c>
      <c r="DO268" s="129">
        <v>11.700000000000001</v>
      </c>
      <c r="DP268" s="129">
        <v>11.700000000000001</v>
      </c>
      <c r="DQ268" s="129">
        <v>11.700000000000001</v>
      </c>
      <c r="DR268" s="129">
        <v>11.700000000000001</v>
      </c>
      <c r="DS268" s="129">
        <v>26.3</v>
      </c>
      <c r="DW268" s="27"/>
      <c r="EQ268" s="129">
        <v>28.3</v>
      </c>
      <c r="ES268" s="27">
        <v>9.7000000000000011</v>
      </c>
      <c r="ET268" s="27">
        <v>9.7000000000000011</v>
      </c>
      <c r="EU268" s="27">
        <v>9.7000000000000011</v>
      </c>
      <c r="EV268" s="27">
        <v>9.7000000000000011</v>
      </c>
      <c r="EW268" s="27">
        <v>9.7000000000000011</v>
      </c>
      <c r="EX268" s="27">
        <v>9.7000000000000011</v>
      </c>
      <c r="EY268" s="27">
        <v>9.7000000000000011</v>
      </c>
      <c r="EZ268" s="27">
        <v>9.7000000000000011</v>
      </c>
      <c r="FA268" s="27">
        <v>9.7000000000000011</v>
      </c>
      <c r="FB268" s="129">
        <v>28.3</v>
      </c>
      <c r="FD268" s="27">
        <v>12.700000000000001</v>
      </c>
      <c r="FE268" s="27">
        <v>12.700000000000001</v>
      </c>
      <c r="FF268" s="27">
        <v>12.700000000000001</v>
      </c>
      <c r="FG268" s="27">
        <v>12.700000000000001</v>
      </c>
      <c r="FH268" s="27">
        <v>12.700000000000001</v>
      </c>
      <c r="FI268" s="27">
        <v>12.700000000000001</v>
      </c>
      <c r="FJ268" s="27">
        <v>12.700000000000001</v>
      </c>
      <c r="FK268" s="27">
        <v>12.700000000000001</v>
      </c>
      <c r="FL268" s="27">
        <v>12.700000000000001</v>
      </c>
      <c r="FM268" s="129">
        <v>28.3</v>
      </c>
      <c r="FO268" s="27">
        <v>17.400000000000002</v>
      </c>
      <c r="FP268" s="27">
        <v>17.400000000000002</v>
      </c>
      <c r="FQ268" s="27">
        <v>17.400000000000002</v>
      </c>
      <c r="FR268" s="27">
        <v>17.400000000000002</v>
      </c>
      <c r="FS268" s="27">
        <v>17.400000000000002</v>
      </c>
      <c r="FT268" s="27">
        <v>17.400000000000002</v>
      </c>
      <c r="FU268" s="27">
        <v>17.400000000000002</v>
      </c>
      <c r="FV268" s="27">
        <v>17.400000000000002</v>
      </c>
      <c r="FW268" s="27">
        <v>17.400000000000002</v>
      </c>
      <c r="FX268" s="129">
        <v>28.3</v>
      </c>
      <c r="FZ268" s="27">
        <v>17.400000000000002</v>
      </c>
      <c r="GA268" s="27">
        <v>17.400000000000002</v>
      </c>
      <c r="GB268" s="27">
        <v>17.400000000000002</v>
      </c>
      <c r="GC268" s="27">
        <v>17.400000000000002</v>
      </c>
      <c r="GD268" s="27">
        <v>17.400000000000002</v>
      </c>
      <c r="GE268" s="27">
        <v>17.400000000000002</v>
      </c>
      <c r="GF268" s="27">
        <v>17.400000000000002</v>
      </c>
      <c r="GG268" s="27">
        <v>17.400000000000002</v>
      </c>
      <c r="GH268" s="27">
        <v>17.400000000000002</v>
      </c>
      <c r="GI268" s="129">
        <v>28.3</v>
      </c>
      <c r="GJ268" s="27"/>
      <c r="GK268" s="27">
        <v>6.7000000000000011</v>
      </c>
      <c r="GL268" s="27">
        <v>6.7000000000000011</v>
      </c>
      <c r="GM268" s="27">
        <v>6.7000000000000011</v>
      </c>
      <c r="GN268" s="27">
        <v>6.7000000000000011</v>
      </c>
      <c r="GO268" s="27">
        <v>6.7000000000000011</v>
      </c>
      <c r="GP268" s="27">
        <v>6.7000000000000011</v>
      </c>
      <c r="GQ268" s="27">
        <v>6.7000000000000011</v>
      </c>
      <c r="GR268" s="27">
        <v>6.7000000000000011</v>
      </c>
      <c r="GS268" s="27">
        <v>6.7000000000000011</v>
      </c>
      <c r="GT268" s="129">
        <v>28.3</v>
      </c>
      <c r="GV268" s="27">
        <v>8</v>
      </c>
      <c r="GW268" s="27">
        <v>8</v>
      </c>
      <c r="GX268" s="27">
        <v>8</v>
      </c>
      <c r="GY268" s="27">
        <v>8</v>
      </c>
      <c r="GZ268" s="27">
        <v>8</v>
      </c>
      <c r="HA268" s="27">
        <v>8</v>
      </c>
      <c r="HB268" s="27">
        <v>8</v>
      </c>
      <c r="HC268" s="27">
        <v>8</v>
      </c>
      <c r="HD268" s="27">
        <v>8</v>
      </c>
      <c r="HE268" s="129">
        <v>28.3</v>
      </c>
      <c r="HG268" s="27">
        <v>11</v>
      </c>
      <c r="HH268" s="27">
        <v>11</v>
      </c>
      <c r="HI268" s="27">
        <v>11</v>
      </c>
      <c r="HJ268" s="27">
        <v>11</v>
      </c>
      <c r="HK268" s="27">
        <v>11</v>
      </c>
      <c r="HL268" s="27">
        <v>11</v>
      </c>
      <c r="HM268" s="27">
        <v>11</v>
      </c>
      <c r="HN268" s="27">
        <v>11</v>
      </c>
      <c r="HO268" s="27">
        <v>11</v>
      </c>
      <c r="HP268" s="129">
        <v>28.3</v>
      </c>
      <c r="HR268" s="27">
        <v>11</v>
      </c>
      <c r="HS268" s="27">
        <v>11</v>
      </c>
      <c r="HT268" s="27">
        <v>11</v>
      </c>
      <c r="HU268" s="27">
        <v>11</v>
      </c>
      <c r="HV268" s="27">
        <v>11</v>
      </c>
      <c r="HW268" s="27">
        <v>11</v>
      </c>
      <c r="HX268" s="27">
        <v>11</v>
      </c>
      <c r="HY268" s="27">
        <v>11</v>
      </c>
      <c r="HZ268" s="27">
        <v>11</v>
      </c>
      <c r="IA268" s="129">
        <v>28.3</v>
      </c>
    </row>
    <row r="269" spans="15:235" ht="3" customHeight="1">
      <c r="O269" s="17"/>
      <c r="P269" s="17"/>
      <c r="Q269" s="17"/>
      <c r="R269" s="17"/>
      <c r="S269" s="17"/>
      <c r="T269" s="17"/>
      <c r="U269" s="17"/>
      <c r="V269" s="17"/>
      <c r="W269" s="17"/>
      <c r="X269" s="129">
        <v>26.4</v>
      </c>
      <c r="Y269" s="27"/>
      <c r="AI269" s="129">
        <v>26.4</v>
      </c>
      <c r="AK269" s="129">
        <v>5</v>
      </c>
      <c r="AL269" s="129">
        <v>5</v>
      </c>
      <c r="AM269" s="129">
        <v>5</v>
      </c>
      <c r="AN269" s="129">
        <v>5</v>
      </c>
      <c r="AO269" s="129">
        <v>5</v>
      </c>
      <c r="AP269" s="129">
        <v>5</v>
      </c>
      <c r="AQ269" s="129">
        <v>5</v>
      </c>
      <c r="AR269" s="129">
        <v>5</v>
      </c>
      <c r="AS269" s="129">
        <v>5</v>
      </c>
      <c r="AT269" s="129">
        <v>26.4</v>
      </c>
      <c r="AV269" s="129">
        <v>6.6000000000000014</v>
      </c>
      <c r="AW269" s="129">
        <v>6.6000000000000014</v>
      </c>
      <c r="AX269" s="129">
        <v>6.6000000000000014</v>
      </c>
      <c r="AY269" s="129">
        <v>6.6000000000000014</v>
      </c>
      <c r="AZ269" s="129">
        <v>6.6000000000000014</v>
      </c>
      <c r="BA269" s="129">
        <v>6.6000000000000014</v>
      </c>
      <c r="BB269" s="129">
        <v>6.6000000000000014</v>
      </c>
      <c r="BC269" s="129">
        <v>6.6000000000000014</v>
      </c>
      <c r="BD269" s="129">
        <v>6.6000000000000014</v>
      </c>
      <c r="BE269" s="129">
        <v>26.4</v>
      </c>
      <c r="BG269" s="129">
        <v>8.6000000000000014</v>
      </c>
      <c r="BH269" s="129">
        <v>8.6000000000000014</v>
      </c>
      <c r="BI269" s="129">
        <v>8.6000000000000014</v>
      </c>
      <c r="BJ269" s="129">
        <v>8.6000000000000014</v>
      </c>
      <c r="BK269" s="129">
        <v>8.6000000000000014</v>
      </c>
      <c r="BL269" s="129">
        <v>8.6000000000000014</v>
      </c>
      <c r="BM269" s="129">
        <v>8.6000000000000014</v>
      </c>
      <c r="BN269" s="129">
        <v>8.6000000000000014</v>
      </c>
      <c r="BO269" s="129">
        <v>8.6000000000000014</v>
      </c>
      <c r="BP269" s="129">
        <v>26.4</v>
      </c>
      <c r="BR269" s="129">
        <v>8.6000000000000014</v>
      </c>
      <c r="BS269" s="129">
        <v>8.6000000000000014</v>
      </c>
      <c r="BT269" s="129">
        <v>8.6000000000000014</v>
      </c>
      <c r="BU269" s="129">
        <v>8.6000000000000014</v>
      </c>
      <c r="BV269" s="129">
        <v>8.6000000000000014</v>
      </c>
      <c r="BW269" s="129">
        <v>8.6000000000000014</v>
      </c>
      <c r="BX269" s="129">
        <v>8.6000000000000014</v>
      </c>
      <c r="BY269" s="129">
        <v>8.6000000000000014</v>
      </c>
      <c r="BZ269" s="129">
        <v>8.6000000000000014</v>
      </c>
      <c r="CA269" s="129">
        <v>26.4</v>
      </c>
      <c r="CC269" s="129">
        <v>5.6000000000000014</v>
      </c>
      <c r="CD269" s="129">
        <v>5.6000000000000014</v>
      </c>
      <c r="CE269" s="129">
        <v>5.6000000000000014</v>
      </c>
      <c r="CF269" s="129">
        <v>5.6000000000000014</v>
      </c>
      <c r="CG269" s="129">
        <v>5.6000000000000014</v>
      </c>
      <c r="CH269" s="129">
        <v>5.6000000000000014</v>
      </c>
      <c r="CI269" s="129">
        <v>5.6000000000000014</v>
      </c>
      <c r="CJ269" s="129">
        <v>5.6000000000000014</v>
      </c>
      <c r="CK269" s="129">
        <v>5.6000000000000014</v>
      </c>
      <c r="CL269" s="129">
        <v>26.4</v>
      </c>
      <c r="CN269" s="129">
        <v>8.6000000000000014</v>
      </c>
      <c r="CO269" s="129">
        <v>8.6000000000000014</v>
      </c>
      <c r="CP269" s="129">
        <v>8.6000000000000014</v>
      </c>
      <c r="CQ269" s="129">
        <v>8.6000000000000014</v>
      </c>
      <c r="CR269" s="129">
        <v>8.6000000000000014</v>
      </c>
      <c r="CS269" s="129">
        <v>8.6000000000000014</v>
      </c>
      <c r="CT269" s="129">
        <v>8.6000000000000014</v>
      </c>
      <c r="CU269" s="129">
        <v>8.6000000000000014</v>
      </c>
      <c r="CV269" s="129">
        <v>8.6000000000000014</v>
      </c>
      <c r="CW269" s="129">
        <v>26.4</v>
      </c>
      <c r="CY269" s="129">
        <v>11.600000000000001</v>
      </c>
      <c r="CZ269" s="129">
        <v>11.600000000000001</v>
      </c>
      <c r="DA269" s="129">
        <v>11.600000000000001</v>
      </c>
      <c r="DB269" s="129">
        <v>11.600000000000001</v>
      </c>
      <c r="DC269" s="129">
        <v>11.600000000000001</v>
      </c>
      <c r="DD269" s="129">
        <v>11.600000000000001</v>
      </c>
      <c r="DE269" s="129">
        <v>11.600000000000001</v>
      </c>
      <c r="DF269" s="129">
        <v>11.600000000000001</v>
      </c>
      <c r="DG269" s="129">
        <v>11.600000000000001</v>
      </c>
      <c r="DH269" s="129">
        <v>26.4</v>
      </c>
      <c r="DJ269" s="129">
        <v>11.600000000000001</v>
      </c>
      <c r="DK269" s="129">
        <v>11.600000000000001</v>
      </c>
      <c r="DL269" s="129">
        <v>11.600000000000001</v>
      </c>
      <c r="DM269" s="129">
        <v>11.600000000000001</v>
      </c>
      <c r="DN269" s="129">
        <v>11.600000000000001</v>
      </c>
      <c r="DO269" s="129">
        <v>11.600000000000001</v>
      </c>
      <c r="DP269" s="129">
        <v>11.600000000000001</v>
      </c>
      <c r="DQ269" s="129">
        <v>11.600000000000001</v>
      </c>
      <c r="DR269" s="129">
        <v>11.600000000000001</v>
      </c>
      <c r="DS269" s="129">
        <v>26.4</v>
      </c>
      <c r="DW269" s="27"/>
      <c r="EQ269" s="129">
        <v>28.4</v>
      </c>
      <c r="ES269" s="27">
        <v>9.6000000000000014</v>
      </c>
      <c r="ET269" s="27">
        <v>9.6000000000000014</v>
      </c>
      <c r="EU269" s="27">
        <v>9.6000000000000014</v>
      </c>
      <c r="EV269" s="27">
        <v>9.6000000000000014</v>
      </c>
      <c r="EW269" s="27">
        <v>9.6000000000000014</v>
      </c>
      <c r="EX269" s="27">
        <v>9.6000000000000014</v>
      </c>
      <c r="EY269" s="27">
        <v>9.6000000000000014</v>
      </c>
      <c r="EZ269" s="27">
        <v>9.6000000000000014</v>
      </c>
      <c r="FA269" s="27">
        <v>9.6000000000000014</v>
      </c>
      <c r="FB269" s="129">
        <v>28.4</v>
      </c>
      <c r="FD269" s="27">
        <v>12.600000000000001</v>
      </c>
      <c r="FE269" s="27">
        <v>12.600000000000001</v>
      </c>
      <c r="FF269" s="27">
        <v>12.600000000000001</v>
      </c>
      <c r="FG269" s="27">
        <v>12.600000000000001</v>
      </c>
      <c r="FH269" s="27">
        <v>12.600000000000001</v>
      </c>
      <c r="FI269" s="27">
        <v>12.600000000000001</v>
      </c>
      <c r="FJ269" s="27">
        <v>12.600000000000001</v>
      </c>
      <c r="FK269" s="27">
        <v>12.600000000000001</v>
      </c>
      <c r="FL269" s="27">
        <v>12.600000000000001</v>
      </c>
      <c r="FM269" s="129">
        <v>28.4</v>
      </c>
      <c r="FO269" s="27">
        <v>17.200000000000003</v>
      </c>
      <c r="FP269" s="27">
        <v>17.200000000000003</v>
      </c>
      <c r="FQ269" s="27">
        <v>17.200000000000003</v>
      </c>
      <c r="FR269" s="27">
        <v>17.200000000000003</v>
      </c>
      <c r="FS269" s="27">
        <v>17.200000000000003</v>
      </c>
      <c r="FT269" s="27">
        <v>17.200000000000003</v>
      </c>
      <c r="FU269" s="27">
        <v>17.200000000000003</v>
      </c>
      <c r="FV269" s="27">
        <v>17.200000000000003</v>
      </c>
      <c r="FW269" s="27">
        <v>17.200000000000003</v>
      </c>
      <c r="FX269" s="129">
        <v>28.4</v>
      </c>
      <c r="FZ269" s="27">
        <v>17.200000000000003</v>
      </c>
      <c r="GA269" s="27">
        <v>17.200000000000003</v>
      </c>
      <c r="GB269" s="27">
        <v>17.200000000000003</v>
      </c>
      <c r="GC269" s="27">
        <v>17.200000000000003</v>
      </c>
      <c r="GD269" s="27">
        <v>17.200000000000003</v>
      </c>
      <c r="GE269" s="27">
        <v>17.200000000000003</v>
      </c>
      <c r="GF269" s="27">
        <v>17.200000000000003</v>
      </c>
      <c r="GG269" s="27">
        <v>17.200000000000003</v>
      </c>
      <c r="GH269" s="27">
        <v>17.200000000000003</v>
      </c>
      <c r="GI269" s="129">
        <v>28.4</v>
      </c>
      <c r="GJ269" s="27"/>
      <c r="GK269" s="27">
        <v>6.6000000000000014</v>
      </c>
      <c r="GL269" s="27">
        <v>6.6000000000000014</v>
      </c>
      <c r="GM269" s="27">
        <v>6.6000000000000014</v>
      </c>
      <c r="GN269" s="27">
        <v>6.6000000000000014</v>
      </c>
      <c r="GO269" s="27">
        <v>6.6000000000000014</v>
      </c>
      <c r="GP269" s="27">
        <v>6.6000000000000014</v>
      </c>
      <c r="GQ269" s="27">
        <v>6.6000000000000014</v>
      </c>
      <c r="GR269" s="27">
        <v>6.6000000000000014</v>
      </c>
      <c r="GS269" s="27">
        <v>6.6000000000000014</v>
      </c>
      <c r="GT269" s="129">
        <v>28.4</v>
      </c>
      <c r="GV269" s="27">
        <v>8</v>
      </c>
      <c r="GW269" s="27">
        <v>8</v>
      </c>
      <c r="GX269" s="27">
        <v>8</v>
      </c>
      <c r="GY269" s="27">
        <v>8</v>
      </c>
      <c r="GZ269" s="27">
        <v>8</v>
      </c>
      <c r="HA269" s="27">
        <v>8</v>
      </c>
      <c r="HB269" s="27">
        <v>8</v>
      </c>
      <c r="HC269" s="27">
        <v>8</v>
      </c>
      <c r="HD269" s="27">
        <v>8</v>
      </c>
      <c r="HE269" s="129">
        <v>28.4</v>
      </c>
      <c r="HG269" s="27">
        <v>11</v>
      </c>
      <c r="HH269" s="27">
        <v>11</v>
      </c>
      <c r="HI269" s="27">
        <v>11</v>
      </c>
      <c r="HJ269" s="27">
        <v>11</v>
      </c>
      <c r="HK269" s="27">
        <v>11</v>
      </c>
      <c r="HL269" s="27">
        <v>11</v>
      </c>
      <c r="HM269" s="27">
        <v>11</v>
      </c>
      <c r="HN269" s="27">
        <v>11</v>
      </c>
      <c r="HO269" s="27">
        <v>11</v>
      </c>
      <c r="HP269" s="129">
        <v>28.4</v>
      </c>
      <c r="HR269" s="27">
        <v>11</v>
      </c>
      <c r="HS269" s="27">
        <v>11</v>
      </c>
      <c r="HT269" s="27">
        <v>11</v>
      </c>
      <c r="HU269" s="27">
        <v>11</v>
      </c>
      <c r="HV269" s="27">
        <v>11</v>
      </c>
      <c r="HW269" s="27">
        <v>11</v>
      </c>
      <c r="HX269" s="27">
        <v>11</v>
      </c>
      <c r="HY269" s="27">
        <v>11</v>
      </c>
      <c r="HZ269" s="27">
        <v>11</v>
      </c>
      <c r="IA269" s="129">
        <v>28.4</v>
      </c>
    </row>
    <row r="270" spans="15:235" ht="3" customHeight="1">
      <c r="O270" s="17"/>
      <c r="P270" s="17"/>
      <c r="Q270" s="17"/>
      <c r="R270" s="17"/>
      <c r="S270" s="17"/>
      <c r="T270" s="17"/>
      <c r="U270" s="17"/>
      <c r="V270" s="17"/>
      <c r="W270" s="17"/>
      <c r="X270" s="129">
        <v>26.5</v>
      </c>
      <c r="Y270" s="27"/>
      <c r="AI270" s="129">
        <v>26.5</v>
      </c>
      <c r="AK270" s="129">
        <v>5</v>
      </c>
      <c r="AL270" s="129">
        <v>5</v>
      </c>
      <c r="AM270" s="129">
        <v>5</v>
      </c>
      <c r="AN270" s="129">
        <v>5</v>
      </c>
      <c r="AO270" s="129">
        <v>5</v>
      </c>
      <c r="AP270" s="129">
        <v>5</v>
      </c>
      <c r="AQ270" s="129">
        <v>5</v>
      </c>
      <c r="AR270" s="129">
        <v>5</v>
      </c>
      <c r="AS270" s="129">
        <v>5</v>
      </c>
      <c r="AT270" s="129">
        <v>26.5</v>
      </c>
      <c r="AV270" s="129">
        <v>6.5000000000000018</v>
      </c>
      <c r="AW270" s="129">
        <v>6.5000000000000018</v>
      </c>
      <c r="AX270" s="129">
        <v>6.5000000000000018</v>
      </c>
      <c r="AY270" s="129">
        <v>6.5000000000000018</v>
      </c>
      <c r="AZ270" s="129">
        <v>6.5000000000000018</v>
      </c>
      <c r="BA270" s="129">
        <v>6.5000000000000018</v>
      </c>
      <c r="BB270" s="129">
        <v>6.5000000000000018</v>
      </c>
      <c r="BC270" s="129">
        <v>6.5000000000000018</v>
      </c>
      <c r="BD270" s="129">
        <v>6.5000000000000018</v>
      </c>
      <c r="BE270" s="129">
        <v>26.5</v>
      </c>
      <c r="BG270" s="129">
        <v>8.5000000000000018</v>
      </c>
      <c r="BH270" s="129">
        <v>8.5000000000000018</v>
      </c>
      <c r="BI270" s="129">
        <v>8.5000000000000018</v>
      </c>
      <c r="BJ270" s="129">
        <v>8.5000000000000018</v>
      </c>
      <c r="BK270" s="129">
        <v>8.5000000000000018</v>
      </c>
      <c r="BL270" s="129">
        <v>8.5000000000000018</v>
      </c>
      <c r="BM270" s="129">
        <v>8.5000000000000018</v>
      </c>
      <c r="BN270" s="129">
        <v>8.5000000000000018</v>
      </c>
      <c r="BO270" s="129">
        <v>8.5000000000000018</v>
      </c>
      <c r="BP270" s="129">
        <v>26.5</v>
      </c>
      <c r="BR270" s="129">
        <v>8.5000000000000018</v>
      </c>
      <c r="BS270" s="129">
        <v>8.5000000000000018</v>
      </c>
      <c r="BT270" s="129">
        <v>8.5000000000000018</v>
      </c>
      <c r="BU270" s="129">
        <v>8.5000000000000018</v>
      </c>
      <c r="BV270" s="129">
        <v>8.5000000000000018</v>
      </c>
      <c r="BW270" s="129">
        <v>8.5000000000000018</v>
      </c>
      <c r="BX270" s="129">
        <v>8.5000000000000018</v>
      </c>
      <c r="BY270" s="129">
        <v>8.5000000000000018</v>
      </c>
      <c r="BZ270" s="129">
        <v>8.5000000000000018</v>
      </c>
      <c r="CA270" s="129">
        <v>26.5</v>
      </c>
      <c r="CC270" s="129">
        <v>5.5000000000000018</v>
      </c>
      <c r="CD270" s="129">
        <v>5.5000000000000018</v>
      </c>
      <c r="CE270" s="129">
        <v>5.5000000000000018</v>
      </c>
      <c r="CF270" s="129">
        <v>5.5000000000000018</v>
      </c>
      <c r="CG270" s="129">
        <v>5.5000000000000018</v>
      </c>
      <c r="CH270" s="129">
        <v>5.5000000000000018</v>
      </c>
      <c r="CI270" s="129">
        <v>5.5000000000000018</v>
      </c>
      <c r="CJ270" s="129">
        <v>5.5000000000000018</v>
      </c>
      <c r="CK270" s="129">
        <v>5.5000000000000018</v>
      </c>
      <c r="CL270" s="129">
        <v>26.5</v>
      </c>
      <c r="CN270" s="129">
        <v>8.5000000000000018</v>
      </c>
      <c r="CO270" s="129">
        <v>8.5000000000000018</v>
      </c>
      <c r="CP270" s="129">
        <v>8.5000000000000018</v>
      </c>
      <c r="CQ270" s="129">
        <v>8.5000000000000018</v>
      </c>
      <c r="CR270" s="129">
        <v>8.5000000000000018</v>
      </c>
      <c r="CS270" s="129">
        <v>8.5000000000000018</v>
      </c>
      <c r="CT270" s="129">
        <v>8.5000000000000018</v>
      </c>
      <c r="CU270" s="129">
        <v>8.5000000000000018</v>
      </c>
      <c r="CV270" s="129">
        <v>8.5000000000000018</v>
      </c>
      <c r="CW270" s="129">
        <v>26.5</v>
      </c>
      <c r="CY270" s="129">
        <v>11.500000000000002</v>
      </c>
      <c r="CZ270" s="129">
        <v>11.500000000000002</v>
      </c>
      <c r="DA270" s="129">
        <v>11.500000000000002</v>
      </c>
      <c r="DB270" s="129">
        <v>11.500000000000002</v>
      </c>
      <c r="DC270" s="129">
        <v>11.500000000000002</v>
      </c>
      <c r="DD270" s="129">
        <v>11.500000000000002</v>
      </c>
      <c r="DE270" s="129">
        <v>11.500000000000002</v>
      </c>
      <c r="DF270" s="129">
        <v>11.500000000000002</v>
      </c>
      <c r="DG270" s="129">
        <v>11.500000000000002</v>
      </c>
      <c r="DH270" s="129">
        <v>26.5</v>
      </c>
      <c r="DJ270" s="129">
        <v>11.500000000000002</v>
      </c>
      <c r="DK270" s="129">
        <v>11.500000000000002</v>
      </c>
      <c r="DL270" s="129">
        <v>11.500000000000002</v>
      </c>
      <c r="DM270" s="129">
        <v>11.500000000000002</v>
      </c>
      <c r="DN270" s="129">
        <v>11.500000000000002</v>
      </c>
      <c r="DO270" s="129">
        <v>11.500000000000002</v>
      </c>
      <c r="DP270" s="129">
        <v>11.500000000000002</v>
      </c>
      <c r="DQ270" s="129">
        <v>11.500000000000002</v>
      </c>
      <c r="DR270" s="129">
        <v>11.500000000000002</v>
      </c>
      <c r="DS270" s="129">
        <v>26.5</v>
      </c>
      <c r="DW270" s="27"/>
      <c r="EQ270" s="129">
        <v>28.5</v>
      </c>
      <c r="ES270" s="27">
        <v>9.5000000000000018</v>
      </c>
      <c r="ET270" s="27">
        <v>9.5000000000000018</v>
      </c>
      <c r="EU270" s="27">
        <v>9.5000000000000018</v>
      </c>
      <c r="EV270" s="27">
        <v>9.5000000000000018</v>
      </c>
      <c r="EW270" s="27">
        <v>9.5000000000000018</v>
      </c>
      <c r="EX270" s="27">
        <v>9.5000000000000018</v>
      </c>
      <c r="EY270" s="27">
        <v>9.5000000000000018</v>
      </c>
      <c r="EZ270" s="27">
        <v>9.5000000000000018</v>
      </c>
      <c r="FA270" s="27">
        <v>9.5000000000000018</v>
      </c>
      <c r="FB270" s="129">
        <v>28.5</v>
      </c>
      <c r="FD270" s="27">
        <v>12.500000000000002</v>
      </c>
      <c r="FE270" s="27">
        <v>12.500000000000002</v>
      </c>
      <c r="FF270" s="27">
        <v>12.500000000000002</v>
      </c>
      <c r="FG270" s="27">
        <v>12.500000000000002</v>
      </c>
      <c r="FH270" s="27">
        <v>12.500000000000002</v>
      </c>
      <c r="FI270" s="27">
        <v>12.500000000000002</v>
      </c>
      <c r="FJ270" s="27">
        <v>12.500000000000002</v>
      </c>
      <c r="FK270" s="27">
        <v>12.500000000000002</v>
      </c>
      <c r="FL270" s="27">
        <v>12.500000000000002</v>
      </c>
      <c r="FM270" s="129">
        <v>28.5</v>
      </c>
      <c r="FO270" s="27">
        <v>17.000000000000004</v>
      </c>
      <c r="FP270" s="27">
        <v>17.000000000000004</v>
      </c>
      <c r="FQ270" s="27">
        <v>17.000000000000004</v>
      </c>
      <c r="FR270" s="27">
        <v>17.000000000000004</v>
      </c>
      <c r="FS270" s="27">
        <v>17.000000000000004</v>
      </c>
      <c r="FT270" s="27">
        <v>17.000000000000004</v>
      </c>
      <c r="FU270" s="27">
        <v>17.000000000000004</v>
      </c>
      <c r="FV270" s="27">
        <v>17.000000000000004</v>
      </c>
      <c r="FW270" s="27">
        <v>17.000000000000004</v>
      </c>
      <c r="FX270" s="129">
        <v>28.5</v>
      </c>
      <c r="FZ270" s="27">
        <v>17.000000000000004</v>
      </c>
      <c r="GA270" s="27">
        <v>17.000000000000004</v>
      </c>
      <c r="GB270" s="27">
        <v>17.000000000000004</v>
      </c>
      <c r="GC270" s="27">
        <v>17.000000000000004</v>
      </c>
      <c r="GD270" s="27">
        <v>17.000000000000004</v>
      </c>
      <c r="GE270" s="27">
        <v>17.000000000000004</v>
      </c>
      <c r="GF270" s="27">
        <v>17.000000000000004</v>
      </c>
      <c r="GG270" s="27">
        <v>17.000000000000004</v>
      </c>
      <c r="GH270" s="27">
        <v>17.000000000000004</v>
      </c>
      <c r="GI270" s="129">
        <v>28.5</v>
      </c>
      <c r="GJ270" s="27"/>
      <c r="GK270" s="27">
        <v>6.5000000000000018</v>
      </c>
      <c r="GL270" s="27">
        <v>6.5000000000000018</v>
      </c>
      <c r="GM270" s="27">
        <v>6.5000000000000018</v>
      </c>
      <c r="GN270" s="27">
        <v>6.5000000000000018</v>
      </c>
      <c r="GO270" s="27">
        <v>6.5000000000000018</v>
      </c>
      <c r="GP270" s="27">
        <v>6.5000000000000018</v>
      </c>
      <c r="GQ270" s="27">
        <v>6.5000000000000018</v>
      </c>
      <c r="GR270" s="27">
        <v>6.5000000000000018</v>
      </c>
      <c r="GS270" s="27">
        <v>6.5000000000000018</v>
      </c>
      <c r="GT270" s="129">
        <v>28.5</v>
      </c>
      <c r="GV270" s="27">
        <v>8</v>
      </c>
      <c r="GW270" s="27">
        <v>8</v>
      </c>
      <c r="GX270" s="27">
        <v>8</v>
      </c>
      <c r="GY270" s="27">
        <v>8</v>
      </c>
      <c r="GZ270" s="27">
        <v>8</v>
      </c>
      <c r="HA270" s="27">
        <v>8</v>
      </c>
      <c r="HB270" s="27">
        <v>8</v>
      </c>
      <c r="HC270" s="27">
        <v>8</v>
      </c>
      <c r="HD270" s="27">
        <v>8</v>
      </c>
      <c r="HE270" s="129">
        <v>28.5</v>
      </c>
      <c r="HG270" s="27">
        <v>11</v>
      </c>
      <c r="HH270" s="27">
        <v>11</v>
      </c>
      <c r="HI270" s="27">
        <v>11</v>
      </c>
      <c r="HJ270" s="27">
        <v>11</v>
      </c>
      <c r="HK270" s="27">
        <v>11</v>
      </c>
      <c r="HL270" s="27">
        <v>11</v>
      </c>
      <c r="HM270" s="27">
        <v>11</v>
      </c>
      <c r="HN270" s="27">
        <v>11</v>
      </c>
      <c r="HO270" s="27">
        <v>11</v>
      </c>
      <c r="HP270" s="129">
        <v>28.5</v>
      </c>
      <c r="HR270" s="27">
        <v>11</v>
      </c>
      <c r="HS270" s="27">
        <v>11</v>
      </c>
      <c r="HT270" s="27">
        <v>11</v>
      </c>
      <c r="HU270" s="27">
        <v>11</v>
      </c>
      <c r="HV270" s="27">
        <v>11</v>
      </c>
      <c r="HW270" s="27">
        <v>11</v>
      </c>
      <c r="HX270" s="27">
        <v>11</v>
      </c>
      <c r="HY270" s="27">
        <v>11</v>
      </c>
      <c r="HZ270" s="27">
        <v>11</v>
      </c>
      <c r="IA270" s="129">
        <v>28.5</v>
      </c>
    </row>
    <row r="271" spans="15:235" ht="3" customHeight="1">
      <c r="O271" s="17"/>
      <c r="P271" s="17"/>
      <c r="Q271" s="17"/>
      <c r="R271" s="17"/>
      <c r="S271" s="17"/>
      <c r="T271" s="17"/>
      <c r="U271" s="17"/>
      <c r="V271" s="17"/>
      <c r="W271" s="17"/>
      <c r="X271" s="129">
        <v>26.6</v>
      </c>
      <c r="Y271" s="27"/>
      <c r="AI271" s="129">
        <v>26.6</v>
      </c>
      <c r="AK271" s="129">
        <v>5</v>
      </c>
      <c r="AL271" s="129">
        <v>5</v>
      </c>
      <c r="AM271" s="129">
        <v>5</v>
      </c>
      <c r="AN271" s="129">
        <v>5</v>
      </c>
      <c r="AO271" s="129">
        <v>5</v>
      </c>
      <c r="AP271" s="129">
        <v>5</v>
      </c>
      <c r="AQ271" s="129">
        <v>5</v>
      </c>
      <c r="AR271" s="129">
        <v>5</v>
      </c>
      <c r="AS271" s="129">
        <v>5</v>
      </c>
      <c r="AT271" s="129">
        <v>26.6</v>
      </c>
      <c r="AV271" s="129">
        <v>6.4000000000000021</v>
      </c>
      <c r="AW271" s="129">
        <v>6.4000000000000021</v>
      </c>
      <c r="AX271" s="129">
        <v>6.4000000000000021</v>
      </c>
      <c r="AY271" s="129">
        <v>6.4000000000000021</v>
      </c>
      <c r="AZ271" s="129">
        <v>6.4000000000000021</v>
      </c>
      <c r="BA271" s="129">
        <v>6.4000000000000021</v>
      </c>
      <c r="BB271" s="129">
        <v>6.4000000000000021</v>
      </c>
      <c r="BC271" s="129">
        <v>6.4000000000000021</v>
      </c>
      <c r="BD271" s="129">
        <v>6.4000000000000021</v>
      </c>
      <c r="BE271" s="129">
        <v>26.6</v>
      </c>
      <c r="BG271" s="129">
        <v>8.4000000000000021</v>
      </c>
      <c r="BH271" s="129">
        <v>8.4000000000000021</v>
      </c>
      <c r="BI271" s="129">
        <v>8.4000000000000021</v>
      </c>
      <c r="BJ271" s="129">
        <v>8.4000000000000021</v>
      </c>
      <c r="BK271" s="129">
        <v>8.4000000000000021</v>
      </c>
      <c r="BL271" s="129">
        <v>8.4000000000000021</v>
      </c>
      <c r="BM271" s="129">
        <v>8.4000000000000021</v>
      </c>
      <c r="BN271" s="129">
        <v>8.4000000000000021</v>
      </c>
      <c r="BO271" s="129">
        <v>8.4000000000000021</v>
      </c>
      <c r="BP271" s="129">
        <v>26.6</v>
      </c>
      <c r="BR271" s="129">
        <v>8.4000000000000021</v>
      </c>
      <c r="BS271" s="129">
        <v>8.4000000000000021</v>
      </c>
      <c r="BT271" s="129">
        <v>8.4000000000000021</v>
      </c>
      <c r="BU271" s="129">
        <v>8.4000000000000021</v>
      </c>
      <c r="BV271" s="129">
        <v>8.4000000000000021</v>
      </c>
      <c r="BW271" s="129">
        <v>8.4000000000000021</v>
      </c>
      <c r="BX271" s="129">
        <v>8.4000000000000021</v>
      </c>
      <c r="BY271" s="129">
        <v>8.4000000000000021</v>
      </c>
      <c r="BZ271" s="129">
        <v>8.4000000000000021</v>
      </c>
      <c r="CA271" s="129">
        <v>26.6</v>
      </c>
      <c r="CC271" s="129">
        <v>5.4000000000000021</v>
      </c>
      <c r="CD271" s="129">
        <v>5.4000000000000021</v>
      </c>
      <c r="CE271" s="129">
        <v>5.4000000000000021</v>
      </c>
      <c r="CF271" s="129">
        <v>5.4000000000000021</v>
      </c>
      <c r="CG271" s="129">
        <v>5.4000000000000021</v>
      </c>
      <c r="CH271" s="129">
        <v>5.4000000000000021</v>
      </c>
      <c r="CI271" s="129">
        <v>5.4000000000000021</v>
      </c>
      <c r="CJ271" s="129">
        <v>5.4000000000000021</v>
      </c>
      <c r="CK271" s="129">
        <v>5.4000000000000021</v>
      </c>
      <c r="CL271" s="129">
        <v>26.6</v>
      </c>
      <c r="CN271" s="129">
        <v>8.4000000000000021</v>
      </c>
      <c r="CO271" s="129">
        <v>8.4000000000000021</v>
      </c>
      <c r="CP271" s="129">
        <v>8.4000000000000021</v>
      </c>
      <c r="CQ271" s="129">
        <v>8.4000000000000021</v>
      </c>
      <c r="CR271" s="129">
        <v>8.4000000000000021</v>
      </c>
      <c r="CS271" s="129">
        <v>8.4000000000000021</v>
      </c>
      <c r="CT271" s="129">
        <v>8.4000000000000021</v>
      </c>
      <c r="CU271" s="129">
        <v>8.4000000000000021</v>
      </c>
      <c r="CV271" s="129">
        <v>8.4000000000000021</v>
      </c>
      <c r="CW271" s="129">
        <v>26.6</v>
      </c>
      <c r="CY271" s="129">
        <v>11.400000000000002</v>
      </c>
      <c r="CZ271" s="129">
        <v>11.400000000000002</v>
      </c>
      <c r="DA271" s="129">
        <v>11.400000000000002</v>
      </c>
      <c r="DB271" s="129">
        <v>11.400000000000002</v>
      </c>
      <c r="DC271" s="129">
        <v>11.400000000000002</v>
      </c>
      <c r="DD271" s="129">
        <v>11.400000000000002</v>
      </c>
      <c r="DE271" s="129">
        <v>11.400000000000002</v>
      </c>
      <c r="DF271" s="129">
        <v>11.400000000000002</v>
      </c>
      <c r="DG271" s="129">
        <v>11.400000000000002</v>
      </c>
      <c r="DH271" s="129">
        <v>26.6</v>
      </c>
      <c r="DJ271" s="129">
        <v>11.400000000000002</v>
      </c>
      <c r="DK271" s="129">
        <v>11.400000000000002</v>
      </c>
      <c r="DL271" s="129">
        <v>11.400000000000002</v>
      </c>
      <c r="DM271" s="129">
        <v>11.400000000000002</v>
      </c>
      <c r="DN271" s="129">
        <v>11.400000000000002</v>
      </c>
      <c r="DO271" s="129">
        <v>11.400000000000002</v>
      </c>
      <c r="DP271" s="129">
        <v>11.400000000000002</v>
      </c>
      <c r="DQ271" s="129">
        <v>11.400000000000002</v>
      </c>
      <c r="DR271" s="129">
        <v>11.400000000000002</v>
      </c>
      <c r="DS271" s="129">
        <v>26.6</v>
      </c>
      <c r="DW271" s="27"/>
      <c r="EQ271" s="129">
        <v>28.6</v>
      </c>
      <c r="ES271" s="27">
        <v>9.4000000000000021</v>
      </c>
      <c r="ET271" s="27">
        <v>9.4000000000000021</v>
      </c>
      <c r="EU271" s="27">
        <v>9.4000000000000021</v>
      </c>
      <c r="EV271" s="27">
        <v>9.4000000000000021</v>
      </c>
      <c r="EW271" s="27">
        <v>9.4000000000000021</v>
      </c>
      <c r="EX271" s="27">
        <v>9.4000000000000021</v>
      </c>
      <c r="EY271" s="27">
        <v>9.4000000000000021</v>
      </c>
      <c r="EZ271" s="27">
        <v>9.4000000000000021</v>
      </c>
      <c r="FA271" s="27">
        <v>9.4000000000000021</v>
      </c>
      <c r="FB271" s="129">
        <v>28.6</v>
      </c>
      <c r="FD271" s="27">
        <v>12.400000000000002</v>
      </c>
      <c r="FE271" s="27">
        <v>12.400000000000002</v>
      </c>
      <c r="FF271" s="27">
        <v>12.400000000000002</v>
      </c>
      <c r="FG271" s="27">
        <v>12.400000000000002</v>
      </c>
      <c r="FH271" s="27">
        <v>12.400000000000002</v>
      </c>
      <c r="FI271" s="27">
        <v>12.400000000000002</v>
      </c>
      <c r="FJ271" s="27">
        <v>12.400000000000002</v>
      </c>
      <c r="FK271" s="27">
        <v>12.400000000000002</v>
      </c>
      <c r="FL271" s="27">
        <v>12.400000000000002</v>
      </c>
      <c r="FM271" s="129">
        <v>28.6</v>
      </c>
      <c r="FO271" s="27">
        <v>16.800000000000004</v>
      </c>
      <c r="FP271" s="27">
        <v>16.800000000000004</v>
      </c>
      <c r="FQ271" s="27">
        <v>16.800000000000004</v>
      </c>
      <c r="FR271" s="27">
        <v>16.800000000000004</v>
      </c>
      <c r="FS271" s="27">
        <v>16.800000000000004</v>
      </c>
      <c r="FT271" s="27">
        <v>16.800000000000004</v>
      </c>
      <c r="FU271" s="27">
        <v>16.800000000000004</v>
      </c>
      <c r="FV271" s="27">
        <v>16.800000000000004</v>
      </c>
      <c r="FW271" s="27">
        <v>16.800000000000004</v>
      </c>
      <c r="FX271" s="129">
        <v>28.6</v>
      </c>
      <c r="FZ271" s="27">
        <v>16.800000000000004</v>
      </c>
      <c r="GA271" s="27">
        <v>16.800000000000004</v>
      </c>
      <c r="GB271" s="27">
        <v>16.800000000000004</v>
      </c>
      <c r="GC271" s="27">
        <v>16.800000000000004</v>
      </c>
      <c r="GD271" s="27">
        <v>16.800000000000004</v>
      </c>
      <c r="GE271" s="27">
        <v>16.800000000000004</v>
      </c>
      <c r="GF271" s="27">
        <v>16.800000000000004</v>
      </c>
      <c r="GG271" s="27">
        <v>16.800000000000004</v>
      </c>
      <c r="GH271" s="27">
        <v>16.800000000000004</v>
      </c>
      <c r="GI271" s="129">
        <v>28.6</v>
      </c>
      <c r="GJ271" s="27"/>
      <c r="GK271" s="27">
        <v>6.4000000000000021</v>
      </c>
      <c r="GL271" s="27">
        <v>6.4000000000000021</v>
      </c>
      <c r="GM271" s="27">
        <v>6.4000000000000021</v>
      </c>
      <c r="GN271" s="27">
        <v>6.4000000000000021</v>
      </c>
      <c r="GO271" s="27">
        <v>6.4000000000000021</v>
      </c>
      <c r="GP271" s="27">
        <v>6.4000000000000021</v>
      </c>
      <c r="GQ271" s="27">
        <v>6.4000000000000021</v>
      </c>
      <c r="GR271" s="27">
        <v>6.4000000000000021</v>
      </c>
      <c r="GS271" s="27">
        <v>6.4000000000000021</v>
      </c>
      <c r="GT271" s="129">
        <v>28.6</v>
      </c>
      <c r="GV271" s="27">
        <v>8</v>
      </c>
      <c r="GW271" s="27">
        <v>8</v>
      </c>
      <c r="GX271" s="27">
        <v>8</v>
      </c>
      <c r="GY271" s="27">
        <v>8</v>
      </c>
      <c r="GZ271" s="27">
        <v>8</v>
      </c>
      <c r="HA271" s="27">
        <v>8</v>
      </c>
      <c r="HB271" s="27">
        <v>8</v>
      </c>
      <c r="HC271" s="27">
        <v>8</v>
      </c>
      <c r="HD271" s="27">
        <v>8</v>
      </c>
      <c r="HE271" s="129">
        <v>28.6</v>
      </c>
      <c r="HG271" s="27">
        <v>11</v>
      </c>
      <c r="HH271" s="27">
        <v>11</v>
      </c>
      <c r="HI271" s="27">
        <v>11</v>
      </c>
      <c r="HJ271" s="27">
        <v>11</v>
      </c>
      <c r="HK271" s="27">
        <v>11</v>
      </c>
      <c r="HL271" s="27">
        <v>11</v>
      </c>
      <c r="HM271" s="27">
        <v>11</v>
      </c>
      <c r="HN271" s="27">
        <v>11</v>
      </c>
      <c r="HO271" s="27">
        <v>11</v>
      </c>
      <c r="HP271" s="129">
        <v>28.6</v>
      </c>
      <c r="HR271" s="27">
        <v>11</v>
      </c>
      <c r="HS271" s="27">
        <v>11</v>
      </c>
      <c r="HT271" s="27">
        <v>11</v>
      </c>
      <c r="HU271" s="27">
        <v>11</v>
      </c>
      <c r="HV271" s="27">
        <v>11</v>
      </c>
      <c r="HW271" s="27">
        <v>11</v>
      </c>
      <c r="HX271" s="27">
        <v>11</v>
      </c>
      <c r="HY271" s="27">
        <v>11</v>
      </c>
      <c r="HZ271" s="27">
        <v>11</v>
      </c>
      <c r="IA271" s="129">
        <v>28.6</v>
      </c>
    </row>
    <row r="272" spans="15:235" ht="3" customHeight="1">
      <c r="O272" s="17"/>
      <c r="P272" s="17"/>
      <c r="Q272" s="17"/>
      <c r="R272" s="17"/>
      <c r="S272" s="17"/>
      <c r="T272" s="17"/>
      <c r="U272" s="17"/>
      <c r="V272" s="17"/>
      <c r="W272" s="17"/>
      <c r="X272" s="129">
        <v>26.7</v>
      </c>
      <c r="Y272" s="27"/>
      <c r="AI272" s="129">
        <v>26.7</v>
      </c>
      <c r="AK272" s="129">
        <v>5</v>
      </c>
      <c r="AL272" s="129">
        <v>5</v>
      </c>
      <c r="AM272" s="129">
        <v>5</v>
      </c>
      <c r="AN272" s="129">
        <v>5</v>
      </c>
      <c r="AO272" s="129">
        <v>5</v>
      </c>
      <c r="AP272" s="129">
        <v>5</v>
      </c>
      <c r="AQ272" s="129">
        <v>5</v>
      </c>
      <c r="AR272" s="129">
        <v>5</v>
      </c>
      <c r="AS272" s="129">
        <v>5</v>
      </c>
      <c r="AT272" s="129">
        <v>26.7</v>
      </c>
      <c r="AV272" s="129">
        <v>6.3000000000000025</v>
      </c>
      <c r="AW272" s="129">
        <v>6.3000000000000025</v>
      </c>
      <c r="AX272" s="129">
        <v>6.3000000000000025</v>
      </c>
      <c r="AY272" s="129">
        <v>6.3000000000000025</v>
      </c>
      <c r="AZ272" s="129">
        <v>6.3000000000000025</v>
      </c>
      <c r="BA272" s="129">
        <v>6.3000000000000025</v>
      </c>
      <c r="BB272" s="129">
        <v>6.3000000000000025</v>
      </c>
      <c r="BC272" s="129">
        <v>6.3000000000000025</v>
      </c>
      <c r="BD272" s="129">
        <v>6.3000000000000025</v>
      </c>
      <c r="BE272" s="129">
        <v>26.7</v>
      </c>
      <c r="BG272" s="129">
        <v>8.3000000000000025</v>
      </c>
      <c r="BH272" s="129">
        <v>8.3000000000000025</v>
      </c>
      <c r="BI272" s="129">
        <v>8.3000000000000025</v>
      </c>
      <c r="BJ272" s="129">
        <v>8.3000000000000025</v>
      </c>
      <c r="BK272" s="129">
        <v>8.3000000000000025</v>
      </c>
      <c r="BL272" s="129">
        <v>8.3000000000000025</v>
      </c>
      <c r="BM272" s="129">
        <v>8.3000000000000025</v>
      </c>
      <c r="BN272" s="129">
        <v>8.3000000000000025</v>
      </c>
      <c r="BO272" s="129">
        <v>8.3000000000000025</v>
      </c>
      <c r="BP272" s="129">
        <v>26.7</v>
      </c>
      <c r="BR272" s="129">
        <v>8.3000000000000025</v>
      </c>
      <c r="BS272" s="129">
        <v>8.3000000000000025</v>
      </c>
      <c r="BT272" s="129">
        <v>8.3000000000000025</v>
      </c>
      <c r="BU272" s="129">
        <v>8.3000000000000025</v>
      </c>
      <c r="BV272" s="129">
        <v>8.3000000000000025</v>
      </c>
      <c r="BW272" s="129">
        <v>8.3000000000000025</v>
      </c>
      <c r="BX272" s="129">
        <v>8.3000000000000025</v>
      </c>
      <c r="BY272" s="129">
        <v>8.3000000000000025</v>
      </c>
      <c r="BZ272" s="129">
        <v>8.3000000000000025</v>
      </c>
      <c r="CA272" s="129">
        <v>26.7</v>
      </c>
      <c r="CC272" s="129">
        <v>5.3000000000000025</v>
      </c>
      <c r="CD272" s="129">
        <v>5.3000000000000025</v>
      </c>
      <c r="CE272" s="129">
        <v>5.3000000000000025</v>
      </c>
      <c r="CF272" s="129">
        <v>5.3000000000000025</v>
      </c>
      <c r="CG272" s="129">
        <v>5.3000000000000025</v>
      </c>
      <c r="CH272" s="129">
        <v>5.3000000000000025</v>
      </c>
      <c r="CI272" s="129">
        <v>5.3000000000000025</v>
      </c>
      <c r="CJ272" s="129">
        <v>5.3000000000000025</v>
      </c>
      <c r="CK272" s="129">
        <v>5.3000000000000025</v>
      </c>
      <c r="CL272" s="129">
        <v>26.7</v>
      </c>
      <c r="CN272" s="129">
        <v>8.3000000000000025</v>
      </c>
      <c r="CO272" s="129">
        <v>8.3000000000000025</v>
      </c>
      <c r="CP272" s="129">
        <v>8.3000000000000025</v>
      </c>
      <c r="CQ272" s="129">
        <v>8.3000000000000025</v>
      </c>
      <c r="CR272" s="129">
        <v>8.3000000000000025</v>
      </c>
      <c r="CS272" s="129">
        <v>8.3000000000000025</v>
      </c>
      <c r="CT272" s="129">
        <v>8.3000000000000025</v>
      </c>
      <c r="CU272" s="129">
        <v>8.3000000000000025</v>
      </c>
      <c r="CV272" s="129">
        <v>8.3000000000000025</v>
      </c>
      <c r="CW272" s="129">
        <v>26.7</v>
      </c>
      <c r="CY272" s="129">
        <v>11.300000000000002</v>
      </c>
      <c r="CZ272" s="129">
        <v>11.300000000000002</v>
      </c>
      <c r="DA272" s="129">
        <v>11.300000000000002</v>
      </c>
      <c r="DB272" s="129">
        <v>11.300000000000002</v>
      </c>
      <c r="DC272" s="129">
        <v>11.300000000000002</v>
      </c>
      <c r="DD272" s="129">
        <v>11.300000000000002</v>
      </c>
      <c r="DE272" s="129">
        <v>11.300000000000002</v>
      </c>
      <c r="DF272" s="129">
        <v>11.300000000000002</v>
      </c>
      <c r="DG272" s="129">
        <v>11.300000000000002</v>
      </c>
      <c r="DH272" s="129">
        <v>26.7</v>
      </c>
      <c r="DJ272" s="129">
        <v>11.300000000000002</v>
      </c>
      <c r="DK272" s="129">
        <v>11.300000000000002</v>
      </c>
      <c r="DL272" s="129">
        <v>11.300000000000002</v>
      </c>
      <c r="DM272" s="129">
        <v>11.300000000000002</v>
      </c>
      <c r="DN272" s="129">
        <v>11.300000000000002</v>
      </c>
      <c r="DO272" s="129">
        <v>11.300000000000002</v>
      </c>
      <c r="DP272" s="129">
        <v>11.300000000000002</v>
      </c>
      <c r="DQ272" s="129">
        <v>11.300000000000002</v>
      </c>
      <c r="DR272" s="129">
        <v>11.300000000000002</v>
      </c>
      <c r="DS272" s="129">
        <v>26.7</v>
      </c>
      <c r="DW272" s="27"/>
      <c r="EQ272" s="129">
        <v>28.7</v>
      </c>
      <c r="ES272" s="27">
        <v>9.3000000000000025</v>
      </c>
      <c r="ET272" s="27">
        <v>9.3000000000000025</v>
      </c>
      <c r="EU272" s="27">
        <v>9.3000000000000025</v>
      </c>
      <c r="EV272" s="27">
        <v>9.3000000000000025</v>
      </c>
      <c r="EW272" s="27">
        <v>9.3000000000000025</v>
      </c>
      <c r="EX272" s="27">
        <v>9.3000000000000025</v>
      </c>
      <c r="EY272" s="27">
        <v>9.3000000000000025</v>
      </c>
      <c r="EZ272" s="27">
        <v>9.3000000000000025</v>
      </c>
      <c r="FA272" s="27">
        <v>9.3000000000000025</v>
      </c>
      <c r="FB272" s="129">
        <v>28.7</v>
      </c>
      <c r="FD272" s="27">
        <v>12.300000000000002</v>
      </c>
      <c r="FE272" s="27">
        <v>12.300000000000002</v>
      </c>
      <c r="FF272" s="27">
        <v>12.300000000000002</v>
      </c>
      <c r="FG272" s="27">
        <v>12.300000000000002</v>
      </c>
      <c r="FH272" s="27">
        <v>12.300000000000002</v>
      </c>
      <c r="FI272" s="27">
        <v>12.300000000000002</v>
      </c>
      <c r="FJ272" s="27">
        <v>12.300000000000002</v>
      </c>
      <c r="FK272" s="27">
        <v>12.300000000000002</v>
      </c>
      <c r="FL272" s="27">
        <v>12.300000000000002</v>
      </c>
      <c r="FM272" s="129">
        <v>28.7</v>
      </c>
      <c r="FO272" s="27">
        <v>16.600000000000005</v>
      </c>
      <c r="FP272" s="27">
        <v>16.600000000000005</v>
      </c>
      <c r="FQ272" s="27">
        <v>16.600000000000005</v>
      </c>
      <c r="FR272" s="27">
        <v>16.600000000000005</v>
      </c>
      <c r="FS272" s="27">
        <v>16.600000000000005</v>
      </c>
      <c r="FT272" s="27">
        <v>16.600000000000005</v>
      </c>
      <c r="FU272" s="27">
        <v>16.600000000000005</v>
      </c>
      <c r="FV272" s="27">
        <v>16.600000000000005</v>
      </c>
      <c r="FW272" s="27">
        <v>16.600000000000005</v>
      </c>
      <c r="FX272" s="129">
        <v>28.7</v>
      </c>
      <c r="FZ272" s="27">
        <v>16.600000000000005</v>
      </c>
      <c r="GA272" s="27">
        <v>16.600000000000005</v>
      </c>
      <c r="GB272" s="27">
        <v>16.600000000000005</v>
      </c>
      <c r="GC272" s="27">
        <v>16.600000000000005</v>
      </c>
      <c r="GD272" s="27">
        <v>16.600000000000005</v>
      </c>
      <c r="GE272" s="27">
        <v>16.600000000000005</v>
      </c>
      <c r="GF272" s="27">
        <v>16.600000000000005</v>
      </c>
      <c r="GG272" s="27">
        <v>16.600000000000005</v>
      </c>
      <c r="GH272" s="27">
        <v>16.600000000000005</v>
      </c>
      <c r="GI272" s="129">
        <v>28.7</v>
      </c>
      <c r="GJ272" s="27"/>
      <c r="GK272" s="27">
        <v>6.3000000000000025</v>
      </c>
      <c r="GL272" s="27">
        <v>6.3000000000000025</v>
      </c>
      <c r="GM272" s="27">
        <v>6.3000000000000025</v>
      </c>
      <c r="GN272" s="27">
        <v>6.3000000000000025</v>
      </c>
      <c r="GO272" s="27">
        <v>6.3000000000000025</v>
      </c>
      <c r="GP272" s="27">
        <v>6.3000000000000025</v>
      </c>
      <c r="GQ272" s="27">
        <v>6.3000000000000025</v>
      </c>
      <c r="GR272" s="27">
        <v>6.3000000000000025</v>
      </c>
      <c r="GS272" s="27">
        <v>6.3000000000000025</v>
      </c>
      <c r="GT272" s="129">
        <v>28.7</v>
      </c>
      <c r="GV272" s="27">
        <v>8</v>
      </c>
      <c r="GW272" s="27">
        <v>8</v>
      </c>
      <c r="GX272" s="27">
        <v>8</v>
      </c>
      <c r="GY272" s="27">
        <v>8</v>
      </c>
      <c r="GZ272" s="27">
        <v>8</v>
      </c>
      <c r="HA272" s="27">
        <v>8</v>
      </c>
      <c r="HB272" s="27">
        <v>8</v>
      </c>
      <c r="HC272" s="27">
        <v>8</v>
      </c>
      <c r="HD272" s="27">
        <v>8</v>
      </c>
      <c r="HE272" s="129">
        <v>28.7</v>
      </c>
      <c r="HG272" s="27">
        <v>11</v>
      </c>
      <c r="HH272" s="27">
        <v>11</v>
      </c>
      <c r="HI272" s="27">
        <v>11</v>
      </c>
      <c r="HJ272" s="27">
        <v>11</v>
      </c>
      <c r="HK272" s="27">
        <v>11</v>
      </c>
      <c r="HL272" s="27">
        <v>11</v>
      </c>
      <c r="HM272" s="27">
        <v>11</v>
      </c>
      <c r="HN272" s="27">
        <v>11</v>
      </c>
      <c r="HO272" s="27">
        <v>11</v>
      </c>
      <c r="HP272" s="129">
        <v>28.7</v>
      </c>
      <c r="HR272" s="27">
        <v>11</v>
      </c>
      <c r="HS272" s="27">
        <v>11</v>
      </c>
      <c r="HT272" s="27">
        <v>11</v>
      </c>
      <c r="HU272" s="27">
        <v>11</v>
      </c>
      <c r="HV272" s="27">
        <v>11</v>
      </c>
      <c r="HW272" s="27">
        <v>11</v>
      </c>
      <c r="HX272" s="27">
        <v>11</v>
      </c>
      <c r="HY272" s="27">
        <v>11</v>
      </c>
      <c r="HZ272" s="27">
        <v>11</v>
      </c>
      <c r="IA272" s="129">
        <v>28.7</v>
      </c>
    </row>
    <row r="273" spans="15:235" ht="3" customHeight="1">
      <c r="O273" s="17"/>
      <c r="P273" s="17"/>
      <c r="Q273" s="17"/>
      <c r="R273" s="17"/>
      <c r="S273" s="17"/>
      <c r="T273" s="17"/>
      <c r="U273" s="17"/>
      <c r="V273" s="17"/>
      <c r="W273" s="17"/>
      <c r="X273" s="129">
        <v>26.8</v>
      </c>
      <c r="Y273" s="27"/>
      <c r="AI273" s="129">
        <v>26.8</v>
      </c>
      <c r="AK273" s="129">
        <v>5</v>
      </c>
      <c r="AL273" s="129">
        <v>5</v>
      </c>
      <c r="AM273" s="129">
        <v>5</v>
      </c>
      <c r="AN273" s="129">
        <v>5</v>
      </c>
      <c r="AO273" s="129">
        <v>5</v>
      </c>
      <c r="AP273" s="129">
        <v>5</v>
      </c>
      <c r="AQ273" s="129">
        <v>5</v>
      </c>
      <c r="AR273" s="129">
        <v>5</v>
      </c>
      <c r="AS273" s="129">
        <v>5</v>
      </c>
      <c r="AT273" s="129">
        <v>26.8</v>
      </c>
      <c r="AV273" s="129">
        <v>6.2000000000000028</v>
      </c>
      <c r="AW273" s="129">
        <v>6.2000000000000028</v>
      </c>
      <c r="AX273" s="129">
        <v>6.2000000000000028</v>
      </c>
      <c r="AY273" s="129">
        <v>6.2000000000000028</v>
      </c>
      <c r="AZ273" s="129">
        <v>6.2000000000000028</v>
      </c>
      <c r="BA273" s="129">
        <v>6.2000000000000028</v>
      </c>
      <c r="BB273" s="129">
        <v>6.2000000000000028</v>
      </c>
      <c r="BC273" s="129">
        <v>6.2000000000000028</v>
      </c>
      <c r="BD273" s="129">
        <v>6.2000000000000028</v>
      </c>
      <c r="BE273" s="129">
        <v>26.8</v>
      </c>
      <c r="BG273" s="129">
        <v>8.2000000000000028</v>
      </c>
      <c r="BH273" s="129">
        <v>8.2000000000000028</v>
      </c>
      <c r="BI273" s="129">
        <v>8.2000000000000028</v>
      </c>
      <c r="BJ273" s="129">
        <v>8.2000000000000028</v>
      </c>
      <c r="BK273" s="129">
        <v>8.2000000000000028</v>
      </c>
      <c r="BL273" s="129">
        <v>8.2000000000000028</v>
      </c>
      <c r="BM273" s="129">
        <v>8.2000000000000028</v>
      </c>
      <c r="BN273" s="129">
        <v>8.2000000000000028</v>
      </c>
      <c r="BO273" s="129">
        <v>8.2000000000000028</v>
      </c>
      <c r="BP273" s="129">
        <v>26.8</v>
      </c>
      <c r="BR273" s="129">
        <v>8.2000000000000028</v>
      </c>
      <c r="BS273" s="129">
        <v>8.2000000000000028</v>
      </c>
      <c r="BT273" s="129">
        <v>8.2000000000000028</v>
      </c>
      <c r="BU273" s="129">
        <v>8.2000000000000028</v>
      </c>
      <c r="BV273" s="129">
        <v>8.2000000000000028</v>
      </c>
      <c r="BW273" s="129">
        <v>8.2000000000000028</v>
      </c>
      <c r="BX273" s="129">
        <v>8.2000000000000028</v>
      </c>
      <c r="BY273" s="129">
        <v>8.2000000000000028</v>
      </c>
      <c r="BZ273" s="129">
        <v>8.2000000000000028</v>
      </c>
      <c r="CA273" s="129">
        <v>26.8</v>
      </c>
      <c r="CC273" s="129">
        <v>5.2000000000000028</v>
      </c>
      <c r="CD273" s="129">
        <v>5.2000000000000028</v>
      </c>
      <c r="CE273" s="129">
        <v>5.2000000000000028</v>
      </c>
      <c r="CF273" s="129">
        <v>5.2000000000000028</v>
      </c>
      <c r="CG273" s="129">
        <v>5.2000000000000028</v>
      </c>
      <c r="CH273" s="129">
        <v>5.2000000000000028</v>
      </c>
      <c r="CI273" s="129">
        <v>5.2000000000000028</v>
      </c>
      <c r="CJ273" s="129">
        <v>5.2000000000000028</v>
      </c>
      <c r="CK273" s="129">
        <v>5.2000000000000028</v>
      </c>
      <c r="CL273" s="129">
        <v>26.8</v>
      </c>
      <c r="CN273" s="129">
        <v>8.2000000000000028</v>
      </c>
      <c r="CO273" s="129">
        <v>8.2000000000000028</v>
      </c>
      <c r="CP273" s="129">
        <v>8.2000000000000028</v>
      </c>
      <c r="CQ273" s="129">
        <v>8.2000000000000028</v>
      </c>
      <c r="CR273" s="129">
        <v>8.2000000000000028</v>
      </c>
      <c r="CS273" s="129">
        <v>8.2000000000000028</v>
      </c>
      <c r="CT273" s="129">
        <v>8.2000000000000028</v>
      </c>
      <c r="CU273" s="129">
        <v>8.2000000000000028</v>
      </c>
      <c r="CV273" s="129">
        <v>8.2000000000000028</v>
      </c>
      <c r="CW273" s="129">
        <v>26.8</v>
      </c>
      <c r="CY273" s="129">
        <v>11.200000000000003</v>
      </c>
      <c r="CZ273" s="129">
        <v>11.200000000000003</v>
      </c>
      <c r="DA273" s="129">
        <v>11.200000000000003</v>
      </c>
      <c r="DB273" s="129">
        <v>11.200000000000003</v>
      </c>
      <c r="DC273" s="129">
        <v>11.200000000000003</v>
      </c>
      <c r="DD273" s="129">
        <v>11.200000000000003</v>
      </c>
      <c r="DE273" s="129">
        <v>11.200000000000003</v>
      </c>
      <c r="DF273" s="129">
        <v>11.200000000000003</v>
      </c>
      <c r="DG273" s="129">
        <v>11.200000000000003</v>
      </c>
      <c r="DH273" s="129">
        <v>26.8</v>
      </c>
      <c r="DJ273" s="129">
        <v>11.200000000000003</v>
      </c>
      <c r="DK273" s="129">
        <v>11.200000000000003</v>
      </c>
      <c r="DL273" s="129">
        <v>11.200000000000003</v>
      </c>
      <c r="DM273" s="129">
        <v>11.200000000000003</v>
      </c>
      <c r="DN273" s="129">
        <v>11.200000000000003</v>
      </c>
      <c r="DO273" s="129">
        <v>11.200000000000003</v>
      </c>
      <c r="DP273" s="129">
        <v>11.200000000000003</v>
      </c>
      <c r="DQ273" s="129">
        <v>11.200000000000003</v>
      </c>
      <c r="DR273" s="129">
        <v>11.200000000000003</v>
      </c>
      <c r="DS273" s="129">
        <v>26.8</v>
      </c>
      <c r="DW273" s="27"/>
      <c r="EQ273" s="129">
        <v>28.8</v>
      </c>
      <c r="ES273" s="27">
        <v>9.2000000000000028</v>
      </c>
      <c r="ET273" s="27">
        <v>9.2000000000000028</v>
      </c>
      <c r="EU273" s="27">
        <v>9.2000000000000028</v>
      </c>
      <c r="EV273" s="27">
        <v>9.2000000000000028</v>
      </c>
      <c r="EW273" s="27">
        <v>9.2000000000000028</v>
      </c>
      <c r="EX273" s="27">
        <v>9.2000000000000028</v>
      </c>
      <c r="EY273" s="27">
        <v>9.2000000000000028</v>
      </c>
      <c r="EZ273" s="27">
        <v>9.2000000000000028</v>
      </c>
      <c r="FA273" s="27">
        <v>9.2000000000000028</v>
      </c>
      <c r="FB273" s="129">
        <v>28.8</v>
      </c>
      <c r="FD273" s="27">
        <v>12.200000000000003</v>
      </c>
      <c r="FE273" s="27">
        <v>12.200000000000003</v>
      </c>
      <c r="FF273" s="27">
        <v>12.200000000000003</v>
      </c>
      <c r="FG273" s="27">
        <v>12.200000000000003</v>
      </c>
      <c r="FH273" s="27">
        <v>12.200000000000003</v>
      </c>
      <c r="FI273" s="27">
        <v>12.200000000000003</v>
      </c>
      <c r="FJ273" s="27">
        <v>12.200000000000003</v>
      </c>
      <c r="FK273" s="27">
        <v>12.200000000000003</v>
      </c>
      <c r="FL273" s="27">
        <v>12.200000000000003</v>
      </c>
      <c r="FM273" s="129">
        <v>28.8</v>
      </c>
      <c r="FO273" s="27">
        <v>16.400000000000006</v>
      </c>
      <c r="FP273" s="27">
        <v>16.400000000000006</v>
      </c>
      <c r="FQ273" s="27">
        <v>16.400000000000006</v>
      </c>
      <c r="FR273" s="27">
        <v>16.400000000000006</v>
      </c>
      <c r="FS273" s="27">
        <v>16.400000000000006</v>
      </c>
      <c r="FT273" s="27">
        <v>16.400000000000006</v>
      </c>
      <c r="FU273" s="27">
        <v>16.400000000000006</v>
      </c>
      <c r="FV273" s="27">
        <v>16.400000000000006</v>
      </c>
      <c r="FW273" s="27">
        <v>16.400000000000006</v>
      </c>
      <c r="FX273" s="129">
        <v>28.8</v>
      </c>
      <c r="FZ273" s="27">
        <v>16.400000000000006</v>
      </c>
      <c r="GA273" s="27">
        <v>16.400000000000006</v>
      </c>
      <c r="GB273" s="27">
        <v>16.400000000000006</v>
      </c>
      <c r="GC273" s="27">
        <v>16.400000000000006</v>
      </c>
      <c r="GD273" s="27">
        <v>16.400000000000006</v>
      </c>
      <c r="GE273" s="27">
        <v>16.400000000000006</v>
      </c>
      <c r="GF273" s="27">
        <v>16.400000000000006</v>
      </c>
      <c r="GG273" s="27">
        <v>16.400000000000006</v>
      </c>
      <c r="GH273" s="27">
        <v>16.400000000000006</v>
      </c>
      <c r="GI273" s="129">
        <v>28.8</v>
      </c>
      <c r="GJ273" s="27"/>
      <c r="GK273" s="27">
        <v>6.2000000000000028</v>
      </c>
      <c r="GL273" s="27">
        <v>6.2000000000000028</v>
      </c>
      <c r="GM273" s="27">
        <v>6.2000000000000028</v>
      </c>
      <c r="GN273" s="27">
        <v>6.2000000000000028</v>
      </c>
      <c r="GO273" s="27">
        <v>6.2000000000000028</v>
      </c>
      <c r="GP273" s="27">
        <v>6.2000000000000028</v>
      </c>
      <c r="GQ273" s="27">
        <v>6.2000000000000028</v>
      </c>
      <c r="GR273" s="27">
        <v>6.2000000000000028</v>
      </c>
      <c r="GS273" s="27">
        <v>6.2000000000000028</v>
      </c>
      <c r="GT273" s="129">
        <v>28.8</v>
      </c>
      <c r="GV273" s="27">
        <v>8</v>
      </c>
      <c r="GW273" s="27">
        <v>8</v>
      </c>
      <c r="GX273" s="27">
        <v>8</v>
      </c>
      <c r="GY273" s="27">
        <v>8</v>
      </c>
      <c r="GZ273" s="27">
        <v>8</v>
      </c>
      <c r="HA273" s="27">
        <v>8</v>
      </c>
      <c r="HB273" s="27">
        <v>8</v>
      </c>
      <c r="HC273" s="27">
        <v>8</v>
      </c>
      <c r="HD273" s="27">
        <v>8</v>
      </c>
      <c r="HE273" s="129">
        <v>28.8</v>
      </c>
      <c r="HG273" s="27">
        <v>11</v>
      </c>
      <c r="HH273" s="27">
        <v>11</v>
      </c>
      <c r="HI273" s="27">
        <v>11</v>
      </c>
      <c r="HJ273" s="27">
        <v>11</v>
      </c>
      <c r="HK273" s="27">
        <v>11</v>
      </c>
      <c r="HL273" s="27">
        <v>11</v>
      </c>
      <c r="HM273" s="27">
        <v>11</v>
      </c>
      <c r="HN273" s="27">
        <v>11</v>
      </c>
      <c r="HO273" s="27">
        <v>11</v>
      </c>
      <c r="HP273" s="129">
        <v>28.8</v>
      </c>
      <c r="HR273" s="27">
        <v>11</v>
      </c>
      <c r="HS273" s="27">
        <v>11</v>
      </c>
      <c r="HT273" s="27">
        <v>11</v>
      </c>
      <c r="HU273" s="27">
        <v>11</v>
      </c>
      <c r="HV273" s="27">
        <v>11</v>
      </c>
      <c r="HW273" s="27">
        <v>11</v>
      </c>
      <c r="HX273" s="27">
        <v>11</v>
      </c>
      <c r="HY273" s="27">
        <v>11</v>
      </c>
      <c r="HZ273" s="27">
        <v>11</v>
      </c>
      <c r="IA273" s="129">
        <v>28.8</v>
      </c>
    </row>
    <row r="274" spans="15:235" ht="3" customHeight="1">
      <c r="O274" s="17"/>
      <c r="P274" s="17"/>
      <c r="Q274" s="17"/>
      <c r="R274" s="17"/>
      <c r="S274" s="17"/>
      <c r="T274" s="17"/>
      <c r="U274" s="17"/>
      <c r="V274" s="17"/>
      <c r="W274" s="17"/>
      <c r="X274" s="129">
        <v>26.9</v>
      </c>
      <c r="Y274" s="27"/>
      <c r="AI274" s="129">
        <v>26.9</v>
      </c>
      <c r="AK274" s="129">
        <v>5</v>
      </c>
      <c r="AL274" s="129">
        <v>5</v>
      </c>
      <c r="AM274" s="129">
        <v>5</v>
      </c>
      <c r="AN274" s="129">
        <v>5</v>
      </c>
      <c r="AO274" s="129">
        <v>5</v>
      </c>
      <c r="AP274" s="129">
        <v>5</v>
      </c>
      <c r="AQ274" s="129">
        <v>5</v>
      </c>
      <c r="AR274" s="129">
        <v>5</v>
      </c>
      <c r="AS274" s="129">
        <v>5</v>
      </c>
      <c r="AT274" s="129">
        <v>26.9</v>
      </c>
      <c r="AV274" s="129">
        <v>6.1000000000000032</v>
      </c>
      <c r="AW274" s="129">
        <v>6.1000000000000032</v>
      </c>
      <c r="AX274" s="129">
        <v>6.1000000000000032</v>
      </c>
      <c r="AY274" s="129">
        <v>6.1000000000000032</v>
      </c>
      <c r="AZ274" s="129">
        <v>6.1000000000000032</v>
      </c>
      <c r="BA274" s="129">
        <v>6.1000000000000032</v>
      </c>
      <c r="BB274" s="129">
        <v>6.1000000000000032</v>
      </c>
      <c r="BC274" s="129">
        <v>6.1000000000000032</v>
      </c>
      <c r="BD274" s="129">
        <v>6.1000000000000032</v>
      </c>
      <c r="BE274" s="129">
        <v>26.9</v>
      </c>
      <c r="BG274" s="129">
        <v>8.1000000000000032</v>
      </c>
      <c r="BH274" s="129">
        <v>8.1000000000000032</v>
      </c>
      <c r="BI274" s="129">
        <v>8.1000000000000032</v>
      </c>
      <c r="BJ274" s="129">
        <v>8.1000000000000032</v>
      </c>
      <c r="BK274" s="129">
        <v>8.1000000000000032</v>
      </c>
      <c r="BL274" s="129">
        <v>8.1000000000000032</v>
      </c>
      <c r="BM274" s="129">
        <v>8.1000000000000032</v>
      </c>
      <c r="BN274" s="129">
        <v>8.1000000000000032</v>
      </c>
      <c r="BO274" s="129">
        <v>8.1000000000000032</v>
      </c>
      <c r="BP274" s="129">
        <v>26.9</v>
      </c>
      <c r="BR274" s="129">
        <v>8.1000000000000032</v>
      </c>
      <c r="BS274" s="129">
        <v>8.1000000000000032</v>
      </c>
      <c r="BT274" s="129">
        <v>8.1000000000000032</v>
      </c>
      <c r="BU274" s="129">
        <v>8.1000000000000032</v>
      </c>
      <c r="BV274" s="129">
        <v>8.1000000000000032</v>
      </c>
      <c r="BW274" s="129">
        <v>8.1000000000000032</v>
      </c>
      <c r="BX274" s="129">
        <v>8.1000000000000032</v>
      </c>
      <c r="BY274" s="129">
        <v>8.1000000000000032</v>
      </c>
      <c r="BZ274" s="129">
        <v>8.1000000000000032</v>
      </c>
      <c r="CA274" s="129">
        <v>26.9</v>
      </c>
      <c r="CC274" s="129">
        <v>5.1000000000000032</v>
      </c>
      <c r="CD274" s="129">
        <v>5.1000000000000032</v>
      </c>
      <c r="CE274" s="129">
        <v>5.1000000000000032</v>
      </c>
      <c r="CF274" s="129">
        <v>5.1000000000000032</v>
      </c>
      <c r="CG274" s="129">
        <v>5.1000000000000032</v>
      </c>
      <c r="CH274" s="129">
        <v>5.1000000000000032</v>
      </c>
      <c r="CI274" s="129">
        <v>5.1000000000000032</v>
      </c>
      <c r="CJ274" s="129">
        <v>5.1000000000000032</v>
      </c>
      <c r="CK274" s="129">
        <v>5.1000000000000032</v>
      </c>
      <c r="CL274" s="129">
        <v>26.9</v>
      </c>
      <c r="CN274" s="129">
        <v>8.1000000000000032</v>
      </c>
      <c r="CO274" s="129">
        <v>8.1000000000000032</v>
      </c>
      <c r="CP274" s="129">
        <v>8.1000000000000032</v>
      </c>
      <c r="CQ274" s="129">
        <v>8.1000000000000032</v>
      </c>
      <c r="CR274" s="129">
        <v>8.1000000000000032</v>
      </c>
      <c r="CS274" s="129">
        <v>8.1000000000000032</v>
      </c>
      <c r="CT274" s="129">
        <v>8.1000000000000032</v>
      </c>
      <c r="CU274" s="129">
        <v>8.1000000000000032</v>
      </c>
      <c r="CV274" s="129">
        <v>8.1000000000000032</v>
      </c>
      <c r="CW274" s="129">
        <v>26.9</v>
      </c>
      <c r="CY274" s="129">
        <v>11.100000000000003</v>
      </c>
      <c r="CZ274" s="129">
        <v>11.100000000000003</v>
      </c>
      <c r="DA274" s="129">
        <v>11.100000000000003</v>
      </c>
      <c r="DB274" s="129">
        <v>11.100000000000003</v>
      </c>
      <c r="DC274" s="129">
        <v>11.100000000000003</v>
      </c>
      <c r="DD274" s="129">
        <v>11.100000000000003</v>
      </c>
      <c r="DE274" s="129">
        <v>11.100000000000003</v>
      </c>
      <c r="DF274" s="129">
        <v>11.100000000000003</v>
      </c>
      <c r="DG274" s="129">
        <v>11.100000000000003</v>
      </c>
      <c r="DH274" s="129">
        <v>26.9</v>
      </c>
      <c r="DJ274" s="129">
        <v>11.100000000000003</v>
      </c>
      <c r="DK274" s="129">
        <v>11.100000000000003</v>
      </c>
      <c r="DL274" s="129">
        <v>11.100000000000003</v>
      </c>
      <c r="DM274" s="129">
        <v>11.100000000000003</v>
      </c>
      <c r="DN274" s="129">
        <v>11.100000000000003</v>
      </c>
      <c r="DO274" s="129">
        <v>11.100000000000003</v>
      </c>
      <c r="DP274" s="129">
        <v>11.100000000000003</v>
      </c>
      <c r="DQ274" s="129">
        <v>11.100000000000003</v>
      </c>
      <c r="DR274" s="129">
        <v>11.100000000000003</v>
      </c>
      <c r="DS274" s="129">
        <v>26.9</v>
      </c>
      <c r="DW274" s="27"/>
      <c r="EQ274" s="129">
        <v>28.9</v>
      </c>
      <c r="ES274" s="27">
        <v>9.1000000000000032</v>
      </c>
      <c r="ET274" s="27">
        <v>9.1000000000000032</v>
      </c>
      <c r="EU274" s="27">
        <v>9.1000000000000032</v>
      </c>
      <c r="EV274" s="27">
        <v>9.1000000000000032</v>
      </c>
      <c r="EW274" s="27">
        <v>9.1000000000000032</v>
      </c>
      <c r="EX274" s="27">
        <v>9.1000000000000032</v>
      </c>
      <c r="EY274" s="27">
        <v>9.1000000000000032</v>
      </c>
      <c r="EZ274" s="27">
        <v>9.1000000000000032</v>
      </c>
      <c r="FA274" s="27">
        <v>9.1000000000000032</v>
      </c>
      <c r="FB274" s="129">
        <v>28.9</v>
      </c>
      <c r="FD274" s="27">
        <v>12.100000000000003</v>
      </c>
      <c r="FE274" s="27">
        <v>12.100000000000003</v>
      </c>
      <c r="FF274" s="27">
        <v>12.100000000000003</v>
      </c>
      <c r="FG274" s="27">
        <v>12.100000000000003</v>
      </c>
      <c r="FH274" s="27">
        <v>12.100000000000003</v>
      </c>
      <c r="FI274" s="27">
        <v>12.100000000000003</v>
      </c>
      <c r="FJ274" s="27">
        <v>12.100000000000003</v>
      </c>
      <c r="FK274" s="27">
        <v>12.100000000000003</v>
      </c>
      <c r="FL274" s="27">
        <v>12.100000000000003</v>
      </c>
      <c r="FM274" s="129">
        <v>28.9</v>
      </c>
      <c r="FO274" s="27">
        <v>16.200000000000006</v>
      </c>
      <c r="FP274" s="27">
        <v>16.200000000000006</v>
      </c>
      <c r="FQ274" s="27">
        <v>16.200000000000006</v>
      </c>
      <c r="FR274" s="27">
        <v>16.200000000000006</v>
      </c>
      <c r="FS274" s="27">
        <v>16.200000000000006</v>
      </c>
      <c r="FT274" s="27">
        <v>16.200000000000006</v>
      </c>
      <c r="FU274" s="27">
        <v>16.200000000000006</v>
      </c>
      <c r="FV274" s="27">
        <v>16.200000000000006</v>
      </c>
      <c r="FW274" s="27">
        <v>16.200000000000006</v>
      </c>
      <c r="FX274" s="129">
        <v>28.9</v>
      </c>
      <c r="FZ274" s="27">
        <v>16.200000000000006</v>
      </c>
      <c r="GA274" s="27">
        <v>16.200000000000006</v>
      </c>
      <c r="GB274" s="27">
        <v>16.200000000000006</v>
      </c>
      <c r="GC274" s="27">
        <v>16.200000000000006</v>
      </c>
      <c r="GD274" s="27">
        <v>16.200000000000006</v>
      </c>
      <c r="GE274" s="27">
        <v>16.200000000000006</v>
      </c>
      <c r="GF274" s="27">
        <v>16.200000000000006</v>
      </c>
      <c r="GG274" s="27">
        <v>16.200000000000006</v>
      </c>
      <c r="GH274" s="27">
        <v>16.200000000000006</v>
      </c>
      <c r="GI274" s="129">
        <v>28.9</v>
      </c>
      <c r="GJ274" s="27"/>
      <c r="GK274" s="27">
        <v>6.1000000000000032</v>
      </c>
      <c r="GL274" s="27">
        <v>6.1000000000000032</v>
      </c>
      <c r="GM274" s="27">
        <v>6.1000000000000032</v>
      </c>
      <c r="GN274" s="27">
        <v>6.1000000000000032</v>
      </c>
      <c r="GO274" s="27">
        <v>6.1000000000000032</v>
      </c>
      <c r="GP274" s="27">
        <v>6.1000000000000032</v>
      </c>
      <c r="GQ274" s="27">
        <v>6.1000000000000032</v>
      </c>
      <c r="GR274" s="27">
        <v>6.1000000000000032</v>
      </c>
      <c r="GS274" s="27">
        <v>6.1000000000000032</v>
      </c>
      <c r="GT274" s="129">
        <v>28.9</v>
      </c>
      <c r="GV274" s="27">
        <v>8</v>
      </c>
      <c r="GW274" s="27">
        <v>8</v>
      </c>
      <c r="GX274" s="27">
        <v>8</v>
      </c>
      <c r="GY274" s="27">
        <v>8</v>
      </c>
      <c r="GZ274" s="27">
        <v>8</v>
      </c>
      <c r="HA274" s="27">
        <v>8</v>
      </c>
      <c r="HB274" s="27">
        <v>8</v>
      </c>
      <c r="HC274" s="27">
        <v>8</v>
      </c>
      <c r="HD274" s="27">
        <v>8</v>
      </c>
      <c r="HE274" s="129">
        <v>28.9</v>
      </c>
      <c r="HG274" s="27">
        <v>11</v>
      </c>
      <c r="HH274" s="27">
        <v>11</v>
      </c>
      <c r="HI274" s="27">
        <v>11</v>
      </c>
      <c r="HJ274" s="27">
        <v>11</v>
      </c>
      <c r="HK274" s="27">
        <v>11</v>
      </c>
      <c r="HL274" s="27">
        <v>11</v>
      </c>
      <c r="HM274" s="27">
        <v>11</v>
      </c>
      <c r="HN274" s="27">
        <v>11</v>
      </c>
      <c r="HO274" s="27">
        <v>11</v>
      </c>
      <c r="HP274" s="129">
        <v>28.9</v>
      </c>
      <c r="HR274" s="27">
        <v>11</v>
      </c>
      <c r="HS274" s="27">
        <v>11</v>
      </c>
      <c r="HT274" s="27">
        <v>11</v>
      </c>
      <c r="HU274" s="27">
        <v>11</v>
      </c>
      <c r="HV274" s="27">
        <v>11</v>
      </c>
      <c r="HW274" s="27">
        <v>11</v>
      </c>
      <c r="HX274" s="27">
        <v>11</v>
      </c>
      <c r="HY274" s="27">
        <v>11</v>
      </c>
      <c r="HZ274" s="27">
        <v>11</v>
      </c>
      <c r="IA274" s="129">
        <v>28.9</v>
      </c>
    </row>
    <row r="275" spans="15:235" ht="3" customHeight="1">
      <c r="O275" s="17"/>
      <c r="P275" s="17"/>
      <c r="Q275" s="17"/>
      <c r="R275" s="17"/>
      <c r="S275" s="17"/>
      <c r="T275" s="17"/>
      <c r="U275" s="17"/>
      <c r="V275" s="17"/>
      <c r="W275" s="17"/>
      <c r="X275" s="129">
        <v>27</v>
      </c>
      <c r="Y275" s="27"/>
      <c r="AI275" s="129">
        <v>27</v>
      </c>
      <c r="AK275" s="129">
        <v>5</v>
      </c>
      <c r="AL275" s="129">
        <v>5</v>
      </c>
      <c r="AM275" s="129">
        <v>5</v>
      </c>
      <c r="AN275" s="129">
        <v>5</v>
      </c>
      <c r="AO275" s="129">
        <v>5</v>
      </c>
      <c r="AP275" s="129">
        <v>5</v>
      </c>
      <c r="AQ275" s="129">
        <v>5</v>
      </c>
      <c r="AR275" s="129">
        <v>5</v>
      </c>
      <c r="AS275" s="129">
        <v>5</v>
      </c>
      <c r="AT275" s="129">
        <v>27</v>
      </c>
      <c r="AV275" s="129">
        <v>6</v>
      </c>
      <c r="AW275" s="129">
        <v>6</v>
      </c>
      <c r="AX275" s="129">
        <v>6</v>
      </c>
      <c r="AY275" s="129">
        <v>6</v>
      </c>
      <c r="AZ275" s="129">
        <v>6</v>
      </c>
      <c r="BA275" s="129">
        <v>6</v>
      </c>
      <c r="BB275" s="129">
        <v>6</v>
      </c>
      <c r="BC275" s="129">
        <v>6</v>
      </c>
      <c r="BD275" s="129">
        <v>6</v>
      </c>
      <c r="BE275" s="129">
        <v>27</v>
      </c>
      <c r="BG275" s="129">
        <v>8</v>
      </c>
      <c r="BH275" s="129">
        <v>8</v>
      </c>
      <c r="BI275" s="129">
        <v>8</v>
      </c>
      <c r="BJ275" s="129">
        <v>8</v>
      </c>
      <c r="BK275" s="129">
        <v>8</v>
      </c>
      <c r="BL275" s="129">
        <v>8</v>
      </c>
      <c r="BM275" s="129">
        <v>8</v>
      </c>
      <c r="BN275" s="129">
        <v>8</v>
      </c>
      <c r="BO275" s="129">
        <v>8</v>
      </c>
      <c r="BP275" s="129">
        <v>27</v>
      </c>
      <c r="BR275" s="129">
        <v>8</v>
      </c>
      <c r="BS275" s="129">
        <v>8</v>
      </c>
      <c r="BT275" s="129">
        <v>8</v>
      </c>
      <c r="BU275" s="129">
        <v>8</v>
      </c>
      <c r="BV275" s="129">
        <v>8</v>
      </c>
      <c r="BW275" s="129">
        <v>8</v>
      </c>
      <c r="BX275" s="129">
        <v>8</v>
      </c>
      <c r="BY275" s="129">
        <v>8</v>
      </c>
      <c r="BZ275" s="129">
        <v>8</v>
      </c>
      <c r="CA275" s="129">
        <v>27</v>
      </c>
      <c r="CC275" s="129">
        <v>5</v>
      </c>
      <c r="CD275" s="129">
        <v>5</v>
      </c>
      <c r="CE275" s="129">
        <v>5</v>
      </c>
      <c r="CF275" s="129">
        <v>5</v>
      </c>
      <c r="CG275" s="129">
        <v>5</v>
      </c>
      <c r="CH275" s="129">
        <v>5</v>
      </c>
      <c r="CI275" s="129">
        <v>5</v>
      </c>
      <c r="CJ275" s="129">
        <v>5</v>
      </c>
      <c r="CK275" s="129">
        <v>5</v>
      </c>
      <c r="CL275" s="129">
        <v>27</v>
      </c>
      <c r="CN275" s="129">
        <v>8</v>
      </c>
      <c r="CO275" s="129">
        <v>8</v>
      </c>
      <c r="CP275" s="129">
        <v>8</v>
      </c>
      <c r="CQ275" s="129">
        <v>8</v>
      </c>
      <c r="CR275" s="129">
        <v>8</v>
      </c>
      <c r="CS275" s="129">
        <v>8</v>
      </c>
      <c r="CT275" s="129">
        <v>8</v>
      </c>
      <c r="CU275" s="129">
        <v>8</v>
      </c>
      <c r="CV275" s="129">
        <v>8</v>
      </c>
      <c r="CW275" s="129">
        <v>27</v>
      </c>
      <c r="CY275" s="129">
        <v>11</v>
      </c>
      <c r="CZ275" s="129">
        <v>11</v>
      </c>
      <c r="DA275" s="129">
        <v>11</v>
      </c>
      <c r="DB275" s="129">
        <v>11</v>
      </c>
      <c r="DC275" s="129">
        <v>11</v>
      </c>
      <c r="DD275" s="129">
        <v>11</v>
      </c>
      <c r="DE275" s="129">
        <v>11</v>
      </c>
      <c r="DF275" s="129">
        <v>11</v>
      </c>
      <c r="DG275" s="129">
        <v>11</v>
      </c>
      <c r="DH275" s="129">
        <v>27</v>
      </c>
      <c r="DJ275" s="129">
        <v>11</v>
      </c>
      <c r="DK275" s="129">
        <v>11</v>
      </c>
      <c r="DL275" s="129">
        <v>11</v>
      </c>
      <c r="DM275" s="129">
        <v>11</v>
      </c>
      <c r="DN275" s="129">
        <v>11</v>
      </c>
      <c r="DO275" s="129">
        <v>11</v>
      </c>
      <c r="DP275" s="129">
        <v>11</v>
      </c>
      <c r="DQ275" s="129">
        <v>11</v>
      </c>
      <c r="DR275" s="129">
        <v>11</v>
      </c>
      <c r="DS275" s="129">
        <v>27</v>
      </c>
      <c r="DW275" s="27"/>
      <c r="EQ275" s="129">
        <v>29</v>
      </c>
      <c r="ES275" s="27">
        <v>9</v>
      </c>
      <c r="ET275" s="27">
        <v>9</v>
      </c>
      <c r="EU275" s="27">
        <v>9</v>
      </c>
      <c r="EV275" s="27">
        <v>9</v>
      </c>
      <c r="EW275" s="27">
        <v>9</v>
      </c>
      <c r="EX275" s="27">
        <v>9</v>
      </c>
      <c r="EY275" s="27">
        <v>9</v>
      </c>
      <c r="EZ275" s="27">
        <v>9</v>
      </c>
      <c r="FA275" s="27">
        <v>9</v>
      </c>
      <c r="FB275" s="129">
        <v>29</v>
      </c>
      <c r="FD275" s="27">
        <v>12</v>
      </c>
      <c r="FE275" s="27">
        <v>12</v>
      </c>
      <c r="FF275" s="27">
        <v>12</v>
      </c>
      <c r="FG275" s="27">
        <v>12</v>
      </c>
      <c r="FH275" s="27">
        <v>12</v>
      </c>
      <c r="FI275" s="27">
        <v>12</v>
      </c>
      <c r="FJ275" s="27">
        <v>12</v>
      </c>
      <c r="FK275" s="27">
        <v>12</v>
      </c>
      <c r="FL275" s="27">
        <v>12</v>
      </c>
      <c r="FM275" s="129">
        <v>29</v>
      </c>
      <c r="FO275" s="27">
        <v>16</v>
      </c>
      <c r="FP275" s="27">
        <v>16</v>
      </c>
      <c r="FQ275" s="27">
        <v>16</v>
      </c>
      <c r="FR275" s="27">
        <v>16</v>
      </c>
      <c r="FS275" s="27">
        <v>16</v>
      </c>
      <c r="FT275" s="27">
        <v>16</v>
      </c>
      <c r="FU275" s="27">
        <v>16</v>
      </c>
      <c r="FV275" s="27">
        <v>16</v>
      </c>
      <c r="FW275" s="27">
        <v>16</v>
      </c>
      <c r="FX275" s="129">
        <v>29</v>
      </c>
      <c r="FZ275" s="27">
        <v>16</v>
      </c>
      <c r="GA275" s="27">
        <v>16</v>
      </c>
      <c r="GB275" s="27">
        <v>16</v>
      </c>
      <c r="GC275" s="27">
        <v>16</v>
      </c>
      <c r="GD275" s="27">
        <v>16</v>
      </c>
      <c r="GE275" s="27">
        <v>16</v>
      </c>
      <c r="GF275" s="27">
        <v>16</v>
      </c>
      <c r="GG275" s="27">
        <v>16</v>
      </c>
      <c r="GH275" s="27">
        <v>16</v>
      </c>
      <c r="GI275" s="129">
        <v>29</v>
      </c>
      <c r="GJ275" s="27"/>
      <c r="GK275" s="27">
        <v>6</v>
      </c>
      <c r="GL275" s="27">
        <v>6</v>
      </c>
      <c r="GM275" s="27">
        <v>6</v>
      </c>
      <c r="GN275" s="27">
        <v>6</v>
      </c>
      <c r="GO275" s="27">
        <v>6</v>
      </c>
      <c r="GP275" s="27">
        <v>6</v>
      </c>
      <c r="GQ275" s="27">
        <v>6</v>
      </c>
      <c r="GR275" s="27">
        <v>6</v>
      </c>
      <c r="GS275" s="27">
        <v>6</v>
      </c>
      <c r="GT275" s="129">
        <v>29</v>
      </c>
      <c r="GV275" s="27">
        <v>8</v>
      </c>
      <c r="GW275" s="27">
        <v>8</v>
      </c>
      <c r="GX275" s="27">
        <v>8</v>
      </c>
      <c r="GY275" s="27">
        <v>8</v>
      </c>
      <c r="GZ275" s="27">
        <v>8</v>
      </c>
      <c r="HA275" s="27">
        <v>8</v>
      </c>
      <c r="HB275" s="27">
        <v>8</v>
      </c>
      <c r="HC275" s="27">
        <v>8</v>
      </c>
      <c r="HD275" s="27">
        <v>8</v>
      </c>
      <c r="HE275" s="129">
        <v>29</v>
      </c>
      <c r="HG275" s="27">
        <v>11</v>
      </c>
      <c r="HH275" s="27">
        <v>11</v>
      </c>
      <c r="HI275" s="27">
        <v>11</v>
      </c>
      <c r="HJ275" s="27">
        <v>11</v>
      </c>
      <c r="HK275" s="27">
        <v>11</v>
      </c>
      <c r="HL275" s="27">
        <v>11</v>
      </c>
      <c r="HM275" s="27">
        <v>11</v>
      </c>
      <c r="HN275" s="27">
        <v>11</v>
      </c>
      <c r="HO275" s="27">
        <v>11</v>
      </c>
      <c r="HP275" s="129">
        <v>29</v>
      </c>
      <c r="HR275" s="27">
        <v>11</v>
      </c>
      <c r="HS275" s="27">
        <v>11</v>
      </c>
      <c r="HT275" s="27">
        <v>11</v>
      </c>
      <c r="HU275" s="27">
        <v>11</v>
      </c>
      <c r="HV275" s="27">
        <v>11</v>
      </c>
      <c r="HW275" s="27">
        <v>11</v>
      </c>
      <c r="HX275" s="27">
        <v>11</v>
      </c>
      <c r="HY275" s="27">
        <v>11</v>
      </c>
      <c r="HZ275" s="27">
        <v>11</v>
      </c>
      <c r="IA275" s="129">
        <v>29</v>
      </c>
    </row>
    <row r="276" spans="15:235">
      <c r="O276" s="17"/>
      <c r="P276" s="17"/>
      <c r="Q276" s="17"/>
      <c r="R276" s="17"/>
      <c r="S276" s="17"/>
      <c r="T276" s="17"/>
      <c r="U276" s="17"/>
      <c r="V276" s="17"/>
      <c r="W276" s="17"/>
      <c r="X276" s="129">
        <v>27.1</v>
      </c>
      <c r="Y276" s="27"/>
      <c r="AI276" s="129">
        <v>27.1</v>
      </c>
      <c r="AT276" s="129">
        <v>27.1</v>
      </c>
      <c r="AV276" s="129">
        <v>6</v>
      </c>
      <c r="AW276" s="129">
        <v>6</v>
      </c>
      <c r="AX276" s="129">
        <v>6</v>
      </c>
      <c r="AY276" s="129">
        <v>6</v>
      </c>
      <c r="AZ276" s="129">
        <v>6</v>
      </c>
      <c r="BA276" s="129">
        <v>6</v>
      </c>
      <c r="BB276" s="129">
        <v>6</v>
      </c>
      <c r="BC276" s="129">
        <v>6</v>
      </c>
      <c r="BD276" s="129">
        <v>6</v>
      </c>
      <c r="BE276" s="129">
        <v>27.1</v>
      </c>
      <c r="BG276" s="129">
        <v>7.9</v>
      </c>
      <c r="BH276" s="129">
        <v>7.9</v>
      </c>
      <c r="BI276" s="129">
        <v>7.9</v>
      </c>
      <c r="BJ276" s="129">
        <v>7.9</v>
      </c>
      <c r="BK276" s="129">
        <v>7.9</v>
      </c>
      <c r="BL276" s="129">
        <v>7.9</v>
      </c>
      <c r="BM276" s="129">
        <v>7.9</v>
      </c>
      <c r="BN276" s="129">
        <v>7.9</v>
      </c>
      <c r="BO276" s="129">
        <v>7.9</v>
      </c>
      <c r="BP276" s="129">
        <v>27.1</v>
      </c>
      <c r="BR276" s="129">
        <v>7.9</v>
      </c>
      <c r="BS276" s="129">
        <v>7.9</v>
      </c>
      <c r="BT276" s="129">
        <v>7.9</v>
      </c>
      <c r="BU276" s="129">
        <v>7.9</v>
      </c>
      <c r="BV276" s="129">
        <v>7.9</v>
      </c>
      <c r="BW276" s="129">
        <v>7.9</v>
      </c>
      <c r="BX276" s="129">
        <v>7.9</v>
      </c>
      <c r="BY276" s="129">
        <v>7.9</v>
      </c>
      <c r="BZ276" s="129">
        <v>7.9</v>
      </c>
      <c r="CA276" s="129">
        <v>27.1</v>
      </c>
      <c r="CC276" s="129">
        <v>5</v>
      </c>
      <c r="CD276" s="129">
        <v>5</v>
      </c>
      <c r="CE276" s="129">
        <v>5</v>
      </c>
      <c r="CF276" s="129">
        <v>5</v>
      </c>
      <c r="CG276" s="129">
        <v>5</v>
      </c>
      <c r="CH276" s="129">
        <v>5</v>
      </c>
      <c r="CI276" s="129">
        <v>5</v>
      </c>
      <c r="CJ276" s="129">
        <v>5</v>
      </c>
      <c r="CK276" s="129">
        <v>5</v>
      </c>
      <c r="CL276" s="129">
        <v>27.1</v>
      </c>
      <c r="CN276" s="129">
        <v>8</v>
      </c>
      <c r="CO276" s="129">
        <v>8</v>
      </c>
      <c r="CP276" s="129">
        <v>8</v>
      </c>
      <c r="CQ276" s="129">
        <v>8</v>
      </c>
      <c r="CR276" s="129">
        <v>8</v>
      </c>
      <c r="CS276" s="129">
        <v>8</v>
      </c>
      <c r="CT276" s="129">
        <v>8</v>
      </c>
      <c r="CU276" s="129">
        <v>8</v>
      </c>
      <c r="CV276" s="129">
        <v>8</v>
      </c>
      <c r="CW276" s="129">
        <v>27.1</v>
      </c>
      <c r="CY276" s="129">
        <v>10.9</v>
      </c>
      <c r="CZ276" s="129">
        <v>10.9</v>
      </c>
      <c r="DA276" s="129">
        <v>10.9</v>
      </c>
      <c r="DB276" s="129">
        <v>10.9</v>
      </c>
      <c r="DC276" s="129">
        <v>10.9</v>
      </c>
      <c r="DD276" s="129">
        <v>10.9</v>
      </c>
      <c r="DE276" s="129">
        <v>10.9</v>
      </c>
      <c r="DF276" s="129">
        <v>10.9</v>
      </c>
      <c r="DG276" s="129">
        <v>10.9</v>
      </c>
      <c r="DH276" s="129">
        <v>27.1</v>
      </c>
      <c r="DJ276" s="129">
        <v>10.9</v>
      </c>
      <c r="DK276" s="129">
        <v>10.9</v>
      </c>
      <c r="DL276" s="129">
        <v>10.9</v>
      </c>
      <c r="DM276" s="129">
        <v>10.9</v>
      </c>
      <c r="DN276" s="129">
        <v>10.9</v>
      </c>
      <c r="DO276" s="129">
        <v>10.9</v>
      </c>
      <c r="DP276" s="129">
        <v>10.9</v>
      </c>
      <c r="DQ276" s="129">
        <v>10.9</v>
      </c>
      <c r="DR276" s="129">
        <v>10.9</v>
      </c>
      <c r="DS276" s="129">
        <v>27.1</v>
      </c>
      <c r="DW276" s="27"/>
      <c r="EQ276" s="129">
        <v>29.1</v>
      </c>
      <c r="ES276" s="27">
        <v>8.8000000000000007</v>
      </c>
      <c r="ET276" s="27">
        <v>8.8000000000000007</v>
      </c>
      <c r="EU276" s="27">
        <v>8.8000000000000007</v>
      </c>
      <c r="EV276" s="27">
        <v>8.8000000000000007</v>
      </c>
      <c r="EW276" s="27">
        <v>8.8000000000000007</v>
      </c>
      <c r="EX276" s="27">
        <v>8.8000000000000007</v>
      </c>
      <c r="EY276" s="27">
        <v>8.8000000000000007</v>
      </c>
      <c r="EZ276" s="27">
        <v>8.8000000000000007</v>
      </c>
      <c r="FA276" s="27">
        <v>8.8000000000000007</v>
      </c>
      <c r="FB276" s="129">
        <v>29.1</v>
      </c>
      <c r="FD276" s="27">
        <v>11.8</v>
      </c>
      <c r="FE276" s="27">
        <v>11.8</v>
      </c>
      <c r="FF276" s="27">
        <v>11.8</v>
      </c>
      <c r="FG276" s="27">
        <v>11.8</v>
      </c>
      <c r="FH276" s="27">
        <v>11.8</v>
      </c>
      <c r="FI276" s="27">
        <v>11.8</v>
      </c>
      <c r="FJ276" s="27">
        <v>11.8</v>
      </c>
      <c r="FK276" s="27">
        <v>11.8</v>
      </c>
      <c r="FL276" s="27">
        <v>11.8</v>
      </c>
      <c r="FM276" s="129">
        <v>29.1</v>
      </c>
      <c r="FO276" s="27">
        <v>15.7</v>
      </c>
      <c r="FP276" s="27">
        <v>15.7</v>
      </c>
      <c r="FQ276" s="27">
        <v>15.7</v>
      </c>
      <c r="FR276" s="27">
        <v>15.7</v>
      </c>
      <c r="FS276" s="27">
        <v>15.7</v>
      </c>
      <c r="FT276" s="27">
        <v>15.7</v>
      </c>
      <c r="FU276" s="27">
        <v>15.7</v>
      </c>
      <c r="FV276" s="27">
        <v>15.7</v>
      </c>
      <c r="FW276" s="27">
        <v>15.7</v>
      </c>
      <c r="FX276" s="129">
        <v>29.1</v>
      </c>
      <c r="FZ276" s="27">
        <v>15.7</v>
      </c>
      <c r="GA276" s="27">
        <v>15.7</v>
      </c>
      <c r="GB276" s="27">
        <v>15.7</v>
      </c>
      <c r="GC276" s="27">
        <v>15.7</v>
      </c>
      <c r="GD276" s="27">
        <v>15.7</v>
      </c>
      <c r="GE276" s="27">
        <v>15.7</v>
      </c>
      <c r="GF276" s="27">
        <v>15.7</v>
      </c>
      <c r="GG276" s="27">
        <v>15.7</v>
      </c>
      <c r="GH276" s="27">
        <v>15.7</v>
      </c>
      <c r="GI276" s="129">
        <v>29.1</v>
      </c>
      <c r="GJ276" s="27"/>
      <c r="GK276" s="27">
        <v>5.9</v>
      </c>
      <c r="GL276" s="27">
        <v>5.9</v>
      </c>
      <c r="GM276" s="27">
        <v>5.9</v>
      </c>
      <c r="GN276" s="27">
        <v>5.9</v>
      </c>
      <c r="GO276" s="27">
        <v>5.9</v>
      </c>
      <c r="GP276" s="27">
        <v>5.9</v>
      </c>
      <c r="GQ276" s="27">
        <v>5.9</v>
      </c>
      <c r="GR276" s="27">
        <v>5.9</v>
      </c>
      <c r="GS276" s="27">
        <v>5.9</v>
      </c>
      <c r="GT276" s="129">
        <v>29.1</v>
      </c>
      <c r="GV276" s="27">
        <v>8</v>
      </c>
      <c r="GW276" s="27">
        <v>8</v>
      </c>
      <c r="GX276" s="27">
        <v>8</v>
      </c>
      <c r="GY276" s="27">
        <v>8</v>
      </c>
      <c r="GZ276" s="27">
        <v>8</v>
      </c>
      <c r="HA276" s="27">
        <v>8</v>
      </c>
      <c r="HB276" s="27">
        <v>8</v>
      </c>
      <c r="HC276" s="27">
        <v>8</v>
      </c>
      <c r="HD276" s="27">
        <v>8</v>
      </c>
      <c r="HE276" s="129">
        <v>29.1</v>
      </c>
      <c r="HG276" s="27">
        <v>10.9</v>
      </c>
      <c r="HH276" s="27">
        <v>10.9</v>
      </c>
      <c r="HI276" s="27">
        <v>10.9</v>
      </c>
      <c r="HJ276" s="27">
        <v>10.9</v>
      </c>
      <c r="HK276" s="27">
        <v>10.9</v>
      </c>
      <c r="HL276" s="27">
        <v>10.9</v>
      </c>
      <c r="HM276" s="27">
        <v>10.9</v>
      </c>
      <c r="HN276" s="27">
        <v>10.9</v>
      </c>
      <c r="HO276" s="27">
        <v>10.9</v>
      </c>
      <c r="HP276" s="129">
        <v>29.1</v>
      </c>
      <c r="HR276" s="27">
        <v>10.9</v>
      </c>
      <c r="HS276" s="27">
        <v>10.9</v>
      </c>
      <c r="HT276" s="27">
        <v>10.9</v>
      </c>
      <c r="HU276" s="27">
        <v>10.9</v>
      </c>
      <c r="HV276" s="27">
        <v>10.9</v>
      </c>
      <c r="HW276" s="27">
        <v>10.9</v>
      </c>
      <c r="HX276" s="27">
        <v>10.9</v>
      </c>
      <c r="HY276" s="27">
        <v>10.9</v>
      </c>
      <c r="HZ276" s="27">
        <v>10.9</v>
      </c>
      <c r="IA276" s="129">
        <v>29.1</v>
      </c>
    </row>
    <row r="277" spans="15:235" ht="3" customHeight="1">
      <c r="O277" s="17"/>
      <c r="P277" s="17"/>
      <c r="Q277" s="17"/>
      <c r="R277" s="17"/>
      <c r="S277" s="17"/>
      <c r="T277" s="17"/>
      <c r="U277" s="17"/>
      <c r="V277" s="17"/>
      <c r="W277" s="17"/>
      <c r="X277" s="129">
        <v>27.2</v>
      </c>
      <c r="Y277" s="27"/>
      <c r="AI277" s="129">
        <v>27.2</v>
      </c>
      <c r="AL277" s="17"/>
      <c r="AM277" s="17"/>
      <c r="AN277" s="17"/>
      <c r="AO277" s="17"/>
      <c r="AP277" s="17"/>
      <c r="AQ277" s="17"/>
      <c r="AR277" s="17"/>
      <c r="AS277" s="17"/>
      <c r="AT277" s="129">
        <v>27.2</v>
      </c>
      <c r="AV277" s="129">
        <v>6</v>
      </c>
      <c r="AW277" s="129">
        <v>6</v>
      </c>
      <c r="AX277" s="129">
        <v>6</v>
      </c>
      <c r="AY277" s="129">
        <v>6</v>
      </c>
      <c r="AZ277" s="129">
        <v>6</v>
      </c>
      <c r="BA277" s="129">
        <v>6</v>
      </c>
      <c r="BB277" s="129">
        <v>6</v>
      </c>
      <c r="BC277" s="129">
        <v>6</v>
      </c>
      <c r="BD277" s="129">
        <v>6</v>
      </c>
      <c r="BE277" s="129">
        <v>27.2</v>
      </c>
      <c r="BG277" s="129">
        <v>7.8000000000000007</v>
      </c>
      <c r="BH277" s="129">
        <v>7.8000000000000007</v>
      </c>
      <c r="BI277" s="129">
        <v>7.8000000000000007</v>
      </c>
      <c r="BJ277" s="129">
        <v>7.8000000000000007</v>
      </c>
      <c r="BK277" s="129">
        <v>7.8000000000000007</v>
      </c>
      <c r="BL277" s="129">
        <v>7.8000000000000007</v>
      </c>
      <c r="BM277" s="129">
        <v>7.8000000000000007</v>
      </c>
      <c r="BN277" s="129">
        <v>7.8000000000000007</v>
      </c>
      <c r="BO277" s="129">
        <v>7.8000000000000007</v>
      </c>
      <c r="BP277" s="129">
        <v>27.2</v>
      </c>
      <c r="BR277" s="129">
        <v>7.8000000000000007</v>
      </c>
      <c r="BS277" s="129">
        <v>7.8000000000000007</v>
      </c>
      <c r="BT277" s="129">
        <v>7.8000000000000007</v>
      </c>
      <c r="BU277" s="129">
        <v>7.8000000000000007</v>
      </c>
      <c r="BV277" s="129">
        <v>7.8000000000000007</v>
      </c>
      <c r="BW277" s="129">
        <v>7.8000000000000007</v>
      </c>
      <c r="BX277" s="129">
        <v>7.8000000000000007</v>
      </c>
      <c r="BY277" s="129">
        <v>7.8000000000000007</v>
      </c>
      <c r="BZ277" s="129">
        <v>7.8000000000000007</v>
      </c>
      <c r="CA277" s="129">
        <v>27.2</v>
      </c>
      <c r="CC277" s="129">
        <v>5</v>
      </c>
      <c r="CD277" s="129">
        <v>5</v>
      </c>
      <c r="CE277" s="129">
        <v>5</v>
      </c>
      <c r="CF277" s="129">
        <v>5</v>
      </c>
      <c r="CG277" s="129">
        <v>5</v>
      </c>
      <c r="CH277" s="129">
        <v>5</v>
      </c>
      <c r="CI277" s="129">
        <v>5</v>
      </c>
      <c r="CJ277" s="129">
        <v>5</v>
      </c>
      <c r="CK277" s="129">
        <v>5</v>
      </c>
      <c r="CL277" s="129">
        <v>27.2</v>
      </c>
      <c r="CN277" s="129">
        <v>8</v>
      </c>
      <c r="CO277" s="129">
        <v>8</v>
      </c>
      <c r="CP277" s="129">
        <v>8</v>
      </c>
      <c r="CQ277" s="129">
        <v>8</v>
      </c>
      <c r="CR277" s="129">
        <v>8</v>
      </c>
      <c r="CS277" s="129">
        <v>8</v>
      </c>
      <c r="CT277" s="129">
        <v>8</v>
      </c>
      <c r="CU277" s="129">
        <v>8</v>
      </c>
      <c r="CV277" s="129">
        <v>8</v>
      </c>
      <c r="CW277" s="129">
        <v>27.2</v>
      </c>
      <c r="CY277" s="129">
        <v>10.8</v>
      </c>
      <c r="CZ277" s="129">
        <v>10.8</v>
      </c>
      <c r="DA277" s="129">
        <v>10.8</v>
      </c>
      <c r="DB277" s="129">
        <v>10.8</v>
      </c>
      <c r="DC277" s="129">
        <v>10.8</v>
      </c>
      <c r="DD277" s="129">
        <v>10.8</v>
      </c>
      <c r="DE277" s="129">
        <v>10.8</v>
      </c>
      <c r="DF277" s="129">
        <v>10.8</v>
      </c>
      <c r="DG277" s="129">
        <v>10.8</v>
      </c>
      <c r="DH277" s="129">
        <v>27.2</v>
      </c>
      <c r="DJ277" s="129">
        <v>10.8</v>
      </c>
      <c r="DK277" s="129">
        <v>10.8</v>
      </c>
      <c r="DL277" s="129">
        <v>10.8</v>
      </c>
      <c r="DM277" s="129">
        <v>10.8</v>
      </c>
      <c r="DN277" s="129">
        <v>10.8</v>
      </c>
      <c r="DO277" s="129">
        <v>10.8</v>
      </c>
      <c r="DP277" s="129">
        <v>10.8</v>
      </c>
      <c r="DQ277" s="129">
        <v>10.8</v>
      </c>
      <c r="DR277" s="129">
        <v>10.8</v>
      </c>
      <c r="DS277" s="129">
        <v>27.2</v>
      </c>
      <c r="EQ277" s="129">
        <v>29.2</v>
      </c>
      <c r="ES277" s="27">
        <v>8.6000000000000014</v>
      </c>
      <c r="ET277" s="27">
        <v>8.6000000000000014</v>
      </c>
      <c r="EU277" s="27">
        <v>8.6000000000000014</v>
      </c>
      <c r="EV277" s="27">
        <v>8.6000000000000014</v>
      </c>
      <c r="EW277" s="27">
        <v>8.6000000000000014</v>
      </c>
      <c r="EX277" s="27">
        <v>8.6000000000000014</v>
      </c>
      <c r="EY277" s="27">
        <v>8.6000000000000014</v>
      </c>
      <c r="EZ277" s="27">
        <v>8.6000000000000014</v>
      </c>
      <c r="FA277" s="27">
        <v>8.6000000000000014</v>
      </c>
      <c r="FB277" s="129">
        <v>29.2</v>
      </c>
      <c r="FD277" s="27">
        <v>11.600000000000001</v>
      </c>
      <c r="FE277" s="27">
        <v>11.600000000000001</v>
      </c>
      <c r="FF277" s="27">
        <v>11.600000000000001</v>
      </c>
      <c r="FG277" s="27">
        <v>11.600000000000001</v>
      </c>
      <c r="FH277" s="27">
        <v>11.600000000000001</v>
      </c>
      <c r="FI277" s="27">
        <v>11.600000000000001</v>
      </c>
      <c r="FJ277" s="27">
        <v>11.600000000000001</v>
      </c>
      <c r="FK277" s="27">
        <v>11.600000000000001</v>
      </c>
      <c r="FL277" s="27">
        <v>11.600000000000001</v>
      </c>
      <c r="FM277" s="129">
        <v>29.2</v>
      </c>
      <c r="FO277" s="27">
        <v>15.399999999999999</v>
      </c>
      <c r="FP277" s="27">
        <v>15.399999999999999</v>
      </c>
      <c r="FQ277" s="27">
        <v>15.399999999999999</v>
      </c>
      <c r="FR277" s="27">
        <v>15.399999999999999</v>
      </c>
      <c r="FS277" s="27">
        <v>15.399999999999999</v>
      </c>
      <c r="FT277" s="27">
        <v>15.399999999999999</v>
      </c>
      <c r="FU277" s="27">
        <v>15.399999999999999</v>
      </c>
      <c r="FV277" s="27">
        <v>15.399999999999999</v>
      </c>
      <c r="FW277" s="27">
        <v>15.399999999999999</v>
      </c>
      <c r="FX277" s="129">
        <v>29.2</v>
      </c>
      <c r="FZ277" s="27">
        <v>15.399999999999999</v>
      </c>
      <c r="GA277" s="27">
        <v>15.399999999999999</v>
      </c>
      <c r="GB277" s="27">
        <v>15.399999999999999</v>
      </c>
      <c r="GC277" s="27">
        <v>15.399999999999999</v>
      </c>
      <c r="GD277" s="27">
        <v>15.399999999999999</v>
      </c>
      <c r="GE277" s="27">
        <v>15.399999999999999</v>
      </c>
      <c r="GF277" s="27">
        <v>15.399999999999999</v>
      </c>
      <c r="GG277" s="27">
        <v>15.399999999999999</v>
      </c>
      <c r="GH277" s="27">
        <v>15.399999999999999</v>
      </c>
      <c r="GI277" s="129">
        <v>29.2</v>
      </c>
      <c r="GJ277" s="27"/>
      <c r="GK277" s="27">
        <v>5.8000000000000007</v>
      </c>
      <c r="GL277" s="27">
        <v>5.8000000000000007</v>
      </c>
      <c r="GM277" s="27">
        <v>5.8000000000000007</v>
      </c>
      <c r="GN277" s="27">
        <v>5.8000000000000007</v>
      </c>
      <c r="GO277" s="27">
        <v>5.8000000000000007</v>
      </c>
      <c r="GP277" s="27">
        <v>5.8000000000000007</v>
      </c>
      <c r="GQ277" s="27">
        <v>5.8000000000000007</v>
      </c>
      <c r="GR277" s="27">
        <v>5.8000000000000007</v>
      </c>
      <c r="GS277" s="27">
        <v>5.8000000000000007</v>
      </c>
      <c r="GT277" s="129">
        <v>29.2</v>
      </c>
      <c r="GV277" s="27">
        <v>8</v>
      </c>
      <c r="GW277" s="27">
        <v>8</v>
      </c>
      <c r="GX277" s="27">
        <v>8</v>
      </c>
      <c r="GY277" s="27">
        <v>8</v>
      </c>
      <c r="GZ277" s="27">
        <v>8</v>
      </c>
      <c r="HA277" s="27">
        <v>8</v>
      </c>
      <c r="HB277" s="27">
        <v>8</v>
      </c>
      <c r="HC277" s="27">
        <v>8</v>
      </c>
      <c r="HD277" s="27">
        <v>8</v>
      </c>
      <c r="HE277" s="129">
        <v>29.2</v>
      </c>
      <c r="HG277" s="27">
        <v>10.8</v>
      </c>
      <c r="HH277" s="27">
        <v>10.8</v>
      </c>
      <c r="HI277" s="27">
        <v>10.8</v>
      </c>
      <c r="HJ277" s="27">
        <v>10.8</v>
      </c>
      <c r="HK277" s="27">
        <v>10.8</v>
      </c>
      <c r="HL277" s="27">
        <v>10.8</v>
      </c>
      <c r="HM277" s="27">
        <v>10.8</v>
      </c>
      <c r="HN277" s="27">
        <v>10.8</v>
      </c>
      <c r="HO277" s="27">
        <v>10.8</v>
      </c>
      <c r="HP277" s="129">
        <v>29.2</v>
      </c>
      <c r="HR277" s="27">
        <v>10.8</v>
      </c>
      <c r="HS277" s="27">
        <v>10.8</v>
      </c>
      <c r="HT277" s="27">
        <v>10.8</v>
      </c>
      <c r="HU277" s="27">
        <v>10.8</v>
      </c>
      <c r="HV277" s="27">
        <v>10.8</v>
      </c>
      <c r="HW277" s="27">
        <v>10.8</v>
      </c>
      <c r="HX277" s="27">
        <v>10.8</v>
      </c>
      <c r="HY277" s="27">
        <v>10.8</v>
      </c>
      <c r="HZ277" s="27">
        <v>10.8</v>
      </c>
      <c r="IA277" s="129">
        <v>29.2</v>
      </c>
    </row>
    <row r="278" spans="15:235" ht="3" customHeight="1">
      <c r="O278" s="17"/>
      <c r="P278" s="17"/>
      <c r="Q278" s="17"/>
      <c r="R278" s="17"/>
      <c r="S278" s="17"/>
      <c r="T278" s="17"/>
      <c r="U278" s="17"/>
      <c r="V278" s="17"/>
      <c r="W278" s="17"/>
      <c r="X278" s="129">
        <v>27.3</v>
      </c>
      <c r="Y278" s="27"/>
      <c r="AI278" s="129">
        <v>27.3</v>
      </c>
      <c r="AL278" s="17"/>
      <c r="AM278" s="17"/>
      <c r="AN278" s="17"/>
      <c r="AO278" s="17"/>
      <c r="AP278" s="17"/>
      <c r="AQ278" s="17"/>
      <c r="AR278" s="17"/>
      <c r="AS278" s="17"/>
      <c r="AT278" s="129">
        <v>27.3</v>
      </c>
      <c r="AV278" s="129">
        <v>6</v>
      </c>
      <c r="AW278" s="129">
        <v>6</v>
      </c>
      <c r="AX278" s="129">
        <v>6</v>
      </c>
      <c r="AY278" s="129">
        <v>6</v>
      </c>
      <c r="AZ278" s="129">
        <v>6</v>
      </c>
      <c r="BA278" s="129">
        <v>6</v>
      </c>
      <c r="BB278" s="129">
        <v>6</v>
      </c>
      <c r="BC278" s="129">
        <v>6</v>
      </c>
      <c r="BD278" s="129">
        <v>6</v>
      </c>
      <c r="BE278" s="129">
        <v>27.3</v>
      </c>
      <c r="BG278" s="129">
        <v>7.7000000000000011</v>
      </c>
      <c r="BH278" s="129">
        <v>7.7000000000000011</v>
      </c>
      <c r="BI278" s="129">
        <v>7.7000000000000011</v>
      </c>
      <c r="BJ278" s="129">
        <v>7.7000000000000011</v>
      </c>
      <c r="BK278" s="129">
        <v>7.7000000000000011</v>
      </c>
      <c r="BL278" s="129">
        <v>7.7000000000000011</v>
      </c>
      <c r="BM278" s="129">
        <v>7.7000000000000011</v>
      </c>
      <c r="BN278" s="129">
        <v>7.7000000000000011</v>
      </c>
      <c r="BO278" s="129">
        <v>7.7000000000000011</v>
      </c>
      <c r="BP278" s="129">
        <v>27.3</v>
      </c>
      <c r="BR278" s="129">
        <v>7.7000000000000011</v>
      </c>
      <c r="BS278" s="129">
        <v>7.7000000000000011</v>
      </c>
      <c r="BT278" s="129">
        <v>7.7000000000000011</v>
      </c>
      <c r="BU278" s="129">
        <v>7.7000000000000011</v>
      </c>
      <c r="BV278" s="129">
        <v>7.7000000000000011</v>
      </c>
      <c r="BW278" s="129">
        <v>7.7000000000000011</v>
      </c>
      <c r="BX278" s="129">
        <v>7.7000000000000011</v>
      </c>
      <c r="BY278" s="129">
        <v>7.7000000000000011</v>
      </c>
      <c r="BZ278" s="129">
        <v>7.7000000000000011</v>
      </c>
      <c r="CA278" s="129">
        <v>27.3</v>
      </c>
      <c r="CC278" s="129">
        <v>5</v>
      </c>
      <c r="CD278" s="129">
        <v>5</v>
      </c>
      <c r="CE278" s="129">
        <v>5</v>
      </c>
      <c r="CF278" s="129">
        <v>5</v>
      </c>
      <c r="CG278" s="129">
        <v>5</v>
      </c>
      <c r="CH278" s="129">
        <v>5</v>
      </c>
      <c r="CI278" s="129">
        <v>5</v>
      </c>
      <c r="CJ278" s="129">
        <v>5</v>
      </c>
      <c r="CK278" s="129">
        <v>5</v>
      </c>
      <c r="CL278" s="129">
        <v>27.3</v>
      </c>
      <c r="CN278" s="129">
        <v>8</v>
      </c>
      <c r="CO278" s="129">
        <v>8</v>
      </c>
      <c r="CP278" s="129">
        <v>8</v>
      </c>
      <c r="CQ278" s="129">
        <v>8</v>
      </c>
      <c r="CR278" s="129">
        <v>8</v>
      </c>
      <c r="CS278" s="129">
        <v>8</v>
      </c>
      <c r="CT278" s="129">
        <v>8</v>
      </c>
      <c r="CU278" s="129">
        <v>8</v>
      </c>
      <c r="CV278" s="129">
        <v>8</v>
      </c>
      <c r="CW278" s="129">
        <v>27.3</v>
      </c>
      <c r="CY278" s="129">
        <v>10.700000000000001</v>
      </c>
      <c r="CZ278" s="129">
        <v>10.700000000000001</v>
      </c>
      <c r="DA278" s="129">
        <v>10.700000000000001</v>
      </c>
      <c r="DB278" s="129">
        <v>10.700000000000001</v>
      </c>
      <c r="DC278" s="129">
        <v>10.700000000000001</v>
      </c>
      <c r="DD278" s="129">
        <v>10.700000000000001</v>
      </c>
      <c r="DE278" s="129">
        <v>10.700000000000001</v>
      </c>
      <c r="DF278" s="129">
        <v>10.700000000000001</v>
      </c>
      <c r="DG278" s="129">
        <v>10.700000000000001</v>
      </c>
      <c r="DH278" s="129">
        <v>27.3</v>
      </c>
      <c r="DJ278" s="129">
        <v>10.700000000000001</v>
      </c>
      <c r="DK278" s="129">
        <v>10.700000000000001</v>
      </c>
      <c r="DL278" s="129">
        <v>10.700000000000001</v>
      </c>
      <c r="DM278" s="129">
        <v>10.700000000000001</v>
      </c>
      <c r="DN278" s="129">
        <v>10.700000000000001</v>
      </c>
      <c r="DO278" s="129">
        <v>10.700000000000001</v>
      </c>
      <c r="DP278" s="129">
        <v>10.700000000000001</v>
      </c>
      <c r="DQ278" s="129">
        <v>10.700000000000001</v>
      </c>
      <c r="DR278" s="129">
        <v>10.700000000000001</v>
      </c>
      <c r="DS278" s="129">
        <v>27.3</v>
      </c>
      <c r="EQ278" s="129">
        <v>29.3</v>
      </c>
      <c r="ES278" s="27">
        <v>8.4000000000000021</v>
      </c>
      <c r="ET278" s="27">
        <v>8.4000000000000021</v>
      </c>
      <c r="EU278" s="27">
        <v>8.4000000000000021</v>
      </c>
      <c r="EV278" s="27">
        <v>8.4000000000000021</v>
      </c>
      <c r="EW278" s="27">
        <v>8.4000000000000021</v>
      </c>
      <c r="EX278" s="27">
        <v>8.4000000000000021</v>
      </c>
      <c r="EY278" s="27">
        <v>8.4000000000000021</v>
      </c>
      <c r="EZ278" s="27">
        <v>8.4000000000000021</v>
      </c>
      <c r="FA278" s="27">
        <v>8.4000000000000021</v>
      </c>
      <c r="FB278" s="129">
        <v>29.3</v>
      </c>
      <c r="FD278" s="27">
        <v>11.400000000000002</v>
      </c>
      <c r="FE278" s="27">
        <v>11.400000000000002</v>
      </c>
      <c r="FF278" s="27">
        <v>11.400000000000002</v>
      </c>
      <c r="FG278" s="27">
        <v>11.400000000000002</v>
      </c>
      <c r="FH278" s="27">
        <v>11.400000000000002</v>
      </c>
      <c r="FI278" s="27">
        <v>11.400000000000002</v>
      </c>
      <c r="FJ278" s="27">
        <v>11.400000000000002</v>
      </c>
      <c r="FK278" s="27">
        <v>11.400000000000002</v>
      </c>
      <c r="FL278" s="27">
        <v>11.400000000000002</v>
      </c>
      <c r="FM278" s="129">
        <v>29.3</v>
      </c>
      <c r="FO278" s="27">
        <v>15.099999999999998</v>
      </c>
      <c r="FP278" s="27">
        <v>15.099999999999998</v>
      </c>
      <c r="FQ278" s="27">
        <v>15.099999999999998</v>
      </c>
      <c r="FR278" s="27">
        <v>15.099999999999998</v>
      </c>
      <c r="FS278" s="27">
        <v>15.099999999999998</v>
      </c>
      <c r="FT278" s="27">
        <v>15.099999999999998</v>
      </c>
      <c r="FU278" s="27">
        <v>15.099999999999998</v>
      </c>
      <c r="FV278" s="27">
        <v>15.099999999999998</v>
      </c>
      <c r="FW278" s="27">
        <v>15.099999999999998</v>
      </c>
      <c r="FX278" s="129">
        <v>29.3</v>
      </c>
      <c r="FZ278" s="27">
        <v>15.099999999999998</v>
      </c>
      <c r="GA278" s="27">
        <v>15.099999999999998</v>
      </c>
      <c r="GB278" s="27">
        <v>15.099999999999998</v>
      </c>
      <c r="GC278" s="27">
        <v>15.099999999999998</v>
      </c>
      <c r="GD278" s="27">
        <v>15.099999999999998</v>
      </c>
      <c r="GE278" s="27">
        <v>15.099999999999998</v>
      </c>
      <c r="GF278" s="27">
        <v>15.099999999999998</v>
      </c>
      <c r="GG278" s="27">
        <v>15.099999999999998</v>
      </c>
      <c r="GH278" s="27">
        <v>15.099999999999998</v>
      </c>
      <c r="GI278" s="129">
        <v>29.3</v>
      </c>
      <c r="GJ278" s="27"/>
      <c r="GK278" s="27">
        <v>5.7000000000000011</v>
      </c>
      <c r="GL278" s="27">
        <v>5.7000000000000011</v>
      </c>
      <c r="GM278" s="27">
        <v>5.7000000000000011</v>
      </c>
      <c r="GN278" s="27">
        <v>5.7000000000000011</v>
      </c>
      <c r="GO278" s="27">
        <v>5.7000000000000011</v>
      </c>
      <c r="GP278" s="27">
        <v>5.7000000000000011</v>
      </c>
      <c r="GQ278" s="27">
        <v>5.7000000000000011</v>
      </c>
      <c r="GR278" s="27">
        <v>5.7000000000000011</v>
      </c>
      <c r="GS278" s="27">
        <v>5.7000000000000011</v>
      </c>
      <c r="GT278" s="129">
        <v>29.3</v>
      </c>
      <c r="GV278" s="27">
        <v>8</v>
      </c>
      <c r="GW278" s="27">
        <v>8</v>
      </c>
      <c r="GX278" s="27">
        <v>8</v>
      </c>
      <c r="GY278" s="27">
        <v>8</v>
      </c>
      <c r="GZ278" s="27">
        <v>8</v>
      </c>
      <c r="HA278" s="27">
        <v>8</v>
      </c>
      <c r="HB278" s="27">
        <v>8</v>
      </c>
      <c r="HC278" s="27">
        <v>8</v>
      </c>
      <c r="HD278" s="27">
        <v>8</v>
      </c>
      <c r="HE278" s="129">
        <v>29.3</v>
      </c>
      <c r="HG278" s="27">
        <v>10.700000000000001</v>
      </c>
      <c r="HH278" s="27">
        <v>10.700000000000001</v>
      </c>
      <c r="HI278" s="27">
        <v>10.700000000000001</v>
      </c>
      <c r="HJ278" s="27">
        <v>10.700000000000001</v>
      </c>
      <c r="HK278" s="27">
        <v>10.700000000000001</v>
      </c>
      <c r="HL278" s="27">
        <v>10.700000000000001</v>
      </c>
      <c r="HM278" s="27">
        <v>10.700000000000001</v>
      </c>
      <c r="HN278" s="27">
        <v>10.700000000000001</v>
      </c>
      <c r="HO278" s="27">
        <v>10.700000000000001</v>
      </c>
      <c r="HP278" s="129">
        <v>29.3</v>
      </c>
      <c r="HR278" s="27">
        <v>10.700000000000001</v>
      </c>
      <c r="HS278" s="27">
        <v>10.700000000000001</v>
      </c>
      <c r="HT278" s="27">
        <v>10.700000000000001</v>
      </c>
      <c r="HU278" s="27">
        <v>10.700000000000001</v>
      </c>
      <c r="HV278" s="27">
        <v>10.700000000000001</v>
      </c>
      <c r="HW278" s="27">
        <v>10.700000000000001</v>
      </c>
      <c r="HX278" s="27">
        <v>10.700000000000001</v>
      </c>
      <c r="HY278" s="27">
        <v>10.700000000000001</v>
      </c>
      <c r="HZ278" s="27">
        <v>10.700000000000001</v>
      </c>
      <c r="IA278" s="129">
        <v>29.3</v>
      </c>
    </row>
    <row r="279" spans="15:235" ht="3" customHeight="1">
      <c r="O279" s="17"/>
      <c r="P279" s="17"/>
      <c r="Q279" s="17"/>
      <c r="R279" s="17"/>
      <c r="S279" s="17"/>
      <c r="T279" s="17"/>
      <c r="U279" s="17"/>
      <c r="V279" s="17"/>
      <c r="W279" s="17"/>
      <c r="X279" s="129">
        <v>27.4</v>
      </c>
      <c r="Y279" s="27"/>
      <c r="AI279" s="129">
        <v>27.4</v>
      </c>
      <c r="AL279" s="17"/>
      <c r="AM279" s="17"/>
      <c r="AN279" s="17"/>
      <c r="AO279" s="17"/>
      <c r="AP279" s="17"/>
      <c r="AQ279" s="17"/>
      <c r="AR279" s="17"/>
      <c r="AS279" s="17"/>
      <c r="AT279" s="129">
        <v>27.4</v>
      </c>
      <c r="AV279" s="129">
        <v>6</v>
      </c>
      <c r="AW279" s="129">
        <v>6</v>
      </c>
      <c r="AX279" s="129">
        <v>6</v>
      </c>
      <c r="AY279" s="129">
        <v>6</v>
      </c>
      <c r="AZ279" s="129">
        <v>6</v>
      </c>
      <c r="BA279" s="129">
        <v>6</v>
      </c>
      <c r="BB279" s="129">
        <v>6</v>
      </c>
      <c r="BC279" s="129">
        <v>6</v>
      </c>
      <c r="BD279" s="129">
        <v>6</v>
      </c>
      <c r="BE279" s="129">
        <v>27.4</v>
      </c>
      <c r="BG279" s="129">
        <v>7.6000000000000014</v>
      </c>
      <c r="BH279" s="129">
        <v>7.6000000000000014</v>
      </c>
      <c r="BI279" s="129">
        <v>7.6000000000000014</v>
      </c>
      <c r="BJ279" s="129">
        <v>7.6000000000000014</v>
      </c>
      <c r="BK279" s="129">
        <v>7.6000000000000014</v>
      </c>
      <c r="BL279" s="129">
        <v>7.6000000000000014</v>
      </c>
      <c r="BM279" s="129">
        <v>7.6000000000000014</v>
      </c>
      <c r="BN279" s="129">
        <v>7.6000000000000014</v>
      </c>
      <c r="BO279" s="129">
        <v>7.6000000000000014</v>
      </c>
      <c r="BP279" s="129">
        <v>27.4</v>
      </c>
      <c r="BR279" s="129">
        <v>7.6000000000000014</v>
      </c>
      <c r="BS279" s="129">
        <v>7.6000000000000014</v>
      </c>
      <c r="BT279" s="129">
        <v>7.6000000000000014</v>
      </c>
      <c r="BU279" s="129">
        <v>7.6000000000000014</v>
      </c>
      <c r="BV279" s="129">
        <v>7.6000000000000014</v>
      </c>
      <c r="BW279" s="129">
        <v>7.6000000000000014</v>
      </c>
      <c r="BX279" s="129">
        <v>7.6000000000000014</v>
      </c>
      <c r="BY279" s="129">
        <v>7.6000000000000014</v>
      </c>
      <c r="BZ279" s="129">
        <v>7.6000000000000014</v>
      </c>
      <c r="CA279" s="129">
        <v>27.4</v>
      </c>
      <c r="CC279" s="129">
        <v>5</v>
      </c>
      <c r="CD279" s="129">
        <v>5</v>
      </c>
      <c r="CE279" s="129">
        <v>5</v>
      </c>
      <c r="CF279" s="129">
        <v>5</v>
      </c>
      <c r="CG279" s="129">
        <v>5</v>
      </c>
      <c r="CH279" s="129">
        <v>5</v>
      </c>
      <c r="CI279" s="129">
        <v>5</v>
      </c>
      <c r="CJ279" s="129">
        <v>5</v>
      </c>
      <c r="CK279" s="129">
        <v>5</v>
      </c>
      <c r="CL279" s="129">
        <v>27.4</v>
      </c>
      <c r="CN279" s="129">
        <v>8</v>
      </c>
      <c r="CO279" s="129">
        <v>8</v>
      </c>
      <c r="CP279" s="129">
        <v>8</v>
      </c>
      <c r="CQ279" s="129">
        <v>8</v>
      </c>
      <c r="CR279" s="129">
        <v>8</v>
      </c>
      <c r="CS279" s="129">
        <v>8</v>
      </c>
      <c r="CT279" s="129">
        <v>8</v>
      </c>
      <c r="CU279" s="129">
        <v>8</v>
      </c>
      <c r="CV279" s="129">
        <v>8</v>
      </c>
      <c r="CW279" s="129">
        <v>27.4</v>
      </c>
      <c r="CY279" s="129">
        <v>10.600000000000001</v>
      </c>
      <c r="CZ279" s="129">
        <v>10.600000000000001</v>
      </c>
      <c r="DA279" s="129">
        <v>10.600000000000001</v>
      </c>
      <c r="DB279" s="129">
        <v>10.600000000000001</v>
      </c>
      <c r="DC279" s="129">
        <v>10.600000000000001</v>
      </c>
      <c r="DD279" s="129">
        <v>10.600000000000001</v>
      </c>
      <c r="DE279" s="129">
        <v>10.600000000000001</v>
      </c>
      <c r="DF279" s="129">
        <v>10.600000000000001</v>
      </c>
      <c r="DG279" s="129">
        <v>10.600000000000001</v>
      </c>
      <c r="DH279" s="129">
        <v>27.4</v>
      </c>
      <c r="DJ279" s="129">
        <v>10.600000000000001</v>
      </c>
      <c r="DK279" s="129">
        <v>10.600000000000001</v>
      </c>
      <c r="DL279" s="129">
        <v>10.600000000000001</v>
      </c>
      <c r="DM279" s="129">
        <v>10.600000000000001</v>
      </c>
      <c r="DN279" s="129">
        <v>10.600000000000001</v>
      </c>
      <c r="DO279" s="129">
        <v>10.600000000000001</v>
      </c>
      <c r="DP279" s="129">
        <v>10.600000000000001</v>
      </c>
      <c r="DQ279" s="129">
        <v>10.600000000000001</v>
      </c>
      <c r="DR279" s="129">
        <v>10.600000000000001</v>
      </c>
      <c r="DS279" s="129">
        <v>27.4</v>
      </c>
      <c r="EQ279" s="129">
        <v>29.4</v>
      </c>
      <c r="ES279" s="27">
        <v>8.2000000000000028</v>
      </c>
      <c r="ET279" s="27">
        <v>8.2000000000000028</v>
      </c>
      <c r="EU279" s="27">
        <v>8.2000000000000028</v>
      </c>
      <c r="EV279" s="27">
        <v>8.2000000000000028</v>
      </c>
      <c r="EW279" s="27">
        <v>8.2000000000000028</v>
      </c>
      <c r="EX279" s="27">
        <v>8.2000000000000028</v>
      </c>
      <c r="EY279" s="27">
        <v>8.2000000000000028</v>
      </c>
      <c r="EZ279" s="27">
        <v>8.2000000000000028</v>
      </c>
      <c r="FA279" s="27">
        <v>8.2000000000000028</v>
      </c>
      <c r="FB279" s="129">
        <v>29.4</v>
      </c>
      <c r="FD279" s="27">
        <v>11.200000000000003</v>
      </c>
      <c r="FE279" s="27">
        <v>11.200000000000003</v>
      </c>
      <c r="FF279" s="27">
        <v>11.200000000000003</v>
      </c>
      <c r="FG279" s="27">
        <v>11.200000000000003</v>
      </c>
      <c r="FH279" s="27">
        <v>11.200000000000003</v>
      </c>
      <c r="FI279" s="27">
        <v>11.200000000000003</v>
      </c>
      <c r="FJ279" s="27">
        <v>11.200000000000003</v>
      </c>
      <c r="FK279" s="27">
        <v>11.200000000000003</v>
      </c>
      <c r="FL279" s="27">
        <v>11.200000000000003</v>
      </c>
      <c r="FM279" s="129">
        <v>29.4</v>
      </c>
      <c r="FO279" s="27">
        <v>14.799999999999997</v>
      </c>
      <c r="FP279" s="27">
        <v>14.799999999999997</v>
      </c>
      <c r="FQ279" s="27">
        <v>14.799999999999997</v>
      </c>
      <c r="FR279" s="27">
        <v>14.799999999999997</v>
      </c>
      <c r="FS279" s="27">
        <v>14.799999999999997</v>
      </c>
      <c r="FT279" s="27">
        <v>14.799999999999997</v>
      </c>
      <c r="FU279" s="27">
        <v>14.799999999999997</v>
      </c>
      <c r="FV279" s="27">
        <v>14.799999999999997</v>
      </c>
      <c r="FW279" s="27">
        <v>14.799999999999997</v>
      </c>
      <c r="FX279" s="129">
        <v>29.4</v>
      </c>
      <c r="FZ279" s="27">
        <v>14.799999999999997</v>
      </c>
      <c r="GA279" s="27">
        <v>14.799999999999997</v>
      </c>
      <c r="GB279" s="27">
        <v>14.799999999999997</v>
      </c>
      <c r="GC279" s="27">
        <v>14.799999999999997</v>
      </c>
      <c r="GD279" s="27">
        <v>14.799999999999997</v>
      </c>
      <c r="GE279" s="27">
        <v>14.799999999999997</v>
      </c>
      <c r="GF279" s="27">
        <v>14.799999999999997</v>
      </c>
      <c r="GG279" s="27">
        <v>14.799999999999997</v>
      </c>
      <c r="GH279" s="27">
        <v>14.799999999999997</v>
      </c>
      <c r="GI279" s="129">
        <v>29.4</v>
      </c>
      <c r="GJ279" s="27"/>
      <c r="GK279" s="27">
        <v>5.6000000000000014</v>
      </c>
      <c r="GL279" s="27">
        <v>5.6000000000000014</v>
      </c>
      <c r="GM279" s="27">
        <v>5.6000000000000014</v>
      </c>
      <c r="GN279" s="27">
        <v>5.6000000000000014</v>
      </c>
      <c r="GO279" s="27">
        <v>5.6000000000000014</v>
      </c>
      <c r="GP279" s="27">
        <v>5.6000000000000014</v>
      </c>
      <c r="GQ279" s="27">
        <v>5.6000000000000014</v>
      </c>
      <c r="GR279" s="27">
        <v>5.6000000000000014</v>
      </c>
      <c r="GS279" s="27">
        <v>5.6000000000000014</v>
      </c>
      <c r="GT279" s="129">
        <v>29.4</v>
      </c>
      <c r="GV279" s="27">
        <v>8</v>
      </c>
      <c r="GW279" s="27">
        <v>8</v>
      </c>
      <c r="GX279" s="27">
        <v>8</v>
      </c>
      <c r="GY279" s="27">
        <v>8</v>
      </c>
      <c r="GZ279" s="27">
        <v>8</v>
      </c>
      <c r="HA279" s="27">
        <v>8</v>
      </c>
      <c r="HB279" s="27">
        <v>8</v>
      </c>
      <c r="HC279" s="27">
        <v>8</v>
      </c>
      <c r="HD279" s="27">
        <v>8</v>
      </c>
      <c r="HE279" s="129">
        <v>29.4</v>
      </c>
      <c r="HG279" s="27">
        <v>10.600000000000001</v>
      </c>
      <c r="HH279" s="27">
        <v>10.600000000000001</v>
      </c>
      <c r="HI279" s="27">
        <v>10.600000000000001</v>
      </c>
      <c r="HJ279" s="27">
        <v>10.600000000000001</v>
      </c>
      <c r="HK279" s="27">
        <v>10.600000000000001</v>
      </c>
      <c r="HL279" s="27">
        <v>10.600000000000001</v>
      </c>
      <c r="HM279" s="27">
        <v>10.600000000000001</v>
      </c>
      <c r="HN279" s="27">
        <v>10.600000000000001</v>
      </c>
      <c r="HO279" s="27">
        <v>10.600000000000001</v>
      </c>
      <c r="HP279" s="129">
        <v>29.4</v>
      </c>
      <c r="HR279" s="27">
        <v>10.600000000000001</v>
      </c>
      <c r="HS279" s="27">
        <v>10.600000000000001</v>
      </c>
      <c r="HT279" s="27">
        <v>10.600000000000001</v>
      </c>
      <c r="HU279" s="27">
        <v>10.600000000000001</v>
      </c>
      <c r="HV279" s="27">
        <v>10.600000000000001</v>
      </c>
      <c r="HW279" s="27">
        <v>10.600000000000001</v>
      </c>
      <c r="HX279" s="27">
        <v>10.600000000000001</v>
      </c>
      <c r="HY279" s="27">
        <v>10.600000000000001</v>
      </c>
      <c r="HZ279" s="27">
        <v>10.600000000000001</v>
      </c>
      <c r="IA279" s="129">
        <v>29.4</v>
      </c>
    </row>
    <row r="280" spans="15:235" ht="3" customHeight="1">
      <c r="O280" s="17"/>
      <c r="P280" s="17"/>
      <c r="Q280" s="17"/>
      <c r="R280" s="17"/>
      <c r="S280" s="17"/>
      <c r="T280" s="17"/>
      <c r="U280" s="17"/>
      <c r="V280" s="17"/>
      <c r="W280" s="17"/>
      <c r="X280" s="129">
        <v>27.5</v>
      </c>
      <c r="Y280" s="27"/>
      <c r="AI280" s="129">
        <v>27.5</v>
      </c>
      <c r="AL280" s="17"/>
      <c r="AM280" s="17"/>
      <c r="AN280" s="17"/>
      <c r="AO280" s="17"/>
      <c r="AP280" s="17"/>
      <c r="AQ280" s="17"/>
      <c r="AR280" s="17"/>
      <c r="AS280" s="17"/>
      <c r="AT280" s="129">
        <v>27.5</v>
      </c>
      <c r="AV280" s="129">
        <v>6</v>
      </c>
      <c r="AW280" s="129">
        <v>6</v>
      </c>
      <c r="AX280" s="129">
        <v>6</v>
      </c>
      <c r="AY280" s="129">
        <v>6</v>
      </c>
      <c r="AZ280" s="129">
        <v>6</v>
      </c>
      <c r="BA280" s="129">
        <v>6</v>
      </c>
      <c r="BB280" s="129">
        <v>6</v>
      </c>
      <c r="BC280" s="129">
        <v>6</v>
      </c>
      <c r="BD280" s="129">
        <v>6</v>
      </c>
      <c r="BE280" s="129">
        <v>27.5</v>
      </c>
      <c r="BG280" s="129">
        <v>7.5000000000000018</v>
      </c>
      <c r="BH280" s="129">
        <v>7.5000000000000018</v>
      </c>
      <c r="BI280" s="129">
        <v>7.5000000000000018</v>
      </c>
      <c r="BJ280" s="129">
        <v>7.5000000000000018</v>
      </c>
      <c r="BK280" s="129">
        <v>7.5000000000000018</v>
      </c>
      <c r="BL280" s="129">
        <v>7.5000000000000018</v>
      </c>
      <c r="BM280" s="129">
        <v>7.5000000000000018</v>
      </c>
      <c r="BN280" s="129">
        <v>7.5000000000000018</v>
      </c>
      <c r="BO280" s="129">
        <v>7.5000000000000018</v>
      </c>
      <c r="BP280" s="129">
        <v>27.5</v>
      </c>
      <c r="BR280" s="129">
        <v>7.5000000000000018</v>
      </c>
      <c r="BS280" s="129">
        <v>7.5000000000000018</v>
      </c>
      <c r="BT280" s="129">
        <v>7.5000000000000018</v>
      </c>
      <c r="BU280" s="129">
        <v>7.5000000000000018</v>
      </c>
      <c r="BV280" s="129">
        <v>7.5000000000000018</v>
      </c>
      <c r="BW280" s="129">
        <v>7.5000000000000018</v>
      </c>
      <c r="BX280" s="129">
        <v>7.5000000000000018</v>
      </c>
      <c r="BY280" s="129">
        <v>7.5000000000000018</v>
      </c>
      <c r="BZ280" s="129">
        <v>7.5000000000000018</v>
      </c>
      <c r="CA280" s="129">
        <v>27.5</v>
      </c>
      <c r="CC280" s="129">
        <v>5</v>
      </c>
      <c r="CD280" s="129">
        <v>5</v>
      </c>
      <c r="CE280" s="129">
        <v>5</v>
      </c>
      <c r="CF280" s="129">
        <v>5</v>
      </c>
      <c r="CG280" s="129">
        <v>5</v>
      </c>
      <c r="CH280" s="129">
        <v>5</v>
      </c>
      <c r="CI280" s="129">
        <v>5</v>
      </c>
      <c r="CJ280" s="129">
        <v>5</v>
      </c>
      <c r="CK280" s="129">
        <v>5</v>
      </c>
      <c r="CL280" s="129">
        <v>27.5</v>
      </c>
      <c r="CN280" s="129">
        <v>8</v>
      </c>
      <c r="CO280" s="129">
        <v>8</v>
      </c>
      <c r="CP280" s="129">
        <v>8</v>
      </c>
      <c r="CQ280" s="129">
        <v>8</v>
      </c>
      <c r="CR280" s="129">
        <v>8</v>
      </c>
      <c r="CS280" s="129">
        <v>8</v>
      </c>
      <c r="CT280" s="129">
        <v>8</v>
      </c>
      <c r="CU280" s="129">
        <v>8</v>
      </c>
      <c r="CV280" s="129">
        <v>8</v>
      </c>
      <c r="CW280" s="129">
        <v>27.5</v>
      </c>
      <c r="CY280" s="129">
        <v>10.500000000000002</v>
      </c>
      <c r="CZ280" s="129">
        <v>10.500000000000002</v>
      </c>
      <c r="DA280" s="129">
        <v>10.500000000000002</v>
      </c>
      <c r="DB280" s="129">
        <v>10.500000000000002</v>
      </c>
      <c r="DC280" s="129">
        <v>10.500000000000002</v>
      </c>
      <c r="DD280" s="129">
        <v>10.500000000000002</v>
      </c>
      <c r="DE280" s="129">
        <v>10.500000000000002</v>
      </c>
      <c r="DF280" s="129">
        <v>10.500000000000002</v>
      </c>
      <c r="DG280" s="129">
        <v>10.500000000000002</v>
      </c>
      <c r="DH280" s="129">
        <v>27.5</v>
      </c>
      <c r="DJ280" s="129">
        <v>10.500000000000002</v>
      </c>
      <c r="DK280" s="129">
        <v>10.500000000000002</v>
      </c>
      <c r="DL280" s="129">
        <v>10.500000000000002</v>
      </c>
      <c r="DM280" s="129">
        <v>10.500000000000002</v>
      </c>
      <c r="DN280" s="129">
        <v>10.500000000000002</v>
      </c>
      <c r="DO280" s="129">
        <v>10.500000000000002</v>
      </c>
      <c r="DP280" s="129">
        <v>10.500000000000002</v>
      </c>
      <c r="DQ280" s="129">
        <v>10.500000000000002</v>
      </c>
      <c r="DR280" s="129">
        <v>10.500000000000002</v>
      </c>
      <c r="DS280" s="129">
        <v>27.5</v>
      </c>
      <c r="EQ280" s="129">
        <v>29.5</v>
      </c>
      <c r="ES280" s="27">
        <v>8.0000000000000036</v>
      </c>
      <c r="ET280" s="27">
        <v>8.0000000000000036</v>
      </c>
      <c r="EU280" s="27">
        <v>8.0000000000000036</v>
      </c>
      <c r="EV280" s="27">
        <v>8.0000000000000036</v>
      </c>
      <c r="EW280" s="27">
        <v>8.0000000000000036</v>
      </c>
      <c r="EX280" s="27">
        <v>8.0000000000000036</v>
      </c>
      <c r="EY280" s="27">
        <v>8.0000000000000036</v>
      </c>
      <c r="EZ280" s="27">
        <v>8.0000000000000036</v>
      </c>
      <c r="FA280" s="27">
        <v>8.0000000000000036</v>
      </c>
      <c r="FB280" s="129">
        <v>29.5</v>
      </c>
      <c r="FD280" s="27">
        <v>11.000000000000004</v>
      </c>
      <c r="FE280" s="27">
        <v>11.000000000000004</v>
      </c>
      <c r="FF280" s="27">
        <v>11.000000000000004</v>
      </c>
      <c r="FG280" s="27">
        <v>11.000000000000004</v>
      </c>
      <c r="FH280" s="27">
        <v>11.000000000000004</v>
      </c>
      <c r="FI280" s="27">
        <v>11.000000000000004</v>
      </c>
      <c r="FJ280" s="27">
        <v>11.000000000000004</v>
      </c>
      <c r="FK280" s="27">
        <v>11.000000000000004</v>
      </c>
      <c r="FL280" s="27">
        <v>11.000000000000004</v>
      </c>
      <c r="FM280" s="129">
        <v>29.5</v>
      </c>
      <c r="FO280" s="27">
        <v>14.499999999999996</v>
      </c>
      <c r="FP280" s="27">
        <v>14.499999999999996</v>
      </c>
      <c r="FQ280" s="27">
        <v>14.499999999999996</v>
      </c>
      <c r="FR280" s="27">
        <v>14.499999999999996</v>
      </c>
      <c r="FS280" s="27">
        <v>14.499999999999996</v>
      </c>
      <c r="FT280" s="27">
        <v>14.499999999999996</v>
      </c>
      <c r="FU280" s="27">
        <v>14.499999999999996</v>
      </c>
      <c r="FV280" s="27">
        <v>14.499999999999996</v>
      </c>
      <c r="FW280" s="27">
        <v>14.499999999999996</v>
      </c>
      <c r="FX280" s="129">
        <v>29.5</v>
      </c>
      <c r="FZ280" s="27">
        <v>14.499999999999996</v>
      </c>
      <c r="GA280" s="27">
        <v>14.499999999999996</v>
      </c>
      <c r="GB280" s="27">
        <v>14.499999999999996</v>
      </c>
      <c r="GC280" s="27">
        <v>14.499999999999996</v>
      </c>
      <c r="GD280" s="27">
        <v>14.499999999999996</v>
      </c>
      <c r="GE280" s="27">
        <v>14.499999999999996</v>
      </c>
      <c r="GF280" s="27">
        <v>14.499999999999996</v>
      </c>
      <c r="GG280" s="27">
        <v>14.499999999999996</v>
      </c>
      <c r="GH280" s="27">
        <v>14.499999999999996</v>
      </c>
      <c r="GI280" s="129">
        <v>29.5</v>
      </c>
      <c r="GJ280" s="27"/>
      <c r="GK280" s="27">
        <v>5.5000000000000018</v>
      </c>
      <c r="GL280" s="27">
        <v>5.5000000000000018</v>
      </c>
      <c r="GM280" s="27">
        <v>5.5000000000000018</v>
      </c>
      <c r="GN280" s="27">
        <v>5.5000000000000018</v>
      </c>
      <c r="GO280" s="27">
        <v>5.5000000000000018</v>
      </c>
      <c r="GP280" s="27">
        <v>5.5000000000000018</v>
      </c>
      <c r="GQ280" s="27">
        <v>5.5000000000000018</v>
      </c>
      <c r="GR280" s="27">
        <v>5.5000000000000018</v>
      </c>
      <c r="GS280" s="27">
        <v>5.5000000000000018</v>
      </c>
      <c r="GT280" s="129">
        <v>29.5</v>
      </c>
      <c r="GV280" s="27">
        <v>8</v>
      </c>
      <c r="GW280" s="27">
        <v>8</v>
      </c>
      <c r="GX280" s="27">
        <v>8</v>
      </c>
      <c r="GY280" s="27">
        <v>8</v>
      </c>
      <c r="GZ280" s="27">
        <v>8</v>
      </c>
      <c r="HA280" s="27">
        <v>8</v>
      </c>
      <c r="HB280" s="27">
        <v>8</v>
      </c>
      <c r="HC280" s="27">
        <v>8</v>
      </c>
      <c r="HD280" s="27">
        <v>8</v>
      </c>
      <c r="HE280" s="129">
        <v>29.5</v>
      </c>
      <c r="HG280" s="27">
        <v>10.500000000000002</v>
      </c>
      <c r="HH280" s="27">
        <v>10.500000000000002</v>
      </c>
      <c r="HI280" s="27">
        <v>10.500000000000002</v>
      </c>
      <c r="HJ280" s="27">
        <v>10.500000000000002</v>
      </c>
      <c r="HK280" s="27">
        <v>10.500000000000002</v>
      </c>
      <c r="HL280" s="27">
        <v>10.500000000000002</v>
      </c>
      <c r="HM280" s="27">
        <v>10.500000000000002</v>
      </c>
      <c r="HN280" s="27">
        <v>10.500000000000002</v>
      </c>
      <c r="HO280" s="27">
        <v>10.500000000000002</v>
      </c>
      <c r="HP280" s="129">
        <v>29.5</v>
      </c>
      <c r="HR280" s="27">
        <v>10.500000000000002</v>
      </c>
      <c r="HS280" s="27">
        <v>10.500000000000002</v>
      </c>
      <c r="HT280" s="27">
        <v>10.500000000000002</v>
      </c>
      <c r="HU280" s="27">
        <v>10.500000000000002</v>
      </c>
      <c r="HV280" s="27">
        <v>10.500000000000002</v>
      </c>
      <c r="HW280" s="27">
        <v>10.500000000000002</v>
      </c>
      <c r="HX280" s="27">
        <v>10.500000000000002</v>
      </c>
      <c r="HY280" s="27">
        <v>10.500000000000002</v>
      </c>
      <c r="HZ280" s="27">
        <v>10.500000000000002</v>
      </c>
      <c r="IA280" s="129">
        <v>29.5</v>
      </c>
    </row>
    <row r="281" spans="15:235" ht="3" customHeight="1">
      <c r="O281" s="17"/>
      <c r="P281" s="17"/>
      <c r="Q281" s="17"/>
      <c r="R281" s="17"/>
      <c r="S281" s="17"/>
      <c r="T281" s="17"/>
      <c r="U281" s="17"/>
      <c r="V281" s="17"/>
      <c r="W281" s="17"/>
      <c r="X281" s="129">
        <v>27.6</v>
      </c>
      <c r="Y281" s="27"/>
      <c r="AI281" s="129">
        <v>27.6</v>
      </c>
      <c r="AL281" s="17"/>
      <c r="AM281" s="17"/>
      <c r="AN281" s="17"/>
      <c r="AO281" s="17"/>
      <c r="AP281" s="17"/>
      <c r="AQ281" s="17"/>
      <c r="AR281" s="17"/>
      <c r="AS281" s="17"/>
      <c r="AT281" s="129">
        <v>27.6</v>
      </c>
      <c r="AV281" s="129">
        <v>6</v>
      </c>
      <c r="AW281" s="129">
        <v>6</v>
      </c>
      <c r="AX281" s="129">
        <v>6</v>
      </c>
      <c r="AY281" s="129">
        <v>6</v>
      </c>
      <c r="AZ281" s="129">
        <v>6</v>
      </c>
      <c r="BA281" s="129">
        <v>6</v>
      </c>
      <c r="BB281" s="129">
        <v>6</v>
      </c>
      <c r="BC281" s="129">
        <v>6</v>
      </c>
      <c r="BD281" s="129">
        <v>6</v>
      </c>
      <c r="BE281" s="129">
        <v>27.6</v>
      </c>
      <c r="BG281" s="129">
        <v>7.4000000000000021</v>
      </c>
      <c r="BH281" s="129">
        <v>7.4000000000000021</v>
      </c>
      <c r="BI281" s="129">
        <v>7.4000000000000021</v>
      </c>
      <c r="BJ281" s="129">
        <v>7.4000000000000021</v>
      </c>
      <c r="BK281" s="129">
        <v>7.4000000000000021</v>
      </c>
      <c r="BL281" s="129">
        <v>7.4000000000000021</v>
      </c>
      <c r="BM281" s="129">
        <v>7.4000000000000021</v>
      </c>
      <c r="BN281" s="129">
        <v>7.4000000000000021</v>
      </c>
      <c r="BO281" s="129">
        <v>7.4000000000000021</v>
      </c>
      <c r="BP281" s="129">
        <v>27.6</v>
      </c>
      <c r="BR281" s="129">
        <v>7.4000000000000021</v>
      </c>
      <c r="BS281" s="129">
        <v>7.4000000000000021</v>
      </c>
      <c r="BT281" s="129">
        <v>7.4000000000000021</v>
      </c>
      <c r="BU281" s="129">
        <v>7.4000000000000021</v>
      </c>
      <c r="BV281" s="129">
        <v>7.4000000000000021</v>
      </c>
      <c r="BW281" s="129">
        <v>7.4000000000000021</v>
      </c>
      <c r="BX281" s="129">
        <v>7.4000000000000021</v>
      </c>
      <c r="BY281" s="129">
        <v>7.4000000000000021</v>
      </c>
      <c r="BZ281" s="129">
        <v>7.4000000000000021</v>
      </c>
      <c r="CA281" s="129">
        <v>27.6</v>
      </c>
      <c r="CC281" s="129">
        <v>5</v>
      </c>
      <c r="CD281" s="129">
        <v>5</v>
      </c>
      <c r="CE281" s="129">
        <v>5</v>
      </c>
      <c r="CF281" s="129">
        <v>5</v>
      </c>
      <c r="CG281" s="129">
        <v>5</v>
      </c>
      <c r="CH281" s="129">
        <v>5</v>
      </c>
      <c r="CI281" s="129">
        <v>5</v>
      </c>
      <c r="CJ281" s="129">
        <v>5</v>
      </c>
      <c r="CK281" s="129">
        <v>5</v>
      </c>
      <c r="CL281" s="129">
        <v>27.6</v>
      </c>
      <c r="CN281" s="129">
        <v>8</v>
      </c>
      <c r="CO281" s="129">
        <v>8</v>
      </c>
      <c r="CP281" s="129">
        <v>8</v>
      </c>
      <c r="CQ281" s="129">
        <v>8</v>
      </c>
      <c r="CR281" s="129">
        <v>8</v>
      </c>
      <c r="CS281" s="129">
        <v>8</v>
      </c>
      <c r="CT281" s="129">
        <v>8</v>
      </c>
      <c r="CU281" s="129">
        <v>8</v>
      </c>
      <c r="CV281" s="129">
        <v>8</v>
      </c>
      <c r="CW281" s="129">
        <v>27.6</v>
      </c>
      <c r="CY281" s="129">
        <v>10.400000000000002</v>
      </c>
      <c r="CZ281" s="129">
        <v>10.400000000000002</v>
      </c>
      <c r="DA281" s="129">
        <v>10.400000000000002</v>
      </c>
      <c r="DB281" s="129">
        <v>10.400000000000002</v>
      </c>
      <c r="DC281" s="129">
        <v>10.400000000000002</v>
      </c>
      <c r="DD281" s="129">
        <v>10.400000000000002</v>
      </c>
      <c r="DE281" s="129">
        <v>10.400000000000002</v>
      </c>
      <c r="DF281" s="129">
        <v>10.400000000000002</v>
      </c>
      <c r="DG281" s="129">
        <v>10.400000000000002</v>
      </c>
      <c r="DH281" s="129">
        <v>27.6</v>
      </c>
      <c r="DJ281" s="129">
        <v>10.400000000000002</v>
      </c>
      <c r="DK281" s="129">
        <v>10.400000000000002</v>
      </c>
      <c r="DL281" s="129">
        <v>10.400000000000002</v>
      </c>
      <c r="DM281" s="129">
        <v>10.400000000000002</v>
      </c>
      <c r="DN281" s="129">
        <v>10.400000000000002</v>
      </c>
      <c r="DO281" s="129">
        <v>10.400000000000002</v>
      </c>
      <c r="DP281" s="129">
        <v>10.400000000000002</v>
      </c>
      <c r="DQ281" s="129">
        <v>10.400000000000002</v>
      </c>
      <c r="DR281" s="129">
        <v>10.400000000000002</v>
      </c>
      <c r="DS281" s="129">
        <v>27.6</v>
      </c>
      <c r="EQ281" s="129">
        <v>29.6</v>
      </c>
      <c r="ES281" s="27">
        <v>7.8000000000000034</v>
      </c>
      <c r="ET281" s="27">
        <v>7.8000000000000034</v>
      </c>
      <c r="EU281" s="27">
        <v>7.8000000000000034</v>
      </c>
      <c r="EV281" s="27">
        <v>7.8000000000000034</v>
      </c>
      <c r="EW281" s="27">
        <v>7.8000000000000034</v>
      </c>
      <c r="EX281" s="27">
        <v>7.8000000000000034</v>
      </c>
      <c r="EY281" s="27">
        <v>7.8000000000000034</v>
      </c>
      <c r="EZ281" s="27">
        <v>7.8000000000000034</v>
      </c>
      <c r="FA281" s="27">
        <v>7.8000000000000034</v>
      </c>
      <c r="FB281" s="129">
        <v>29.6</v>
      </c>
      <c r="FD281" s="27">
        <v>10.800000000000004</v>
      </c>
      <c r="FE281" s="27">
        <v>10.800000000000004</v>
      </c>
      <c r="FF281" s="27">
        <v>10.800000000000004</v>
      </c>
      <c r="FG281" s="27">
        <v>10.800000000000004</v>
      </c>
      <c r="FH281" s="27">
        <v>10.800000000000004</v>
      </c>
      <c r="FI281" s="27">
        <v>10.800000000000004</v>
      </c>
      <c r="FJ281" s="27">
        <v>10.800000000000004</v>
      </c>
      <c r="FK281" s="27">
        <v>10.800000000000004</v>
      </c>
      <c r="FL281" s="27">
        <v>10.800000000000004</v>
      </c>
      <c r="FM281" s="129">
        <v>29.6</v>
      </c>
      <c r="FO281" s="27">
        <v>14.199999999999996</v>
      </c>
      <c r="FP281" s="27">
        <v>14.199999999999996</v>
      </c>
      <c r="FQ281" s="27">
        <v>14.199999999999996</v>
      </c>
      <c r="FR281" s="27">
        <v>14.199999999999996</v>
      </c>
      <c r="FS281" s="27">
        <v>14.199999999999996</v>
      </c>
      <c r="FT281" s="27">
        <v>14.199999999999996</v>
      </c>
      <c r="FU281" s="27">
        <v>14.199999999999996</v>
      </c>
      <c r="FV281" s="27">
        <v>14.199999999999996</v>
      </c>
      <c r="FW281" s="27">
        <v>14.199999999999996</v>
      </c>
      <c r="FX281" s="129">
        <v>29.6</v>
      </c>
      <c r="FZ281" s="27">
        <v>14.199999999999996</v>
      </c>
      <c r="GA281" s="27">
        <v>14.199999999999996</v>
      </c>
      <c r="GB281" s="27">
        <v>14.199999999999996</v>
      </c>
      <c r="GC281" s="27">
        <v>14.199999999999996</v>
      </c>
      <c r="GD281" s="27">
        <v>14.199999999999996</v>
      </c>
      <c r="GE281" s="27">
        <v>14.199999999999996</v>
      </c>
      <c r="GF281" s="27">
        <v>14.199999999999996</v>
      </c>
      <c r="GG281" s="27">
        <v>14.199999999999996</v>
      </c>
      <c r="GH281" s="27">
        <v>14.199999999999996</v>
      </c>
      <c r="GI281" s="129">
        <v>29.6</v>
      </c>
      <c r="GJ281" s="27"/>
      <c r="GK281" s="27">
        <v>5.4000000000000021</v>
      </c>
      <c r="GL281" s="27">
        <v>5.4000000000000021</v>
      </c>
      <c r="GM281" s="27">
        <v>5.4000000000000021</v>
      </c>
      <c r="GN281" s="27">
        <v>5.4000000000000021</v>
      </c>
      <c r="GO281" s="27">
        <v>5.4000000000000021</v>
      </c>
      <c r="GP281" s="27">
        <v>5.4000000000000021</v>
      </c>
      <c r="GQ281" s="27">
        <v>5.4000000000000021</v>
      </c>
      <c r="GR281" s="27">
        <v>5.4000000000000021</v>
      </c>
      <c r="GS281" s="27">
        <v>5.4000000000000021</v>
      </c>
      <c r="GT281" s="129">
        <v>29.6</v>
      </c>
      <c r="GV281" s="27">
        <v>8</v>
      </c>
      <c r="GW281" s="27">
        <v>8</v>
      </c>
      <c r="GX281" s="27">
        <v>8</v>
      </c>
      <c r="GY281" s="27">
        <v>8</v>
      </c>
      <c r="GZ281" s="27">
        <v>8</v>
      </c>
      <c r="HA281" s="27">
        <v>8</v>
      </c>
      <c r="HB281" s="27">
        <v>8</v>
      </c>
      <c r="HC281" s="27">
        <v>8</v>
      </c>
      <c r="HD281" s="27">
        <v>8</v>
      </c>
      <c r="HE281" s="129">
        <v>29.6</v>
      </c>
      <c r="HG281" s="27">
        <v>10.400000000000002</v>
      </c>
      <c r="HH281" s="27">
        <v>10.400000000000002</v>
      </c>
      <c r="HI281" s="27">
        <v>10.400000000000002</v>
      </c>
      <c r="HJ281" s="27">
        <v>10.400000000000002</v>
      </c>
      <c r="HK281" s="27">
        <v>10.400000000000002</v>
      </c>
      <c r="HL281" s="27">
        <v>10.400000000000002</v>
      </c>
      <c r="HM281" s="27">
        <v>10.400000000000002</v>
      </c>
      <c r="HN281" s="27">
        <v>10.400000000000002</v>
      </c>
      <c r="HO281" s="27">
        <v>10.400000000000002</v>
      </c>
      <c r="HP281" s="129">
        <v>29.6</v>
      </c>
      <c r="HR281" s="27">
        <v>10.400000000000002</v>
      </c>
      <c r="HS281" s="27">
        <v>10.400000000000002</v>
      </c>
      <c r="HT281" s="27">
        <v>10.400000000000002</v>
      </c>
      <c r="HU281" s="27">
        <v>10.400000000000002</v>
      </c>
      <c r="HV281" s="27">
        <v>10.400000000000002</v>
      </c>
      <c r="HW281" s="27">
        <v>10.400000000000002</v>
      </c>
      <c r="HX281" s="27">
        <v>10.400000000000002</v>
      </c>
      <c r="HY281" s="27">
        <v>10.400000000000002</v>
      </c>
      <c r="HZ281" s="27">
        <v>10.400000000000002</v>
      </c>
      <c r="IA281" s="129">
        <v>29.6</v>
      </c>
    </row>
    <row r="282" spans="15:235" ht="3" customHeight="1">
      <c r="O282" s="17"/>
      <c r="P282" s="17"/>
      <c r="Q282" s="17"/>
      <c r="R282" s="17"/>
      <c r="S282" s="17"/>
      <c r="T282" s="17"/>
      <c r="U282" s="17"/>
      <c r="V282" s="17"/>
      <c r="W282" s="17"/>
      <c r="X282" s="129">
        <v>27.7</v>
      </c>
      <c r="Y282" s="27"/>
      <c r="AI282" s="129">
        <v>27.7</v>
      </c>
      <c r="AL282" s="17"/>
      <c r="AM282" s="17"/>
      <c r="AN282" s="17"/>
      <c r="AO282" s="17"/>
      <c r="AP282" s="17"/>
      <c r="AQ282" s="17"/>
      <c r="AR282" s="17"/>
      <c r="AS282" s="17"/>
      <c r="AT282" s="129">
        <v>27.7</v>
      </c>
      <c r="AV282" s="129">
        <v>6</v>
      </c>
      <c r="AW282" s="129">
        <v>6</v>
      </c>
      <c r="AX282" s="129">
        <v>6</v>
      </c>
      <c r="AY282" s="129">
        <v>6</v>
      </c>
      <c r="AZ282" s="129">
        <v>6</v>
      </c>
      <c r="BA282" s="129">
        <v>6</v>
      </c>
      <c r="BB282" s="129">
        <v>6</v>
      </c>
      <c r="BC282" s="129">
        <v>6</v>
      </c>
      <c r="BD282" s="129">
        <v>6</v>
      </c>
      <c r="BE282" s="129">
        <v>27.7</v>
      </c>
      <c r="BG282" s="129">
        <v>7.3000000000000025</v>
      </c>
      <c r="BH282" s="129">
        <v>7.3000000000000025</v>
      </c>
      <c r="BI282" s="129">
        <v>7.3000000000000025</v>
      </c>
      <c r="BJ282" s="129">
        <v>7.3000000000000025</v>
      </c>
      <c r="BK282" s="129">
        <v>7.3000000000000025</v>
      </c>
      <c r="BL282" s="129">
        <v>7.3000000000000025</v>
      </c>
      <c r="BM282" s="129">
        <v>7.3000000000000025</v>
      </c>
      <c r="BN282" s="129">
        <v>7.3000000000000025</v>
      </c>
      <c r="BO282" s="129">
        <v>7.3000000000000025</v>
      </c>
      <c r="BP282" s="129">
        <v>27.7</v>
      </c>
      <c r="BR282" s="129">
        <v>7.3000000000000025</v>
      </c>
      <c r="BS282" s="129">
        <v>7.3000000000000025</v>
      </c>
      <c r="BT282" s="129">
        <v>7.3000000000000025</v>
      </c>
      <c r="BU282" s="129">
        <v>7.3000000000000025</v>
      </c>
      <c r="BV282" s="129">
        <v>7.3000000000000025</v>
      </c>
      <c r="BW282" s="129">
        <v>7.3000000000000025</v>
      </c>
      <c r="BX282" s="129">
        <v>7.3000000000000025</v>
      </c>
      <c r="BY282" s="129">
        <v>7.3000000000000025</v>
      </c>
      <c r="BZ282" s="129">
        <v>7.3000000000000025</v>
      </c>
      <c r="CA282" s="129">
        <v>27.7</v>
      </c>
      <c r="CC282" s="129">
        <v>5</v>
      </c>
      <c r="CD282" s="129">
        <v>5</v>
      </c>
      <c r="CE282" s="129">
        <v>5</v>
      </c>
      <c r="CF282" s="129">
        <v>5</v>
      </c>
      <c r="CG282" s="129">
        <v>5</v>
      </c>
      <c r="CH282" s="129">
        <v>5</v>
      </c>
      <c r="CI282" s="129">
        <v>5</v>
      </c>
      <c r="CJ282" s="129">
        <v>5</v>
      </c>
      <c r="CK282" s="129">
        <v>5</v>
      </c>
      <c r="CL282" s="129">
        <v>27.7</v>
      </c>
      <c r="CN282" s="129">
        <v>8</v>
      </c>
      <c r="CO282" s="129">
        <v>8</v>
      </c>
      <c r="CP282" s="129">
        <v>8</v>
      </c>
      <c r="CQ282" s="129">
        <v>8</v>
      </c>
      <c r="CR282" s="129">
        <v>8</v>
      </c>
      <c r="CS282" s="129">
        <v>8</v>
      </c>
      <c r="CT282" s="129">
        <v>8</v>
      </c>
      <c r="CU282" s="129">
        <v>8</v>
      </c>
      <c r="CV282" s="129">
        <v>8</v>
      </c>
      <c r="CW282" s="129">
        <v>27.7</v>
      </c>
      <c r="CY282" s="129">
        <v>10.300000000000002</v>
      </c>
      <c r="CZ282" s="129">
        <v>10.300000000000002</v>
      </c>
      <c r="DA282" s="129">
        <v>10.300000000000002</v>
      </c>
      <c r="DB282" s="129">
        <v>10.300000000000002</v>
      </c>
      <c r="DC282" s="129">
        <v>10.300000000000002</v>
      </c>
      <c r="DD282" s="129">
        <v>10.300000000000002</v>
      </c>
      <c r="DE282" s="129">
        <v>10.300000000000002</v>
      </c>
      <c r="DF282" s="129">
        <v>10.300000000000002</v>
      </c>
      <c r="DG282" s="129">
        <v>10.300000000000002</v>
      </c>
      <c r="DH282" s="129">
        <v>27.7</v>
      </c>
      <c r="DJ282" s="129">
        <v>10.300000000000002</v>
      </c>
      <c r="DK282" s="129">
        <v>10.300000000000002</v>
      </c>
      <c r="DL282" s="129">
        <v>10.300000000000002</v>
      </c>
      <c r="DM282" s="129">
        <v>10.300000000000002</v>
      </c>
      <c r="DN282" s="129">
        <v>10.300000000000002</v>
      </c>
      <c r="DO282" s="129">
        <v>10.300000000000002</v>
      </c>
      <c r="DP282" s="129">
        <v>10.300000000000002</v>
      </c>
      <c r="DQ282" s="129">
        <v>10.300000000000002</v>
      </c>
      <c r="DR282" s="129">
        <v>10.300000000000002</v>
      </c>
      <c r="DS282" s="129">
        <v>27.7</v>
      </c>
      <c r="EQ282" s="129">
        <v>29.7</v>
      </c>
      <c r="ES282" s="27">
        <v>7.6000000000000032</v>
      </c>
      <c r="ET282" s="27">
        <v>7.6000000000000032</v>
      </c>
      <c r="EU282" s="27">
        <v>7.6000000000000032</v>
      </c>
      <c r="EV282" s="27">
        <v>7.6000000000000032</v>
      </c>
      <c r="EW282" s="27">
        <v>7.6000000000000032</v>
      </c>
      <c r="EX282" s="27">
        <v>7.6000000000000032</v>
      </c>
      <c r="EY282" s="27">
        <v>7.6000000000000032</v>
      </c>
      <c r="EZ282" s="27">
        <v>7.6000000000000032</v>
      </c>
      <c r="FA282" s="27">
        <v>7.6000000000000032</v>
      </c>
      <c r="FB282" s="129">
        <v>29.7</v>
      </c>
      <c r="FD282" s="27">
        <v>10.600000000000005</v>
      </c>
      <c r="FE282" s="27">
        <v>10.600000000000005</v>
      </c>
      <c r="FF282" s="27">
        <v>10.600000000000005</v>
      </c>
      <c r="FG282" s="27">
        <v>10.600000000000005</v>
      </c>
      <c r="FH282" s="27">
        <v>10.600000000000005</v>
      </c>
      <c r="FI282" s="27">
        <v>10.600000000000005</v>
      </c>
      <c r="FJ282" s="27">
        <v>10.600000000000005</v>
      </c>
      <c r="FK282" s="27">
        <v>10.600000000000005</v>
      </c>
      <c r="FL282" s="27">
        <v>10.600000000000005</v>
      </c>
      <c r="FM282" s="129">
        <v>29.7</v>
      </c>
      <c r="FO282" s="27">
        <v>13.899999999999995</v>
      </c>
      <c r="FP282" s="27">
        <v>13.899999999999995</v>
      </c>
      <c r="FQ282" s="27">
        <v>13.899999999999995</v>
      </c>
      <c r="FR282" s="27">
        <v>13.899999999999995</v>
      </c>
      <c r="FS282" s="27">
        <v>13.899999999999995</v>
      </c>
      <c r="FT282" s="27">
        <v>13.899999999999995</v>
      </c>
      <c r="FU282" s="27">
        <v>13.899999999999995</v>
      </c>
      <c r="FV282" s="27">
        <v>13.899999999999995</v>
      </c>
      <c r="FW282" s="27">
        <v>13.899999999999995</v>
      </c>
      <c r="FX282" s="129">
        <v>29.7</v>
      </c>
      <c r="FZ282" s="27">
        <v>13.899999999999995</v>
      </c>
      <c r="GA282" s="27">
        <v>13.899999999999995</v>
      </c>
      <c r="GB282" s="27">
        <v>13.899999999999995</v>
      </c>
      <c r="GC282" s="27">
        <v>13.899999999999995</v>
      </c>
      <c r="GD282" s="27">
        <v>13.899999999999995</v>
      </c>
      <c r="GE282" s="27">
        <v>13.899999999999995</v>
      </c>
      <c r="GF282" s="27">
        <v>13.899999999999995</v>
      </c>
      <c r="GG282" s="27">
        <v>13.899999999999995</v>
      </c>
      <c r="GH282" s="27">
        <v>13.899999999999995</v>
      </c>
      <c r="GI282" s="129">
        <v>29.7</v>
      </c>
      <c r="GJ282" s="27"/>
      <c r="GK282" s="27">
        <v>5.3000000000000025</v>
      </c>
      <c r="GL282" s="27">
        <v>5.3000000000000025</v>
      </c>
      <c r="GM282" s="27">
        <v>5.3000000000000025</v>
      </c>
      <c r="GN282" s="27">
        <v>5.3000000000000025</v>
      </c>
      <c r="GO282" s="27">
        <v>5.3000000000000025</v>
      </c>
      <c r="GP282" s="27">
        <v>5.3000000000000025</v>
      </c>
      <c r="GQ282" s="27">
        <v>5.3000000000000025</v>
      </c>
      <c r="GR282" s="27">
        <v>5.3000000000000025</v>
      </c>
      <c r="GS282" s="27">
        <v>5.3000000000000025</v>
      </c>
      <c r="GT282" s="129">
        <v>29.7</v>
      </c>
      <c r="GV282" s="27">
        <v>8</v>
      </c>
      <c r="GW282" s="27">
        <v>8</v>
      </c>
      <c r="GX282" s="27">
        <v>8</v>
      </c>
      <c r="GY282" s="27">
        <v>8</v>
      </c>
      <c r="GZ282" s="27">
        <v>8</v>
      </c>
      <c r="HA282" s="27">
        <v>8</v>
      </c>
      <c r="HB282" s="27">
        <v>8</v>
      </c>
      <c r="HC282" s="27">
        <v>8</v>
      </c>
      <c r="HD282" s="27">
        <v>8</v>
      </c>
      <c r="HE282" s="129">
        <v>29.7</v>
      </c>
      <c r="HG282" s="27">
        <v>10.300000000000002</v>
      </c>
      <c r="HH282" s="27">
        <v>10.300000000000002</v>
      </c>
      <c r="HI282" s="27">
        <v>10.300000000000002</v>
      </c>
      <c r="HJ282" s="27">
        <v>10.300000000000002</v>
      </c>
      <c r="HK282" s="27">
        <v>10.300000000000002</v>
      </c>
      <c r="HL282" s="27">
        <v>10.300000000000002</v>
      </c>
      <c r="HM282" s="27">
        <v>10.300000000000002</v>
      </c>
      <c r="HN282" s="27">
        <v>10.300000000000002</v>
      </c>
      <c r="HO282" s="27">
        <v>10.300000000000002</v>
      </c>
      <c r="HP282" s="129">
        <v>29.7</v>
      </c>
      <c r="HR282" s="27">
        <v>10.300000000000002</v>
      </c>
      <c r="HS282" s="27">
        <v>10.300000000000002</v>
      </c>
      <c r="HT282" s="27">
        <v>10.300000000000002</v>
      </c>
      <c r="HU282" s="27">
        <v>10.300000000000002</v>
      </c>
      <c r="HV282" s="27">
        <v>10.300000000000002</v>
      </c>
      <c r="HW282" s="27">
        <v>10.300000000000002</v>
      </c>
      <c r="HX282" s="27">
        <v>10.300000000000002</v>
      </c>
      <c r="HY282" s="27">
        <v>10.300000000000002</v>
      </c>
      <c r="HZ282" s="27">
        <v>10.300000000000002</v>
      </c>
      <c r="IA282" s="129">
        <v>29.7</v>
      </c>
    </row>
    <row r="283" spans="15:235" ht="3" customHeight="1">
      <c r="O283" s="17"/>
      <c r="P283" s="17"/>
      <c r="Q283" s="17"/>
      <c r="R283" s="17"/>
      <c r="S283" s="17"/>
      <c r="T283" s="17"/>
      <c r="U283" s="17"/>
      <c r="V283" s="17"/>
      <c r="W283" s="17"/>
      <c r="X283" s="129">
        <v>27.8</v>
      </c>
      <c r="Y283" s="27"/>
      <c r="AI283" s="129">
        <v>27.8</v>
      </c>
      <c r="AL283" s="17"/>
      <c r="AM283" s="17"/>
      <c r="AN283" s="17"/>
      <c r="AO283" s="17"/>
      <c r="AP283" s="17"/>
      <c r="AQ283" s="17"/>
      <c r="AR283" s="17"/>
      <c r="AS283" s="17"/>
      <c r="AT283" s="129">
        <v>27.8</v>
      </c>
      <c r="AV283" s="129">
        <v>6</v>
      </c>
      <c r="AW283" s="129">
        <v>6</v>
      </c>
      <c r="AX283" s="129">
        <v>6</v>
      </c>
      <c r="AY283" s="129">
        <v>6</v>
      </c>
      <c r="AZ283" s="129">
        <v>6</v>
      </c>
      <c r="BA283" s="129">
        <v>6</v>
      </c>
      <c r="BB283" s="129">
        <v>6</v>
      </c>
      <c r="BC283" s="129">
        <v>6</v>
      </c>
      <c r="BD283" s="129">
        <v>6</v>
      </c>
      <c r="BE283" s="129">
        <v>27.8</v>
      </c>
      <c r="BG283" s="129">
        <v>7.2000000000000028</v>
      </c>
      <c r="BH283" s="129">
        <v>7.2000000000000028</v>
      </c>
      <c r="BI283" s="129">
        <v>7.2000000000000028</v>
      </c>
      <c r="BJ283" s="129">
        <v>7.2000000000000028</v>
      </c>
      <c r="BK283" s="129">
        <v>7.2000000000000028</v>
      </c>
      <c r="BL283" s="129">
        <v>7.2000000000000028</v>
      </c>
      <c r="BM283" s="129">
        <v>7.2000000000000028</v>
      </c>
      <c r="BN283" s="129">
        <v>7.2000000000000028</v>
      </c>
      <c r="BO283" s="129">
        <v>7.2000000000000028</v>
      </c>
      <c r="BP283" s="129">
        <v>27.8</v>
      </c>
      <c r="BR283" s="129">
        <v>7.2000000000000028</v>
      </c>
      <c r="BS283" s="129">
        <v>7.2000000000000028</v>
      </c>
      <c r="BT283" s="129">
        <v>7.2000000000000028</v>
      </c>
      <c r="BU283" s="129">
        <v>7.2000000000000028</v>
      </c>
      <c r="BV283" s="129">
        <v>7.2000000000000028</v>
      </c>
      <c r="BW283" s="129">
        <v>7.2000000000000028</v>
      </c>
      <c r="BX283" s="129">
        <v>7.2000000000000028</v>
      </c>
      <c r="BY283" s="129">
        <v>7.2000000000000028</v>
      </c>
      <c r="BZ283" s="129">
        <v>7.2000000000000028</v>
      </c>
      <c r="CA283" s="129">
        <v>27.8</v>
      </c>
      <c r="CC283" s="129">
        <v>5</v>
      </c>
      <c r="CD283" s="129">
        <v>5</v>
      </c>
      <c r="CE283" s="129">
        <v>5</v>
      </c>
      <c r="CF283" s="129">
        <v>5</v>
      </c>
      <c r="CG283" s="129">
        <v>5</v>
      </c>
      <c r="CH283" s="129">
        <v>5</v>
      </c>
      <c r="CI283" s="129">
        <v>5</v>
      </c>
      <c r="CJ283" s="129">
        <v>5</v>
      </c>
      <c r="CK283" s="129">
        <v>5</v>
      </c>
      <c r="CL283" s="129">
        <v>27.8</v>
      </c>
      <c r="CN283" s="129">
        <v>8</v>
      </c>
      <c r="CO283" s="129">
        <v>8</v>
      </c>
      <c r="CP283" s="129">
        <v>8</v>
      </c>
      <c r="CQ283" s="129">
        <v>8</v>
      </c>
      <c r="CR283" s="129">
        <v>8</v>
      </c>
      <c r="CS283" s="129">
        <v>8</v>
      </c>
      <c r="CT283" s="129">
        <v>8</v>
      </c>
      <c r="CU283" s="129">
        <v>8</v>
      </c>
      <c r="CV283" s="129">
        <v>8</v>
      </c>
      <c r="CW283" s="129">
        <v>27.8</v>
      </c>
      <c r="CY283" s="129">
        <v>10.200000000000003</v>
      </c>
      <c r="CZ283" s="129">
        <v>10.200000000000003</v>
      </c>
      <c r="DA283" s="129">
        <v>10.200000000000003</v>
      </c>
      <c r="DB283" s="129">
        <v>10.200000000000003</v>
      </c>
      <c r="DC283" s="129">
        <v>10.200000000000003</v>
      </c>
      <c r="DD283" s="129">
        <v>10.200000000000003</v>
      </c>
      <c r="DE283" s="129">
        <v>10.200000000000003</v>
      </c>
      <c r="DF283" s="129">
        <v>10.200000000000003</v>
      </c>
      <c r="DG283" s="129">
        <v>10.200000000000003</v>
      </c>
      <c r="DH283" s="129">
        <v>27.8</v>
      </c>
      <c r="DJ283" s="129">
        <v>10.200000000000003</v>
      </c>
      <c r="DK283" s="129">
        <v>10.200000000000003</v>
      </c>
      <c r="DL283" s="129">
        <v>10.200000000000003</v>
      </c>
      <c r="DM283" s="129">
        <v>10.200000000000003</v>
      </c>
      <c r="DN283" s="129">
        <v>10.200000000000003</v>
      </c>
      <c r="DO283" s="129">
        <v>10.200000000000003</v>
      </c>
      <c r="DP283" s="129">
        <v>10.200000000000003</v>
      </c>
      <c r="DQ283" s="129">
        <v>10.200000000000003</v>
      </c>
      <c r="DR283" s="129">
        <v>10.200000000000003</v>
      </c>
      <c r="DS283" s="129">
        <v>27.8</v>
      </c>
      <c r="EQ283" s="129">
        <v>29.8</v>
      </c>
      <c r="ES283" s="27">
        <v>7.400000000000003</v>
      </c>
      <c r="ET283" s="27">
        <v>7.400000000000003</v>
      </c>
      <c r="EU283" s="27">
        <v>7.400000000000003</v>
      </c>
      <c r="EV283" s="27">
        <v>7.400000000000003</v>
      </c>
      <c r="EW283" s="27">
        <v>7.400000000000003</v>
      </c>
      <c r="EX283" s="27">
        <v>7.400000000000003</v>
      </c>
      <c r="EY283" s="27">
        <v>7.400000000000003</v>
      </c>
      <c r="EZ283" s="27">
        <v>7.400000000000003</v>
      </c>
      <c r="FA283" s="27">
        <v>7.400000000000003</v>
      </c>
      <c r="FB283" s="129">
        <v>29.8</v>
      </c>
      <c r="FD283" s="27">
        <v>10.400000000000006</v>
      </c>
      <c r="FE283" s="27">
        <v>10.400000000000006</v>
      </c>
      <c r="FF283" s="27">
        <v>10.400000000000006</v>
      </c>
      <c r="FG283" s="27">
        <v>10.400000000000006</v>
      </c>
      <c r="FH283" s="27">
        <v>10.400000000000006</v>
      </c>
      <c r="FI283" s="27">
        <v>10.400000000000006</v>
      </c>
      <c r="FJ283" s="27">
        <v>10.400000000000006</v>
      </c>
      <c r="FK283" s="27">
        <v>10.400000000000006</v>
      </c>
      <c r="FL283" s="27">
        <v>10.400000000000006</v>
      </c>
      <c r="FM283" s="129">
        <v>29.8</v>
      </c>
      <c r="FO283" s="27">
        <v>13.599999999999994</v>
      </c>
      <c r="FP283" s="27">
        <v>13.599999999999994</v>
      </c>
      <c r="FQ283" s="27">
        <v>13.599999999999994</v>
      </c>
      <c r="FR283" s="27">
        <v>13.599999999999994</v>
      </c>
      <c r="FS283" s="27">
        <v>13.599999999999994</v>
      </c>
      <c r="FT283" s="27">
        <v>13.599999999999994</v>
      </c>
      <c r="FU283" s="27">
        <v>13.599999999999994</v>
      </c>
      <c r="FV283" s="27">
        <v>13.599999999999994</v>
      </c>
      <c r="FW283" s="27">
        <v>13.599999999999994</v>
      </c>
      <c r="FX283" s="129">
        <v>29.8</v>
      </c>
      <c r="FZ283" s="27">
        <v>13.599999999999994</v>
      </c>
      <c r="GA283" s="27">
        <v>13.599999999999994</v>
      </c>
      <c r="GB283" s="27">
        <v>13.599999999999994</v>
      </c>
      <c r="GC283" s="27">
        <v>13.599999999999994</v>
      </c>
      <c r="GD283" s="27">
        <v>13.599999999999994</v>
      </c>
      <c r="GE283" s="27">
        <v>13.599999999999994</v>
      </c>
      <c r="GF283" s="27">
        <v>13.599999999999994</v>
      </c>
      <c r="GG283" s="27">
        <v>13.599999999999994</v>
      </c>
      <c r="GH283" s="27">
        <v>13.599999999999994</v>
      </c>
      <c r="GI283" s="129">
        <v>29.8</v>
      </c>
      <c r="GJ283" s="27"/>
      <c r="GK283" s="27">
        <v>5.2000000000000028</v>
      </c>
      <c r="GL283" s="27">
        <v>5.2000000000000028</v>
      </c>
      <c r="GM283" s="27">
        <v>5.2000000000000028</v>
      </c>
      <c r="GN283" s="27">
        <v>5.2000000000000028</v>
      </c>
      <c r="GO283" s="27">
        <v>5.2000000000000028</v>
      </c>
      <c r="GP283" s="27">
        <v>5.2000000000000028</v>
      </c>
      <c r="GQ283" s="27">
        <v>5.2000000000000028</v>
      </c>
      <c r="GR283" s="27">
        <v>5.2000000000000028</v>
      </c>
      <c r="GS283" s="27">
        <v>5.2000000000000028</v>
      </c>
      <c r="GT283" s="129">
        <v>29.8</v>
      </c>
      <c r="GV283" s="27">
        <v>8</v>
      </c>
      <c r="GW283" s="27">
        <v>8</v>
      </c>
      <c r="GX283" s="27">
        <v>8</v>
      </c>
      <c r="GY283" s="27">
        <v>8</v>
      </c>
      <c r="GZ283" s="27">
        <v>8</v>
      </c>
      <c r="HA283" s="27">
        <v>8</v>
      </c>
      <c r="HB283" s="27">
        <v>8</v>
      </c>
      <c r="HC283" s="27">
        <v>8</v>
      </c>
      <c r="HD283" s="27">
        <v>8</v>
      </c>
      <c r="HE283" s="129">
        <v>29.8</v>
      </c>
      <c r="HG283" s="27">
        <v>10.200000000000003</v>
      </c>
      <c r="HH283" s="27">
        <v>10.200000000000003</v>
      </c>
      <c r="HI283" s="27">
        <v>10.200000000000003</v>
      </c>
      <c r="HJ283" s="27">
        <v>10.200000000000003</v>
      </c>
      <c r="HK283" s="27">
        <v>10.200000000000003</v>
      </c>
      <c r="HL283" s="27">
        <v>10.200000000000003</v>
      </c>
      <c r="HM283" s="27">
        <v>10.200000000000003</v>
      </c>
      <c r="HN283" s="27">
        <v>10.200000000000003</v>
      </c>
      <c r="HO283" s="27">
        <v>10.200000000000003</v>
      </c>
      <c r="HP283" s="129">
        <v>29.8</v>
      </c>
      <c r="HR283" s="27">
        <v>10.200000000000003</v>
      </c>
      <c r="HS283" s="27">
        <v>10.200000000000003</v>
      </c>
      <c r="HT283" s="27">
        <v>10.200000000000003</v>
      </c>
      <c r="HU283" s="27">
        <v>10.200000000000003</v>
      </c>
      <c r="HV283" s="27">
        <v>10.200000000000003</v>
      </c>
      <c r="HW283" s="27">
        <v>10.200000000000003</v>
      </c>
      <c r="HX283" s="27">
        <v>10.200000000000003</v>
      </c>
      <c r="HY283" s="27">
        <v>10.200000000000003</v>
      </c>
      <c r="HZ283" s="27">
        <v>10.200000000000003</v>
      </c>
      <c r="IA283" s="129">
        <v>29.8</v>
      </c>
    </row>
    <row r="284" spans="15:235" ht="3" customHeight="1">
      <c r="O284" s="17"/>
      <c r="P284" s="17"/>
      <c r="Q284" s="17"/>
      <c r="R284" s="17"/>
      <c r="S284" s="17"/>
      <c r="T284" s="17"/>
      <c r="U284" s="17"/>
      <c r="V284" s="17"/>
      <c r="W284" s="17"/>
      <c r="X284" s="129">
        <v>27.9</v>
      </c>
      <c r="Y284" s="27"/>
      <c r="AI284" s="129">
        <v>27.9</v>
      </c>
      <c r="AL284" s="17"/>
      <c r="AM284" s="17"/>
      <c r="AN284" s="17"/>
      <c r="AO284" s="17"/>
      <c r="AP284" s="17"/>
      <c r="AQ284" s="17"/>
      <c r="AR284" s="17"/>
      <c r="AS284" s="17"/>
      <c r="AT284" s="129">
        <v>27.9</v>
      </c>
      <c r="AV284" s="129">
        <v>6</v>
      </c>
      <c r="AW284" s="17"/>
      <c r="AX284" s="17"/>
      <c r="AY284" s="17"/>
      <c r="AZ284" s="17"/>
      <c r="BA284" s="17"/>
      <c r="BB284" s="17"/>
      <c r="BC284" s="17"/>
      <c r="BD284" s="17"/>
      <c r="BE284" s="129">
        <v>27.9</v>
      </c>
      <c r="BG284" s="129">
        <v>7.1000000000000032</v>
      </c>
      <c r="BH284" s="129">
        <v>7.1000000000000032</v>
      </c>
      <c r="BI284" s="129">
        <v>7.1000000000000032</v>
      </c>
      <c r="BJ284" s="129">
        <v>7.1000000000000032</v>
      </c>
      <c r="BK284" s="129">
        <v>7.1000000000000032</v>
      </c>
      <c r="BL284" s="129">
        <v>7.1000000000000032</v>
      </c>
      <c r="BM284" s="129">
        <v>7.1000000000000032</v>
      </c>
      <c r="BN284" s="129">
        <v>7.1000000000000032</v>
      </c>
      <c r="BO284" s="129">
        <v>7.1000000000000032</v>
      </c>
      <c r="BP284" s="129">
        <v>27.9</v>
      </c>
      <c r="BR284" s="129">
        <v>7.1000000000000032</v>
      </c>
      <c r="BS284" s="129">
        <v>7.1000000000000032</v>
      </c>
      <c r="BT284" s="129">
        <v>7.1000000000000032</v>
      </c>
      <c r="BU284" s="129">
        <v>7.1000000000000032</v>
      </c>
      <c r="BV284" s="129">
        <v>7.1000000000000032</v>
      </c>
      <c r="BW284" s="129">
        <v>7.1000000000000032</v>
      </c>
      <c r="BX284" s="129">
        <v>7.1000000000000032</v>
      </c>
      <c r="BY284" s="129">
        <v>7.1000000000000032</v>
      </c>
      <c r="BZ284" s="129">
        <v>7.1000000000000032</v>
      </c>
      <c r="CA284" s="129">
        <v>27.9</v>
      </c>
      <c r="CC284" s="129">
        <v>5</v>
      </c>
      <c r="CD284" s="129">
        <v>5</v>
      </c>
      <c r="CE284" s="129">
        <v>5</v>
      </c>
      <c r="CF284" s="129">
        <v>5</v>
      </c>
      <c r="CG284" s="129">
        <v>5</v>
      </c>
      <c r="CH284" s="129">
        <v>5</v>
      </c>
      <c r="CI284" s="129">
        <v>5</v>
      </c>
      <c r="CJ284" s="129">
        <v>5</v>
      </c>
      <c r="CK284" s="129">
        <v>5</v>
      </c>
      <c r="CL284" s="129">
        <v>27.9</v>
      </c>
      <c r="CN284" s="129">
        <v>8</v>
      </c>
      <c r="CO284" s="129">
        <v>8</v>
      </c>
      <c r="CP284" s="129">
        <v>8</v>
      </c>
      <c r="CQ284" s="129">
        <v>8</v>
      </c>
      <c r="CR284" s="129">
        <v>8</v>
      </c>
      <c r="CS284" s="129">
        <v>8</v>
      </c>
      <c r="CT284" s="129">
        <v>8</v>
      </c>
      <c r="CU284" s="129">
        <v>8</v>
      </c>
      <c r="CV284" s="129">
        <v>8</v>
      </c>
      <c r="CW284" s="129">
        <v>27.9</v>
      </c>
      <c r="CY284" s="129">
        <v>10.100000000000003</v>
      </c>
      <c r="CZ284" s="129">
        <v>10.100000000000003</v>
      </c>
      <c r="DA284" s="129">
        <v>10.100000000000003</v>
      </c>
      <c r="DB284" s="129">
        <v>10.100000000000003</v>
      </c>
      <c r="DC284" s="129">
        <v>10.100000000000003</v>
      </c>
      <c r="DD284" s="129">
        <v>10.100000000000003</v>
      </c>
      <c r="DE284" s="129">
        <v>10.100000000000003</v>
      </c>
      <c r="DF284" s="129">
        <v>10.100000000000003</v>
      </c>
      <c r="DG284" s="129">
        <v>10.100000000000003</v>
      </c>
      <c r="DH284" s="129">
        <v>27.9</v>
      </c>
      <c r="DJ284" s="129">
        <v>10.100000000000003</v>
      </c>
      <c r="DK284" s="129">
        <v>10.100000000000003</v>
      </c>
      <c r="DL284" s="129">
        <v>10.100000000000003</v>
      </c>
      <c r="DM284" s="129">
        <v>10.100000000000003</v>
      </c>
      <c r="DN284" s="129">
        <v>10.100000000000003</v>
      </c>
      <c r="DO284" s="129">
        <v>10.100000000000003</v>
      </c>
      <c r="DP284" s="129">
        <v>10.100000000000003</v>
      </c>
      <c r="DQ284" s="129">
        <v>10.100000000000003</v>
      </c>
      <c r="DR284" s="129">
        <v>10.100000000000003</v>
      </c>
      <c r="DS284" s="129">
        <v>27.9</v>
      </c>
      <c r="EQ284" s="129">
        <v>29.9</v>
      </c>
      <c r="ES284" s="27">
        <v>7.2000000000000028</v>
      </c>
      <c r="ET284" s="27">
        <v>7.2000000000000028</v>
      </c>
      <c r="EU284" s="27">
        <v>7.2000000000000028</v>
      </c>
      <c r="EV284" s="27">
        <v>7.2000000000000028</v>
      </c>
      <c r="EW284" s="27">
        <v>7.2000000000000028</v>
      </c>
      <c r="EX284" s="27">
        <v>7.2000000000000028</v>
      </c>
      <c r="EY284" s="27">
        <v>7.2000000000000028</v>
      </c>
      <c r="EZ284" s="27">
        <v>7.2000000000000028</v>
      </c>
      <c r="FA284" s="27">
        <v>7.2000000000000028</v>
      </c>
      <c r="FB284" s="129">
        <v>29.9</v>
      </c>
      <c r="FD284" s="27">
        <v>10.200000000000006</v>
      </c>
      <c r="FE284" s="27">
        <v>10.200000000000006</v>
      </c>
      <c r="FF284" s="27">
        <v>10.200000000000006</v>
      </c>
      <c r="FG284" s="27">
        <v>10.200000000000006</v>
      </c>
      <c r="FH284" s="27">
        <v>10.200000000000006</v>
      </c>
      <c r="FI284" s="27">
        <v>10.200000000000006</v>
      </c>
      <c r="FJ284" s="27">
        <v>10.200000000000006</v>
      </c>
      <c r="FK284" s="27">
        <v>10.200000000000006</v>
      </c>
      <c r="FL284" s="27">
        <v>10.200000000000006</v>
      </c>
      <c r="FM284" s="129">
        <v>29.9</v>
      </c>
      <c r="FO284" s="27">
        <v>13.299999999999994</v>
      </c>
      <c r="FP284" s="27">
        <v>13.299999999999994</v>
      </c>
      <c r="FQ284" s="27">
        <v>13.299999999999994</v>
      </c>
      <c r="FR284" s="27">
        <v>13.299999999999994</v>
      </c>
      <c r="FS284" s="27">
        <v>13.299999999999994</v>
      </c>
      <c r="FT284" s="27">
        <v>13.299999999999994</v>
      </c>
      <c r="FU284" s="27">
        <v>13.299999999999994</v>
      </c>
      <c r="FV284" s="27">
        <v>13.299999999999994</v>
      </c>
      <c r="FW284" s="27">
        <v>13.299999999999994</v>
      </c>
      <c r="FX284" s="129">
        <v>29.9</v>
      </c>
      <c r="FZ284" s="27">
        <v>13.299999999999994</v>
      </c>
      <c r="GA284" s="27">
        <v>13.299999999999994</v>
      </c>
      <c r="GB284" s="27">
        <v>13.299999999999994</v>
      </c>
      <c r="GC284" s="27">
        <v>13.299999999999994</v>
      </c>
      <c r="GD284" s="27">
        <v>13.299999999999994</v>
      </c>
      <c r="GE284" s="27">
        <v>13.299999999999994</v>
      </c>
      <c r="GF284" s="27">
        <v>13.299999999999994</v>
      </c>
      <c r="GG284" s="27">
        <v>13.299999999999994</v>
      </c>
      <c r="GH284" s="27">
        <v>13.299999999999994</v>
      </c>
      <c r="GI284" s="129">
        <v>29.9</v>
      </c>
      <c r="GJ284" s="27"/>
      <c r="GK284" s="27">
        <v>5.1000000000000032</v>
      </c>
      <c r="GL284" s="27">
        <v>5.1000000000000032</v>
      </c>
      <c r="GM284" s="27">
        <v>5.1000000000000032</v>
      </c>
      <c r="GN284" s="27">
        <v>5.1000000000000032</v>
      </c>
      <c r="GO284" s="27">
        <v>5.1000000000000032</v>
      </c>
      <c r="GP284" s="27">
        <v>5.1000000000000032</v>
      </c>
      <c r="GQ284" s="27">
        <v>5.1000000000000032</v>
      </c>
      <c r="GR284" s="27">
        <v>5.1000000000000032</v>
      </c>
      <c r="GS284" s="27">
        <v>5.1000000000000032</v>
      </c>
      <c r="GT284" s="129">
        <v>29.9</v>
      </c>
      <c r="GV284" s="27">
        <v>8</v>
      </c>
      <c r="GW284" s="27">
        <v>8</v>
      </c>
      <c r="GX284" s="27">
        <v>8</v>
      </c>
      <c r="GY284" s="27">
        <v>8</v>
      </c>
      <c r="GZ284" s="27">
        <v>8</v>
      </c>
      <c r="HA284" s="27">
        <v>8</v>
      </c>
      <c r="HB284" s="27">
        <v>8</v>
      </c>
      <c r="HC284" s="27">
        <v>8</v>
      </c>
      <c r="HD284" s="27">
        <v>8</v>
      </c>
      <c r="HE284" s="129">
        <v>29.9</v>
      </c>
      <c r="HG284" s="27">
        <v>10.100000000000003</v>
      </c>
      <c r="HH284" s="27">
        <v>10.100000000000003</v>
      </c>
      <c r="HI284" s="27">
        <v>10.100000000000003</v>
      </c>
      <c r="HJ284" s="27">
        <v>10.100000000000003</v>
      </c>
      <c r="HK284" s="27">
        <v>10.100000000000003</v>
      </c>
      <c r="HL284" s="27">
        <v>10.100000000000003</v>
      </c>
      <c r="HM284" s="27">
        <v>10.100000000000003</v>
      </c>
      <c r="HN284" s="27">
        <v>10.100000000000003</v>
      </c>
      <c r="HO284" s="27">
        <v>10.100000000000003</v>
      </c>
      <c r="HP284" s="129">
        <v>29.9</v>
      </c>
      <c r="HR284" s="27">
        <v>10.100000000000003</v>
      </c>
      <c r="HS284" s="27">
        <v>10.100000000000003</v>
      </c>
      <c r="HT284" s="27">
        <v>10.100000000000003</v>
      </c>
      <c r="HU284" s="27">
        <v>10.100000000000003</v>
      </c>
      <c r="HV284" s="27">
        <v>10.100000000000003</v>
      </c>
      <c r="HW284" s="27">
        <v>10.100000000000003</v>
      </c>
      <c r="HX284" s="27">
        <v>10.100000000000003</v>
      </c>
      <c r="HY284" s="27">
        <v>10.100000000000003</v>
      </c>
      <c r="HZ284" s="27">
        <v>10.100000000000003</v>
      </c>
      <c r="IA284" s="129">
        <v>29.9</v>
      </c>
    </row>
    <row r="285" spans="15:235" ht="3" customHeight="1">
      <c r="O285" s="17"/>
      <c r="P285" s="17"/>
      <c r="Q285" s="17"/>
      <c r="R285" s="17"/>
      <c r="S285" s="17"/>
      <c r="T285" s="17"/>
      <c r="U285" s="17"/>
      <c r="V285" s="17"/>
      <c r="W285" s="17"/>
      <c r="X285" s="129">
        <v>28</v>
      </c>
      <c r="Y285" s="27"/>
      <c r="AI285" s="129">
        <v>28</v>
      </c>
      <c r="AL285" s="17"/>
      <c r="AM285" s="17"/>
      <c r="AN285" s="17"/>
      <c r="AO285" s="17"/>
      <c r="AP285" s="17"/>
      <c r="AQ285" s="17"/>
      <c r="AR285" s="17"/>
      <c r="AS285" s="17"/>
      <c r="AT285" s="129">
        <v>28</v>
      </c>
      <c r="AV285" s="129">
        <v>6</v>
      </c>
      <c r="AW285" s="17"/>
      <c r="AX285" s="17"/>
      <c r="AY285" s="17"/>
      <c r="AZ285" s="17"/>
      <c r="BA285" s="17"/>
      <c r="BB285" s="17"/>
      <c r="BC285" s="17"/>
      <c r="BD285" s="17"/>
      <c r="BE285" s="129">
        <v>28</v>
      </c>
      <c r="BG285" s="129">
        <v>7</v>
      </c>
      <c r="BH285" s="129">
        <v>7</v>
      </c>
      <c r="BI285" s="129">
        <v>7</v>
      </c>
      <c r="BJ285" s="129">
        <v>7</v>
      </c>
      <c r="BK285" s="129">
        <v>7</v>
      </c>
      <c r="BL285" s="129">
        <v>7</v>
      </c>
      <c r="BM285" s="129">
        <v>7</v>
      </c>
      <c r="BN285" s="129">
        <v>7</v>
      </c>
      <c r="BO285" s="129">
        <v>7</v>
      </c>
      <c r="BP285" s="129">
        <v>28</v>
      </c>
      <c r="BR285" s="129">
        <v>7</v>
      </c>
      <c r="BS285" s="129">
        <v>7</v>
      </c>
      <c r="BT285" s="129">
        <v>7</v>
      </c>
      <c r="BU285" s="129">
        <v>7</v>
      </c>
      <c r="BV285" s="129">
        <v>7</v>
      </c>
      <c r="BW285" s="129">
        <v>7</v>
      </c>
      <c r="BX285" s="129">
        <v>7</v>
      </c>
      <c r="BY285" s="129">
        <v>7</v>
      </c>
      <c r="BZ285" s="129">
        <v>7</v>
      </c>
      <c r="CA285" s="129">
        <v>28</v>
      </c>
      <c r="CC285" s="129">
        <v>5</v>
      </c>
      <c r="CD285" s="129">
        <v>5</v>
      </c>
      <c r="CE285" s="129">
        <v>5</v>
      </c>
      <c r="CF285" s="129">
        <v>5</v>
      </c>
      <c r="CG285" s="129">
        <v>5</v>
      </c>
      <c r="CH285" s="129">
        <v>5</v>
      </c>
      <c r="CI285" s="129">
        <v>5</v>
      </c>
      <c r="CJ285" s="129">
        <v>5</v>
      </c>
      <c r="CK285" s="129">
        <v>5</v>
      </c>
      <c r="CL285" s="129">
        <v>28</v>
      </c>
      <c r="CN285" s="129">
        <v>8</v>
      </c>
      <c r="CO285" s="129">
        <v>8</v>
      </c>
      <c r="CP285" s="129">
        <v>8</v>
      </c>
      <c r="CQ285" s="129">
        <v>8</v>
      </c>
      <c r="CR285" s="129">
        <v>8</v>
      </c>
      <c r="CS285" s="129">
        <v>8</v>
      </c>
      <c r="CT285" s="129">
        <v>8</v>
      </c>
      <c r="CU285" s="129">
        <v>8</v>
      </c>
      <c r="CV285" s="129">
        <v>8</v>
      </c>
      <c r="CW285" s="129">
        <v>28</v>
      </c>
      <c r="CY285" s="129">
        <v>10</v>
      </c>
      <c r="CZ285" s="129">
        <v>10</v>
      </c>
      <c r="DA285" s="129">
        <v>10</v>
      </c>
      <c r="DB285" s="129">
        <v>10</v>
      </c>
      <c r="DC285" s="129">
        <v>10</v>
      </c>
      <c r="DD285" s="129">
        <v>10</v>
      </c>
      <c r="DE285" s="129">
        <v>10</v>
      </c>
      <c r="DF285" s="129">
        <v>10</v>
      </c>
      <c r="DG285" s="129">
        <v>10</v>
      </c>
      <c r="DH285" s="129">
        <v>28</v>
      </c>
      <c r="DJ285" s="129">
        <v>10</v>
      </c>
      <c r="DK285" s="129">
        <v>10</v>
      </c>
      <c r="DL285" s="129">
        <v>10</v>
      </c>
      <c r="DM285" s="129">
        <v>10</v>
      </c>
      <c r="DN285" s="129">
        <v>10</v>
      </c>
      <c r="DO285" s="129">
        <v>10</v>
      </c>
      <c r="DP285" s="129">
        <v>10</v>
      </c>
      <c r="DQ285" s="129">
        <v>10</v>
      </c>
      <c r="DR285" s="129">
        <v>10</v>
      </c>
      <c r="DS285" s="129">
        <v>28</v>
      </c>
      <c r="ES285" s="27">
        <v>8</v>
      </c>
      <c r="ET285" s="27">
        <v>8</v>
      </c>
      <c r="EU285" s="27">
        <v>8</v>
      </c>
      <c r="EV285" s="27">
        <v>8</v>
      </c>
      <c r="EW285" s="27">
        <v>8</v>
      </c>
      <c r="EX285" s="27">
        <v>8</v>
      </c>
      <c r="EY285" s="27">
        <v>8</v>
      </c>
      <c r="EZ285" s="27">
        <v>8</v>
      </c>
      <c r="FA285" s="27">
        <v>8</v>
      </c>
      <c r="FD285" s="27">
        <v>11</v>
      </c>
      <c r="FE285" s="27">
        <v>11</v>
      </c>
      <c r="FF285" s="27">
        <v>11</v>
      </c>
      <c r="FG285" s="27">
        <v>11</v>
      </c>
      <c r="FH285" s="27">
        <v>11</v>
      </c>
      <c r="FI285" s="27">
        <v>11</v>
      </c>
      <c r="FJ285" s="27">
        <v>11</v>
      </c>
      <c r="FK285" s="27">
        <v>11</v>
      </c>
      <c r="FL285" s="27">
        <v>11</v>
      </c>
      <c r="FO285" s="27">
        <v>15</v>
      </c>
      <c r="FP285" s="27">
        <v>15</v>
      </c>
      <c r="FQ285" s="27">
        <v>15</v>
      </c>
      <c r="FR285" s="27">
        <v>15</v>
      </c>
      <c r="FS285" s="27">
        <v>15</v>
      </c>
      <c r="FT285" s="27">
        <v>15</v>
      </c>
      <c r="FU285" s="27">
        <v>15</v>
      </c>
      <c r="FV285" s="27">
        <v>15</v>
      </c>
      <c r="FW285" s="27">
        <v>15</v>
      </c>
      <c r="FZ285" s="27">
        <v>15</v>
      </c>
      <c r="GA285" s="27">
        <v>15</v>
      </c>
      <c r="GB285" s="27">
        <v>15</v>
      </c>
      <c r="GC285" s="27">
        <v>15</v>
      </c>
      <c r="GD285" s="27">
        <v>15</v>
      </c>
      <c r="GE285" s="27">
        <v>15</v>
      </c>
      <c r="GF285" s="27">
        <v>15</v>
      </c>
      <c r="GG285" s="27">
        <v>15</v>
      </c>
      <c r="GH285" s="27">
        <v>15</v>
      </c>
      <c r="GI285" s="129">
        <v>29.9</v>
      </c>
      <c r="GJ285" s="27"/>
      <c r="GK285" s="27">
        <v>6</v>
      </c>
      <c r="GL285" s="27">
        <v>6</v>
      </c>
      <c r="GM285" s="27">
        <v>6</v>
      </c>
      <c r="GN285" s="27">
        <v>6</v>
      </c>
      <c r="GO285" s="27">
        <v>6</v>
      </c>
      <c r="GP285" s="27">
        <v>6</v>
      </c>
      <c r="GQ285" s="27">
        <v>6</v>
      </c>
      <c r="GR285" s="27">
        <v>6</v>
      </c>
      <c r="GS285" s="27">
        <v>6</v>
      </c>
      <c r="GV285" s="27">
        <v>8</v>
      </c>
      <c r="GW285" s="27">
        <v>8</v>
      </c>
      <c r="GX285" s="27">
        <v>8</v>
      </c>
      <c r="GY285" s="27">
        <v>8</v>
      </c>
      <c r="GZ285" s="27">
        <v>8</v>
      </c>
      <c r="HA285" s="27">
        <v>8</v>
      </c>
      <c r="HB285" s="27">
        <v>8</v>
      </c>
      <c r="HC285" s="27">
        <v>8</v>
      </c>
      <c r="HD285" s="27">
        <v>8</v>
      </c>
      <c r="HG285" s="27">
        <v>10</v>
      </c>
      <c r="HH285" s="27">
        <v>10</v>
      </c>
      <c r="HI285" s="27">
        <v>10</v>
      </c>
      <c r="HJ285" s="27">
        <v>10</v>
      </c>
      <c r="HK285" s="27">
        <v>10</v>
      </c>
      <c r="HL285" s="27">
        <v>10</v>
      </c>
      <c r="HM285" s="27">
        <v>10</v>
      </c>
      <c r="HN285" s="27">
        <v>10</v>
      </c>
      <c r="HO285" s="27">
        <v>10</v>
      </c>
      <c r="HR285" s="27">
        <v>10</v>
      </c>
      <c r="HS285" s="27">
        <v>10</v>
      </c>
      <c r="HT285" s="27">
        <v>10</v>
      </c>
      <c r="HU285" s="27">
        <v>10</v>
      </c>
      <c r="HV285" s="27">
        <v>10</v>
      </c>
      <c r="HW285" s="27">
        <v>10</v>
      </c>
      <c r="HX285" s="27">
        <v>10</v>
      </c>
      <c r="HY285" s="27">
        <v>10</v>
      </c>
      <c r="HZ285" s="27">
        <v>10</v>
      </c>
    </row>
    <row r="286" spans="15:235">
      <c r="O286" s="17"/>
      <c r="P286" s="17"/>
      <c r="Q286" s="17"/>
      <c r="R286" s="17"/>
      <c r="S286" s="17"/>
      <c r="T286" s="17"/>
      <c r="U286" s="17"/>
      <c r="V286" s="17"/>
      <c r="W286" s="17"/>
      <c r="X286" s="129">
        <v>28.1</v>
      </c>
      <c r="Y286" s="27"/>
      <c r="AI286" s="129">
        <v>28.1</v>
      </c>
      <c r="AL286" s="17"/>
      <c r="AM286" s="17"/>
      <c r="AN286" s="17"/>
      <c r="AO286" s="17"/>
      <c r="AP286" s="17"/>
      <c r="AQ286" s="17"/>
      <c r="AR286" s="17"/>
      <c r="AS286" s="17"/>
      <c r="AT286" s="129">
        <v>28.1</v>
      </c>
      <c r="AW286" s="17"/>
      <c r="AX286" s="17"/>
      <c r="AY286" s="17"/>
      <c r="AZ286" s="17"/>
      <c r="BA286" s="17"/>
      <c r="BB286" s="17"/>
      <c r="BC286" s="17"/>
      <c r="BD286" s="17"/>
      <c r="BE286" s="129">
        <v>28.1</v>
      </c>
      <c r="BG286" s="129">
        <v>7</v>
      </c>
      <c r="BH286" s="129">
        <v>7</v>
      </c>
      <c r="BI286" s="129">
        <v>7</v>
      </c>
      <c r="BJ286" s="129">
        <v>7</v>
      </c>
      <c r="BK286" s="129">
        <v>7</v>
      </c>
      <c r="BL286" s="129">
        <v>7</v>
      </c>
      <c r="BM286" s="129">
        <v>7</v>
      </c>
      <c r="BN286" s="129">
        <v>7</v>
      </c>
      <c r="BO286" s="129">
        <v>7</v>
      </c>
      <c r="BP286" s="129">
        <v>28.1</v>
      </c>
      <c r="BR286" s="129">
        <v>7</v>
      </c>
      <c r="BS286" s="129">
        <v>7</v>
      </c>
      <c r="BT286" s="129">
        <v>7</v>
      </c>
      <c r="BU286" s="129">
        <v>7</v>
      </c>
      <c r="BV286" s="129">
        <v>7</v>
      </c>
      <c r="BW286" s="129">
        <v>7</v>
      </c>
      <c r="BX286" s="129">
        <v>7</v>
      </c>
      <c r="BY286" s="129">
        <v>7</v>
      </c>
      <c r="BZ286" s="129">
        <v>7</v>
      </c>
      <c r="CA286" s="129">
        <v>28.1</v>
      </c>
      <c r="CL286" s="129">
        <v>28.1</v>
      </c>
      <c r="CN286" s="129">
        <v>7.9</v>
      </c>
      <c r="CO286" s="129">
        <v>7.9</v>
      </c>
      <c r="CP286" s="129">
        <v>7.9</v>
      </c>
      <c r="CQ286" s="129">
        <v>7.9</v>
      </c>
      <c r="CR286" s="129">
        <v>7.9</v>
      </c>
      <c r="CS286" s="129">
        <v>7.9</v>
      </c>
      <c r="CT286" s="129">
        <v>7.9</v>
      </c>
      <c r="CU286" s="129">
        <v>7.9</v>
      </c>
      <c r="CV286" s="129">
        <v>7.9</v>
      </c>
      <c r="CW286" s="129">
        <v>28.1</v>
      </c>
      <c r="CY286" s="129">
        <v>9.9</v>
      </c>
      <c r="CZ286" s="129">
        <v>9.9</v>
      </c>
      <c r="DA286" s="129">
        <v>9.9</v>
      </c>
      <c r="DB286" s="129">
        <v>9.9</v>
      </c>
      <c r="DC286" s="129">
        <v>9.9</v>
      </c>
      <c r="DD286" s="129">
        <v>9.9</v>
      </c>
      <c r="DE286" s="129">
        <v>9.9</v>
      </c>
      <c r="DF286" s="129">
        <v>9.9</v>
      </c>
      <c r="DG286" s="129">
        <v>9.9</v>
      </c>
      <c r="DH286" s="129">
        <v>28.1</v>
      </c>
      <c r="DJ286" s="129">
        <v>9.9</v>
      </c>
      <c r="DK286" s="129">
        <v>9.9</v>
      </c>
      <c r="DL286" s="129">
        <v>9.9</v>
      </c>
      <c r="DM286" s="129">
        <v>9.9</v>
      </c>
      <c r="DN286" s="129">
        <v>9.9</v>
      </c>
      <c r="DO286" s="129">
        <v>9.9</v>
      </c>
      <c r="DP286" s="129">
        <v>9.9</v>
      </c>
      <c r="DQ286" s="129">
        <v>9.9</v>
      </c>
      <c r="DR286" s="129">
        <v>9.9</v>
      </c>
      <c r="DS286" s="129">
        <v>28.1</v>
      </c>
      <c r="FZ286" s="129">
        <v>14</v>
      </c>
      <c r="GA286" s="129">
        <v>14</v>
      </c>
      <c r="GB286" s="129">
        <v>14</v>
      </c>
      <c r="GC286" s="129">
        <v>14</v>
      </c>
      <c r="GD286" s="129">
        <v>14</v>
      </c>
      <c r="GE286" s="129">
        <v>14</v>
      </c>
      <c r="GF286" s="129">
        <v>14</v>
      </c>
      <c r="GG286" s="129">
        <v>14</v>
      </c>
      <c r="GH286" s="129">
        <v>14</v>
      </c>
      <c r="GI286" s="129">
        <v>29.9</v>
      </c>
      <c r="GJ286" s="27"/>
    </row>
    <row r="287" spans="15:235" ht="3" customHeight="1">
      <c r="O287" s="17"/>
      <c r="P287" s="17"/>
      <c r="Q287" s="17"/>
      <c r="R287" s="17"/>
      <c r="S287" s="17"/>
      <c r="T287" s="17"/>
      <c r="U287" s="17"/>
      <c r="V287" s="17"/>
      <c r="W287" s="17"/>
      <c r="X287" s="129">
        <v>28.2</v>
      </c>
      <c r="Y287" s="27"/>
      <c r="AI287" s="129">
        <v>28.2</v>
      </c>
      <c r="AL287" s="17"/>
      <c r="AM287" s="17"/>
      <c r="AN287" s="17"/>
      <c r="AO287" s="17"/>
      <c r="AP287" s="17"/>
      <c r="AQ287" s="17"/>
      <c r="AR287" s="17"/>
      <c r="AS287" s="17"/>
      <c r="AT287" s="129">
        <v>28.2</v>
      </c>
      <c r="AW287" s="17"/>
      <c r="AX287" s="17"/>
      <c r="AY287" s="17"/>
      <c r="AZ287" s="17"/>
      <c r="BA287" s="17"/>
      <c r="BB287" s="17"/>
      <c r="BC287" s="17"/>
      <c r="BD287" s="17"/>
      <c r="BE287" s="129">
        <v>28.2</v>
      </c>
      <c r="BG287" s="129">
        <v>7</v>
      </c>
      <c r="BH287" s="129">
        <v>7</v>
      </c>
      <c r="BI287" s="129">
        <v>7</v>
      </c>
      <c r="BJ287" s="129">
        <v>7</v>
      </c>
      <c r="BK287" s="129">
        <v>7</v>
      </c>
      <c r="BL287" s="129">
        <v>7</v>
      </c>
      <c r="BM287" s="129">
        <v>7</v>
      </c>
      <c r="BN287" s="129">
        <v>7</v>
      </c>
      <c r="BO287" s="129">
        <v>7</v>
      </c>
      <c r="BP287" s="129">
        <v>28.2</v>
      </c>
      <c r="BR287" s="129">
        <v>7</v>
      </c>
      <c r="BS287" s="129">
        <v>7</v>
      </c>
      <c r="BT287" s="129">
        <v>7</v>
      </c>
      <c r="BU287" s="129">
        <v>7</v>
      </c>
      <c r="BV287" s="129">
        <v>7</v>
      </c>
      <c r="BW287" s="129">
        <v>7</v>
      </c>
      <c r="BX287" s="129">
        <v>7</v>
      </c>
      <c r="BY287" s="129">
        <v>7</v>
      </c>
      <c r="BZ287" s="129">
        <v>7</v>
      </c>
      <c r="CA287" s="129">
        <v>28.2</v>
      </c>
      <c r="CD287" s="17"/>
      <c r="CE287" s="17"/>
      <c r="CF287" s="17"/>
      <c r="CG287" s="17"/>
      <c r="CH287" s="17"/>
      <c r="CI287" s="17"/>
      <c r="CJ287" s="17"/>
      <c r="CK287" s="17"/>
      <c r="CL287" s="129">
        <v>28.2</v>
      </c>
      <c r="CN287" s="129">
        <v>7.8000000000000007</v>
      </c>
      <c r="CO287" s="129">
        <v>7.8000000000000007</v>
      </c>
      <c r="CP287" s="129">
        <v>7.8000000000000007</v>
      </c>
      <c r="CQ287" s="129">
        <v>7.8000000000000007</v>
      </c>
      <c r="CR287" s="129">
        <v>7.8000000000000007</v>
      </c>
      <c r="CS287" s="129">
        <v>7.8000000000000007</v>
      </c>
      <c r="CT287" s="129">
        <v>7.8000000000000007</v>
      </c>
      <c r="CU287" s="129">
        <v>7.8000000000000007</v>
      </c>
      <c r="CV287" s="129">
        <v>7.8000000000000007</v>
      </c>
      <c r="CW287" s="129">
        <v>28.2</v>
      </c>
      <c r="CY287" s="129">
        <v>9.8000000000000007</v>
      </c>
      <c r="CZ287" s="129">
        <v>9.8000000000000007</v>
      </c>
      <c r="DA287" s="129">
        <v>9.8000000000000007</v>
      </c>
      <c r="DB287" s="129">
        <v>9.8000000000000007</v>
      </c>
      <c r="DC287" s="129">
        <v>9.8000000000000007</v>
      </c>
      <c r="DD287" s="129">
        <v>9.8000000000000007</v>
      </c>
      <c r="DE287" s="129">
        <v>9.8000000000000007</v>
      </c>
      <c r="DF287" s="129">
        <v>9.8000000000000007</v>
      </c>
      <c r="DG287" s="129">
        <v>9.8000000000000007</v>
      </c>
      <c r="DH287" s="129">
        <v>28.2</v>
      </c>
      <c r="DJ287" s="129">
        <v>9.8000000000000007</v>
      </c>
      <c r="DK287" s="129">
        <v>9.8000000000000007</v>
      </c>
      <c r="DL287" s="129">
        <v>9.8000000000000007</v>
      </c>
      <c r="DM287" s="129">
        <v>9.8000000000000007</v>
      </c>
      <c r="DN287" s="129">
        <v>9.8000000000000007</v>
      </c>
      <c r="DO287" s="129">
        <v>9.8000000000000007</v>
      </c>
      <c r="DP287" s="129">
        <v>9.8000000000000007</v>
      </c>
      <c r="DQ287" s="129">
        <v>9.8000000000000007</v>
      </c>
      <c r="DR287" s="129">
        <v>9.8000000000000007</v>
      </c>
      <c r="DS287" s="129">
        <v>28.2</v>
      </c>
      <c r="FZ287" s="129">
        <v>13</v>
      </c>
      <c r="GA287" s="129">
        <v>13</v>
      </c>
      <c r="GB287" s="129">
        <v>13</v>
      </c>
      <c r="GC287" s="129">
        <v>13</v>
      </c>
      <c r="GD287" s="129">
        <v>13</v>
      </c>
      <c r="GE287" s="129">
        <v>13</v>
      </c>
      <c r="GF287" s="129">
        <v>13</v>
      </c>
      <c r="GG287" s="129">
        <v>13</v>
      </c>
      <c r="GH287" s="129">
        <v>13</v>
      </c>
      <c r="GI287" s="129">
        <v>29.9</v>
      </c>
      <c r="GJ287" s="27"/>
    </row>
    <row r="288" spans="15:235" ht="3" customHeight="1">
      <c r="O288" s="17"/>
      <c r="P288" s="17"/>
      <c r="Q288" s="17"/>
      <c r="R288" s="17"/>
      <c r="S288" s="17"/>
      <c r="T288" s="17"/>
      <c r="U288" s="17"/>
      <c r="V288" s="17"/>
      <c r="W288" s="17"/>
      <c r="X288" s="129">
        <v>28.3</v>
      </c>
      <c r="Y288" s="27"/>
      <c r="AI288" s="129">
        <v>28.3</v>
      </c>
      <c r="AL288" s="17"/>
      <c r="AM288" s="17"/>
      <c r="AN288" s="17"/>
      <c r="AO288" s="17"/>
      <c r="AP288" s="17"/>
      <c r="AQ288" s="17"/>
      <c r="AR288" s="17"/>
      <c r="AS288" s="17"/>
      <c r="AT288" s="129">
        <v>28.3</v>
      </c>
      <c r="AW288" s="17"/>
      <c r="AX288" s="17"/>
      <c r="AY288" s="17"/>
      <c r="AZ288" s="17"/>
      <c r="BA288" s="17"/>
      <c r="BB288" s="17"/>
      <c r="BC288" s="17"/>
      <c r="BD288" s="17"/>
      <c r="BE288" s="129">
        <v>28.3</v>
      </c>
      <c r="BG288" s="129">
        <v>7</v>
      </c>
      <c r="BH288" s="129">
        <v>7</v>
      </c>
      <c r="BI288" s="129">
        <v>7</v>
      </c>
      <c r="BJ288" s="129">
        <v>7</v>
      </c>
      <c r="BK288" s="129">
        <v>7</v>
      </c>
      <c r="BL288" s="129">
        <v>7</v>
      </c>
      <c r="BM288" s="129">
        <v>7</v>
      </c>
      <c r="BN288" s="129">
        <v>7</v>
      </c>
      <c r="BO288" s="129">
        <v>7</v>
      </c>
      <c r="BP288" s="129">
        <v>28.3</v>
      </c>
      <c r="BR288" s="129">
        <v>7</v>
      </c>
      <c r="BS288" s="129">
        <v>7</v>
      </c>
      <c r="BT288" s="129">
        <v>7</v>
      </c>
      <c r="BU288" s="129">
        <v>7</v>
      </c>
      <c r="BV288" s="129">
        <v>7</v>
      </c>
      <c r="BW288" s="129">
        <v>7</v>
      </c>
      <c r="BX288" s="129">
        <v>7</v>
      </c>
      <c r="BY288" s="129">
        <v>7</v>
      </c>
      <c r="BZ288" s="129">
        <v>7</v>
      </c>
      <c r="CA288" s="129">
        <v>28.3</v>
      </c>
      <c r="CD288" s="17"/>
      <c r="CE288" s="17"/>
      <c r="CF288" s="17"/>
      <c r="CG288" s="17"/>
      <c r="CH288" s="17"/>
      <c r="CI288" s="17"/>
      <c r="CJ288" s="17"/>
      <c r="CK288" s="17"/>
      <c r="CL288" s="129">
        <v>28.3</v>
      </c>
      <c r="CN288" s="129">
        <v>7.7000000000000011</v>
      </c>
      <c r="CO288" s="129">
        <v>7.7000000000000011</v>
      </c>
      <c r="CP288" s="129">
        <v>7.7000000000000011</v>
      </c>
      <c r="CQ288" s="129">
        <v>7.7000000000000011</v>
      </c>
      <c r="CR288" s="129">
        <v>7.7000000000000011</v>
      </c>
      <c r="CS288" s="129">
        <v>7.7000000000000011</v>
      </c>
      <c r="CT288" s="129">
        <v>7.7000000000000011</v>
      </c>
      <c r="CU288" s="129">
        <v>7.7000000000000011</v>
      </c>
      <c r="CV288" s="129">
        <v>7.7000000000000011</v>
      </c>
      <c r="CW288" s="129">
        <v>28.3</v>
      </c>
      <c r="CY288" s="129">
        <v>9.7000000000000011</v>
      </c>
      <c r="CZ288" s="129">
        <v>9.7000000000000011</v>
      </c>
      <c r="DA288" s="129">
        <v>9.7000000000000011</v>
      </c>
      <c r="DB288" s="129">
        <v>9.7000000000000011</v>
      </c>
      <c r="DC288" s="129">
        <v>9.7000000000000011</v>
      </c>
      <c r="DD288" s="129">
        <v>9.7000000000000011</v>
      </c>
      <c r="DE288" s="129">
        <v>9.7000000000000011</v>
      </c>
      <c r="DF288" s="129">
        <v>9.7000000000000011</v>
      </c>
      <c r="DG288" s="129">
        <v>9.7000000000000011</v>
      </c>
      <c r="DH288" s="129">
        <v>28.3</v>
      </c>
      <c r="DJ288" s="129">
        <v>9.7000000000000011</v>
      </c>
      <c r="DK288" s="129">
        <v>9.7000000000000011</v>
      </c>
      <c r="DL288" s="129">
        <v>9.7000000000000011</v>
      </c>
      <c r="DM288" s="129">
        <v>9.7000000000000011</v>
      </c>
      <c r="DN288" s="129">
        <v>9.7000000000000011</v>
      </c>
      <c r="DO288" s="129">
        <v>9.7000000000000011</v>
      </c>
      <c r="DP288" s="129">
        <v>9.7000000000000011</v>
      </c>
      <c r="DQ288" s="129">
        <v>9.7000000000000011</v>
      </c>
      <c r="DR288" s="129">
        <v>9.7000000000000011</v>
      </c>
      <c r="DS288" s="129">
        <v>28.3</v>
      </c>
      <c r="FZ288" s="27">
        <v>12</v>
      </c>
      <c r="GA288" s="27">
        <v>12</v>
      </c>
      <c r="GB288" s="27">
        <v>12</v>
      </c>
      <c r="GC288" s="27">
        <v>12</v>
      </c>
      <c r="GD288" s="27">
        <v>12</v>
      </c>
      <c r="GE288" s="27">
        <v>12</v>
      </c>
      <c r="GF288" s="27">
        <v>12</v>
      </c>
      <c r="GG288" s="27">
        <v>12</v>
      </c>
      <c r="GH288" s="27">
        <v>12</v>
      </c>
      <c r="GI288" s="129">
        <v>29.9</v>
      </c>
      <c r="GJ288" s="27"/>
    </row>
    <row r="289" spans="15:192" ht="3" customHeight="1">
      <c r="O289" s="17"/>
      <c r="P289" s="17"/>
      <c r="Q289" s="17"/>
      <c r="R289" s="17"/>
      <c r="S289" s="17"/>
      <c r="T289" s="17"/>
      <c r="U289" s="17"/>
      <c r="V289" s="17"/>
      <c r="W289" s="17"/>
      <c r="X289" s="129">
        <v>28.4</v>
      </c>
      <c r="Y289" s="27"/>
      <c r="AA289" s="17"/>
      <c r="AB289" s="17"/>
      <c r="AC289" s="17"/>
      <c r="AD289" s="17"/>
      <c r="AE289" s="17"/>
      <c r="AF289" s="17"/>
      <c r="AG289" s="17"/>
      <c r="AH289" s="17"/>
      <c r="AI289" s="129">
        <v>28.4</v>
      </c>
      <c r="AL289" s="17"/>
      <c r="AM289" s="17"/>
      <c r="AN289" s="17"/>
      <c r="AO289" s="17"/>
      <c r="AP289" s="17"/>
      <c r="AQ289" s="17"/>
      <c r="AR289" s="17"/>
      <c r="AS289" s="17"/>
      <c r="AT289" s="129">
        <v>28.4</v>
      </c>
      <c r="AW289" s="17"/>
      <c r="AX289" s="17"/>
      <c r="AY289" s="17"/>
      <c r="AZ289" s="17"/>
      <c r="BA289" s="17"/>
      <c r="BB289" s="17"/>
      <c r="BC289" s="17"/>
      <c r="BD289" s="17"/>
      <c r="BE289" s="129">
        <v>28.4</v>
      </c>
      <c r="BG289" s="129">
        <v>7</v>
      </c>
      <c r="BH289" s="129">
        <v>7</v>
      </c>
      <c r="BI289" s="129">
        <v>7</v>
      </c>
      <c r="BJ289" s="129">
        <v>7</v>
      </c>
      <c r="BK289" s="129">
        <v>7</v>
      </c>
      <c r="BL289" s="129">
        <v>7</v>
      </c>
      <c r="BM289" s="129">
        <v>7</v>
      </c>
      <c r="BN289" s="129">
        <v>7</v>
      </c>
      <c r="BO289" s="129">
        <v>7</v>
      </c>
      <c r="BP289" s="129">
        <v>28.4</v>
      </c>
      <c r="BR289" s="129">
        <v>7</v>
      </c>
      <c r="BS289" s="129">
        <v>7</v>
      </c>
      <c r="BT289" s="129">
        <v>7</v>
      </c>
      <c r="BU289" s="129">
        <v>7</v>
      </c>
      <c r="BV289" s="129">
        <v>7</v>
      </c>
      <c r="BW289" s="129">
        <v>7</v>
      </c>
      <c r="BX289" s="129">
        <v>7</v>
      </c>
      <c r="BY289" s="129">
        <v>7</v>
      </c>
      <c r="BZ289" s="129">
        <v>7</v>
      </c>
      <c r="CA289" s="129">
        <v>28.4</v>
      </c>
      <c r="CD289" s="17"/>
      <c r="CE289" s="17"/>
      <c r="CF289" s="17"/>
      <c r="CG289" s="17"/>
      <c r="CH289" s="17"/>
      <c r="CI289" s="17"/>
      <c r="CJ289" s="17"/>
      <c r="CK289" s="17"/>
      <c r="CL289" s="129">
        <v>28.4</v>
      </c>
      <c r="CN289" s="129">
        <v>7.6000000000000014</v>
      </c>
      <c r="CO289" s="129">
        <v>7.6000000000000014</v>
      </c>
      <c r="CP289" s="129">
        <v>7.6000000000000014</v>
      </c>
      <c r="CQ289" s="129">
        <v>7.6000000000000014</v>
      </c>
      <c r="CR289" s="129">
        <v>7.6000000000000014</v>
      </c>
      <c r="CS289" s="129">
        <v>7.6000000000000014</v>
      </c>
      <c r="CT289" s="129">
        <v>7.6000000000000014</v>
      </c>
      <c r="CU289" s="129">
        <v>7.6000000000000014</v>
      </c>
      <c r="CV289" s="129">
        <v>7.6000000000000014</v>
      </c>
      <c r="CW289" s="129">
        <v>28.4</v>
      </c>
      <c r="CY289" s="129">
        <v>9.6000000000000014</v>
      </c>
      <c r="CZ289" s="129">
        <v>9.6000000000000014</v>
      </c>
      <c r="DA289" s="129">
        <v>9.6000000000000014</v>
      </c>
      <c r="DB289" s="129">
        <v>9.6000000000000014</v>
      </c>
      <c r="DC289" s="129">
        <v>9.6000000000000014</v>
      </c>
      <c r="DD289" s="129">
        <v>9.6000000000000014</v>
      </c>
      <c r="DE289" s="129">
        <v>9.6000000000000014</v>
      </c>
      <c r="DF289" s="129">
        <v>9.6000000000000014</v>
      </c>
      <c r="DG289" s="129">
        <v>9.6000000000000014</v>
      </c>
      <c r="DH289" s="129">
        <v>28.4</v>
      </c>
      <c r="DJ289" s="129">
        <v>9.6000000000000014</v>
      </c>
      <c r="DK289" s="129">
        <v>9.6000000000000014</v>
      </c>
      <c r="DL289" s="129">
        <v>9.6000000000000014</v>
      </c>
      <c r="DM289" s="129">
        <v>9.6000000000000014</v>
      </c>
      <c r="DN289" s="129">
        <v>9.6000000000000014</v>
      </c>
      <c r="DO289" s="129">
        <v>9.6000000000000014</v>
      </c>
      <c r="DP289" s="129">
        <v>9.6000000000000014</v>
      </c>
      <c r="DQ289" s="129">
        <v>9.6000000000000014</v>
      </c>
      <c r="DR289" s="129">
        <v>9.6000000000000014</v>
      </c>
      <c r="DS289" s="129">
        <v>28.4</v>
      </c>
      <c r="FZ289" s="27">
        <v>11</v>
      </c>
      <c r="GA289" s="27">
        <v>11</v>
      </c>
      <c r="GB289" s="27">
        <v>11</v>
      </c>
      <c r="GC289" s="27">
        <v>11</v>
      </c>
      <c r="GD289" s="27">
        <v>11</v>
      </c>
      <c r="GE289" s="27">
        <v>11</v>
      </c>
      <c r="GF289" s="27">
        <v>11</v>
      </c>
      <c r="GG289" s="27">
        <v>11</v>
      </c>
      <c r="GH289" s="27">
        <v>11</v>
      </c>
      <c r="GI289" s="129">
        <v>29.9</v>
      </c>
      <c r="GJ289" s="27"/>
    </row>
    <row r="290" spans="15:192" ht="3" customHeight="1">
      <c r="O290" s="17"/>
      <c r="P290" s="17"/>
      <c r="Q290" s="17"/>
      <c r="R290" s="17"/>
      <c r="S290" s="17"/>
      <c r="T290" s="17"/>
      <c r="U290" s="17"/>
      <c r="V290" s="17"/>
      <c r="W290" s="17"/>
      <c r="X290" s="129">
        <v>28.5</v>
      </c>
      <c r="Y290" s="27"/>
      <c r="AA290" s="17"/>
      <c r="AB290" s="17"/>
      <c r="AC290" s="17"/>
      <c r="AD290" s="17"/>
      <c r="AE290" s="17"/>
      <c r="AF290" s="17"/>
      <c r="AG290" s="17"/>
      <c r="AH290" s="17"/>
      <c r="AI290" s="129">
        <v>28.5</v>
      </c>
      <c r="AL290" s="17"/>
      <c r="AM290" s="17"/>
      <c r="AN290" s="17"/>
      <c r="AO290" s="17"/>
      <c r="AP290" s="17"/>
      <c r="AQ290" s="17"/>
      <c r="AR290" s="17"/>
      <c r="AS290" s="17"/>
      <c r="AT290" s="129">
        <v>28.5</v>
      </c>
      <c r="AW290" s="17"/>
      <c r="AX290" s="17"/>
      <c r="AY290" s="17"/>
      <c r="AZ290" s="17"/>
      <c r="BA290" s="17"/>
      <c r="BB290" s="17"/>
      <c r="BC290" s="17"/>
      <c r="BD290" s="17"/>
      <c r="BE290" s="129">
        <v>28.5</v>
      </c>
      <c r="BG290" s="129">
        <v>7</v>
      </c>
      <c r="BH290" s="129">
        <v>7</v>
      </c>
      <c r="BI290" s="129">
        <v>7</v>
      </c>
      <c r="BJ290" s="129">
        <v>7</v>
      </c>
      <c r="BK290" s="129">
        <v>7</v>
      </c>
      <c r="BL290" s="129">
        <v>7</v>
      </c>
      <c r="BM290" s="129">
        <v>7</v>
      </c>
      <c r="BN290" s="129">
        <v>7</v>
      </c>
      <c r="BO290" s="129">
        <v>7</v>
      </c>
      <c r="BP290" s="129">
        <v>28.5</v>
      </c>
      <c r="BR290" s="129">
        <v>7</v>
      </c>
      <c r="BS290" s="129">
        <v>7</v>
      </c>
      <c r="BT290" s="129">
        <v>7</v>
      </c>
      <c r="BU290" s="129">
        <v>7</v>
      </c>
      <c r="BV290" s="129">
        <v>7</v>
      </c>
      <c r="BW290" s="129">
        <v>7</v>
      </c>
      <c r="BX290" s="129">
        <v>7</v>
      </c>
      <c r="BY290" s="129">
        <v>7</v>
      </c>
      <c r="BZ290" s="129">
        <v>7</v>
      </c>
      <c r="CA290" s="129">
        <v>28.5</v>
      </c>
      <c r="CD290" s="17"/>
      <c r="CE290" s="17"/>
      <c r="CF290" s="17"/>
      <c r="CG290" s="17"/>
      <c r="CH290" s="17"/>
      <c r="CI290" s="17"/>
      <c r="CJ290" s="17"/>
      <c r="CK290" s="17"/>
      <c r="CL290" s="129">
        <v>28.5</v>
      </c>
      <c r="CN290" s="129">
        <v>7.5000000000000018</v>
      </c>
      <c r="CO290" s="129">
        <v>7.5000000000000018</v>
      </c>
      <c r="CP290" s="129">
        <v>7.5000000000000018</v>
      </c>
      <c r="CQ290" s="129">
        <v>7.5000000000000018</v>
      </c>
      <c r="CR290" s="129">
        <v>7.5000000000000018</v>
      </c>
      <c r="CS290" s="129">
        <v>7.5000000000000018</v>
      </c>
      <c r="CT290" s="129">
        <v>7.5000000000000018</v>
      </c>
      <c r="CU290" s="129">
        <v>7.5000000000000018</v>
      </c>
      <c r="CV290" s="129">
        <v>7.5000000000000018</v>
      </c>
      <c r="CW290" s="129">
        <v>28.5</v>
      </c>
      <c r="CY290" s="129">
        <v>9.5000000000000018</v>
      </c>
      <c r="CZ290" s="129">
        <v>9.5000000000000018</v>
      </c>
      <c r="DA290" s="129">
        <v>9.5000000000000018</v>
      </c>
      <c r="DB290" s="129">
        <v>9.5000000000000018</v>
      </c>
      <c r="DC290" s="129">
        <v>9.5000000000000018</v>
      </c>
      <c r="DD290" s="129">
        <v>9.5000000000000018</v>
      </c>
      <c r="DE290" s="129">
        <v>9.5000000000000018</v>
      </c>
      <c r="DF290" s="129">
        <v>9.5000000000000018</v>
      </c>
      <c r="DG290" s="129">
        <v>9.5000000000000018</v>
      </c>
      <c r="DH290" s="129">
        <v>28.5</v>
      </c>
      <c r="DJ290" s="129">
        <v>9.5000000000000018</v>
      </c>
      <c r="DK290" s="129">
        <v>9.5000000000000018</v>
      </c>
      <c r="DL290" s="129">
        <v>9.5000000000000018</v>
      </c>
      <c r="DM290" s="129">
        <v>9.5000000000000018</v>
      </c>
      <c r="DN290" s="129">
        <v>9.5000000000000018</v>
      </c>
      <c r="DO290" s="129">
        <v>9.5000000000000018</v>
      </c>
      <c r="DP290" s="129">
        <v>9.5000000000000018</v>
      </c>
      <c r="DQ290" s="129">
        <v>9.5000000000000018</v>
      </c>
      <c r="DR290" s="129">
        <v>9.5000000000000018</v>
      </c>
      <c r="DS290" s="129">
        <v>28.5</v>
      </c>
      <c r="FZ290" s="27">
        <v>10</v>
      </c>
      <c r="GA290" s="27">
        <v>10</v>
      </c>
      <c r="GB290" s="27">
        <v>10</v>
      </c>
      <c r="GC290" s="27">
        <v>10</v>
      </c>
      <c r="GD290" s="27">
        <v>10</v>
      </c>
      <c r="GE290" s="27">
        <v>10</v>
      </c>
      <c r="GF290" s="27">
        <v>10</v>
      </c>
      <c r="GG290" s="27">
        <v>10</v>
      </c>
      <c r="GH290" s="27">
        <v>10</v>
      </c>
      <c r="GI290" s="129">
        <v>29.9</v>
      </c>
      <c r="GJ290" s="27"/>
    </row>
    <row r="291" spans="15:192" ht="3" customHeight="1">
      <c r="O291" s="17"/>
      <c r="P291" s="17"/>
      <c r="Q291" s="17"/>
      <c r="R291" s="17"/>
      <c r="S291" s="17"/>
      <c r="T291" s="17"/>
      <c r="U291" s="17"/>
      <c r="V291" s="17"/>
      <c r="W291" s="17"/>
      <c r="X291" s="129">
        <v>28.6</v>
      </c>
      <c r="Y291" s="27"/>
      <c r="AA291" s="17"/>
      <c r="AB291" s="17"/>
      <c r="AC291" s="17"/>
      <c r="AD291" s="17"/>
      <c r="AE291" s="17"/>
      <c r="AF291" s="17"/>
      <c r="AG291" s="17"/>
      <c r="AH291" s="17"/>
      <c r="AI291" s="129">
        <v>28.6</v>
      </c>
      <c r="AL291" s="17"/>
      <c r="AM291" s="17"/>
      <c r="AN291" s="17"/>
      <c r="AO291" s="17"/>
      <c r="AP291" s="17"/>
      <c r="AQ291" s="17"/>
      <c r="AR291" s="17"/>
      <c r="AS291" s="17"/>
      <c r="AT291" s="129">
        <v>28.6</v>
      </c>
      <c r="AW291" s="17"/>
      <c r="AX291" s="17"/>
      <c r="AY291" s="17"/>
      <c r="AZ291" s="17"/>
      <c r="BA291" s="17"/>
      <c r="BB291" s="17"/>
      <c r="BC291" s="17"/>
      <c r="BD291" s="17"/>
      <c r="BE291" s="129">
        <v>28.6</v>
      </c>
      <c r="BG291" s="129">
        <v>7</v>
      </c>
      <c r="BH291" s="129">
        <v>7</v>
      </c>
      <c r="BI291" s="129">
        <v>7</v>
      </c>
      <c r="BJ291" s="129">
        <v>7</v>
      </c>
      <c r="BK291" s="129">
        <v>7</v>
      </c>
      <c r="BL291" s="129">
        <v>7</v>
      </c>
      <c r="BM291" s="129">
        <v>7</v>
      </c>
      <c r="BN291" s="129">
        <v>7</v>
      </c>
      <c r="BO291" s="129">
        <v>7</v>
      </c>
      <c r="BP291" s="129">
        <v>28.6</v>
      </c>
      <c r="BR291" s="129">
        <v>7</v>
      </c>
      <c r="BS291" s="129">
        <v>7</v>
      </c>
      <c r="BT291" s="129">
        <v>7</v>
      </c>
      <c r="BU291" s="129">
        <v>7</v>
      </c>
      <c r="BV291" s="129">
        <v>7</v>
      </c>
      <c r="BW291" s="129">
        <v>7</v>
      </c>
      <c r="BX291" s="129">
        <v>7</v>
      </c>
      <c r="BY291" s="129">
        <v>7</v>
      </c>
      <c r="BZ291" s="129">
        <v>7</v>
      </c>
      <c r="CA291" s="129">
        <v>28.6</v>
      </c>
      <c r="CD291" s="17"/>
      <c r="CE291" s="17"/>
      <c r="CF291" s="17"/>
      <c r="CG291" s="17"/>
      <c r="CH291" s="17"/>
      <c r="CI291" s="17"/>
      <c r="CJ291" s="17"/>
      <c r="CK291" s="17"/>
      <c r="CL291" s="129">
        <v>28.6</v>
      </c>
      <c r="CN291" s="129">
        <v>7.4000000000000021</v>
      </c>
      <c r="CO291" s="129">
        <v>7.4000000000000021</v>
      </c>
      <c r="CP291" s="129">
        <v>7.4000000000000021</v>
      </c>
      <c r="CQ291" s="129">
        <v>7.4000000000000021</v>
      </c>
      <c r="CR291" s="129">
        <v>7.4000000000000021</v>
      </c>
      <c r="CS291" s="129">
        <v>7.4000000000000021</v>
      </c>
      <c r="CT291" s="129">
        <v>7.4000000000000021</v>
      </c>
      <c r="CU291" s="129">
        <v>7.4000000000000021</v>
      </c>
      <c r="CV291" s="129">
        <v>7.4000000000000021</v>
      </c>
      <c r="CW291" s="129">
        <v>28.6</v>
      </c>
      <c r="CY291" s="129">
        <v>9.4000000000000021</v>
      </c>
      <c r="CZ291" s="129">
        <v>9.4000000000000021</v>
      </c>
      <c r="DA291" s="129">
        <v>9.4000000000000021</v>
      </c>
      <c r="DB291" s="129">
        <v>9.4000000000000021</v>
      </c>
      <c r="DC291" s="129">
        <v>9.4000000000000021</v>
      </c>
      <c r="DD291" s="129">
        <v>9.4000000000000021</v>
      </c>
      <c r="DE291" s="129">
        <v>9.4000000000000021</v>
      </c>
      <c r="DF291" s="129">
        <v>9.4000000000000021</v>
      </c>
      <c r="DG291" s="129">
        <v>9.4000000000000021</v>
      </c>
      <c r="DH291" s="129">
        <v>28.6</v>
      </c>
      <c r="DJ291" s="129">
        <v>9.4000000000000021</v>
      </c>
      <c r="DK291" s="129">
        <v>9.4000000000000021</v>
      </c>
      <c r="DL291" s="129">
        <v>9.4000000000000021</v>
      </c>
      <c r="DM291" s="129">
        <v>9.4000000000000021</v>
      </c>
      <c r="DN291" s="129">
        <v>9.4000000000000021</v>
      </c>
      <c r="DO291" s="129">
        <v>9.4000000000000021</v>
      </c>
      <c r="DP291" s="129">
        <v>9.4000000000000021</v>
      </c>
      <c r="DQ291" s="129">
        <v>9.4000000000000021</v>
      </c>
      <c r="DR291" s="129">
        <v>9.4000000000000021</v>
      </c>
      <c r="DS291" s="129">
        <v>28.6</v>
      </c>
      <c r="FZ291" s="27">
        <v>9</v>
      </c>
      <c r="GA291" s="27">
        <v>9</v>
      </c>
      <c r="GB291" s="27">
        <v>9</v>
      </c>
      <c r="GC291" s="27">
        <v>9</v>
      </c>
      <c r="GD291" s="27">
        <v>9</v>
      </c>
      <c r="GE291" s="27">
        <v>9</v>
      </c>
      <c r="GF291" s="27">
        <v>9</v>
      </c>
      <c r="GG291" s="27">
        <v>9</v>
      </c>
      <c r="GH291" s="27">
        <v>9</v>
      </c>
      <c r="GI291" s="129">
        <v>29.9</v>
      </c>
      <c r="GJ291" s="27"/>
    </row>
    <row r="292" spans="15:192" ht="3" customHeight="1">
      <c r="O292" s="17"/>
      <c r="P292" s="17"/>
      <c r="Q292" s="17"/>
      <c r="R292" s="17"/>
      <c r="S292" s="17"/>
      <c r="T292" s="17"/>
      <c r="U292" s="17"/>
      <c r="V292" s="17"/>
      <c r="W292" s="17"/>
      <c r="X292" s="129">
        <v>28.7</v>
      </c>
      <c r="Y292" s="27"/>
      <c r="AA292" s="17"/>
      <c r="AB292" s="17"/>
      <c r="AC292" s="17"/>
      <c r="AD292" s="17"/>
      <c r="AE292" s="17"/>
      <c r="AF292" s="17"/>
      <c r="AG292" s="17"/>
      <c r="AH292" s="17"/>
      <c r="AI292" s="129">
        <v>28.7</v>
      </c>
      <c r="AL292" s="17"/>
      <c r="AM292" s="17"/>
      <c r="AN292" s="17"/>
      <c r="AO292" s="17"/>
      <c r="AP292" s="17"/>
      <c r="AQ292" s="17"/>
      <c r="AR292" s="17"/>
      <c r="AS292" s="17"/>
      <c r="AT292" s="129">
        <v>28.7</v>
      </c>
      <c r="AW292" s="17"/>
      <c r="AX292" s="17"/>
      <c r="AY292" s="17"/>
      <c r="AZ292" s="17"/>
      <c r="BA292" s="17"/>
      <c r="BB292" s="17"/>
      <c r="BC292" s="17"/>
      <c r="BD292" s="17"/>
      <c r="BE292" s="129">
        <v>28.7</v>
      </c>
      <c r="BG292" s="129">
        <v>7</v>
      </c>
      <c r="BH292" s="129">
        <v>7</v>
      </c>
      <c r="BI292" s="129">
        <v>7</v>
      </c>
      <c r="BJ292" s="129">
        <v>7</v>
      </c>
      <c r="BK292" s="129">
        <v>7</v>
      </c>
      <c r="BL292" s="129">
        <v>7</v>
      </c>
      <c r="BM292" s="129">
        <v>7</v>
      </c>
      <c r="BN292" s="129">
        <v>7</v>
      </c>
      <c r="BO292" s="129">
        <v>7</v>
      </c>
      <c r="BP292" s="129">
        <v>28.7</v>
      </c>
      <c r="BR292" s="129">
        <v>7</v>
      </c>
      <c r="BS292" s="129">
        <v>7</v>
      </c>
      <c r="BT292" s="129">
        <v>7</v>
      </c>
      <c r="BU292" s="129">
        <v>7</v>
      </c>
      <c r="BV292" s="129">
        <v>7</v>
      </c>
      <c r="BW292" s="129">
        <v>7</v>
      </c>
      <c r="BX292" s="129">
        <v>7</v>
      </c>
      <c r="BY292" s="129">
        <v>7</v>
      </c>
      <c r="BZ292" s="129">
        <v>7</v>
      </c>
      <c r="CA292" s="129">
        <v>28.7</v>
      </c>
      <c r="CD292" s="17"/>
      <c r="CE292" s="17"/>
      <c r="CF292" s="17"/>
      <c r="CG292" s="17"/>
      <c r="CH292" s="17"/>
      <c r="CI292" s="17"/>
      <c r="CJ292" s="17"/>
      <c r="CK292" s="17"/>
      <c r="CL292" s="129">
        <v>28.7</v>
      </c>
      <c r="CN292" s="129">
        <v>7.3000000000000025</v>
      </c>
      <c r="CO292" s="129">
        <v>7.3000000000000025</v>
      </c>
      <c r="CP292" s="129">
        <v>7.3000000000000025</v>
      </c>
      <c r="CQ292" s="129">
        <v>7.3000000000000025</v>
      </c>
      <c r="CR292" s="129">
        <v>7.3000000000000025</v>
      </c>
      <c r="CS292" s="129">
        <v>7.3000000000000025</v>
      </c>
      <c r="CT292" s="129">
        <v>7.3000000000000025</v>
      </c>
      <c r="CU292" s="129">
        <v>7.3000000000000025</v>
      </c>
      <c r="CV292" s="129">
        <v>7.3000000000000025</v>
      </c>
      <c r="CW292" s="129">
        <v>28.7</v>
      </c>
      <c r="CY292" s="129">
        <v>9.3000000000000025</v>
      </c>
      <c r="CZ292" s="129">
        <v>9.3000000000000025</v>
      </c>
      <c r="DA292" s="129">
        <v>9.3000000000000025</v>
      </c>
      <c r="DB292" s="129">
        <v>9.3000000000000025</v>
      </c>
      <c r="DC292" s="129">
        <v>9.3000000000000025</v>
      </c>
      <c r="DD292" s="129">
        <v>9.3000000000000025</v>
      </c>
      <c r="DE292" s="129">
        <v>9.3000000000000025</v>
      </c>
      <c r="DF292" s="129">
        <v>9.3000000000000025</v>
      </c>
      <c r="DG292" s="129">
        <v>9.3000000000000025</v>
      </c>
      <c r="DH292" s="129">
        <v>28.7</v>
      </c>
      <c r="DJ292" s="129">
        <v>9.3000000000000025</v>
      </c>
      <c r="DK292" s="129">
        <v>9.3000000000000025</v>
      </c>
      <c r="DL292" s="129">
        <v>9.3000000000000025</v>
      </c>
      <c r="DM292" s="129">
        <v>9.3000000000000025</v>
      </c>
      <c r="DN292" s="129">
        <v>9.3000000000000025</v>
      </c>
      <c r="DO292" s="129">
        <v>9.3000000000000025</v>
      </c>
      <c r="DP292" s="129">
        <v>9.3000000000000025</v>
      </c>
      <c r="DQ292" s="129">
        <v>9.3000000000000025</v>
      </c>
      <c r="DR292" s="129">
        <v>9.3000000000000025</v>
      </c>
      <c r="DS292" s="129">
        <v>28.7</v>
      </c>
      <c r="FZ292" s="27">
        <v>8</v>
      </c>
      <c r="GA292" s="27">
        <v>8</v>
      </c>
      <c r="GB292" s="27">
        <v>8</v>
      </c>
      <c r="GC292" s="27">
        <v>8</v>
      </c>
      <c r="GD292" s="27">
        <v>8</v>
      </c>
      <c r="GE292" s="27">
        <v>8</v>
      </c>
      <c r="GF292" s="27">
        <v>8</v>
      </c>
      <c r="GG292" s="27">
        <v>8</v>
      </c>
      <c r="GH292" s="27">
        <v>8</v>
      </c>
      <c r="GI292" s="129">
        <v>29.9</v>
      </c>
      <c r="GJ292" s="27"/>
    </row>
    <row r="293" spans="15:192" ht="3" customHeight="1">
      <c r="O293" s="17"/>
      <c r="P293" s="17"/>
      <c r="Q293" s="17"/>
      <c r="R293" s="17"/>
      <c r="S293" s="17"/>
      <c r="T293" s="17"/>
      <c r="U293" s="17"/>
      <c r="V293" s="17"/>
      <c r="W293" s="17"/>
      <c r="X293" s="129">
        <v>28.8</v>
      </c>
      <c r="Y293" s="27"/>
      <c r="AA293" s="17"/>
      <c r="AB293" s="17"/>
      <c r="AC293" s="17"/>
      <c r="AD293" s="17"/>
      <c r="AE293" s="17"/>
      <c r="AF293" s="17"/>
      <c r="AG293" s="17"/>
      <c r="AH293" s="17"/>
      <c r="AI293" s="129">
        <v>28.8</v>
      </c>
      <c r="AL293" s="17"/>
      <c r="AM293" s="17"/>
      <c r="AN293" s="17"/>
      <c r="AO293" s="17"/>
      <c r="AP293" s="17"/>
      <c r="AQ293" s="17"/>
      <c r="AR293" s="17"/>
      <c r="AS293" s="17"/>
      <c r="AT293" s="129">
        <v>28.8</v>
      </c>
      <c r="AW293" s="17"/>
      <c r="AX293" s="17"/>
      <c r="AY293" s="17"/>
      <c r="AZ293" s="17"/>
      <c r="BA293" s="17"/>
      <c r="BB293" s="17"/>
      <c r="BC293" s="17"/>
      <c r="BD293" s="17"/>
      <c r="BE293" s="129">
        <v>28.8</v>
      </c>
      <c r="BG293" s="129">
        <v>7</v>
      </c>
      <c r="BH293" s="129">
        <v>7</v>
      </c>
      <c r="BI293" s="129">
        <v>7</v>
      </c>
      <c r="BJ293" s="129">
        <v>7</v>
      </c>
      <c r="BK293" s="129">
        <v>7</v>
      </c>
      <c r="BL293" s="129">
        <v>7</v>
      </c>
      <c r="BM293" s="129">
        <v>7</v>
      </c>
      <c r="BN293" s="129">
        <v>7</v>
      </c>
      <c r="BO293" s="129">
        <v>7</v>
      </c>
      <c r="BP293" s="129">
        <v>28.8</v>
      </c>
      <c r="BR293" s="129">
        <v>7</v>
      </c>
      <c r="BS293" s="129">
        <v>7</v>
      </c>
      <c r="BT293" s="129">
        <v>7</v>
      </c>
      <c r="BU293" s="129">
        <v>7</v>
      </c>
      <c r="BV293" s="129">
        <v>7</v>
      </c>
      <c r="BW293" s="129">
        <v>7</v>
      </c>
      <c r="BX293" s="129">
        <v>7</v>
      </c>
      <c r="BY293" s="129">
        <v>7</v>
      </c>
      <c r="BZ293" s="129">
        <v>7</v>
      </c>
      <c r="CA293" s="129">
        <v>28.8</v>
      </c>
      <c r="CD293" s="17"/>
      <c r="CE293" s="17"/>
      <c r="CF293" s="17"/>
      <c r="CG293" s="17"/>
      <c r="CH293" s="17"/>
      <c r="CI293" s="17"/>
      <c r="CJ293" s="17"/>
      <c r="CK293" s="17"/>
      <c r="CL293" s="129">
        <v>28.8</v>
      </c>
      <c r="CN293" s="129">
        <v>7.2000000000000028</v>
      </c>
      <c r="CO293" s="129">
        <v>7.2000000000000028</v>
      </c>
      <c r="CP293" s="129">
        <v>7.2000000000000028</v>
      </c>
      <c r="CQ293" s="129">
        <v>7.2000000000000028</v>
      </c>
      <c r="CR293" s="129">
        <v>7.2000000000000028</v>
      </c>
      <c r="CS293" s="129">
        <v>7.2000000000000028</v>
      </c>
      <c r="CT293" s="129">
        <v>7.2000000000000028</v>
      </c>
      <c r="CU293" s="129">
        <v>7.2000000000000028</v>
      </c>
      <c r="CV293" s="129">
        <v>7.2000000000000028</v>
      </c>
      <c r="CW293" s="129">
        <v>28.8</v>
      </c>
      <c r="CY293" s="129">
        <v>9.2000000000000028</v>
      </c>
      <c r="CZ293" s="129">
        <v>9.2000000000000028</v>
      </c>
      <c r="DA293" s="129">
        <v>9.2000000000000028</v>
      </c>
      <c r="DB293" s="129">
        <v>9.2000000000000028</v>
      </c>
      <c r="DC293" s="129">
        <v>9.2000000000000028</v>
      </c>
      <c r="DD293" s="129">
        <v>9.2000000000000028</v>
      </c>
      <c r="DE293" s="129">
        <v>9.2000000000000028</v>
      </c>
      <c r="DF293" s="129">
        <v>9.2000000000000028</v>
      </c>
      <c r="DG293" s="129">
        <v>9.2000000000000028</v>
      </c>
      <c r="DH293" s="129">
        <v>28.8</v>
      </c>
      <c r="DJ293" s="129">
        <v>9.2000000000000028</v>
      </c>
      <c r="DK293" s="129">
        <v>9.2000000000000028</v>
      </c>
      <c r="DL293" s="129">
        <v>9.2000000000000028</v>
      </c>
      <c r="DM293" s="129">
        <v>9.2000000000000028</v>
      </c>
      <c r="DN293" s="129">
        <v>9.2000000000000028</v>
      </c>
      <c r="DO293" s="129">
        <v>9.2000000000000028</v>
      </c>
      <c r="DP293" s="129">
        <v>9.2000000000000028</v>
      </c>
      <c r="DQ293" s="129">
        <v>9.2000000000000028</v>
      </c>
      <c r="DR293" s="129">
        <v>9.2000000000000028</v>
      </c>
      <c r="DS293" s="129">
        <v>28.8</v>
      </c>
      <c r="FZ293" s="27">
        <v>7</v>
      </c>
      <c r="GA293" s="27">
        <v>7</v>
      </c>
      <c r="GB293" s="27">
        <v>7</v>
      </c>
      <c r="GC293" s="27">
        <v>7</v>
      </c>
      <c r="GD293" s="27">
        <v>7</v>
      </c>
      <c r="GE293" s="27">
        <v>7</v>
      </c>
      <c r="GF293" s="27">
        <v>7</v>
      </c>
      <c r="GG293" s="27">
        <v>7</v>
      </c>
      <c r="GH293" s="27">
        <v>7</v>
      </c>
      <c r="GI293" s="129">
        <v>29.9</v>
      </c>
      <c r="GJ293" s="27"/>
    </row>
    <row r="294" spans="15:192" ht="3" customHeight="1">
      <c r="O294" s="17"/>
      <c r="P294" s="17"/>
      <c r="Q294" s="17"/>
      <c r="R294" s="17"/>
      <c r="S294" s="17"/>
      <c r="T294" s="17"/>
      <c r="U294" s="17"/>
      <c r="V294" s="17"/>
      <c r="W294" s="17"/>
      <c r="X294" s="129">
        <v>28.9</v>
      </c>
      <c r="Y294" s="27"/>
      <c r="AA294" s="17"/>
      <c r="AB294" s="17"/>
      <c r="AC294" s="17"/>
      <c r="AD294" s="17"/>
      <c r="AE294" s="17"/>
      <c r="AF294" s="17"/>
      <c r="AG294" s="17"/>
      <c r="AH294" s="17"/>
      <c r="AI294" s="129">
        <v>28.9</v>
      </c>
      <c r="AL294" s="17"/>
      <c r="AM294" s="17"/>
      <c r="AN294" s="17"/>
      <c r="AO294" s="17"/>
      <c r="AP294" s="17"/>
      <c r="AQ294" s="17"/>
      <c r="AR294" s="17"/>
      <c r="AS294" s="17"/>
      <c r="AT294" s="129">
        <v>28.9</v>
      </c>
      <c r="AW294" s="17"/>
      <c r="AX294" s="17"/>
      <c r="AY294" s="17"/>
      <c r="AZ294" s="17"/>
      <c r="BA294" s="17"/>
      <c r="BB294" s="17"/>
      <c r="BC294" s="17"/>
      <c r="BD294" s="17"/>
      <c r="BE294" s="129">
        <v>28.9</v>
      </c>
      <c r="BG294" s="129">
        <v>7</v>
      </c>
      <c r="BH294" s="129">
        <v>7</v>
      </c>
      <c r="BI294" s="129">
        <v>7</v>
      </c>
      <c r="BJ294" s="129">
        <v>7</v>
      </c>
      <c r="BK294" s="129">
        <v>7</v>
      </c>
      <c r="BL294" s="129">
        <v>7</v>
      </c>
      <c r="BM294" s="129">
        <v>7</v>
      </c>
      <c r="BN294" s="129">
        <v>7</v>
      </c>
      <c r="BO294" s="129">
        <v>7</v>
      </c>
      <c r="BP294" s="129">
        <v>28.9</v>
      </c>
      <c r="BR294" s="129">
        <v>7</v>
      </c>
      <c r="BS294" s="129">
        <v>7</v>
      </c>
      <c r="BT294" s="129">
        <v>7</v>
      </c>
      <c r="BU294" s="129">
        <v>7</v>
      </c>
      <c r="BV294" s="129">
        <v>7</v>
      </c>
      <c r="BW294" s="129">
        <v>7</v>
      </c>
      <c r="BX294" s="129">
        <v>7</v>
      </c>
      <c r="BY294" s="129">
        <v>7</v>
      </c>
      <c r="BZ294" s="129">
        <v>7</v>
      </c>
      <c r="CA294" s="129">
        <v>28.9</v>
      </c>
      <c r="CD294" s="17"/>
      <c r="CE294" s="17"/>
      <c r="CF294" s="17"/>
      <c r="CG294" s="17"/>
      <c r="CH294" s="17"/>
      <c r="CI294" s="17"/>
      <c r="CJ294" s="17"/>
      <c r="CK294" s="17"/>
      <c r="CL294" s="129">
        <v>28.9</v>
      </c>
      <c r="CN294" s="129">
        <v>7.1000000000000032</v>
      </c>
      <c r="CO294" s="129">
        <v>7.1000000000000032</v>
      </c>
      <c r="CP294" s="129">
        <v>7.1000000000000032</v>
      </c>
      <c r="CQ294" s="129">
        <v>7.1000000000000032</v>
      </c>
      <c r="CR294" s="129">
        <v>7.1000000000000032</v>
      </c>
      <c r="CS294" s="129">
        <v>7.1000000000000032</v>
      </c>
      <c r="CT294" s="129">
        <v>7.1000000000000032</v>
      </c>
      <c r="CU294" s="129">
        <v>7.1000000000000032</v>
      </c>
      <c r="CV294" s="129">
        <v>7.1000000000000032</v>
      </c>
      <c r="CW294" s="129">
        <v>28.9</v>
      </c>
      <c r="CY294" s="129">
        <v>9.1000000000000032</v>
      </c>
      <c r="CZ294" s="129">
        <v>9.1000000000000032</v>
      </c>
      <c r="DA294" s="129">
        <v>9.1000000000000032</v>
      </c>
      <c r="DB294" s="129">
        <v>9.1000000000000032</v>
      </c>
      <c r="DC294" s="129">
        <v>9.1000000000000032</v>
      </c>
      <c r="DD294" s="129">
        <v>9.1000000000000032</v>
      </c>
      <c r="DE294" s="129">
        <v>9.1000000000000032</v>
      </c>
      <c r="DF294" s="129">
        <v>9.1000000000000032</v>
      </c>
      <c r="DG294" s="129">
        <v>9.1000000000000032</v>
      </c>
      <c r="DH294" s="129">
        <v>28.9</v>
      </c>
      <c r="DJ294" s="129">
        <v>9.1000000000000032</v>
      </c>
      <c r="DK294" s="129">
        <v>9.1000000000000032</v>
      </c>
      <c r="DL294" s="129">
        <v>9.1000000000000032</v>
      </c>
      <c r="DM294" s="129">
        <v>9.1000000000000032</v>
      </c>
      <c r="DN294" s="129">
        <v>9.1000000000000032</v>
      </c>
      <c r="DO294" s="129">
        <v>9.1000000000000032</v>
      </c>
      <c r="DP294" s="129">
        <v>9.1000000000000032</v>
      </c>
      <c r="DQ294" s="129">
        <v>9.1000000000000032</v>
      </c>
      <c r="DR294" s="129">
        <v>9.1000000000000032</v>
      </c>
      <c r="DS294" s="129">
        <v>28.9</v>
      </c>
      <c r="FZ294" s="27">
        <v>6</v>
      </c>
      <c r="GA294" s="27">
        <v>6</v>
      </c>
      <c r="GB294" s="27">
        <v>6</v>
      </c>
      <c r="GC294" s="27">
        <v>6</v>
      </c>
      <c r="GD294" s="27">
        <v>6</v>
      </c>
      <c r="GE294" s="27">
        <v>6</v>
      </c>
      <c r="GF294" s="27">
        <v>6</v>
      </c>
      <c r="GG294" s="27">
        <v>6</v>
      </c>
      <c r="GH294" s="27">
        <v>6</v>
      </c>
      <c r="GI294" s="129">
        <v>29.9</v>
      </c>
      <c r="GJ294" s="27"/>
    </row>
    <row r="295" spans="15:192" ht="3" customHeight="1">
      <c r="O295" s="17"/>
      <c r="P295" s="17"/>
      <c r="Q295" s="17"/>
      <c r="R295" s="17"/>
      <c r="S295" s="17"/>
      <c r="T295" s="17"/>
      <c r="U295" s="17"/>
      <c r="V295" s="17"/>
      <c r="W295" s="17"/>
      <c r="X295" s="129">
        <v>29</v>
      </c>
      <c r="Y295" s="27"/>
      <c r="AA295" s="17"/>
      <c r="AB295" s="17"/>
      <c r="AC295" s="17"/>
      <c r="AD295" s="17"/>
      <c r="AE295" s="17"/>
      <c r="AF295" s="17"/>
      <c r="AG295" s="17"/>
      <c r="AH295" s="17"/>
      <c r="AI295" s="129">
        <v>29</v>
      </c>
      <c r="AL295" s="17"/>
      <c r="AM295" s="17"/>
      <c r="AN295" s="17"/>
      <c r="AO295" s="17"/>
      <c r="AP295" s="17"/>
      <c r="AQ295" s="17"/>
      <c r="AR295" s="17"/>
      <c r="AS295" s="17"/>
      <c r="AT295" s="129">
        <v>29</v>
      </c>
      <c r="AW295" s="17"/>
      <c r="AX295" s="17"/>
      <c r="AY295" s="17"/>
      <c r="AZ295" s="17"/>
      <c r="BA295" s="17"/>
      <c r="BB295" s="17"/>
      <c r="BC295" s="17"/>
      <c r="BD295" s="17"/>
      <c r="BE295" s="129">
        <v>29</v>
      </c>
      <c r="BG295" s="129">
        <v>7</v>
      </c>
      <c r="BH295" s="129">
        <v>7</v>
      </c>
      <c r="BI295" s="129">
        <v>7</v>
      </c>
      <c r="BJ295" s="129">
        <v>7</v>
      </c>
      <c r="BK295" s="129">
        <v>7</v>
      </c>
      <c r="BL295" s="129">
        <v>7</v>
      </c>
      <c r="BM295" s="129">
        <v>7</v>
      </c>
      <c r="BN295" s="129">
        <v>7</v>
      </c>
      <c r="BO295" s="129">
        <v>7</v>
      </c>
      <c r="BP295" s="129">
        <v>29</v>
      </c>
      <c r="BR295" s="129">
        <v>7</v>
      </c>
      <c r="BS295" s="17"/>
      <c r="BT295" s="17"/>
      <c r="BU295" s="17"/>
      <c r="BV295" s="17"/>
      <c r="BW295" s="17"/>
      <c r="BX295" s="17"/>
      <c r="BY295" s="17"/>
      <c r="BZ295" s="17"/>
      <c r="CA295" s="129">
        <v>29</v>
      </c>
      <c r="CD295" s="17"/>
      <c r="CE295" s="17"/>
      <c r="CF295" s="17"/>
      <c r="CG295" s="17"/>
      <c r="CH295" s="17"/>
      <c r="CI295" s="17"/>
      <c r="CJ295" s="17"/>
      <c r="CK295" s="17"/>
      <c r="CL295" s="129">
        <v>29</v>
      </c>
      <c r="CN295" s="129">
        <v>7</v>
      </c>
      <c r="CO295" s="129">
        <v>7</v>
      </c>
      <c r="CP295" s="129">
        <v>7</v>
      </c>
      <c r="CQ295" s="129">
        <v>7</v>
      </c>
      <c r="CR295" s="129">
        <v>7</v>
      </c>
      <c r="CS295" s="129">
        <v>7</v>
      </c>
      <c r="CT295" s="129">
        <v>7</v>
      </c>
      <c r="CU295" s="129">
        <v>7</v>
      </c>
      <c r="CV295" s="129">
        <v>7</v>
      </c>
      <c r="CW295" s="129">
        <v>29</v>
      </c>
      <c r="CY295" s="129">
        <v>9</v>
      </c>
      <c r="CZ295" s="129">
        <v>9</v>
      </c>
      <c r="DA295" s="129">
        <v>9</v>
      </c>
      <c r="DB295" s="129">
        <v>9</v>
      </c>
      <c r="DC295" s="129">
        <v>9</v>
      </c>
      <c r="DD295" s="129">
        <v>9</v>
      </c>
      <c r="DE295" s="129">
        <v>9</v>
      </c>
      <c r="DF295" s="129">
        <v>9</v>
      </c>
      <c r="DG295" s="129">
        <v>9</v>
      </c>
      <c r="DH295" s="129">
        <v>29</v>
      </c>
      <c r="DJ295" s="129">
        <v>9</v>
      </c>
      <c r="DK295" s="129">
        <v>9</v>
      </c>
      <c r="DL295" s="129">
        <v>9</v>
      </c>
      <c r="DM295" s="129">
        <v>9</v>
      </c>
      <c r="DN295" s="129">
        <v>9</v>
      </c>
      <c r="DO295" s="129">
        <v>9</v>
      </c>
      <c r="DP295" s="129">
        <v>9</v>
      </c>
      <c r="DQ295" s="129">
        <v>9</v>
      </c>
      <c r="DR295" s="129">
        <v>9</v>
      </c>
      <c r="DS295" s="129">
        <v>29</v>
      </c>
      <c r="FZ295" s="27">
        <v>5</v>
      </c>
      <c r="GA295" s="27">
        <v>5</v>
      </c>
      <c r="GB295" s="27">
        <v>5</v>
      </c>
      <c r="GC295" s="27">
        <v>5</v>
      </c>
      <c r="GD295" s="27">
        <v>5</v>
      </c>
      <c r="GE295" s="27">
        <v>5</v>
      </c>
      <c r="GF295" s="27">
        <v>5</v>
      </c>
      <c r="GG295" s="27">
        <v>5</v>
      </c>
      <c r="GH295" s="27">
        <v>5</v>
      </c>
      <c r="GI295" s="129">
        <v>29.9</v>
      </c>
      <c r="GJ295" s="27"/>
    </row>
    <row r="296" spans="15:192">
      <c r="O296" s="17"/>
      <c r="P296" s="17"/>
      <c r="Q296" s="17"/>
      <c r="R296" s="17"/>
      <c r="S296" s="17"/>
      <c r="T296" s="17"/>
      <c r="U296" s="17"/>
      <c r="V296" s="17"/>
      <c r="W296" s="17"/>
      <c r="X296" s="129">
        <v>29.1</v>
      </c>
      <c r="Y296" s="27"/>
      <c r="AA296" s="17"/>
      <c r="AB296" s="17"/>
      <c r="AC296" s="17"/>
      <c r="AD296" s="17"/>
      <c r="AE296" s="17"/>
      <c r="AF296" s="17"/>
      <c r="AG296" s="17"/>
      <c r="AH296" s="17"/>
      <c r="AI296" s="129">
        <v>29.1</v>
      </c>
      <c r="AL296" s="17"/>
      <c r="AM296" s="17"/>
      <c r="AN296" s="17"/>
      <c r="AO296" s="17"/>
      <c r="AP296" s="17"/>
      <c r="AQ296" s="17"/>
      <c r="AR296" s="17"/>
      <c r="AS296" s="17"/>
      <c r="AT296" s="129">
        <v>29.1</v>
      </c>
      <c r="AW296" s="17"/>
      <c r="AX296" s="17"/>
      <c r="AY296" s="17"/>
      <c r="AZ296" s="17"/>
      <c r="BA296" s="17"/>
      <c r="BB296" s="17"/>
      <c r="BC296" s="17"/>
      <c r="BD296" s="17"/>
      <c r="BE296" s="129">
        <v>29.1</v>
      </c>
      <c r="BP296" s="129">
        <v>29.1</v>
      </c>
      <c r="BS296" s="17"/>
      <c r="BT296" s="17"/>
      <c r="BU296" s="17"/>
      <c r="BV296" s="17"/>
      <c r="BW296" s="17"/>
      <c r="BX296" s="17"/>
      <c r="BY296" s="17"/>
      <c r="BZ296" s="17"/>
      <c r="CA296" s="129">
        <v>29.1</v>
      </c>
      <c r="CD296" s="17"/>
      <c r="CE296" s="17"/>
      <c r="CF296" s="17"/>
      <c r="CG296" s="17"/>
      <c r="CH296" s="17"/>
      <c r="CI296" s="17"/>
      <c r="CJ296" s="17"/>
      <c r="CK296" s="17"/>
      <c r="CL296" s="129">
        <v>29.1</v>
      </c>
      <c r="CN296" s="129">
        <v>6.8</v>
      </c>
      <c r="CO296" s="129">
        <v>6.8</v>
      </c>
      <c r="CP296" s="129">
        <v>6.8</v>
      </c>
      <c r="CQ296" s="129">
        <v>6.8</v>
      </c>
      <c r="CR296" s="129">
        <v>6.8</v>
      </c>
      <c r="CS296" s="129">
        <v>6.8</v>
      </c>
      <c r="CT296" s="129">
        <v>6.8</v>
      </c>
      <c r="CU296" s="129">
        <v>6.8</v>
      </c>
      <c r="CV296" s="129">
        <v>6.8</v>
      </c>
      <c r="CW296" s="129">
        <v>29.1</v>
      </c>
      <c r="CY296" s="129">
        <v>8.8000000000000007</v>
      </c>
      <c r="CZ296" s="129">
        <v>8.8000000000000007</v>
      </c>
      <c r="DA296" s="129">
        <v>8.8000000000000007</v>
      </c>
      <c r="DB296" s="129">
        <v>8.8000000000000007</v>
      </c>
      <c r="DC296" s="129">
        <v>8.8000000000000007</v>
      </c>
      <c r="DD296" s="129">
        <v>8.8000000000000007</v>
      </c>
      <c r="DE296" s="129">
        <v>8.8000000000000007</v>
      </c>
      <c r="DF296" s="129">
        <v>8.8000000000000007</v>
      </c>
      <c r="DG296" s="129">
        <v>8.8000000000000007</v>
      </c>
      <c r="DH296" s="129">
        <v>29.1</v>
      </c>
      <c r="DJ296" s="129">
        <v>8.8000000000000007</v>
      </c>
      <c r="DK296" s="129">
        <v>8.8000000000000007</v>
      </c>
      <c r="DL296" s="129">
        <v>8.8000000000000007</v>
      </c>
      <c r="DM296" s="129">
        <v>8.8000000000000007</v>
      </c>
      <c r="DN296" s="129">
        <v>8.8000000000000007</v>
      </c>
      <c r="DO296" s="129">
        <v>8.8000000000000007</v>
      </c>
      <c r="DP296" s="129">
        <v>8.8000000000000007</v>
      </c>
      <c r="DQ296" s="129">
        <v>8.8000000000000007</v>
      </c>
      <c r="DR296" s="129">
        <v>8.8000000000000007</v>
      </c>
      <c r="DS296" s="129">
        <v>29.1</v>
      </c>
      <c r="FZ296" s="27">
        <v>4</v>
      </c>
      <c r="GA296" s="27">
        <v>4</v>
      </c>
      <c r="GB296" s="27">
        <v>4</v>
      </c>
      <c r="GC296" s="27">
        <v>4</v>
      </c>
      <c r="GD296" s="27">
        <v>4</v>
      </c>
      <c r="GE296" s="27">
        <v>4</v>
      </c>
      <c r="GF296" s="27">
        <v>4</v>
      </c>
      <c r="GG296" s="27">
        <v>4</v>
      </c>
      <c r="GH296" s="27">
        <v>4</v>
      </c>
      <c r="GI296" s="129">
        <v>29.9</v>
      </c>
      <c r="GJ296" s="27"/>
    </row>
    <row r="297" spans="15:192" ht="3" customHeight="1">
      <c r="O297" s="17"/>
      <c r="P297" s="17"/>
      <c r="Q297" s="17"/>
      <c r="R297" s="17"/>
      <c r="S297" s="17"/>
      <c r="T297" s="17"/>
      <c r="U297" s="17"/>
      <c r="V297" s="17"/>
      <c r="W297" s="17"/>
      <c r="X297" s="129">
        <v>29.2</v>
      </c>
      <c r="Y297" s="27"/>
      <c r="AA297" s="17"/>
      <c r="AB297" s="17"/>
      <c r="AC297" s="17"/>
      <c r="AD297" s="17"/>
      <c r="AE297" s="17"/>
      <c r="AF297" s="17"/>
      <c r="AG297" s="17"/>
      <c r="AH297" s="17"/>
      <c r="AI297" s="129">
        <v>29.2</v>
      </c>
      <c r="AL297" s="17"/>
      <c r="AM297" s="17"/>
      <c r="AN297" s="17"/>
      <c r="AO297" s="17"/>
      <c r="AP297" s="17"/>
      <c r="AQ297" s="17"/>
      <c r="AR297" s="17"/>
      <c r="AS297" s="17"/>
      <c r="AT297" s="129">
        <v>29.2</v>
      </c>
      <c r="AW297" s="17"/>
      <c r="AX297" s="17"/>
      <c r="AY297" s="17"/>
      <c r="AZ297" s="17"/>
      <c r="BA297" s="17"/>
      <c r="BB297" s="17"/>
      <c r="BC297" s="17"/>
      <c r="BD297" s="17"/>
      <c r="BE297" s="129">
        <v>29.2</v>
      </c>
      <c r="BP297" s="129">
        <v>29.2</v>
      </c>
      <c r="BS297" s="17"/>
      <c r="BT297" s="17"/>
      <c r="BU297" s="17"/>
      <c r="BV297" s="17"/>
      <c r="BW297" s="17"/>
      <c r="BX297" s="17"/>
      <c r="BY297" s="17"/>
      <c r="BZ297" s="17"/>
      <c r="CA297" s="129">
        <v>29.2</v>
      </c>
      <c r="CD297" s="17"/>
      <c r="CE297" s="17"/>
      <c r="CF297" s="17"/>
      <c r="CG297" s="17"/>
      <c r="CH297" s="17"/>
      <c r="CI297" s="17"/>
      <c r="CJ297" s="17"/>
      <c r="CK297" s="17"/>
      <c r="CL297" s="129">
        <v>29.2</v>
      </c>
      <c r="CN297" s="129">
        <v>6.6</v>
      </c>
      <c r="CO297" s="129">
        <v>6.6</v>
      </c>
      <c r="CP297" s="129">
        <v>6.6</v>
      </c>
      <c r="CQ297" s="129">
        <v>6.6</v>
      </c>
      <c r="CR297" s="129">
        <v>6.6</v>
      </c>
      <c r="CS297" s="129">
        <v>6.6</v>
      </c>
      <c r="CT297" s="129">
        <v>6.6</v>
      </c>
      <c r="CU297" s="129">
        <v>6.6</v>
      </c>
      <c r="CV297" s="129">
        <v>6.6</v>
      </c>
      <c r="CW297" s="129">
        <v>29.2</v>
      </c>
      <c r="CY297" s="129">
        <v>8.6000000000000014</v>
      </c>
      <c r="CZ297" s="129">
        <v>8.6000000000000014</v>
      </c>
      <c r="DA297" s="129">
        <v>8.6000000000000014</v>
      </c>
      <c r="DB297" s="129">
        <v>8.6000000000000014</v>
      </c>
      <c r="DC297" s="129">
        <v>8.6000000000000014</v>
      </c>
      <c r="DD297" s="129">
        <v>8.6000000000000014</v>
      </c>
      <c r="DE297" s="129">
        <v>8.6000000000000014</v>
      </c>
      <c r="DF297" s="129">
        <v>8.6000000000000014</v>
      </c>
      <c r="DG297" s="129">
        <v>8.6000000000000014</v>
      </c>
      <c r="DH297" s="129">
        <v>29.2</v>
      </c>
      <c r="DJ297" s="129">
        <v>8.6000000000000014</v>
      </c>
      <c r="DK297" s="129">
        <v>8.6000000000000014</v>
      </c>
      <c r="DL297" s="129">
        <v>8.6000000000000014</v>
      </c>
      <c r="DM297" s="129">
        <v>8.6000000000000014</v>
      </c>
      <c r="DN297" s="129">
        <v>8.6000000000000014</v>
      </c>
      <c r="DO297" s="129">
        <v>8.6000000000000014</v>
      </c>
      <c r="DP297" s="129">
        <v>8.6000000000000014</v>
      </c>
      <c r="DQ297" s="129">
        <v>8.6000000000000014</v>
      </c>
      <c r="DR297" s="129">
        <v>8.6000000000000014</v>
      </c>
      <c r="DS297" s="129">
        <v>29.2</v>
      </c>
      <c r="FZ297" s="27">
        <v>3</v>
      </c>
      <c r="GA297" s="27">
        <v>3</v>
      </c>
      <c r="GB297" s="27">
        <v>3</v>
      </c>
      <c r="GC297" s="27">
        <v>3</v>
      </c>
      <c r="GD297" s="27">
        <v>3</v>
      </c>
      <c r="GE297" s="27">
        <v>3</v>
      </c>
      <c r="GF297" s="27">
        <v>3</v>
      </c>
      <c r="GG297" s="27">
        <v>3</v>
      </c>
      <c r="GH297" s="27">
        <v>3</v>
      </c>
      <c r="GI297" s="129">
        <v>29.9</v>
      </c>
      <c r="GJ297" s="27"/>
    </row>
    <row r="298" spans="15:192" ht="3" customHeight="1">
      <c r="O298" s="17"/>
      <c r="P298" s="17"/>
      <c r="Q298" s="17"/>
      <c r="R298" s="17"/>
      <c r="S298" s="17"/>
      <c r="T298" s="17"/>
      <c r="U298" s="17"/>
      <c r="V298" s="17"/>
      <c r="W298" s="17"/>
      <c r="X298" s="129">
        <v>29.3</v>
      </c>
      <c r="Y298" s="27"/>
      <c r="AA298" s="17"/>
      <c r="AB298" s="17"/>
      <c r="AC298" s="17"/>
      <c r="AD298" s="17"/>
      <c r="AE298" s="17"/>
      <c r="AF298" s="17"/>
      <c r="AG298" s="17"/>
      <c r="AH298" s="17"/>
      <c r="AI298" s="129">
        <v>29.3</v>
      </c>
      <c r="AL298" s="17"/>
      <c r="AM298" s="17"/>
      <c r="AN298" s="17"/>
      <c r="AO298" s="17"/>
      <c r="AP298" s="17"/>
      <c r="AQ298" s="17"/>
      <c r="AR298" s="17"/>
      <c r="AS298" s="17"/>
      <c r="AT298" s="129">
        <v>29.3</v>
      </c>
      <c r="AW298" s="17"/>
      <c r="AX298" s="17"/>
      <c r="AY298" s="17"/>
      <c r="AZ298" s="17"/>
      <c r="BA298" s="17"/>
      <c r="BB298" s="17"/>
      <c r="BC298" s="17"/>
      <c r="BD298" s="17"/>
      <c r="BE298" s="129">
        <v>29.3</v>
      </c>
      <c r="BP298" s="129">
        <v>29.3</v>
      </c>
      <c r="BS298" s="17"/>
      <c r="BT298" s="17"/>
      <c r="BU298" s="17"/>
      <c r="BV298" s="17"/>
      <c r="BW298" s="17"/>
      <c r="BX298" s="17"/>
      <c r="BY298" s="17"/>
      <c r="BZ298" s="17"/>
      <c r="CA298" s="129">
        <v>29.3</v>
      </c>
      <c r="CD298" s="17"/>
      <c r="CE298" s="17"/>
      <c r="CF298" s="17"/>
      <c r="CG298" s="17"/>
      <c r="CH298" s="17"/>
      <c r="CI298" s="17"/>
      <c r="CJ298" s="17"/>
      <c r="CK298" s="17"/>
      <c r="CL298" s="129">
        <v>29.3</v>
      </c>
      <c r="CN298" s="129">
        <v>6.3999999999999995</v>
      </c>
      <c r="CO298" s="129">
        <v>6.3999999999999995</v>
      </c>
      <c r="CP298" s="129">
        <v>6.3999999999999995</v>
      </c>
      <c r="CQ298" s="129">
        <v>6.3999999999999995</v>
      </c>
      <c r="CR298" s="129">
        <v>6.3999999999999995</v>
      </c>
      <c r="CS298" s="129">
        <v>6.3999999999999995</v>
      </c>
      <c r="CT298" s="129">
        <v>6.3999999999999995</v>
      </c>
      <c r="CU298" s="129">
        <v>6.3999999999999995</v>
      </c>
      <c r="CV298" s="129">
        <v>6.3999999999999995</v>
      </c>
      <c r="CW298" s="129">
        <v>29.3</v>
      </c>
      <c r="CY298" s="129">
        <v>8.4000000000000021</v>
      </c>
      <c r="CZ298" s="129">
        <v>8.4000000000000021</v>
      </c>
      <c r="DA298" s="129">
        <v>8.4000000000000021</v>
      </c>
      <c r="DB298" s="129">
        <v>8.4000000000000021</v>
      </c>
      <c r="DC298" s="129">
        <v>8.4000000000000021</v>
      </c>
      <c r="DD298" s="129">
        <v>8.4000000000000021</v>
      </c>
      <c r="DE298" s="129">
        <v>8.4000000000000021</v>
      </c>
      <c r="DF298" s="129">
        <v>8.4000000000000021</v>
      </c>
      <c r="DG298" s="129">
        <v>8.4000000000000021</v>
      </c>
      <c r="DH298" s="129">
        <v>29.3</v>
      </c>
      <c r="DJ298" s="129">
        <v>8.4000000000000021</v>
      </c>
      <c r="DK298" s="129">
        <v>8.4000000000000021</v>
      </c>
      <c r="DL298" s="129">
        <v>8.4000000000000021</v>
      </c>
      <c r="DM298" s="129">
        <v>8.4000000000000021</v>
      </c>
      <c r="DN298" s="129">
        <v>8.4000000000000021</v>
      </c>
      <c r="DO298" s="129">
        <v>8.4000000000000021</v>
      </c>
      <c r="DP298" s="129">
        <v>8.4000000000000021</v>
      </c>
      <c r="DQ298" s="129">
        <v>8.4000000000000021</v>
      </c>
      <c r="DR298" s="129">
        <v>8.4000000000000021</v>
      </c>
      <c r="DS298" s="129">
        <v>29.3</v>
      </c>
      <c r="FZ298" s="27">
        <v>2</v>
      </c>
      <c r="GA298" s="27">
        <v>2</v>
      </c>
      <c r="GB298" s="27">
        <v>2</v>
      </c>
      <c r="GC298" s="27">
        <v>2</v>
      </c>
      <c r="GD298" s="27">
        <v>2</v>
      </c>
      <c r="GE298" s="27">
        <v>2</v>
      </c>
      <c r="GF298" s="27">
        <v>2</v>
      </c>
      <c r="GG298" s="27">
        <v>2</v>
      </c>
      <c r="GH298" s="27">
        <v>2</v>
      </c>
      <c r="GI298" s="129">
        <v>29.9</v>
      </c>
      <c r="GJ298" s="27"/>
    </row>
    <row r="299" spans="15:192" ht="3" customHeight="1">
      <c r="O299" s="17"/>
      <c r="P299" s="17"/>
      <c r="Q299" s="17"/>
      <c r="R299" s="17"/>
      <c r="S299" s="17"/>
      <c r="T299" s="17"/>
      <c r="U299" s="17"/>
      <c r="V299" s="17"/>
      <c r="W299" s="17"/>
      <c r="X299" s="129">
        <v>29.4</v>
      </c>
      <c r="Y299" s="27"/>
      <c r="AA299" s="17"/>
      <c r="AB299" s="17"/>
      <c r="AC299" s="17"/>
      <c r="AD299" s="17"/>
      <c r="AE299" s="17"/>
      <c r="AF299" s="17"/>
      <c r="AG299" s="17"/>
      <c r="AH299" s="17"/>
      <c r="AI299" s="129">
        <v>29.4</v>
      </c>
      <c r="AL299" s="17"/>
      <c r="AM299" s="17"/>
      <c r="AN299" s="17"/>
      <c r="AO299" s="17"/>
      <c r="AP299" s="17"/>
      <c r="AQ299" s="17"/>
      <c r="AR299" s="17"/>
      <c r="AS299" s="17"/>
      <c r="AT299" s="129">
        <v>29.4</v>
      </c>
      <c r="AW299" s="17"/>
      <c r="AX299" s="17"/>
      <c r="AY299" s="17"/>
      <c r="AZ299" s="17"/>
      <c r="BA299" s="17"/>
      <c r="BB299" s="17"/>
      <c r="BC299" s="17"/>
      <c r="BD299" s="17"/>
      <c r="BE299" s="129">
        <v>29.4</v>
      </c>
      <c r="BP299" s="129">
        <v>29.4</v>
      </c>
      <c r="BS299" s="17"/>
      <c r="BT299" s="17"/>
      <c r="BU299" s="17"/>
      <c r="BV299" s="17"/>
      <c r="BW299" s="17"/>
      <c r="BX299" s="17"/>
      <c r="BY299" s="17"/>
      <c r="BZ299" s="17"/>
      <c r="CA299" s="129">
        <v>29.4</v>
      </c>
      <c r="CD299" s="17"/>
      <c r="CE299" s="17"/>
      <c r="CF299" s="17"/>
      <c r="CG299" s="17"/>
      <c r="CH299" s="17"/>
      <c r="CI299" s="17"/>
      <c r="CJ299" s="17"/>
      <c r="CK299" s="17"/>
      <c r="CL299" s="129">
        <v>29.4</v>
      </c>
      <c r="CN299" s="129">
        <v>6.1999999999999993</v>
      </c>
      <c r="CO299" s="129">
        <v>6.1999999999999993</v>
      </c>
      <c r="CP299" s="129">
        <v>6.1999999999999993</v>
      </c>
      <c r="CQ299" s="129">
        <v>6.1999999999999993</v>
      </c>
      <c r="CR299" s="129">
        <v>6.1999999999999993</v>
      </c>
      <c r="CS299" s="129">
        <v>6.1999999999999993</v>
      </c>
      <c r="CT299" s="129">
        <v>6.1999999999999993</v>
      </c>
      <c r="CU299" s="129">
        <v>6.1999999999999993</v>
      </c>
      <c r="CV299" s="129">
        <v>6.1999999999999993</v>
      </c>
      <c r="CW299" s="129">
        <v>29.4</v>
      </c>
      <c r="CY299" s="129">
        <v>8.2000000000000028</v>
      </c>
      <c r="CZ299" s="129">
        <v>8.2000000000000028</v>
      </c>
      <c r="DA299" s="129">
        <v>8.2000000000000028</v>
      </c>
      <c r="DB299" s="129">
        <v>8.2000000000000028</v>
      </c>
      <c r="DC299" s="129">
        <v>8.2000000000000028</v>
      </c>
      <c r="DD299" s="129">
        <v>8.2000000000000028</v>
      </c>
      <c r="DE299" s="129">
        <v>8.2000000000000028</v>
      </c>
      <c r="DF299" s="129">
        <v>8.2000000000000028</v>
      </c>
      <c r="DG299" s="129">
        <v>8.2000000000000028</v>
      </c>
      <c r="DH299" s="129">
        <v>29.4</v>
      </c>
      <c r="DJ299" s="129">
        <v>8.2000000000000028</v>
      </c>
      <c r="DK299" s="129">
        <v>8.2000000000000028</v>
      </c>
      <c r="DL299" s="129">
        <v>8.2000000000000028</v>
      </c>
      <c r="DM299" s="129">
        <v>8.2000000000000028</v>
      </c>
      <c r="DN299" s="129">
        <v>8.2000000000000028</v>
      </c>
      <c r="DO299" s="129">
        <v>8.2000000000000028</v>
      </c>
      <c r="DP299" s="129">
        <v>8.2000000000000028</v>
      </c>
      <c r="DQ299" s="129">
        <v>8.2000000000000028</v>
      </c>
      <c r="DR299" s="129">
        <v>8.2000000000000028</v>
      </c>
      <c r="DS299" s="129">
        <v>29.4</v>
      </c>
      <c r="FZ299" s="27">
        <v>1</v>
      </c>
      <c r="GA299" s="27">
        <v>1</v>
      </c>
      <c r="GB299" s="27">
        <v>1</v>
      </c>
      <c r="GC299" s="27">
        <v>1</v>
      </c>
      <c r="GD299" s="27">
        <v>1</v>
      </c>
      <c r="GE299" s="27">
        <v>1</v>
      </c>
      <c r="GF299" s="27">
        <v>1</v>
      </c>
      <c r="GG299" s="27">
        <v>1</v>
      </c>
      <c r="GH299" s="27">
        <v>1</v>
      </c>
      <c r="GI299" s="129">
        <v>29.9</v>
      </c>
      <c r="GJ299" s="27"/>
    </row>
    <row r="300" spans="15:192" ht="3" customHeight="1">
      <c r="O300" s="17"/>
      <c r="P300" s="17"/>
      <c r="Q300" s="17"/>
      <c r="R300" s="17"/>
      <c r="S300" s="17"/>
      <c r="T300" s="17"/>
      <c r="U300" s="17"/>
      <c r="V300" s="17"/>
      <c r="W300" s="17"/>
      <c r="X300" s="129">
        <v>29.5</v>
      </c>
      <c r="Y300" s="27"/>
      <c r="AA300" s="17"/>
      <c r="AB300" s="17"/>
      <c r="AC300" s="17"/>
      <c r="AD300" s="17"/>
      <c r="AE300" s="17"/>
      <c r="AF300" s="17"/>
      <c r="AG300" s="17"/>
      <c r="AH300" s="17"/>
      <c r="AI300" s="129">
        <v>29.5</v>
      </c>
      <c r="AL300" s="17"/>
      <c r="AM300" s="17"/>
      <c r="AN300" s="17"/>
      <c r="AO300" s="17"/>
      <c r="AP300" s="17"/>
      <c r="AQ300" s="17"/>
      <c r="AR300" s="17"/>
      <c r="AS300" s="17"/>
      <c r="AT300" s="129">
        <v>29.5</v>
      </c>
      <c r="AW300" s="17"/>
      <c r="AX300" s="17"/>
      <c r="AY300" s="17"/>
      <c r="AZ300" s="17"/>
      <c r="BA300" s="17"/>
      <c r="BB300" s="17"/>
      <c r="BC300" s="17"/>
      <c r="BD300" s="17"/>
      <c r="BE300" s="129">
        <v>29.5</v>
      </c>
      <c r="BP300" s="129">
        <v>29.5</v>
      </c>
      <c r="BS300" s="17"/>
      <c r="BT300" s="17"/>
      <c r="BU300" s="17"/>
      <c r="BV300" s="17"/>
      <c r="BW300" s="17"/>
      <c r="BX300" s="17"/>
      <c r="BY300" s="17"/>
      <c r="BZ300" s="17"/>
      <c r="CA300" s="129">
        <v>29.5</v>
      </c>
      <c r="CD300" s="17"/>
      <c r="CE300" s="17"/>
      <c r="CF300" s="17"/>
      <c r="CG300" s="17"/>
      <c r="CH300" s="17"/>
      <c r="CI300" s="17"/>
      <c r="CJ300" s="17"/>
      <c r="CK300" s="17"/>
      <c r="CL300" s="129">
        <v>29.5</v>
      </c>
      <c r="CN300" s="129">
        <v>5.9999999999999991</v>
      </c>
      <c r="CO300" s="129">
        <v>5.9999999999999991</v>
      </c>
      <c r="CP300" s="129">
        <v>5.9999999999999991</v>
      </c>
      <c r="CQ300" s="129">
        <v>5.9999999999999991</v>
      </c>
      <c r="CR300" s="129">
        <v>5.9999999999999991</v>
      </c>
      <c r="CS300" s="129">
        <v>5.9999999999999991</v>
      </c>
      <c r="CT300" s="129">
        <v>5.9999999999999991</v>
      </c>
      <c r="CU300" s="129">
        <v>5.9999999999999991</v>
      </c>
      <c r="CV300" s="129">
        <v>5.9999999999999991</v>
      </c>
      <c r="CW300" s="129">
        <v>29.5</v>
      </c>
      <c r="CY300" s="129">
        <v>8.0000000000000036</v>
      </c>
      <c r="CZ300" s="129">
        <v>8.0000000000000036</v>
      </c>
      <c r="DA300" s="129">
        <v>8.0000000000000036</v>
      </c>
      <c r="DB300" s="129">
        <v>8.0000000000000036</v>
      </c>
      <c r="DC300" s="129">
        <v>8.0000000000000036</v>
      </c>
      <c r="DD300" s="129">
        <v>8.0000000000000036</v>
      </c>
      <c r="DE300" s="129">
        <v>8.0000000000000036</v>
      </c>
      <c r="DF300" s="129">
        <v>8.0000000000000036</v>
      </c>
      <c r="DG300" s="129">
        <v>8.0000000000000036</v>
      </c>
      <c r="DH300" s="129">
        <v>29.5</v>
      </c>
      <c r="DJ300" s="129">
        <v>8.0000000000000036</v>
      </c>
      <c r="DK300" s="129">
        <v>8.0000000000000036</v>
      </c>
      <c r="DL300" s="129">
        <v>8.0000000000000036</v>
      </c>
      <c r="DM300" s="129">
        <v>8.0000000000000036</v>
      </c>
      <c r="DN300" s="129">
        <v>8.0000000000000036</v>
      </c>
      <c r="DO300" s="129">
        <v>8.0000000000000036</v>
      </c>
      <c r="DP300" s="129">
        <v>8.0000000000000036</v>
      </c>
      <c r="DQ300" s="129">
        <v>8.0000000000000036</v>
      </c>
      <c r="DR300" s="129">
        <v>8.0000000000000036</v>
      </c>
      <c r="DS300" s="129">
        <v>29.5</v>
      </c>
      <c r="FZ300" s="27"/>
      <c r="GA300" s="27"/>
      <c r="GB300" s="27"/>
      <c r="GC300" s="27"/>
      <c r="GD300" s="27"/>
      <c r="GE300" s="27"/>
      <c r="GF300" s="27"/>
      <c r="GG300" s="27"/>
      <c r="GH300" s="27"/>
      <c r="GI300" s="129">
        <v>29.9</v>
      </c>
      <c r="GJ300" s="27"/>
    </row>
    <row r="301" spans="15:192" ht="3" customHeight="1">
      <c r="O301" s="17"/>
      <c r="P301" s="17"/>
      <c r="Q301" s="17"/>
      <c r="R301" s="17"/>
      <c r="S301" s="17"/>
      <c r="T301" s="17"/>
      <c r="U301" s="17"/>
      <c r="V301" s="17"/>
      <c r="W301" s="17"/>
      <c r="X301" s="129">
        <v>29.6</v>
      </c>
      <c r="Y301" s="27"/>
      <c r="AA301" s="17"/>
      <c r="AB301" s="17"/>
      <c r="AC301" s="17"/>
      <c r="AD301" s="17"/>
      <c r="AE301" s="17"/>
      <c r="AF301" s="17"/>
      <c r="AG301" s="17"/>
      <c r="AH301" s="17"/>
      <c r="AI301" s="129">
        <v>29.6</v>
      </c>
      <c r="AL301" s="17"/>
      <c r="AM301" s="17"/>
      <c r="AN301" s="17"/>
      <c r="AO301" s="17"/>
      <c r="AP301" s="17"/>
      <c r="AQ301" s="17"/>
      <c r="AR301" s="17"/>
      <c r="AS301" s="17"/>
      <c r="AT301" s="129">
        <v>29.6</v>
      </c>
      <c r="AW301" s="17"/>
      <c r="AX301" s="17"/>
      <c r="AY301" s="17"/>
      <c r="AZ301" s="17"/>
      <c r="BA301" s="17"/>
      <c r="BB301" s="17"/>
      <c r="BC301" s="17"/>
      <c r="BD301" s="17"/>
      <c r="BE301" s="129">
        <v>29.6</v>
      </c>
      <c r="BP301" s="129">
        <v>29.6</v>
      </c>
      <c r="BS301" s="17"/>
      <c r="BT301" s="17"/>
      <c r="BU301" s="17"/>
      <c r="BV301" s="17"/>
      <c r="BW301" s="17"/>
      <c r="BX301" s="17"/>
      <c r="BY301" s="17"/>
      <c r="BZ301" s="17"/>
      <c r="CA301" s="129">
        <v>29.6</v>
      </c>
      <c r="CD301" s="17"/>
      <c r="CE301" s="17"/>
      <c r="CF301" s="17"/>
      <c r="CG301" s="17"/>
      <c r="CH301" s="17"/>
      <c r="CI301" s="17"/>
      <c r="CJ301" s="17"/>
      <c r="CK301" s="17"/>
      <c r="CL301" s="129">
        <v>29.6</v>
      </c>
      <c r="CN301" s="129">
        <v>5.7999999999999989</v>
      </c>
      <c r="CO301" s="129">
        <v>5.7999999999999989</v>
      </c>
      <c r="CP301" s="129">
        <v>5.7999999999999989</v>
      </c>
      <c r="CQ301" s="129">
        <v>5.7999999999999989</v>
      </c>
      <c r="CR301" s="129">
        <v>5.7999999999999989</v>
      </c>
      <c r="CS301" s="129">
        <v>5.7999999999999989</v>
      </c>
      <c r="CT301" s="129">
        <v>5.7999999999999989</v>
      </c>
      <c r="CU301" s="129">
        <v>5.7999999999999989</v>
      </c>
      <c r="CV301" s="129">
        <v>5.7999999999999989</v>
      </c>
      <c r="CW301" s="129">
        <v>29.6</v>
      </c>
      <c r="CY301" s="129">
        <v>7.8000000000000034</v>
      </c>
      <c r="CZ301" s="129">
        <v>7.8000000000000034</v>
      </c>
      <c r="DA301" s="129">
        <v>7.8000000000000034</v>
      </c>
      <c r="DB301" s="129">
        <v>7.8000000000000034</v>
      </c>
      <c r="DC301" s="129">
        <v>7.8000000000000034</v>
      </c>
      <c r="DD301" s="129">
        <v>7.8000000000000034</v>
      </c>
      <c r="DE301" s="129">
        <v>7.8000000000000034</v>
      </c>
      <c r="DF301" s="129">
        <v>7.8000000000000034</v>
      </c>
      <c r="DG301" s="129">
        <v>7.8000000000000034</v>
      </c>
      <c r="DH301" s="129">
        <v>29.6</v>
      </c>
      <c r="DJ301" s="129">
        <v>7.8000000000000034</v>
      </c>
      <c r="DK301" s="129">
        <v>7.8000000000000034</v>
      </c>
      <c r="DL301" s="129">
        <v>7.8000000000000034</v>
      </c>
      <c r="DM301" s="129">
        <v>7.8000000000000034</v>
      </c>
      <c r="DN301" s="129">
        <v>7.8000000000000034</v>
      </c>
      <c r="DO301" s="129">
        <v>7.8000000000000034</v>
      </c>
      <c r="DP301" s="129">
        <v>7.8000000000000034</v>
      </c>
      <c r="DQ301" s="129">
        <v>7.8000000000000034</v>
      </c>
      <c r="DR301" s="129">
        <v>7.8000000000000034</v>
      </c>
      <c r="DS301" s="129">
        <v>29.6</v>
      </c>
      <c r="FZ301" s="27"/>
      <c r="GA301" s="27"/>
      <c r="GB301" s="27"/>
      <c r="GC301" s="27"/>
      <c r="GD301" s="27"/>
      <c r="GE301" s="27"/>
      <c r="GF301" s="27"/>
      <c r="GG301" s="27"/>
      <c r="GH301" s="27"/>
      <c r="GI301" s="129">
        <v>29.9</v>
      </c>
      <c r="GJ301" s="27"/>
    </row>
    <row r="302" spans="15:192" ht="3" customHeight="1">
      <c r="O302" s="17"/>
      <c r="P302" s="17"/>
      <c r="Q302" s="17"/>
      <c r="R302" s="17"/>
      <c r="S302" s="17"/>
      <c r="T302" s="17"/>
      <c r="U302" s="17"/>
      <c r="V302" s="17"/>
      <c r="W302" s="17"/>
      <c r="X302" s="129">
        <v>29.7</v>
      </c>
      <c r="Y302" s="27"/>
      <c r="AA302" s="17"/>
      <c r="AB302" s="17"/>
      <c r="AC302" s="17"/>
      <c r="AD302" s="17"/>
      <c r="AE302" s="17"/>
      <c r="AF302" s="17"/>
      <c r="AG302" s="17"/>
      <c r="AH302" s="17"/>
      <c r="AI302" s="129">
        <v>29.7</v>
      </c>
      <c r="AL302" s="17"/>
      <c r="AM302" s="17"/>
      <c r="AN302" s="17"/>
      <c r="AO302" s="17"/>
      <c r="AP302" s="17"/>
      <c r="AQ302" s="17"/>
      <c r="AR302" s="17"/>
      <c r="AS302" s="17"/>
      <c r="AT302" s="129">
        <v>29.7</v>
      </c>
      <c r="AW302" s="17"/>
      <c r="AX302" s="17"/>
      <c r="AY302" s="17"/>
      <c r="AZ302" s="17"/>
      <c r="BA302" s="17"/>
      <c r="BB302" s="17"/>
      <c r="BC302" s="17"/>
      <c r="BD302" s="17"/>
      <c r="BE302" s="129">
        <v>29.7</v>
      </c>
      <c r="BP302" s="129">
        <v>29.7</v>
      </c>
      <c r="BS302" s="17"/>
      <c r="BT302" s="17"/>
      <c r="BU302" s="17"/>
      <c r="BV302" s="17"/>
      <c r="BW302" s="17"/>
      <c r="BX302" s="17"/>
      <c r="BY302" s="17"/>
      <c r="BZ302" s="17"/>
      <c r="CA302" s="129">
        <v>29.7</v>
      </c>
      <c r="CD302" s="17"/>
      <c r="CE302" s="17"/>
      <c r="CF302" s="17"/>
      <c r="CG302" s="17"/>
      <c r="CH302" s="17"/>
      <c r="CI302" s="17"/>
      <c r="CJ302" s="17"/>
      <c r="CK302" s="17"/>
      <c r="CL302" s="129">
        <v>29.7</v>
      </c>
      <c r="CN302" s="129">
        <v>5.5999999999999988</v>
      </c>
      <c r="CO302" s="129">
        <v>5.5999999999999988</v>
      </c>
      <c r="CP302" s="129">
        <v>5.5999999999999988</v>
      </c>
      <c r="CQ302" s="129">
        <v>5.5999999999999988</v>
      </c>
      <c r="CR302" s="129">
        <v>5.5999999999999988</v>
      </c>
      <c r="CS302" s="129">
        <v>5.5999999999999988</v>
      </c>
      <c r="CT302" s="129">
        <v>5.5999999999999988</v>
      </c>
      <c r="CU302" s="129">
        <v>5.5999999999999988</v>
      </c>
      <c r="CV302" s="129">
        <v>5.5999999999999988</v>
      </c>
      <c r="CW302" s="129">
        <v>29.7</v>
      </c>
      <c r="CY302" s="129">
        <v>7.6000000000000032</v>
      </c>
      <c r="CZ302" s="129">
        <v>7.6000000000000032</v>
      </c>
      <c r="DA302" s="129">
        <v>7.6000000000000032</v>
      </c>
      <c r="DB302" s="129">
        <v>7.6000000000000032</v>
      </c>
      <c r="DC302" s="129">
        <v>7.6000000000000032</v>
      </c>
      <c r="DD302" s="129">
        <v>7.6000000000000032</v>
      </c>
      <c r="DE302" s="129">
        <v>7.6000000000000032</v>
      </c>
      <c r="DF302" s="129">
        <v>7.6000000000000032</v>
      </c>
      <c r="DG302" s="129">
        <v>7.6000000000000032</v>
      </c>
      <c r="DH302" s="129">
        <v>29.7</v>
      </c>
      <c r="DJ302" s="129">
        <v>7.6000000000000032</v>
      </c>
      <c r="DK302" s="129">
        <v>7.6000000000000032</v>
      </c>
      <c r="DL302" s="129">
        <v>7.6000000000000032</v>
      </c>
      <c r="DM302" s="129">
        <v>7.6000000000000032</v>
      </c>
      <c r="DN302" s="129">
        <v>7.6000000000000032</v>
      </c>
      <c r="DO302" s="129">
        <v>7.6000000000000032</v>
      </c>
      <c r="DP302" s="129">
        <v>7.6000000000000032</v>
      </c>
      <c r="DQ302" s="129">
        <v>7.6000000000000032</v>
      </c>
      <c r="DR302" s="129">
        <v>7.6000000000000032</v>
      </c>
      <c r="DS302" s="129">
        <v>29.7</v>
      </c>
      <c r="FZ302" s="27"/>
      <c r="GA302" s="27"/>
      <c r="GB302" s="27"/>
      <c r="GC302" s="27"/>
      <c r="GD302" s="27"/>
      <c r="GE302" s="27"/>
      <c r="GF302" s="27"/>
      <c r="GG302" s="27"/>
      <c r="GH302" s="27"/>
      <c r="GI302" s="129">
        <v>29.9</v>
      </c>
      <c r="GJ302" s="27"/>
    </row>
    <row r="303" spans="15:192" ht="3" customHeight="1">
      <c r="O303" s="17"/>
      <c r="P303" s="17"/>
      <c r="Q303" s="17"/>
      <c r="R303" s="17"/>
      <c r="S303" s="17"/>
      <c r="T303" s="17"/>
      <c r="U303" s="17"/>
      <c r="V303" s="17"/>
      <c r="W303" s="17"/>
      <c r="X303" s="129">
        <v>29.8</v>
      </c>
      <c r="Y303" s="27"/>
      <c r="AA303" s="17"/>
      <c r="AB303" s="17"/>
      <c r="AC303" s="17"/>
      <c r="AD303" s="17"/>
      <c r="AE303" s="17"/>
      <c r="AF303" s="17"/>
      <c r="AG303" s="17"/>
      <c r="AH303" s="17"/>
      <c r="AI303" s="129">
        <v>29.8</v>
      </c>
      <c r="AL303" s="17"/>
      <c r="AM303" s="17"/>
      <c r="AN303" s="17"/>
      <c r="AO303" s="17"/>
      <c r="AP303" s="17"/>
      <c r="AQ303" s="17"/>
      <c r="AR303" s="17"/>
      <c r="AS303" s="17"/>
      <c r="AT303" s="129">
        <v>29.8</v>
      </c>
      <c r="AW303" s="17"/>
      <c r="AX303" s="17"/>
      <c r="AY303" s="17"/>
      <c r="AZ303" s="17"/>
      <c r="BA303" s="17"/>
      <c r="BB303" s="17"/>
      <c r="BC303" s="17"/>
      <c r="BD303" s="17"/>
      <c r="BE303" s="129">
        <v>29.8</v>
      </c>
      <c r="BP303" s="129">
        <v>29.8</v>
      </c>
      <c r="BS303" s="17"/>
      <c r="BT303" s="17"/>
      <c r="BU303" s="17"/>
      <c r="BV303" s="17"/>
      <c r="BW303" s="17"/>
      <c r="BX303" s="17"/>
      <c r="BY303" s="17"/>
      <c r="BZ303" s="17"/>
      <c r="CA303" s="129">
        <v>29.8</v>
      </c>
      <c r="CD303" s="17"/>
      <c r="CE303" s="17"/>
      <c r="CF303" s="17"/>
      <c r="CG303" s="17"/>
      <c r="CH303" s="17"/>
      <c r="CI303" s="17"/>
      <c r="CJ303" s="17"/>
      <c r="CK303" s="17"/>
      <c r="CL303" s="129">
        <v>29.8</v>
      </c>
      <c r="CN303" s="129">
        <v>5.3999999999999986</v>
      </c>
      <c r="CO303" s="129">
        <v>5.3999999999999986</v>
      </c>
      <c r="CP303" s="129">
        <v>5.3999999999999986</v>
      </c>
      <c r="CQ303" s="129">
        <v>5.3999999999999986</v>
      </c>
      <c r="CR303" s="129">
        <v>5.3999999999999986</v>
      </c>
      <c r="CS303" s="129">
        <v>5.3999999999999986</v>
      </c>
      <c r="CT303" s="129">
        <v>5.3999999999999986</v>
      </c>
      <c r="CU303" s="129">
        <v>5.3999999999999986</v>
      </c>
      <c r="CV303" s="129">
        <v>5.3999999999999986</v>
      </c>
      <c r="CW303" s="129">
        <v>29.8</v>
      </c>
      <c r="CY303" s="129">
        <v>7.400000000000003</v>
      </c>
      <c r="CZ303" s="129">
        <v>7.400000000000003</v>
      </c>
      <c r="DA303" s="129">
        <v>7.400000000000003</v>
      </c>
      <c r="DB303" s="129">
        <v>7.400000000000003</v>
      </c>
      <c r="DC303" s="129">
        <v>7.400000000000003</v>
      </c>
      <c r="DD303" s="129">
        <v>7.400000000000003</v>
      </c>
      <c r="DE303" s="129">
        <v>7.400000000000003</v>
      </c>
      <c r="DF303" s="129">
        <v>7.400000000000003</v>
      </c>
      <c r="DG303" s="129">
        <v>7.400000000000003</v>
      </c>
      <c r="DH303" s="129">
        <v>29.8</v>
      </c>
      <c r="DJ303" s="129">
        <v>7.400000000000003</v>
      </c>
      <c r="DK303" s="129">
        <v>7.400000000000003</v>
      </c>
      <c r="DL303" s="129">
        <v>7.400000000000003</v>
      </c>
      <c r="DM303" s="129">
        <v>7.400000000000003</v>
      </c>
      <c r="DN303" s="129">
        <v>7.400000000000003</v>
      </c>
      <c r="DO303" s="129">
        <v>7.400000000000003</v>
      </c>
      <c r="DP303" s="129">
        <v>7.400000000000003</v>
      </c>
      <c r="DQ303" s="129">
        <v>7.400000000000003</v>
      </c>
      <c r="DR303" s="129">
        <v>7.400000000000003</v>
      </c>
      <c r="DS303" s="129">
        <v>29.8</v>
      </c>
      <c r="FZ303" s="27"/>
      <c r="GA303" s="27"/>
      <c r="GB303" s="27"/>
      <c r="GC303" s="27"/>
      <c r="GD303" s="27"/>
      <c r="GE303" s="27"/>
      <c r="GF303" s="27"/>
      <c r="GG303" s="27"/>
      <c r="GH303" s="27"/>
      <c r="GI303" s="129">
        <v>29.9</v>
      </c>
      <c r="GJ303" s="27"/>
    </row>
    <row r="304" spans="15:192" ht="3" customHeight="1">
      <c r="O304" s="17"/>
      <c r="P304" s="17"/>
      <c r="Q304" s="17"/>
      <c r="R304" s="17"/>
      <c r="S304" s="17"/>
      <c r="T304" s="17"/>
      <c r="U304" s="17"/>
      <c r="V304" s="17"/>
      <c r="W304" s="17"/>
      <c r="X304" s="129">
        <v>29.9</v>
      </c>
      <c r="Y304" s="27"/>
      <c r="AA304" s="17"/>
      <c r="AB304" s="17"/>
      <c r="AC304" s="17"/>
      <c r="AD304" s="17"/>
      <c r="AE304" s="17"/>
      <c r="AF304" s="17"/>
      <c r="AG304" s="17"/>
      <c r="AH304" s="17"/>
      <c r="AI304" s="129">
        <v>29.9</v>
      </c>
      <c r="AL304" s="17"/>
      <c r="AM304" s="17"/>
      <c r="AN304" s="17"/>
      <c r="AO304" s="17"/>
      <c r="AP304" s="17"/>
      <c r="AQ304" s="17"/>
      <c r="AR304" s="17"/>
      <c r="AS304" s="17"/>
      <c r="AT304" s="129">
        <v>29.9</v>
      </c>
      <c r="AW304" s="17"/>
      <c r="AX304" s="17"/>
      <c r="AY304" s="17"/>
      <c r="AZ304" s="17"/>
      <c r="BA304" s="17"/>
      <c r="BB304" s="17"/>
      <c r="BC304" s="17"/>
      <c r="BD304" s="17"/>
      <c r="BE304" s="129">
        <v>29.9</v>
      </c>
      <c r="BP304" s="129">
        <v>29.9</v>
      </c>
      <c r="BS304" s="17"/>
      <c r="BT304" s="17"/>
      <c r="BU304" s="17"/>
      <c r="BV304" s="17"/>
      <c r="BW304" s="17"/>
      <c r="BX304" s="17"/>
      <c r="BY304" s="17"/>
      <c r="BZ304" s="17"/>
      <c r="CA304" s="129">
        <v>29.9</v>
      </c>
      <c r="CD304" s="17"/>
      <c r="CE304" s="17"/>
      <c r="CF304" s="17"/>
      <c r="CG304" s="17"/>
      <c r="CH304" s="17"/>
      <c r="CI304" s="17"/>
      <c r="CJ304" s="17"/>
      <c r="CK304" s="17"/>
      <c r="CL304" s="129">
        <v>29.9</v>
      </c>
      <c r="CN304" s="129">
        <v>5.1999999999999984</v>
      </c>
      <c r="CO304" s="129">
        <v>5.1999999999999984</v>
      </c>
      <c r="CP304" s="129">
        <v>5.1999999999999984</v>
      </c>
      <c r="CQ304" s="129">
        <v>5.1999999999999984</v>
      </c>
      <c r="CR304" s="129">
        <v>5.1999999999999984</v>
      </c>
      <c r="CS304" s="129">
        <v>5.1999999999999984</v>
      </c>
      <c r="CT304" s="129">
        <v>5.1999999999999984</v>
      </c>
      <c r="CU304" s="129">
        <v>5.1999999999999984</v>
      </c>
      <c r="CV304" s="129">
        <v>5.1999999999999984</v>
      </c>
      <c r="CW304" s="129">
        <v>29.9</v>
      </c>
      <c r="CY304" s="129">
        <v>7.2000000000000028</v>
      </c>
      <c r="CZ304" s="129">
        <v>7.2000000000000028</v>
      </c>
      <c r="DA304" s="129">
        <v>7.2000000000000028</v>
      </c>
      <c r="DB304" s="129">
        <v>7.2000000000000028</v>
      </c>
      <c r="DC304" s="129">
        <v>7.2000000000000028</v>
      </c>
      <c r="DD304" s="129">
        <v>7.2000000000000028</v>
      </c>
      <c r="DE304" s="129">
        <v>7.2000000000000028</v>
      </c>
      <c r="DF304" s="129">
        <v>7.2000000000000028</v>
      </c>
      <c r="DG304" s="129">
        <v>7.2000000000000028</v>
      </c>
      <c r="DH304" s="129">
        <v>29.9</v>
      </c>
      <c r="DJ304" s="129">
        <v>7.2000000000000028</v>
      </c>
      <c r="DK304" s="129">
        <v>7.2000000000000028</v>
      </c>
      <c r="DL304" s="129">
        <v>7.2000000000000028</v>
      </c>
      <c r="DM304" s="129">
        <v>7.2000000000000028</v>
      </c>
      <c r="DN304" s="129">
        <v>7.2000000000000028</v>
      </c>
      <c r="DO304" s="129">
        <v>7.2000000000000028</v>
      </c>
      <c r="DP304" s="129">
        <v>7.2000000000000028</v>
      </c>
      <c r="DQ304" s="129">
        <v>7.2000000000000028</v>
      </c>
      <c r="DR304" s="129">
        <v>7.2000000000000028</v>
      </c>
      <c r="DS304" s="129">
        <v>29.9</v>
      </c>
      <c r="FZ304" s="27"/>
      <c r="GA304" s="27"/>
      <c r="GB304" s="27"/>
      <c r="GC304" s="27"/>
      <c r="GD304" s="27"/>
      <c r="GE304" s="27"/>
      <c r="GF304" s="27"/>
      <c r="GG304" s="27"/>
      <c r="GH304" s="27"/>
      <c r="GI304" s="129">
        <v>29.9</v>
      </c>
      <c r="GJ304" s="27"/>
    </row>
    <row r="305" spans="15:192" ht="3" customHeight="1">
      <c r="O305" s="17"/>
      <c r="P305" s="17"/>
      <c r="Q305" s="17"/>
      <c r="R305" s="17"/>
      <c r="S305" s="17"/>
      <c r="T305" s="17"/>
      <c r="U305" s="17"/>
      <c r="V305" s="17"/>
      <c r="W305" s="17"/>
      <c r="X305" s="129">
        <v>30</v>
      </c>
      <c r="Y305" s="27"/>
      <c r="AA305" s="17"/>
      <c r="AB305" s="17"/>
      <c r="AC305" s="17"/>
      <c r="AD305" s="17"/>
      <c r="AE305" s="17"/>
      <c r="AF305" s="17"/>
      <c r="AG305" s="17"/>
      <c r="AH305" s="17"/>
      <c r="AI305" s="129">
        <v>30</v>
      </c>
      <c r="AL305" s="17"/>
      <c r="AM305" s="17"/>
      <c r="AN305" s="17"/>
      <c r="AO305" s="17"/>
      <c r="AP305" s="17"/>
      <c r="AQ305" s="17"/>
      <c r="AR305" s="17"/>
      <c r="AS305" s="17"/>
      <c r="AT305" s="129">
        <v>30</v>
      </c>
      <c r="AW305" s="17"/>
      <c r="AX305" s="17"/>
      <c r="AY305" s="17"/>
      <c r="AZ305" s="17"/>
      <c r="BA305" s="17"/>
      <c r="BB305" s="17"/>
      <c r="BC305" s="17"/>
      <c r="BD305" s="17"/>
      <c r="BE305" s="129">
        <v>30</v>
      </c>
      <c r="BP305" s="129">
        <v>30</v>
      </c>
      <c r="BS305" s="17"/>
      <c r="BT305" s="17"/>
      <c r="BU305" s="17"/>
      <c r="BV305" s="17"/>
      <c r="BW305" s="17"/>
      <c r="BX305" s="17"/>
      <c r="BY305" s="17"/>
      <c r="BZ305" s="17"/>
      <c r="CA305" s="129">
        <v>30</v>
      </c>
      <c r="CN305" s="129">
        <v>6</v>
      </c>
      <c r="CO305" s="129">
        <v>6</v>
      </c>
      <c r="CP305" s="129">
        <v>6</v>
      </c>
      <c r="CQ305" s="129">
        <v>6</v>
      </c>
      <c r="CR305" s="129">
        <v>6</v>
      </c>
      <c r="CS305" s="129">
        <v>6</v>
      </c>
      <c r="CT305" s="129">
        <v>6</v>
      </c>
      <c r="CU305" s="129">
        <v>6</v>
      </c>
      <c r="CV305" s="129">
        <v>6</v>
      </c>
      <c r="CY305" s="129">
        <v>8</v>
      </c>
      <c r="CZ305" s="129">
        <v>8</v>
      </c>
      <c r="DA305" s="129">
        <v>8</v>
      </c>
      <c r="DB305" s="129">
        <v>8</v>
      </c>
      <c r="DC305" s="129">
        <v>8</v>
      </c>
      <c r="DD305" s="129">
        <v>8</v>
      </c>
      <c r="DE305" s="129">
        <v>8</v>
      </c>
      <c r="DF305" s="129">
        <v>8</v>
      </c>
      <c r="DG305" s="129">
        <v>8</v>
      </c>
      <c r="DJ305" s="129">
        <v>8</v>
      </c>
      <c r="DK305" s="129">
        <v>8</v>
      </c>
      <c r="DL305" s="129">
        <v>8</v>
      </c>
      <c r="DM305" s="129">
        <v>8</v>
      </c>
      <c r="DN305" s="129">
        <v>8</v>
      </c>
      <c r="DO305" s="129">
        <v>8</v>
      </c>
      <c r="DP305" s="129">
        <v>8</v>
      </c>
      <c r="DQ305" s="129">
        <v>8</v>
      </c>
      <c r="DR305" s="129">
        <v>8</v>
      </c>
      <c r="FZ305" s="27"/>
      <c r="GA305" s="27"/>
      <c r="GB305" s="27"/>
      <c r="GC305" s="27"/>
      <c r="GD305" s="27"/>
      <c r="GE305" s="27"/>
      <c r="GF305" s="27"/>
      <c r="GG305" s="27"/>
      <c r="GH305" s="27"/>
      <c r="GI305" s="129">
        <v>29.9</v>
      </c>
      <c r="GJ305" s="27"/>
    </row>
    <row r="306" spans="15:192">
      <c r="GI306" s="129">
        <v>29.9</v>
      </c>
    </row>
    <row r="307" spans="15:192">
      <c r="GI307" s="129">
        <v>29.9</v>
      </c>
    </row>
    <row r="308" spans="15:192">
      <c r="GI308" s="129">
        <v>29.9</v>
      </c>
    </row>
    <row r="309" spans="15:192">
      <c r="GI309" s="129">
        <v>29.9</v>
      </c>
    </row>
    <row r="310" spans="15:192">
      <c r="GI310" s="129">
        <v>29.9</v>
      </c>
    </row>
  </sheetData>
  <sheetProtection algorithmName="SHA-512" hashValue="pftJzgItHMojkp/ZDAJ7EHwm/FEeI7HFrQf/irXVnb8RNsI0Z3LAuFl2CR9jNyPrLbtYtEaDS3wzUnPk22rtRA==" saltValue="kxI5KEepLfn6fSFArTzdDQ==" spinCount="100000" sheet="1" objects="1" scenarios="1"/>
  <mergeCells count="46">
    <mergeCell ref="H4:K4"/>
    <mergeCell ref="B4:G4"/>
    <mergeCell ref="B16:K16"/>
    <mergeCell ref="H17:K17"/>
    <mergeCell ref="B17:G17"/>
    <mergeCell ref="BG1:BO1"/>
    <mergeCell ref="BG3:BO3"/>
    <mergeCell ref="BR3:BZ3"/>
    <mergeCell ref="BR1:BZ1"/>
    <mergeCell ref="B3:K3"/>
    <mergeCell ref="Z1:AH1"/>
    <mergeCell ref="Z3:AH3"/>
    <mergeCell ref="AK1:AS1"/>
    <mergeCell ref="AK3:AS3"/>
    <mergeCell ref="AV1:BD1"/>
    <mergeCell ref="AV3:BD3"/>
    <mergeCell ref="M1:N1"/>
    <mergeCell ref="CC1:CK1"/>
    <mergeCell ref="CC3:CK3"/>
    <mergeCell ref="CN1:CV1"/>
    <mergeCell ref="CN3:CV3"/>
    <mergeCell ref="CY1:DG1"/>
    <mergeCell ref="CY3:DG3"/>
    <mergeCell ref="DJ1:DR1"/>
    <mergeCell ref="DJ3:DR3"/>
    <mergeCell ref="DW1:EE1"/>
    <mergeCell ref="DW3:EE3"/>
    <mergeCell ref="DU1:DV1"/>
    <mergeCell ref="EH1:EP1"/>
    <mergeCell ref="EH3:EP3"/>
    <mergeCell ref="ES1:FA1"/>
    <mergeCell ref="ES3:FA3"/>
    <mergeCell ref="FD1:FL1"/>
    <mergeCell ref="FD3:FL3"/>
    <mergeCell ref="FO1:FW1"/>
    <mergeCell ref="FO3:FW3"/>
    <mergeCell ref="FZ1:GH1"/>
    <mergeCell ref="FZ3:GH3"/>
    <mergeCell ref="GK1:GS1"/>
    <mergeCell ref="GK3:GS3"/>
    <mergeCell ref="GV1:HD1"/>
    <mergeCell ref="GV3:HD3"/>
    <mergeCell ref="HG1:HO1"/>
    <mergeCell ref="HG3:HO3"/>
    <mergeCell ref="HR1:HZ1"/>
    <mergeCell ref="HR3:HZ3"/>
  </mergeCells>
  <phoneticPr fontId="33"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1"/>
  <dimension ref="B1:AQ108"/>
  <sheetViews>
    <sheetView workbookViewId="0"/>
  </sheetViews>
  <sheetFormatPr defaultColWidth="11.42578125" defaultRowHeight="14.45"/>
  <cols>
    <col min="3" max="3" width="12.140625" customWidth="1"/>
    <col min="4" max="4" width="10.140625" customWidth="1"/>
    <col min="7" max="10" width="3.5703125" customWidth="1"/>
    <col min="11" max="11" width="12" customWidth="1"/>
    <col min="12" max="12" width="18.140625" customWidth="1"/>
    <col min="13" max="13" width="14.5703125" customWidth="1"/>
    <col min="14" max="14" width="9.42578125" customWidth="1"/>
    <col min="16" max="16" width="13.5703125" customWidth="1"/>
    <col min="19" max="19" width="13.5703125" customWidth="1"/>
    <col min="25" max="25" width="3.7109375" customWidth="1"/>
    <col min="26" max="27" width="12.7109375" customWidth="1"/>
    <col min="29" max="29" width="16" customWidth="1"/>
  </cols>
  <sheetData>
    <row r="1" spans="2:43" ht="15" thickBot="1"/>
    <row r="2" spans="2:43" ht="15" thickTop="1">
      <c r="B2" s="174"/>
      <c r="C2" s="189"/>
      <c r="D2" s="190"/>
      <c r="E2" s="190"/>
      <c r="F2" s="191"/>
      <c r="G2" s="136"/>
      <c r="H2" s="136"/>
      <c r="I2" s="136"/>
      <c r="J2" s="193"/>
      <c r="K2" s="190"/>
      <c r="L2" s="190"/>
      <c r="M2" s="190"/>
      <c r="N2" s="191"/>
      <c r="O2" s="137"/>
      <c r="P2" s="1701" t="s">
        <v>643</v>
      </c>
      <c r="Q2" s="1702"/>
      <c r="R2" s="1702"/>
      <c r="S2" s="1703"/>
      <c r="T2" s="214"/>
      <c r="U2" s="174"/>
      <c r="V2" s="176"/>
      <c r="W2" s="176"/>
      <c r="X2" s="176"/>
      <c r="Y2" s="176"/>
      <c r="Z2" s="176"/>
      <c r="AA2" s="176"/>
      <c r="AB2" s="176"/>
      <c r="AC2" s="177"/>
      <c r="AF2" s="137"/>
      <c r="AG2" s="137"/>
      <c r="AH2" s="137"/>
      <c r="AI2" s="137"/>
      <c r="AJ2" s="137"/>
      <c r="AK2" s="137"/>
      <c r="AL2" s="137"/>
      <c r="AM2" s="137"/>
      <c r="AN2" s="137"/>
      <c r="AO2" s="137"/>
      <c r="AP2" s="137"/>
      <c r="AQ2" s="137"/>
    </row>
    <row r="3" spans="2:43" ht="14.45" customHeight="1">
      <c r="B3" s="192"/>
      <c r="C3" s="10" t="s">
        <v>644</v>
      </c>
      <c r="F3" s="179"/>
      <c r="J3" s="178"/>
      <c r="K3" s="1704" t="s">
        <v>645</v>
      </c>
      <c r="L3" s="1705"/>
      <c r="M3" s="1706"/>
      <c r="N3" s="180"/>
      <c r="O3" s="137"/>
      <c r="P3" s="200"/>
      <c r="Q3" s="201"/>
      <c r="R3" s="201"/>
      <c r="S3" s="202"/>
      <c r="T3" s="156"/>
      <c r="U3" s="178"/>
      <c r="V3" s="10" t="s">
        <v>646</v>
      </c>
      <c r="AC3" s="179"/>
      <c r="AF3" s="137"/>
      <c r="AG3" s="137"/>
      <c r="AH3" s="137"/>
      <c r="AI3" s="137"/>
      <c r="AJ3" s="137"/>
      <c r="AK3" s="137"/>
      <c r="AL3" s="137"/>
      <c r="AM3" s="137"/>
      <c r="AN3" s="137"/>
      <c r="AO3" s="137"/>
      <c r="AP3" s="137"/>
      <c r="AQ3" s="137"/>
    </row>
    <row r="4" spans="2:43" ht="17.649999999999999" customHeight="1">
      <c r="B4" s="178"/>
      <c r="C4" s="203" t="s">
        <v>647</v>
      </c>
      <c r="D4" s="204"/>
      <c r="E4" s="204"/>
      <c r="F4" s="208" t="e">
        <f>VLOOKUP('Saisie de données'!J20,'Charges de neige'!C5:S672,17,0)</f>
        <v>#N/A</v>
      </c>
      <c r="G4" s="157"/>
      <c r="J4" s="178"/>
      <c r="K4" s="1688" t="s">
        <v>313</v>
      </c>
      <c r="L4" s="1688" t="s">
        <v>648</v>
      </c>
      <c r="M4" s="1688"/>
      <c r="N4" s="180"/>
      <c r="O4" s="137"/>
      <c r="P4" s="1707" t="s">
        <v>649</v>
      </c>
      <c r="Q4" s="1708"/>
      <c r="R4" s="1708"/>
      <c r="S4" s="1709"/>
      <c r="T4" s="215"/>
      <c r="U4" s="178"/>
      <c r="V4" s="1113" t="s">
        <v>650</v>
      </c>
      <c r="W4" s="1113"/>
      <c r="Y4" s="1698" t="s">
        <v>111</v>
      </c>
      <c r="Z4" s="36" t="s">
        <v>651</v>
      </c>
      <c r="AA4" s="1696" t="e">
        <f>M9-M8</f>
        <v>#N/A</v>
      </c>
      <c r="AB4" s="1697"/>
      <c r="AC4" s="179"/>
      <c r="AF4" s="137"/>
      <c r="AG4" s="137"/>
      <c r="AH4" s="137"/>
      <c r="AI4" s="137"/>
      <c r="AJ4" s="137"/>
      <c r="AK4" s="137"/>
      <c r="AL4" s="137"/>
      <c r="AM4" s="137"/>
      <c r="AN4" s="137"/>
      <c r="AO4" s="137"/>
      <c r="AP4" s="137"/>
      <c r="AQ4" s="137"/>
    </row>
    <row r="5" spans="2:43" ht="14.45" customHeight="1">
      <c r="B5" s="178"/>
      <c r="C5" s="206" t="s">
        <v>652</v>
      </c>
      <c r="D5" s="206"/>
      <c r="E5" s="206"/>
      <c r="F5" s="207">
        <f>VLOOKUP('Saisie de données'!E45,'Menu déroulant'!AA8:AD11,4,FALSE)</f>
        <v>1</v>
      </c>
      <c r="J5" s="178"/>
      <c r="K5" s="1689"/>
      <c r="L5" s="145" t="s">
        <v>653</v>
      </c>
      <c r="M5" s="145" t="s">
        <v>654</v>
      </c>
      <c r="N5" s="180"/>
      <c r="O5" s="137"/>
      <c r="P5" s="1707"/>
      <c r="Q5" s="1708"/>
      <c r="R5" s="1708"/>
      <c r="S5" s="1709"/>
      <c r="T5" s="215"/>
      <c r="U5" s="178"/>
      <c r="V5" s="28" t="s">
        <v>655</v>
      </c>
      <c r="W5" s="28" t="s">
        <v>338</v>
      </c>
      <c r="Y5" s="1699"/>
      <c r="Z5" s="36" t="s">
        <v>656</v>
      </c>
      <c r="AA5" s="1696" t="e">
        <f>IF(OR('Saisie de données'!$E$51='Menu déroulant'!$AE$57,'Saisie de données'!$K$51='Menu déroulant'!$AE$57),"-",M9-M12)</f>
        <v>#N/A</v>
      </c>
      <c r="AB5" s="1697"/>
      <c r="AC5" s="179"/>
      <c r="AF5" s="136"/>
      <c r="AG5" s="136"/>
      <c r="AH5" s="136"/>
      <c r="AI5" s="136"/>
      <c r="AJ5" s="136"/>
      <c r="AK5" s="136"/>
      <c r="AL5" s="136"/>
      <c r="AM5" s="136"/>
      <c r="AN5" s="136"/>
      <c r="AO5" s="136"/>
      <c r="AP5" s="136"/>
      <c r="AQ5" s="137"/>
    </row>
    <row r="6" spans="2:43">
      <c r="B6" s="178"/>
      <c r="C6" s="206" t="s">
        <v>657</v>
      </c>
      <c r="D6" s="204"/>
      <c r="E6" s="204"/>
      <c r="F6" s="208" cm="1">
        <f t="array" ref="F6">_xlfn.IFS('Saisie de données'!E49='Menu déroulant'!AA12,MAX((F7/10)^(0.2),0.9),'Saisie de données'!E49='Menu déroulant'!AA13,MAX(0.7*(F7/12)^(0.3),0.7))</f>
        <v>0.97562426250289891</v>
      </c>
      <c r="H6" s="1413"/>
      <c r="I6" s="1413"/>
      <c r="J6" s="1718"/>
      <c r="K6" s="143" t="s">
        <v>342</v>
      </c>
      <c r="L6" s="37" cm="1">
        <f t="array" ref="L6">_xlfn.IFS($F$7&gt;20,-3,'Infos Techniques'!N6&gt;=1,-3,$F$7&lt;=20,-1.92)</f>
        <v>-1.92</v>
      </c>
      <c r="M6" s="38" t="e">
        <f>$F$6*$F$4*$F$5*L6</f>
        <v>#N/A</v>
      </c>
      <c r="N6" s="180"/>
      <c r="O6" s="137"/>
      <c r="P6" s="1707"/>
      <c r="Q6" s="1708"/>
      <c r="R6" s="1708"/>
      <c r="S6" s="1709"/>
      <c r="T6" s="215"/>
      <c r="U6" s="178"/>
      <c r="V6" s="28">
        <v>1</v>
      </c>
      <c r="W6" s="28">
        <v>3.54</v>
      </c>
      <c r="Y6" s="1699"/>
      <c r="Z6" s="36" t="s">
        <v>658</v>
      </c>
      <c r="AA6" s="1696" t="e">
        <f>M7-M6</f>
        <v>#N/A</v>
      </c>
      <c r="AB6" s="1697"/>
      <c r="AC6" s="179"/>
      <c r="AF6" s="137"/>
      <c r="AG6" s="137"/>
      <c r="AH6" s="137"/>
      <c r="AI6" s="137"/>
      <c r="AJ6" s="137"/>
      <c r="AK6" s="137"/>
      <c r="AL6" s="137"/>
      <c r="AM6" s="137"/>
      <c r="AN6" s="137"/>
      <c r="AO6" s="137"/>
      <c r="AP6" s="137"/>
      <c r="AQ6" s="137"/>
    </row>
    <row r="7" spans="2:43">
      <c r="B7" s="178"/>
      <c r="C7" s="206" t="s">
        <v>659</v>
      </c>
      <c r="D7" s="206"/>
      <c r="E7" s="206"/>
      <c r="F7" s="744">
        <f>IF('Saisie de données'!F38 ='Menu déroulant'!AA23,'Saisie de données'!D38*'Menu déroulant'!AC23,'Saisie de données'!D38)</f>
        <v>8.8391999999999982</v>
      </c>
      <c r="H7" s="1413"/>
      <c r="I7" s="1413"/>
      <c r="J7" s="1718"/>
      <c r="K7" s="143" t="s">
        <v>660</v>
      </c>
      <c r="L7" s="37" cm="1">
        <f t="array" ref="L7">_xlfn.IFS($F$7&gt;20,2.25,'Infos Techniques'!N6&gt;=1,2.25,$F$7&lt;=20,1.63)</f>
        <v>1.63</v>
      </c>
      <c r="M7" s="38" t="e">
        <f>$F$6*$F$4*$F$5*L7</f>
        <v>#N/A</v>
      </c>
      <c r="N7" s="180"/>
      <c r="O7" s="137"/>
      <c r="P7" s="1707"/>
      <c r="Q7" s="1708"/>
      <c r="R7" s="1708"/>
      <c r="S7" s="1709"/>
      <c r="T7" s="215"/>
      <c r="U7" s="178"/>
      <c r="Y7" s="1700"/>
      <c r="Z7" s="36" t="s">
        <v>661</v>
      </c>
      <c r="AA7" s="1696" t="e">
        <f>IF(OR('Saisie de données'!$E$51='Menu déroulant'!$AE$57,'Saisie de données'!$K$51='Menu déroulant'!$AE$57),"-",M7-M10)</f>
        <v>#N/A</v>
      </c>
      <c r="AB7" s="1697"/>
      <c r="AC7" s="179"/>
      <c r="AF7" s="1725"/>
      <c r="AG7" s="1725"/>
      <c r="AH7" s="1725"/>
      <c r="AI7" s="1725"/>
      <c r="AJ7" s="1725"/>
      <c r="AK7" s="1725"/>
      <c r="AL7" s="1725"/>
      <c r="AM7" s="1725"/>
      <c r="AN7" s="137"/>
      <c r="AO7" s="137"/>
      <c r="AP7" s="137"/>
      <c r="AQ7" s="137"/>
    </row>
    <row r="8" spans="2:43" ht="15" thickBot="1">
      <c r="B8" s="181"/>
      <c r="C8" s="209" t="str" cm="1">
        <f t="array" ref="C8">_xlfn.IFS(F7&gt;20,"Cg = ",'Infos Techniques'!N6&gt;1,"Cg = ",F7&lt;=20,"")</f>
        <v/>
      </c>
      <c r="D8" s="209"/>
      <c r="E8" s="209"/>
      <c r="F8" s="210" t="str" cm="1">
        <f t="array" ref="F8">_xlfn.IFS(F7&gt;20,2.5,'Infos Techniques'!N6&gt;1,2.5,F7&lt;=20,"")</f>
        <v/>
      </c>
      <c r="H8" s="1413"/>
      <c r="I8" s="1413"/>
      <c r="J8" s="1718"/>
      <c r="K8" s="143" t="s">
        <v>343</v>
      </c>
      <c r="L8" s="37" cm="1">
        <f t="array" ref="L8">_xlfn.IFS($F$7&gt;20,-2.25,'Infos Techniques'!N6&gt;=1,-2.25,$F$7&lt;=20,-1.72)</f>
        <v>-1.72</v>
      </c>
      <c r="M8" s="38" t="e">
        <f>$F$6*$F$4*$F$5*L8</f>
        <v>#N/A</v>
      </c>
      <c r="N8" s="194"/>
      <c r="O8" s="137"/>
      <c r="P8" s="1707"/>
      <c r="Q8" s="1708"/>
      <c r="R8" s="1708"/>
      <c r="S8" s="1709"/>
      <c r="T8" s="215"/>
      <c r="U8" s="178"/>
      <c r="AC8" s="179"/>
      <c r="AF8" s="137"/>
      <c r="AG8" s="137"/>
      <c r="AH8" s="137"/>
      <c r="AI8" s="137"/>
      <c r="AJ8" s="137"/>
      <c r="AK8" s="137"/>
      <c r="AL8" s="137"/>
      <c r="AM8" s="137"/>
      <c r="AN8" s="137"/>
      <c r="AO8" s="137"/>
      <c r="AP8" s="137"/>
      <c r="AQ8" s="137"/>
    </row>
    <row r="9" spans="2:43" ht="15.6" thickTop="1" thickBot="1">
      <c r="C9" s="138"/>
      <c r="D9" s="137"/>
      <c r="E9" s="137"/>
      <c r="F9" s="137"/>
      <c r="H9" s="1413"/>
      <c r="I9" s="1413"/>
      <c r="J9" s="1718"/>
      <c r="K9" s="143" t="s">
        <v>662</v>
      </c>
      <c r="L9" s="37" cm="1">
        <f t="array" ref="L9">_xlfn.IFS($F$7&gt;20,2.25,'Infos Techniques'!N6&gt;=1,2.25,$F$7&lt;=20,1.63)</f>
        <v>1.63</v>
      </c>
      <c r="M9" s="38" t="e">
        <f>$F$6*$F$4*$F$5*L9</f>
        <v>#N/A</v>
      </c>
      <c r="N9" s="195"/>
      <c r="O9" s="137"/>
      <c r="P9" s="1707"/>
      <c r="Q9" s="1708"/>
      <c r="R9" s="1708"/>
      <c r="S9" s="1709"/>
      <c r="T9" s="215"/>
      <c r="U9" s="178"/>
      <c r="AC9" s="179"/>
      <c r="AF9" s="1725"/>
      <c r="AG9" s="1725"/>
      <c r="AH9" s="1725"/>
      <c r="AI9" s="137"/>
      <c r="AJ9" s="137"/>
      <c r="AK9" s="137"/>
      <c r="AL9" s="137"/>
      <c r="AM9" s="147"/>
      <c r="AN9" s="148"/>
      <c r="AO9" s="137"/>
      <c r="AP9" s="137"/>
      <c r="AQ9" s="137"/>
    </row>
    <row r="10" spans="2:43" ht="15" thickTop="1">
      <c r="B10" s="174"/>
      <c r="C10" s="175"/>
      <c r="D10" s="176"/>
      <c r="E10" s="176"/>
      <c r="F10" s="177"/>
      <c r="H10" s="1413"/>
      <c r="I10" s="1413"/>
      <c r="J10" s="1718"/>
      <c r="K10" s="143" t="s">
        <v>663</v>
      </c>
      <c r="L10" s="37" cm="1">
        <f t="array" ref="L10">_xlfn.IFS($F$7&gt;20,-2.5,'Infos Techniques'!N6&gt;=1,-2.5,$F$7&lt;=20,-5.4)</f>
        <v>-5.4</v>
      </c>
      <c r="M10" s="38" t="e">
        <f>$F$6*$F$4*$F$5*L10</f>
        <v>#N/A</v>
      </c>
      <c r="N10" s="1722" t="s">
        <v>664</v>
      </c>
      <c r="O10" s="137"/>
      <c r="P10" s="1707"/>
      <c r="Q10" s="1708"/>
      <c r="R10" s="1708"/>
      <c r="S10" s="1709"/>
      <c r="T10" s="215"/>
      <c r="U10" s="178"/>
      <c r="Z10" s="137"/>
      <c r="AA10" s="1686" t="s">
        <v>653</v>
      </c>
      <c r="AB10" s="1687"/>
      <c r="AC10" s="179"/>
      <c r="AF10" s="137"/>
      <c r="AG10" s="137"/>
      <c r="AH10" s="137"/>
      <c r="AI10" s="137"/>
      <c r="AJ10" s="137"/>
      <c r="AK10" s="137"/>
      <c r="AL10" s="137"/>
      <c r="AM10" s="137"/>
      <c r="AN10" s="137"/>
      <c r="AO10" s="137"/>
      <c r="AP10" s="137"/>
      <c r="AQ10" s="137"/>
    </row>
    <row r="11" spans="2:43">
      <c r="B11" s="178"/>
      <c r="C11" s="10" t="s">
        <v>665</v>
      </c>
      <c r="D11" s="137"/>
      <c r="E11" s="137"/>
      <c r="F11" s="179"/>
      <c r="H11" s="1413"/>
      <c r="I11" s="1413"/>
      <c r="J11" s="1718"/>
      <c r="K11" s="143" t="s">
        <v>666</v>
      </c>
      <c r="L11" s="37" cm="1">
        <f t="array" ref="L11">_xlfn.IFS($F$7&gt;20,"-",'Infos Techniques'!N6&gt;=1,"-",$F$7&lt;=20,0.5)</f>
        <v>0.5</v>
      </c>
      <c r="M11" s="38" t="e" cm="1">
        <f t="array" ref="M11">_xlfn.IFS(L11="-","-",L11&gt;=(-10),$F$6*$F$4*$F$5*L11)</f>
        <v>#N/A</v>
      </c>
      <c r="N11" s="1722"/>
      <c r="O11" s="137"/>
      <c r="P11" s="1707"/>
      <c r="Q11" s="1708"/>
      <c r="R11" s="1708"/>
      <c r="S11" s="1709"/>
      <c r="T11" s="215"/>
      <c r="U11" s="178"/>
      <c r="Z11" s="137"/>
      <c r="AA11" s="155" t="s">
        <v>667</v>
      </c>
      <c r="AB11" s="155" t="s">
        <v>668</v>
      </c>
      <c r="AC11" s="722" t="s">
        <v>669</v>
      </c>
      <c r="AF11" s="137"/>
      <c r="AG11" s="137"/>
      <c r="AH11" s="137"/>
      <c r="AI11" s="137"/>
      <c r="AJ11" s="137"/>
      <c r="AK11" s="137"/>
      <c r="AL11" s="137"/>
      <c r="AM11" s="149"/>
      <c r="AN11" s="149"/>
      <c r="AO11" s="149"/>
      <c r="AP11" s="149"/>
      <c r="AQ11" s="137"/>
    </row>
    <row r="12" spans="2:43">
      <c r="B12" s="178"/>
      <c r="C12" s="137"/>
      <c r="D12" s="137"/>
      <c r="E12" s="137"/>
      <c r="F12" s="179"/>
      <c r="H12" s="1413"/>
      <c r="I12" s="1413"/>
      <c r="J12" s="1718"/>
      <c r="K12" s="143" t="s">
        <v>670</v>
      </c>
      <c r="L12" s="37" cm="1">
        <f t="array" ref="L12">_xlfn.IFS($F$7&gt;20,-2.5,'Infos Techniques'!N6&gt;=1,-2.5,$F$7&lt;=20,-2.5)</f>
        <v>-2.5</v>
      </c>
      <c r="M12" s="38" t="e">
        <f>$F$6*$F$4*$F$5*L12</f>
        <v>#N/A</v>
      </c>
      <c r="N12" s="1722"/>
      <c r="O12" s="137"/>
      <c r="P12" s="1707"/>
      <c r="Q12" s="1708"/>
      <c r="R12" s="1708"/>
      <c r="S12" s="1709"/>
      <c r="T12" s="215"/>
      <c r="U12" s="178"/>
      <c r="Z12" s="36" t="s">
        <v>342</v>
      </c>
      <c r="AA12" s="37">
        <v>-1.92</v>
      </c>
      <c r="AB12" s="37">
        <v>-3</v>
      </c>
      <c r="AC12" s="722">
        <v>-1.2</v>
      </c>
      <c r="AF12" s="137"/>
      <c r="AG12" s="137"/>
      <c r="AH12" s="137"/>
      <c r="AI12" s="137"/>
      <c r="AJ12" s="137"/>
      <c r="AK12" s="137"/>
      <c r="AL12" s="137"/>
      <c r="AM12" s="150"/>
      <c r="AN12" s="149"/>
      <c r="AO12" s="149"/>
      <c r="AP12" s="149"/>
      <c r="AQ12" s="137"/>
    </row>
    <row r="13" spans="2:43">
      <c r="B13" s="178"/>
      <c r="C13" s="1710" t="s">
        <v>671</v>
      </c>
      <c r="D13" s="1711"/>
      <c r="E13" s="1712"/>
      <c r="F13" s="179"/>
      <c r="H13" s="1413"/>
      <c r="I13" s="1413"/>
      <c r="J13" s="1718"/>
      <c r="K13" s="143" t="s">
        <v>672</v>
      </c>
      <c r="L13" s="37" cm="1">
        <f t="array" ref="L13">_xlfn.IFS($F$7&gt;20,"-",'Infos Techniques'!N6&gt;=1,"-",$F$7&lt;=20,0.5)</f>
        <v>0.5</v>
      </c>
      <c r="M13" s="38" t="e" cm="1">
        <f t="array" ref="M13">_xlfn.IFS(L13="-","-",L13&gt;=(-10),$F$6*$F$4*$F$5*L13)</f>
        <v>#N/A</v>
      </c>
      <c r="N13" s="1722"/>
      <c r="O13" s="137"/>
      <c r="P13" s="1707"/>
      <c r="Q13" s="1708"/>
      <c r="R13" s="1708"/>
      <c r="S13" s="1709"/>
      <c r="T13" s="215"/>
      <c r="U13" s="178"/>
      <c r="Z13" s="36" t="s">
        <v>660</v>
      </c>
      <c r="AA13" s="37">
        <v>1.63</v>
      </c>
      <c r="AB13" s="37">
        <v>2.25</v>
      </c>
      <c r="AC13" s="722">
        <v>0.9</v>
      </c>
      <c r="AF13" s="137"/>
      <c r="AG13" s="137"/>
      <c r="AH13" s="137"/>
      <c r="AI13" s="137"/>
      <c r="AJ13" s="137"/>
      <c r="AK13" s="137"/>
      <c r="AL13" s="137"/>
      <c r="AM13" s="151"/>
      <c r="AN13" s="1726"/>
      <c r="AO13" s="1726"/>
      <c r="AP13" s="149"/>
      <c r="AQ13" s="137"/>
    </row>
    <row r="14" spans="2:43">
      <c r="B14" s="178"/>
      <c r="C14" s="1713" t="s">
        <v>313</v>
      </c>
      <c r="D14" s="8">
        <f>(VLOOKUP('Saisie de données'!E47,'Menu déroulant'!AA15:AE17,4))</f>
        <v>-0.45</v>
      </c>
      <c r="E14" s="9">
        <f>(VLOOKUP('Saisie de données'!E47,'Menu déroulant'!AA15:AE17,5))</f>
        <v>0.3</v>
      </c>
      <c r="F14" s="179"/>
      <c r="H14" s="1413"/>
      <c r="I14" s="1413"/>
      <c r="J14" s="1718"/>
      <c r="K14" s="143" t="s">
        <v>673</v>
      </c>
      <c r="L14" s="37" cm="1">
        <f t="array" ref="L14">_xlfn.IFS($F$7&gt;20,-3.75,'Infos Techniques'!N6&gt;=1,-3.75,$F$7&lt;=20,-1.8)</f>
        <v>-1.8</v>
      </c>
      <c r="M14" s="38" t="e">
        <f>$F$6*$F$4*$F$5*L14</f>
        <v>#N/A</v>
      </c>
      <c r="N14" s="1722"/>
      <c r="O14" s="137"/>
      <c r="P14" s="1690"/>
      <c r="Q14" s="1691"/>
      <c r="R14" s="1691"/>
      <c r="S14" s="1692"/>
      <c r="T14" s="215"/>
      <c r="U14" s="178"/>
      <c r="Z14" s="36" t="s">
        <v>343</v>
      </c>
      <c r="AA14" s="37">
        <v>-1.72</v>
      </c>
      <c r="AB14" s="37">
        <v>-2.25</v>
      </c>
      <c r="AC14" s="722">
        <v>-0.9</v>
      </c>
      <c r="AF14" s="1281"/>
      <c r="AG14" s="1281"/>
      <c r="AH14" s="137"/>
      <c r="AI14" s="137"/>
      <c r="AJ14" s="137"/>
      <c r="AK14" s="137"/>
      <c r="AL14" s="137"/>
      <c r="AM14" s="151"/>
      <c r="AN14" s="152"/>
      <c r="AO14" s="149"/>
      <c r="AP14" s="149"/>
      <c r="AQ14" s="137"/>
    </row>
    <row r="15" spans="2:43" ht="14.45" customHeight="1">
      <c r="B15" s="178"/>
      <c r="C15" s="1714"/>
      <c r="D15" s="144" t="s">
        <v>674</v>
      </c>
      <c r="E15" s="144" t="s">
        <v>674</v>
      </c>
      <c r="F15" s="179"/>
      <c r="H15" s="1413"/>
      <c r="I15" s="1413"/>
      <c r="J15" s="1718"/>
      <c r="K15" s="169" t="s">
        <v>675</v>
      </c>
      <c r="L15" s="162" cm="1">
        <f t="array" ref="L15">_xlfn.IFS($F$7&gt;20,"-",'Infos Techniques'!N6&gt;=1,"-",$F$7&lt;=20,0.5)</f>
        <v>0.5</v>
      </c>
      <c r="M15" s="163" t="e" cm="1">
        <f t="array" ref="M15">_xlfn.IFS(L15="-","-",L15&gt;=(-10),$F$6*$F$4*$F$5*L15)</f>
        <v>#N/A</v>
      </c>
      <c r="N15" s="1722"/>
      <c r="P15" s="1690"/>
      <c r="Q15" s="1691"/>
      <c r="R15" s="1691"/>
      <c r="S15" s="1692"/>
      <c r="T15" s="137"/>
      <c r="U15" s="178"/>
      <c r="Z15" s="36" t="s">
        <v>662</v>
      </c>
      <c r="AA15" s="37">
        <v>1.63</v>
      </c>
      <c r="AB15" s="37">
        <v>2.25</v>
      </c>
      <c r="AC15" s="722">
        <v>0.9</v>
      </c>
      <c r="AF15" s="137"/>
      <c r="AG15" s="137"/>
      <c r="AH15" s="137"/>
      <c r="AI15" s="137"/>
      <c r="AJ15" s="137"/>
      <c r="AK15" s="137"/>
      <c r="AL15" s="137"/>
      <c r="AM15" s="1717"/>
      <c r="AN15" s="1717"/>
      <c r="AO15" s="153"/>
      <c r="AP15" s="149"/>
      <c r="AQ15" s="137"/>
    </row>
    <row r="16" spans="2:43">
      <c r="B16" s="178"/>
      <c r="C16" s="36" t="s">
        <v>342</v>
      </c>
      <c r="D16" s="39" t="e">
        <f>M6-L21</f>
        <v>#N/A</v>
      </c>
      <c r="E16" s="39" t="e">
        <f>IF(OR('Saisie de données'!$E$51='Menu déroulant'!$AE$57,'Saisie de données'!$K$51='Menu déroulant'!$AE$57),"-",M6-M21)</f>
        <v>#N/A</v>
      </c>
      <c r="F16" s="179"/>
      <c r="H16" s="137"/>
      <c r="I16" s="137"/>
      <c r="J16" s="196"/>
      <c r="K16" s="150"/>
      <c r="L16" s="150"/>
      <c r="M16" s="150"/>
      <c r="N16" s="211"/>
      <c r="P16" s="1690"/>
      <c r="Q16" s="1691"/>
      <c r="R16" s="1691"/>
      <c r="S16" s="1692"/>
      <c r="U16" s="178"/>
      <c r="Z16" s="36" t="s">
        <v>663</v>
      </c>
      <c r="AA16" s="37">
        <v>-5.4</v>
      </c>
      <c r="AB16" s="37">
        <v>-2.5</v>
      </c>
      <c r="AC16" s="722">
        <v>-1</v>
      </c>
      <c r="AF16" s="137"/>
      <c r="AG16" s="137"/>
      <c r="AH16" s="137"/>
      <c r="AI16" s="137"/>
      <c r="AJ16" s="137"/>
      <c r="AK16" s="137"/>
      <c r="AL16" s="137"/>
      <c r="AM16" s="1724"/>
      <c r="AN16" s="1724"/>
      <c r="AO16" s="154"/>
      <c r="AP16" s="149"/>
      <c r="AQ16" s="137"/>
    </row>
    <row r="17" spans="2:43">
      <c r="B17" s="178"/>
      <c r="C17" s="36" t="s">
        <v>660</v>
      </c>
      <c r="D17" s="39" t="e">
        <f>M7-L21</f>
        <v>#N/A</v>
      </c>
      <c r="E17" s="39" t="e">
        <f>M7-M21</f>
        <v>#N/A</v>
      </c>
      <c r="F17" s="179"/>
      <c r="H17" s="137"/>
      <c r="I17" s="137"/>
      <c r="J17" s="196"/>
      <c r="K17" s="2" t="s">
        <v>676</v>
      </c>
      <c r="L17" s="3"/>
      <c r="M17" s="4"/>
      <c r="N17" s="195"/>
      <c r="P17" s="1690"/>
      <c r="Q17" s="1691"/>
      <c r="R17" s="1691"/>
      <c r="S17" s="1692"/>
      <c r="T17" s="137"/>
      <c r="U17" s="178"/>
      <c r="Z17" s="36" t="s">
        <v>666</v>
      </c>
      <c r="AA17" s="37">
        <v>0.5</v>
      </c>
      <c r="AB17" s="37" t="s">
        <v>371</v>
      </c>
      <c r="AC17" s="722" t="s">
        <v>371</v>
      </c>
      <c r="AF17" s="137"/>
      <c r="AG17" s="137"/>
      <c r="AH17" s="137"/>
      <c r="AI17" s="137"/>
      <c r="AJ17" s="137"/>
      <c r="AK17" s="137"/>
      <c r="AL17" s="137"/>
      <c r="AM17" s="149"/>
      <c r="AN17" s="149"/>
      <c r="AO17" s="149"/>
      <c r="AP17" s="149"/>
      <c r="AQ17" s="137"/>
    </row>
    <row r="18" spans="2:43">
      <c r="B18" s="178"/>
      <c r="C18" s="36" t="s">
        <v>343</v>
      </c>
      <c r="D18" s="39" t="e">
        <f>M8-L21</f>
        <v>#N/A</v>
      </c>
      <c r="E18" s="39" t="e">
        <f>IF(OR('Saisie de données'!$E$51='Menu déroulant'!$AE$57,'Saisie de données'!$K$51='Menu déroulant'!$AE$57),"-",M8-M21)</f>
        <v>#N/A</v>
      </c>
      <c r="F18" s="179"/>
      <c r="H18" s="137"/>
      <c r="I18" s="137"/>
      <c r="J18" s="196"/>
      <c r="K18" s="5" t="s">
        <v>677</v>
      </c>
      <c r="L18" s="6">
        <v>2</v>
      </c>
      <c r="M18" s="4"/>
      <c r="N18" s="195"/>
      <c r="P18" s="1690"/>
      <c r="Q18" s="1691"/>
      <c r="R18" s="1691"/>
      <c r="S18" s="1692"/>
      <c r="T18" s="137"/>
      <c r="U18" s="178"/>
      <c r="Z18" s="36" t="s">
        <v>670</v>
      </c>
      <c r="AA18" s="37">
        <v>-2.5</v>
      </c>
      <c r="AB18" s="37">
        <v>-2.5</v>
      </c>
      <c r="AC18" s="722">
        <v>-1</v>
      </c>
      <c r="AF18" s="137"/>
      <c r="AG18" s="137"/>
      <c r="AH18" s="137"/>
      <c r="AI18" s="137"/>
      <c r="AJ18" s="137"/>
      <c r="AK18" s="137"/>
      <c r="AL18" s="137"/>
      <c r="AM18" s="137"/>
      <c r="AN18" s="137"/>
      <c r="AO18" s="137"/>
      <c r="AP18" s="137"/>
      <c r="AQ18" s="137"/>
    </row>
    <row r="19" spans="2:43" ht="17.649999999999999" customHeight="1" thickBot="1">
      <c r="B19" s="178"/>
      <c r="C19" s="36" t="s">
        <v>662</v>
      </c>
      <c r="D19" s="39" t="e">
        <f>M9-L21</f>
        <v>#N/A</v>
      </c>
      <c r="E19" s="39" t="e">
        <f>M9-M21</f>
        <v>#N/A</v>
      </c>
      <c r="F19" s="179"/>
      <c r="H19" s="170"/>
      <c r="I19" s="170"/>
      <c r="J19" s="1721"/>
      <c r="K19" s="5" t="s">
        <v>678</v>
      </c>
      <c r="L19" s="134" cm="1">
        <f t="array" ref="L19">_xlfn.IFS('Saisie de données'!E49='Menu déroulant'!AA12,MAX((F7/2/10)^(0.2),0.9),'Saisie de données'!E49='Menu déroulant'!AA13,MAX(0.7*(F7/2/12)^(0.3),0.7))</f>
        <v>0.9</v>
      </c>
      <c r="M19" s="146"/>
      <c r="N19" s="212"/>
      <c r="P19" s="1690"/>
      <c r="Q19" s="1691"/>
      <c r="R19" s="1691"/>
      <c r="S19" s="1692"/>
      <c r="T19" s="138"/>
      <c r="U19" s="178"/>
      <c r="Z19" s="36" t="s">
        <v>672</v>
      </c>
      <c r="AA19" s="37">
        <v>0.5</v>
      </c>
      <c r="AB19" s="37" t="s">
        <v>371</v>
      </c>
      <c r="AC19" s="722" t="s">
        <v>371</v>
      </c>
      <c r="AF19" s="137"/>
      <c r="AG19" s="137"/>
      <c r="AH19" s="137"/>
      <c r="AI19" s="137"/>
      <c r="AJ19" s="137"/>
      <c r="AK19" s="137"/>
      <c r="AL19" s="137"/>
      <c r="AM19" s="150"/>
      <c r="AN19" s="150"/>
      <c r="AO19" s="149"/>
      <c r="AP19" s="137"/>
      <c r="AQ19" s="137"/>
    </row>
    <row r="20" spans="2:43" ht="17.649999999999999" customHeight="1" thickTop="1" thickBot="1">
      <c r="B20" s="178"/>
      <c r="C20" s="217"/>
      <c r="D20" s="218" t="s">
        <v>342</v>
      </c>
      <c r="E20" s="219" t="s">
        <v>343</v>
      </c>
      <c r="F20" s="179"/>
      <c r="H20" s="170"/>
      <c r="I20" s="170"/>
      <c r="J20" s="1721"/>
      <c r="K20" s="1719" t="s">
        <v>679</v>
      </c>
      <c r="L20" s="1720"/>
      <c r="M20" s="7"/>
      <c r="N20" s="195"/>
      <c r="P20" s="1690"/>
      <c r="Q20" s="1691"/>
      <c r="R20" s="1691"/>
      <c r="S20" s="1692"/>
      <c r="T20" s="139"/>
      <c r="U20" s="178"/>
      <c r="Z20" s="36" t="s">
        <v>673</v>
      </c>
      <c r="AA20" s="37">
        <v>-1.8</v>
      </c>
      <c r="AB20" s="37">
        <v>-3.75</v>
      </c>
      <c r="AC20" s="722">
        <v>-1.5</v>
      </c>
      <c r="AF20" s="137"/>
      <c r="AG20" s="137"/>
      <c r="AH20" s="137"/>
      <c r="AI20" s="137"/>
      <c r="AJ20" s="137"/>
      <c r="AK20" s="137"/>
      <c r="AL20" s="137"/>
      <c r="AM20" s="1717"/>
      <c r="AN20" s="1717"/>
      <c r="AO20" s="1717"/>
      <c r="AP20" s="137"/>
      <c r="AQ20" s="137"/>
    </row>
    <row r="21" spans="2:43" ht="15" thickBot="1">
      <c r="B21" s="178"/>
      <c r="C21" s="221" t="s">
        <v>338</v>
      </c>
      <c r="D21" s="220" t="e">
        <f>-$E$16</f>
        <v>#N/A</v>
      </c>
      <c r="E21" s="222" t="e">
        <f>-$E$18</f>
        <v>#N/A</v>
      </c>
      <c r="F21" s="179"/>
      <c r="H21" s="170"/>
      <c r="I21" s="170"/>
      <c r="J21" s="1721"/>
      <c r="K21" s="5" t="s">
        <v>680</v>
      </c>
      <c r="L21" s="743" t="e">
        <f>$F$4*$F$5*$L$18*$L$19*(VLOOKUP('Saisie de données'!E47,'Menu déroulant'!AA15:AE17,4))</f>
        <v>#N/A</v>
      </c>
      <c r="M21" s="213" t="e">
        <f>$F$4*$F$5*$L$18*$L$19*(VLOOKUP('Saisie de données'!E47,'Menu déroulant'!AA15:AE17,5))</f>
        <v>#N/A</v>
      </c>
      <c r="N21" s="195"/>
      <c r="P21" s="1690"/>
      <c r="Q21" s="1691"/>
      <c r="R21" s="1691"/>
      <c r="S21" s="1692"/>
      <c r="T21" s="140"/>
      <c r="U21" s="178"/>
      <c r="Z21" s="36" t="s">
        <v>675</v>
      </c>
      <c r="AA21" s="37">
        <v>0.5</v>
      </c>
      <c r="AB21" s="721" t="s">
        <v>371</v>
      </c>
      <c r="AC21" s="722" t="s">
        <v>371</v>
      </c>
      <c r="AF21" s="137"/>
      <c r="AG21" s="137"/>
      <c r="AH21" s="137"/>
      <c r="AI21" s="137"/>
      <c r="AJ21" s="137"/>
      <c r="AK21" s="137"/>
      <c r="AL21" s="137"/>
      <c r="AM21" s="1717"/>
      <c r="AN21" s="159"/>
      <c r="AO21" s="159"/>
      <c r="AP21" s="137"/>
      <c r="AQ21" s="137"/>
    </row>
    <row r="22" spans="2:43" ht="15" thickBot="1">
      <c r="B22" s="178"/>
      <c r="C22" s="223" t="s">
        <v>111</v>
      </c>
      <c r="D22" s="224" t="e">
        <f>$AA$7</f>
        <v>#N/A</v>
      </c>
      <c r="E22" s="225" t="e">
        <f>$AA$5</f>
        <v>#N/A</v>
      </c>
      <c r="F22" s="455"/>
      <c r="H22" s="170"/>
      <c r="I22" s="170"/>
      <c r="J22" s="1721"/>
      <c r="K22" s="164"/>
      <c r="L22" s="164"/>
      <c r="M22" s="164"/>
      <c r="N22" s="211"/>
      <c r="P22" s="1690"/>
      <c r="Q22" s="1691"/>
      <c r="R22" s="1691"/>
      <c r="S22" s="1692"/>
      <c r="T22" s="140"/>
      <c r="U22" s="178"/>
      <c r="AB22" s="37" t="s">
        <v>681</v>
      </c>
      <c r="AC22" s="720"/>
      <c r="AF22" s="137"/>
      <c r="AG22" s="137"/>
      <c r="AH22" s="137"/>
      <c r="AI22" s="137"/>
      <c r="AJ22" s="1727"/>
      <c r="AK22" s="1727"/>
      <c r="AL22" s="1727"/>
      <c r="AM22" s="159"/>
      <c r="AN22" s="160"/>
      <c r="AO22" s="161"/>
      <c r="AP22" s="137"/>
      <c r="AQ22" s="137"/>
    </row>
    <row r="23" spans="2:43" ht="15.6" thickTop="1" thickBot="1">
      <c r="B23" s="181"/>
      <c r="C23" s="182"/>
      <c r="D23" s="183"/>
      <c r="E23" s="184"/>
      <c r="F23" s="185"/>
      <c r="H23" s="170"/>
      <c r="I23" s="170"/>
      <c r="J23" s="197"/>
      <c r="K23" s="198"/>
      <c r="L23" s="198"/>
      <c r="M23" s="198"/>
      <c r="N23" s="199"/>
      <c r="P23" s="1693"/>
      <c r="Q23" s="1694"/>
      <c r="R23" s="1694"/>
      <c r="S23" s="1695"/>
      <c r="T23" s="140"/>
      <c r="U23" s="181"/>
      <c r="V23" s="35"/>
      <c r="W23" s="35"/>
      <c r="X23" s="35"/>
      <c r="Y23" s="35"/>
      <c r="Z23" s="35"/>
      <c r="AA23" s="723" t="s">
        <v>682</v>
      </c>
      <c r="AB23" s="723" t="s">
        <v>683</v>
      </c>
      <c r="AC23" s="724" t="s">
        <v>684</v>
      </c>
      <c r="AF23" s="137"/>
      <c r="AG23" s="137"/>
      <c r="AH23" s="137"/>
      <c r="AI23" s="137"/>
      <c r="AJ23" s="1727"/>
      <c r="AK23" s="1727"/>
      <c r="AL23" s="1727"/>
      <c r="AM23" s="159"/>
      <c r="AN23" s="160"/>
      <c r="AO23" s="161"/>
      <c r="AP23" s="137"/>
      <c r="AQ23" s="137"/>
    </row>
    <row r="24" spans="2:43" ht="15" thickTop="1">
      <c r="C24" s="138"/>
      <c r="D24" s="137"/>
      <c r="E24" s="137"/>
      <c r="F24" s="137"/>
      <c r="H24" s="170"/>
      <c r="I24" s="170"/>
      <c r="J24" s="170"/>
      <c r="K24" s="150"/>
      <c r="L24" s="150"/>
      <c r="M24" s="150"/>
      <c r="N24" s="150"/>
      <c r="S24" s="139"/>
      <c r="T24" s="139"/>
      <c r="AF24" s="137"/>
      <c r="AG24" s="137"/>
      <c r="AH24" s="137"/>
      <c r="AI24" s="137"/>
      <c r="AJ24" s="1727"/>
      <c r="AK24" s="1727"/>
      <c r="AL24" s="1727"/>
      <c r="AM24" s="159"/>
      <c r="AN24" s="160"/>
      <c r="AO24" s="161"/>
      <c r="AP24" s="137"/>
      <c r="AQ24" s="137"/>
    </row>
    <row r="25" spans="2:43">
      <c r="F25" s="137"/>
      <c r="H25" s="170"/>
      <c r="I25" s="170"/>
      <c r="J25" s="170"/>
      <c r="K25" s="150"/>
      <c r="L25" s="150"/>
      <c r="M25" s="150"/>
      <c r="N25" s="150"/>
      <c r="S25" s="140"/>
      <c r="T25" s="140"/>
      <c r="AF25" s="135"/>
      <c r="AG25" s="139"/>
      <c r="AH25" s="137"/>
      <c r="AI25" s="137"/>
      <c r="AJ25" s="1727"/>
      <c r="AK25" s="1727"/>
      <c r="AL25" s="1727"/>
      <c r="AM25" s="159"/>
      <c r="AN25" s="160"/>
      <c r="AO25" s="161"/>
      <c r="AP25" s="137"/>
      <c r="AQ25" s="137"/>
    </row>
    <row r="26" spans="2:43" ht="15" thickBot="1">
      <c r="C26" s="1715"/>
      <c r="D26" s="1715"/>
      <c r="E26" s="1715"/>
      <c r="F26" s="137"/>
      <c r="H26" s="170"/>
      <c r="I26" s="170"/>
      <c r="J26" s="170"/>
      <c r="K26" s="150"/>
      <c r="L26" s="150"/>
      <c r="M26" s="150"/>
      <c r="N26" s="150"/>
      <c r="S26" s="141"/>
      <c r="T26" s="141"/>
      <c r="AF26" s="135"/>
      <c r="AG26" s="142"/>
      <c r="AH26" s="142"/>
      <c r="AI26" s="137"/>
      <c r="AJ26" s="1727"/>
      <c r="AK26" s="1727"/>
      <c r="AL26" s="1727"/>
      <c r="AM26" s="159"/>
      <c r="AN26" s="160"/>
      <c r="AO26" s="161"/>
      <c r="AP26" s="137"/>
      <c r="AQ26" s="137"/>
    </row>
    <row r="27" spans="2:43" ht="15" thickTop="1">
      <c r="B27" s="482"/>
      <c r="C27" s="483"/>
      <c r="D27" s="484"/>
      <c r="E27" s="485"/>
      <c r="F27" s="486"/>
      <c r="H27" s="170"/>
      <c r="I27" s="170"/>
      <c r="J27" s="170"/>
      <c r="K27" s="434"/>
      <c r="L27" s="434"/>
      <c r="M27" s="150"/>
      <c r="N27" s="150"/>
      <c r="S27" s="137"/>
      <c r="T27" s="137"/>
      <c r="AF27" s="137"/>
      <c r="AG27" s="137"/>
      <c r="AH27" s="137"/>
      <c r="AI27" s="137"/>
      <c r="AJ27" s="1727"/>
      <c r="AK27" s="1727"/>
      <c r="AL27" s="1727"/>
      <c r="AM27" s="159"/>
      <c r="AN27" s="160"/>
      <c r="AO27" s="161"/>
      <c r="AP27" s="137"/>
      <c r="AQ27" s="137"/>
    </row>
    <row r="28" spans="2:43">
      <c r="B28" s="487"/>
      <c r="C28" s="488" t="s">
        <v>685</v>
      </c>
      <c r="D28" s="450"/>
      <c r="E28" s="489"/>
      <c r="F28" s="490"/>
      <c r="H28" s="170"/>
      <c r="I28" s="170"/>
      <c r="J28" s="170"/>
      <c r="K28" s="434"/>
      <c r="L28" s="434"/>
      <c r="M28" s="150"/>
      <c r="N28" s="150"/>
      <c r="S28" s="137"/>
      <c r="T28" s="137"/>
      <c r="AF28" s="137"/>
      <c r="AG28" s="137"/>
      <c r="AH28" s="137"/>
      <c r="AI28" s="137"/>
      <c r="AJ28" s="1727"/>
      <c r="AK28" s="1727"/>
      <c r="AL28" s="1727"/>
      <c r="AM28" s="159"/>
      <c r="AN28" s="160"/>
      <c r="AO28" s="161"/>
      <c r="AP28" s="137"/>
      <c r="AQ28" s="137"/>
    </row>
    <row r="29" spans="2:43" ht="13.15" customHeight="1">
      <c r="B29" s="487"/>
      <c r="C29" s="450"/>
      <c r="D29" s="450"/>
      <c r="E29" s="450"/>
      <c r="F29" s="490"/>
      <c r="J29" s="137"/>
      <c r="K29" s="165"/>
      <c r="L29" s="149"/>
      <c r="M29" s="149"/>
      <c r="N29" s="149"/>
      <c r="S29" s="137"/>
      <c r="T29" s="137"/>
      <c r="AF29" s="137"/>
      <c r="AG29" s="137"/>
      <c r="AH29" s="137"/>
      <c r="AI29" s="137"/>
      <c r="AJ29" s="1727"/>
      <c r="AK29" s="1727"/>
      <c r="AL29" s="1727"/>
      <c r="AM29" s="159"/>
      <c r="AN29" s="160"/>
      <c r="AO29" s="161"/>
      <c r="AP29" s="137"/>
      <c r="AQ29" s="137"/>
    </row>
    <row r="30" spans="2:43" ht="18" customHeight="1" thickBot="1">
      <c r="B30" s="487"/>
      <c r="C30" s="491" t="s">
        <v>686</v>
      </c>
      <c r="D30" s="489"/>
      <c r="E30" s="492"/>
      <c r="F30" s="493"/>
      <c r="J30" s="137"/>
      <c r="K30" s="151"/>
      <c r="L30" s="158"/>
      <c r="M30" s="1717"/>
      <c r="N30" s="1717"/>
      <c r="S30" s="137"/>
      <c r="T30" s="137"/>
      <c r="AF30" s="137"/>
      <c r="AG30" s="137"/>
      <c r="AH30" s="137"/>
      <c r="AI30" s="137"/>
      <c r="AJ30" s="1727"/>
      <c r="AK30" s="1727"/>
      <c r="AL30" s="1727"/>
      <c r="AM30" s="159"/>
      <c r="AN30" s="160"/>
      <c r="AO30" s="161"/>
      <c r="AP30" s="137"/>
      <c r="AQ30" s="137"/>
    </row>
    <row r="31" spans="2:43" ht="15" customHeight="1" thickTop="1" thickBot="1">
      <c r="B31" s="487"/>
      <c r="C31" s="494"/>
      <c r="D31" s="495" t="s">
        <v>342</v>
      </c>
      <c r="E31" s="496" t="s">
        <v>343</v>
      </c>
      <c r="F31" s="493"/>
      <c r="J31" s="137"/>
      <c r="K31" s="151"/>
      <c r="L31" s="166"/>
      <c r="M31" s="159"/>
      <c r="N31" s="159"/>
      <c r="S31" s="137"/>
      <c r="T31" s="137"/>
      <c r="AF31" s="137"/>
      <c r="AG31" s="137"/>
      <c r="AH31" s="137"/>
      <c r="AI31" s="137"/>
      <c r="AJ31" s="137"/>
      <c r="AK31" s="137"/>
      <c r="AL31" s="137"/>
      <c r="AM31" s="137"/>
      <c r="AN31" s="137"/>
      <c r="AO31" s="137"/>
      <c r="AP31" s="137"/>
      <c r="AQ31" s="137"/>
    </row>
    <row r="32" spans="2:43" ht="15" customHeight="1" thickBot="1">
      <c r="B32" s="487"/>
      <c r="C32" s="497" t="s">
        <v>338</v>
      </c>
      <c r="D32" s="498" t="e">
        <f>IF(OR('Saisie de données'!$AM$70='Menu déroulant'!$AA$28,'Saisie de données'!$AL$70='Menu déroulant'!$AG$51),-$M$6,-$E$16)</f>
        <v>#N/A</v>
      </c>
      <c r="E32" s="499" t="e">
        <f>IF(OR('Saisie de données'!$AM$70='Menu déroulant'!$AA$28,'Saisie de données'!$AL$70='Menu déroulant'!$AG$51),-$M$8,-$E$18)</f>
        <v>#N/A</v>
      </c>
      <c r="F32" s="490"/>
      <c r="J32" s="137"/>
      <c r="K32" s="1717"/>
      <c r="L32" s="1717"/>
      <c r="M32" s="149"/>
      <c r="N32" s="149"/>
      <c r="AF32" s="137"/>
      <c r="AG32" s="137"/>
      <c r="AH32" s="137"/>
      <c r="AI32" s="137"/>
      <c r="AJ32" s="137"/>
      <c r="AK32" s="137"/>
      <c r="AL32" s="137"/>
      <c r="AM32" s="165"/>
      <c r="AN32" s="149"/>
      <c r="AO32" s="149"/>
      <c r="AP32" s="149"/>
      <c r="AQ32" s="137"/>
    </row>
    <row r="33" spans="2:43" ht="15" customHeight="1" thickBot="1">
      <c r="B33" s="487"/>
      <c r="C33" s="500" t="s">
        <v>111</v>
      </c>
      <c r="D33" s="501" t="e">
        <f>$AA$7</f>
        <v>#N/A</v>
      </c>
      <c r="E33" s="502" t="e">
        <f>$AA$5</f>
        <v>#N/A</v>
      </c>
      <c r="F33" s="490"/>
      <c r="J33" s="137"/>
      <c r="K33" s="151"/>
      <c r="L33" s="167"/>
      <c r="M33" s="168"/>
      <c r="N33" s="149"/>
      <c r="S33" s="114"/>
      <c r="T33" s="114"/>
      <c r="AF33" s="226"/>
      <c r="AG33" s="226"/>
      <c r="AH33" s="226"/>
      <c r="AI33" s="137"/>
      <c r="AJ33" s="137"/>
      <c r="AK33" s="137"/>
      <c r="AL33" s="137"/>
      <c r="AM33" s="151"/>
      <c r="AN33" s="158"/>
      <c r="AO33" s="1717"/>
      <c r="AP33" s="1717"/>
      <c r="AQ33" s="137"/>
    </row>
    <row r="34" spans="2:43" ht="27" customHeight="1" thickTop="1" thickBot="1">
      <c r="B34" s="487"/>
      <c r="C34" s="503" t="s">
        <v>687</v>
      </c>
      <c r="D34" s="450"/>
      <c r="E34" s="492"/>
      <c r="F34" s="490"/>
      <c r="J34" s="137"/>
      <c r="K34" s="137"/>
      <c r="L34" s="137"/>
      <c r="M34" s="137"/>
      <c r="N34" s="137"/>
      <c r="S34" s="114"/>
      <c r="T34" s="114"/>
      <c r="AF34" s="226"/>
      <c r="AG34" s="226"/>
      <c r="AH34" s="226"/>
      <c r="AI34" s="137"/>
      <c r="AJ34" s="137"/>
      <c r="AK34" s="137"/>
      <c r="AL34" s="137"/>
      <c r="AM34" s="151"/>
      <c r="AN34" s="166"/>
      <c r="AO34" s="159"/>
      <c r="AP34" s="159"/>
      <c r="AQ34" s="137"/>
    </row>
    <row r="35" spans="2:43" ht="15.6" thickTop="1" thickBot="1">
      <c r="B35" s="487"/>
      <c r="C35" s="494"/>
      <c r="D35" s="495" t="s">
        <v>342</v>
      </c>
      <c r="E35" s="496" t="s">
        <v>343</v>
      </c>
      <c r="F35" s="490"/>
      <c r="S35" s="115"/>
      <c r="T35" s="115"/>
      <c r="AF35" s="137"/>
      <c r="AG35" s="137"/>
      <c r="AH35" s="137"/>
      <c r="AI35" s="137"/>
      <c r="AJ35" s="137"/>
      <c r="AK35" s="137"/>
      <c r="AL35" s="137"/>
      <c r="AM35" s="1717"/>
      <c r="AN35" s="1717"/>
      <c r="AO35" s="149"/>
      <c r="AP35" s="149"/>
      <c r="AQ35" s="137"/>
    </row>
    <row r="36" spans="2:43" ht="15" thickBot="1">
      <c r="B36" s="487"/>
      <c r="C36" s="497" t="s">
        <v>338</v>
      </c>
      <c r="D36" s="498" t="e">
        <f>IF(OR('Saisie de données'!$AM$71='Menu déroulant'!$AA$28,'Saisie de données'!$AL$71='Menu déroulant'!$AG$51),-$M$6,-$E$16)</f>
        <v>#N/A</v>
      </c>
      <c r="E36" s="499" t="e">
        <f>IF(OR('Saisie de données'!$AM$71='Menu déroulant'!$AA$28,'Saisie de données'!$AL$71='Menu déroulant'!$AG$51),-$M$8,-$E$18)</f>
        <v>#N/A</v>
      </c>
      <c r="F36" s="490"/>
      <c r="AF36" s="137"/>
      <c r="AG36" s="137"/>
      <c r="AH36" s="137"/>
      <c r="AI36" s="137"/>
      <c r="AJ36" s="137"/>
      <c r="AK36" s="137"/>
      <c r="AL36" s="137"/>
      <c r="AM36" s="151"/>
      <c r="AN36" s="167"/>
      <c r="AO36" s="168"/>
      <c r="AP36" s="149"/>
      <c r="AQ36" s="137"/>
    </row>
    <row r="37" spans="2:43" ht="15" thickBot="1">
      <c r="B37" s="487"/>
      <c r="C37" s="500" t="s">
        <v>111</v>
      </c>
      <c r="D37" s="501" t="e">
        <f>$AA$7</f>
        <v>#N/A</v>
      </c>
      <c r="E37" s="502" t="e">
        <f>$AA$5</f>
        <v>#N/A</v>
      </c>
      <c r="F37" s="490"/>
      <c r="P37" s="129"/>
      <c r="Q37" s="129"/>
      <c r="R37" s="129"/>
      <c r="AF37" s="137"/>
      <c r="AG37" s="137"/>
      <c r="AH37" s="139"/>
      <c r="AI37" s="137"/>
      <c r="AJ37" s="137"/>
      <c r="AK37" s="137"/>
      <c r="AL37" s="137"/>
      <c r="AM37" s="137"/>
      <c r="AN37" s="137"/>
      <c r="AO37" s="137"/>
      <c r="AP37" s="137"/>
      <c r="AQ37" s="137"/>
    </row>
    <row r="38" spans="2:43" ht="27.95" customHeight="1" thickTop="1" thickBot="1">
      <c r="B38" s="487"/>
      <c r="C38" s="503" t="s">
        <v>688</v>
      </c>
      <c r="D38" s="450"/>
      <c r="E38" s="492"/>
      <c r="F38" s="490"/>
      <c r="P38" s="129"/>
      <c r="Q38" s="188"/>
      <c r="R38" s="188"/>
      <c r="AF38" s="227"/>
      <c r="AG38" s="227"/>
      <c r="AH38" s="227"/>
      <c r="AI38" s="137"/>
      <c r="AJ38" s="137"/>
      <c r="AK38" s="137"/>
      <c r="AL38" s="137"/>
      <c r="AM38" s="137"/>
      <c r="AN38" s="137"/>
      <c r="AO38" s="137"/>
      <c r="AP38" s="137"/>
      <c r="AQ38" s="137"/>
    </row>
    <row r="39" spans="2:43" ht="15.6" thickTop="1" thickBot="1">
      <c r="B39" s="487"/>
      <c r="C39" s="494"/>
      <c r="D39" s="495" t="s">
        <v>342</v>
      </c>
      <c r="E39" s="496" t="s">
        <v>343</v>
      </c>
      <c r="F39" s="490"/>
      <c r="P39" s="186"/>
      <c r="Q39" s="187"/>
      <c r="R39" s="187"/>
      <c r="AF39" s="137"/>
      <c r="AG39" s="228"/>
      <c r="AH39" s="137"/>
      <c r="AI39" s="137"/>
      <c r="AJ39" s="137"/>
      <c r="AK39" s="137"/>
      <c r="AL39" s="137"/>
      <c r="AM39" s="150"/>
      <c r="AN39" s="149"/>
      <c r="AO39" s="149"/>
      <c r="AP39" s="137"/>
      <c r="AQ39" s="137"/>
    </row>
    <row r="40" spans="2:43" ht="15" thickBot="1">
      <c r="B40" s="487"/>
      <c r="C40" s="497" t="s">
        <v>338</v>
      </c>
      <c r="D40" s="498" t="e">
        <f>IF(OR('Saisie de données'!$AM$72='Menu déroulant'!$AA$28,'Saisie de données'!$AL$72='Menu déroulant'!$AG$51),-$M$6,-$E$16)</f>
        <v>#N/A</v>
      </c>
      <c r="E40" s="499" t="e">
        <f>IF(OR('Saisie de données'!$AM$72='Menu déroulant'!$AA$28,'Saisie de données'!$AL$72='Menu déroulant'!$AG$51),-$M$8,-$E$18)</f>
        <v>#N/A</v>
      </c>
      <c r="F40" s="490"/>
      <c r="J40" s="1413"/>
      <c r="AF40" s="137"/>
      <c r="AG40" s="229"/>
      <c r="AH40" s="230"/>
      <c r="AI40" s="137"/>
      <c r="AJ40" s="137"/>
      <c r="AK40" s="137"/>
      <c r="AL40" s="137"/>
      <c r="AM40" s="1717"/>
      <c r="AN40" s="171"/>
      <c r="AO40" s="172"/>
      <c r="AP40" s="137"/>
      <c r="AQ40" s="137"/>
    </row>
    <row r="41" spans="2:43" ht="15" thickBot="1">
      <c r="B41" s="487"/>
      <c r="C41" s="500" t="s">
        <v>111</v>
      </c>
      <c r="D41" s="501" t="e">
        <f>$AA$7</f>
        <v>#N/A</v>
      </c>
      <c r="E41" s="502" t="e">
        <f>$AA$5</f>
        <v>#N/A</v>
      </c>
      <c r="F41" s="490"/>
      <c r="J41" s="1413"/>
      <c r="AF41" s="137"/>
      <c r="AG41" s="229"/>
      <c r="AH41" s="230"/>
      <c r="AI41" s="137"/>
      <c r="AJ41" s="137"/>
      <c r="AK41" s="137"/>
      <c r="AL41" s="137"/>
      <c r="AM41" s="1717"/>
      <c r="AN41" s="1717"/>
      <c r="AO41" s="1717"/>
      <c r="AP41" s="137"/>
      <c r="AQ41" s="137"/>
    </row>
    <row r="42" spans="2:43" ht="26.65" customHeight="1" thickTop="1" thickBot="1">
      <c r="B42" s="487"/>
      <c r="C42" s="505"/>
      <c r="D42" s="504"/>
      <c r="E42" s="492"/>
      <c r="F42" s="490"/>
      <c r="J42" s="1413"/>
      <c r="S42" s="109"/>
      <c r="T42" s="109"/>
      <c r="AF42" s="231"/>
      <c r="AG42" s="231"/>
      <c r="AH42" s="137"/>
      <c r="AI42" s="137"/>
      <c r="AJ42" s="137"/>
      <c r="AK42" s="137"/>
      <c r="AL42" s="137"/>
      <c r="AM42" s="1717"/>
      <c r="AN42" s="1717"/>
      <c r="AO42" s="1717"/>
      <c r="AP42" s="137"/>
      <c r="AQ42" s="137"/>
    </row>
    <row r="43" spans="2:43" ht="14.45" customHeight="1" thickTop="1" thickBot="1">
      <c r="B43" s="487"/>
      <c r="C43" s="494"/>
      <c r="D43" s="495"/>
      <c r="E43" s="496"/>
      <c r="F43" s="490"/>
      <c r="J43" s="1413"/>
      <c r="S43" s="110"/>
      <c r="T43" s="110"/>
      <c r="AF43" s="136"/>
      <c r="AG43" s="137"/>
      <c r="AH43" s="137"/>
      <c r="AI43" s="137"/>
      <c r="AJ43" s="137"/>
      <c r="AK43" s="137"/>
      <c r="AL43" s="1727"/>
      <c r="AM43" s="159"/>
      <c r="AN43" s="173"/>
      <c r="AO43" s="173"/>
      <c r="AP43" s="137"/>
      <c r="AQ43" s="137"/>
    </row>
    <row r="44" spans="2:43" ht="14.65" customHeight="1" thickBot="1">
      <c r="B44" s="487"/>
      <c r="C44" s="497"/>
      <c r="D44" s="498"/>
      <c r="E44" s="499"/>
      <c r="F44" s="490"/>
      <c r="S44" s="111"/>
      <c r="T44" s="111"/>
      <c r="AF44" s="226"/>
      <c r="AG44" s="226"/>
      <c r="AH44" s="137"/>
      <c r="AI44" s="137"/>
      <c r="AJ44" s="137"/>
      <c r="AK44" s="137"/>
      <c r="AL44" s="1727"/>
      <c r="AM44" s="159"/>
      <c r="AN44" s="173"/>
      <c r="AO44" s="173"/>
      <c r="AP44" s="137"/>
      <c r="AQ44" s="137"/>
    </row>
    <row r="45" spans="2:43" ht="14.65" customHeight="1" thickBot="1">
      <c r="B45" s="487"/>
      <c r="C45" s="500"/>
      <c r="D45" s="501"/>
      <c r="E45" s="502"/>
      <c r="F45" s="490"/>
      <c r="S45" s="119"/>
      <c r="T45" s="119"/>
      <c r="AF45" s="232"/>
      <c r="AG45" s="136"/>
      <c r="AH45" s="233"/>
      <c r="AI45" s="137"/>
      <c r="AJ45" s="137"/>
      <c r="AK45" s="137"/>
      <c r="AL45" s="1727"/>
      <c r="AM45" s="159"/>
      <c r="AN45" s="173"/>
      <c r="AO45" s="173"/>
      <c r="AP45" s="137"/>
      <c r="AQ45" s="137"/>
    </row>
    <row r="46" spans="2:43" ht="14.65" customHeight="1" thickTop="1" thickBot="1">
      <c r="B46" s="487"/>
      <c r="C46" s="504"/>
      <c r="D46" s="504"/>
      <c r="E46" s="504"/>
      <c r="F46" s="490"/>
      <c r="S46" s="112"/>
      <c r="T46" s="112"/>
      <c r="AF46" s="234"/>
      <c r="AG46" s="234"/>
      <c r="AH46" s="137"/>
      <c r="AI46" s="137"/>
      <c r="AJ46" s="137"/>
      <c r="AK46" s="137"/>
      <c r="AL46" s="1727"/>
      <c r="AM46" s="159"/>
      <c r="AN46" s="173"/>
      <c r="AO46" s="173"/>
      <c r="AP46" s="137"/>
      <c r="AQ46" s="137"/>
    </row>
    <row r="47" spans="2:43" ht="14.65" customHeight="1" thickTop="1">
      <c r="B47" s="175"/>
      <c r="C47" s="175"/>
      <c r="D47" s="175"/>
      <c r="E47" s="175"/>
      <c r="F47" s="175"/>
      <c r="S47" s="112"/>
      <c r="T47" s="112"/>
      <c r="AF47" s="234"/>
      <c r="AG47" s="234"/>
      <c r="AH47" s="137"/>
      <c r="AI47" s="137"/>
      <c r="AJ47" s="137"/>
      <c r="AK47" s="137"/>
      <c r="AL47" s="1727"/>
      <c r="AM47" s="159"/>
      <c r="AN47" s="1728"/>
      <c r="AO47" s="1728"/>
      <c r="AP47" s="137"/>
      <c r="AQ47" s="137"/>
    </row>
    <row r="48" spans="2:43" ht="14.65" customHeight="1">
      <c r="B48" s="137"/>
      <c r="C48" s="137"/>
      <c r="D48" s="137"/>
      <c r="E48" s="137"/>
      <c r="F48" s="137"/>
      <c r="S48" s="112"/>
      <c r="T48" s="112"/>
      <c r="AF48" s="234"/>
      <c r="AG48" s="234"/>
      <c r="AH48" s="137"/>
      <c r="AI48" s="137"/>
      <c r="AJ48" s="137"/>
      <c r="AK48" s="137"/>
      <c r="AL48" s="1727"/>
      <c r="AM48" s="159"/>
      <c r="AN48" s="1728"/>
      <c r="AO48" s="1728"/>
      <c r="AP48" s="137"/>
      <c r="AQ48" s="137"/>
    </row>
    <row r="49" spans="2:43">
      <c r="B49" s="137"/>
      <c r="C49" s="137"/>
      <c r="D49" s="137"/>
      <c r="E49" s="137"/>
      <c r="F49" s="137"/>
      <c r="K49" s="125"/>
      <c r="L49" s="126"/>
      <c r="M49" s="126"/>
      <c r="N49" s="126"/>
      <c r="S49" s="112"/>
      <c r="T49" s="112"/>
      <c r="AF49" s="234"/>
      <c r="AG49" s="234"/>
      <c r="AH49" s="137"/>
      <c r="AI49" s="137"/>
      <c r="AJ49" s="137"/>
      <c r="AK49" s="137"/>
      <c r="AL49" s="1727"/>
      <c r="AM49" s="159"/>
      <c r="AN49" s="1728"/>
      <c r="AO49" s="1728"/>
      <c r="AP49" s="137"/>
      <c r="AQ49" s="137"/>
    </row>
    <row r="50" spans="2:43">
      <c r="B50" s="137"/>
      <c r="C50" s="234"/>
      <c r="D50" s="234"/>
      <c r="E50" s="234"/>
      <c r="F50" s="137"/>
      <c r="K50" s="127"/>
      <c r="L50" s="126"/>
      <c r="M50" s="128"/>
      <c r="N50" s="126"/>
      <c r="S50" s="112"/>
      <c r="T50" s="112"/>
      <c r="AF50" s="234"/>
      <c r="AG50" s="234"/>
      <c r="AH50" s="137"/>
      <c r="AI50" s="137"/>
      <c r="AJ50" s="137"/>
      <c r="AK50" s="137"/>
      <c r="AL50" s="1727"/>
      <c r="AM50" s="159"/>
      <c r="AN50" s="1728"/>
      <c r="AO50" s="1728"/>
      <c r="AP50" s="137"/>
      <c r="AQ50" s="137"/>
    </row>
    <row r="51" spans="2:43">
      <c r="C51" s="121"/>
      <c r="D51" s="122"/>
      <c r="K51" s="126"/>
      <c r="L51" s="126"/>
      <c r="M51" s="128"/>
      <c r="N51" s="126"/>
      <c r="S51" s="112"/>
      <c r="T51" s="112"/>
      <c r="U51" s="112"/>
      <c r="V51" s="112"/>
      <c r="AF51" s="234"/>
      <c r="AG51" s="234"/>
      <c r="AH51" s="137"/>
      <c r="AI51" s="137"/>
      <c r="AJ51" s="137"/>
      <c r="AK51" s="137"/>
      <c r="AL51" s="137"/>
      <c r="AM51" s="137"/>
      <c r="AN51" s="137"/>
      <c r="AO51" s="137"/>
      <c r="AP51" s="137"/>
      <c r="AQ51" s="137"/>
    </row>
    <row r="52" spans="2:43">
      <c r="S52" s="112"/>
      <c r="T52" s="112"/>
      <c r="U52" s="112"/>
      <c r="V52" s="112"/>
      <c r="AB52" s="125"/>
      <c r="AC52" s="126"/>
      <c r="AD52" s="126"/>
      <c r="AE52" s="126"/>
      <c r="AF52" s="234"/>
      <c r="AG52" s="234"/>
      <c r="AH52" s="137"/>
      <c r="AI52" s="137"/>
      <c r="AJ52" s="137"/>
      <c r="AK52" s="137"/>
      <c r="AL52" s="137"/>
      <c r="AM52" s="165"/>
      <c r="AN52" s="149"/>
      <c r="AO52" s="149"/>
      <c r="AP52" s="149"/>
      <c r="AQ52" s="137"/>
    </row>
    <row r="53" spans="2:43">
      <c r="S53" s="112"/>
      <c r="T53" s="112"/>
      <c r="U53" s="112"/>
      <c r="V53" s="112"/>
      <c r="AB53" s="127"/>
      <c r="AC53" s="126"/>
      <c r="AD53" s="128"/>
      <c r="AE53" s="126"/>
      <c r="AF53" s="234"/>
      <c r="AG53" s="234"/>
      <c r="AH53" s="137"/>
      <c r="AI53" s="137"/>
      <c r="AJ53" s="137"/>
      <c r="AK53" s="137"/>
      <c r="AL53" s="137"/>
      <c r="AM53" s="158"/>
      <c r="AN53" s="149"/>
      <c r="AO53" s="235"/>
      <c r="AP53" s="149"/>
      <c r="AQ53" s="137"/>
    </row>
    <row r="54" spans="2:43" ht="14.65" customHeight="1">
      <c r="C54" s="111"/>
      <c r="D54" s="111"/>
      <c r="E54" s="111"/>
      <c r="F54" s="111"/>
      <c r="K54" s="1716"/>
      <c r="L54" s="1716"/>
      <c r="M54" s="1716"/>
      <c r="N54" s="1716"/>
      <c r="S54" s="121"/>
      <c r="T54" s="121"/>
      <c r="U54" s="122"/>
      <c r="AB54" s="126"/>
      <c r="AC54" s="126"/>
      <c r="AD54" s="128"/>
      <c r="AE54" s="126"/>
      <c r="AF54" s="142"/>
      <c r="AG54" s="137"/>
      <c r="AH54" s="137"/>
      <c r="AI54" s="137"/>
      <c r="AJ54" s="137"/>
      <c r="AK54" s="137"/>
      <c r="AL54" s="137"/>
      <c r="AM54" s="149"/>
      <c r="AN54" s="149"/>
      <c r="AO54" s="235"/>
      <c r="AP54" s="149"/>
      <c r="AQ54" s="137"/>
    </row>
    <row r="55" spans="2:43">
      <c r="K55" s="156"/>
      <c r="L55" s="156"/>
      <c r="M55" s="156"/>
      <c r="N55" s="156"/>
      <c r="AF55" s="137"/>
      <c r="AG55" s="137"/>
      <c r="AH55" s="137"/>
      <c r="AI55" s="137"/>
      <c r="AJ55" s="137"/>
      <c r="AK55" s="137"/>
      <c r="AL55" s="137"/>
      <c r="AM55" s="137"/>
      <c r="AN55" s="137"/>
      <c r="AO55" s="137"/>
      <c r="AP55" s="137"/>
      <c r="AQ55" s="137"/>
    </row>
    <row r="56" spans="2:43" ht="14.45" customHeight="1">
      <c r="F56" s="123"/>
      <c r="K56" s="1723"/>
      <c r="L56" s="1723"/>
      <c r="M56" s="1723"/>
      <c r="N56" s="1723"/>
      <c r="AF56" s="137"/>
      <c r="AG56" s="137"/>
      <c r="AH56" s="137"/>
      <c r="AI56" s="137"/>
      <c r="AJ56" s="137"/>
      <c r="AK56" s="137"/>
      <c r="AL56" s="137"/>
      <c r="AM56" s="137"/>
      <c r="AN56" s="137"/>
      <c r="AO56" s="137"/>
      <c r="AP56" s="137"/>
      <c r="AQ56" s="137"/>
    </row>
    <row r="57" spans="2:43">
      <c r="K57" s="1723"/>
      <c r="L57" s="1723"/>
      <c r="M57" s="1723"/>
      <c r="N57" s="1723"/>
      <c r="S57" s="111"/>
      <c r="T57" s="111"/>
      <c r="U57" s="111"/>
      <c r="V57" s="111"/>
      <c r="W57" s="111"/>
      <c r="AB57" s="1723"/>
      <c r="AC57" s="1723"/>
      <c r="AD57" s="1723"/>
      <c r="AE57" s="1723"/>
      <c r="AF57" s="137"/>
      <c r="AG57" s="137"/>
      <c r="AH57" s="137"/>
      <c r="AI57" s="137"/>
      <c r="AJ57" s="137"/>
      <c r="AK57" s="137"/>
      <c r="AL57" s="137"/>
      <c r="AM57" s="137"/>
      <c r="AN57" s="137"/>
      <c r="AO57" s="137"/>
      <c r="AP57" s="137"/>
      <c r="AQ57" s="137"/>
    </row>
    <row r="58" spans="2:43">
      <c r="F58" s="116"/>
      <c r="K58" s="1723"/>
      <c r="L58" s="1723"/>
      <c r="M58" s="1723"/>
      <c r="N58" s="1723"/>
      <c r="AB58" s="1723"/>
      <c r="AC58" s="1723"/>
      <c r="AD58" s="1723"/>
      <c r="AE58" s="1723"/>
      <c r="AF58" s="136"/>
      <c r="AG58" s="136"/>
      <c r="AH58" s="136"/>
      <c r="AI58" s="136"/>
      <c r="AJ58" s="136"/>
      <c r="AK58" s="136"/>
      <c r="AL58" s="136"/>
      <c r="AM58" s="136"/>
      <c r="AN58" s="136"/>
      <c r="AO58" s="136"/>
      <c r="AP58" s="136"/>
      <c r="AQ58" s="137"/>
    </row>
    <row r="59" spans="2:43">
      <c r="D59" s="117"/>
      <c r="E59" s="117"/>
      <c r="F59" s="117"/>
      <c r="K59" s="1723"/>
      <c r="L59" s="1723"/>
      <c r="M59" s="1723"/>
      <c r="N59" s="1723"/>
      <c r="W59" s="123"/>
      <c r="AB59" s="1723"/>
      <c r="AC59" s="1723"/>
      <c r="AD59" s="1723"/>
      <c r="AE59" s="1723"/>
      <c r="AF59" s="137"/>
      <c r="AG59" s="137"/>
      <c r="AH59" s="137"/>
      <c r="AI59" s="137"/>
      <c r="AJ59" s="137"/>
      <c r="AK59" s="137"/>
      <c r="AL59" s="137"/>
      <c r="AM59" s="137"/>
      <c r="AN59" s="137"/>
      <c r="AO59" s="137"/>
      <c r="AP59" s="137"/>
      <c r="AQ59" s="137"/>
    </row>
    <row r="60" spans="2:43">
      <c r="E60" s="107"/>
      <c r="K60" s="1723"/>
      <c r="L60" s="1723"/>
      <c r="M60" s="1723"/>
      <c r="N60" s="1723"/>
      <c r="AB60" s="1723"/>
      <c r="AC60" s="1723"/>
      <c r="AD60" s="1723"/>
      <c r="AE60" s="1723"/>
      <c r="AF60" s="1725"/>
      <c r="AG60" s="1725"/>
      <c r="AH60" s="1725"/>
      <c r="AI60" s="1725"/>
      <c r="AJ60" s="1725"/>
      <c r="AK60" s="1725"/>
      <c r="AL60" s="1725"/>
      <c r="AM60" s="1725"/>
      <c r="AN60" s="137"/>
      <c r="AO60" s="137"/>
      <c r="AP60" s="137"/>
      <c r="AQ60" s="137"/>
    </row>
    <row r="61" spans="2:43">
      <c r="E61" s="108"/>
      <c r="F61" s="118"/>
      <c r="K61" s="1723"/>
      <c r="L61" s="1723"/>
      <c r="M61" s="1723"/>
      <c r="N61" s="1723"/>
      <c r="W61" s="116"/>
      <c r="AB61" s="1723"/>
      <c r="AC61" s="1723"/>
      <c r="AD61" s="1723"/>
      <c r="AE61" s="1723"/>
      <c r="AF61" s="137"/>
      <c r="AG61" s="137"/>
      <c r="AH61" s="137"/>
      <c r="AI61" s="137"/>
      <c r="AJ61" s="137"/>
      <c r="AK61" s="137"/>
      <c r="AL61" s="137"/>
      <c r="AM61" s="137"/>
      <c r="AN61" s="137"/>
      <c r="AO61" s="137"/>
      <c r="AP61" s="137"/>
      <c r="AQ61" s="137"/>
    </row>
    <row r="62" spans="2:43" ht="18">
      <c r="C62" s="109"/>
      <c r="D62" s="109"/>
      <c r="E62" s="109"/>
      <c r="K62" s="1723"/>
      <c r="L62" s="1723"/>
      <c r="M62" s="1723"/>
      <c r="N62" s="1723"/>
      <c r="U62" s="117"/>
      <c r="V62" s="117"/>
      <c r="W62" s="117"/>
      <c r="AB62" s="1723"/>
      <c r="AC62" s="1723"/>
      <c r="AD62" s="1723"/>
      <c r="AE62" s="1723"/>
      <c r="AF62" s="1725"/>
      <c r="AG62" s="1725"/>
      <c r="AH62" s="1725"/>
      <c r="AI62" s="137"/>
      <c r="AJ62" s="137"/>
      <c r="AK62" s="137"/>
      <c r="AL62" s="137"/>
      <c r="AM62" s="147"/>
      <c r="AN62" s="148"/>
      <c r="AO62" s="137"/>
      <c r="AP62" s="137"/>
      <c r="AQ62" s="137"/>
    </row>
    <row r="63" spans="2:43">
      <c r="C63" s="110"/>
      <c r="D63" s="110"/>
      <c r="K63" s="1723"/>
      <c r="L63" s="1723"/>
      <c r="M63" s="1723"/>
      <c r="N63" s="1723"/>
      <c r="V63" s="107"/>
      <c r="AB63" s="1723"/>
      <c r="AC63" s="1723"/>
      <c r="AD63" s="1723"/>
      <c r="AE63" s="1723"/>
      <c r="AF63" s="137"/>
      <c r="AG63" s="137"/>
      <c r="AH63" s="137"/>
      <c r="AI63" s="137"/>
      <c r="AJ63" s="137"/>
      <c r="AK63" s="137"/>
      <c r="AL63" s="137"/>
      <c r="AM63" s="137"/>
      <c r="AN63" s="137"/>
      <c r="AO63" s="137"/>
      <c r="AP63" s="137"/>
      <c r="AQ63" s="137"/>
    </row>
    <row r="64" spans="2:43">
      <c r="C64" s="111"/>
      <c r="D64" s="111"/>
      <c r="E64" s="111"/>
      <c r="K64" s="1723"/>
      <c r="L64" s="1723"/>
      <c r="M64" s="1723"/>
      <c r="N64" s="1723"/>
      <c r="O64" t="s">
        <v>689</v>
      </c>
      <c r="V64" s="108"/>
      <c r="W64" s="118"/>
      <c r="AB64" s="1723"/>
      <c r="AC64" s="1723"/>
      <c r="AD64" s="1723"/>
      <c r="AE64" s="1723"/>
      <c r="AF64" s="137"/>
      <c r="AG64" s="137"/>
      <c r="AH64" s="137"/>
      <c r="AI64" s="137"/>
      <c r="AJ64" s="137"/>
      <c r="AK64" s="137"/>
      <c r="AL64" s="137"/>
      <c r="AM64" s="149"/>
      <c r="AN64" s="149"/>
      <c r="AO64" s="149"/>
      <c r="AP64" s="149"/>
      <c r="AQ64" s="137"/>
    </row>
    <row r="65" spans="3:43" ht="18">
      <c r="C65" s="119"/>
      <c r="D65" s="113"/>
      <c r="E65" s="110"/>
      <c r="F65" s="120"/>
      <c r="K65" s="1723"/>
      <c r="L65" s="1723"/>
      <c r="M65" s="1723"/>
      <c r="N65" s="1723"/>
      <c r="S65" s="109"/>
      <c r="T65" s="109"/>
      <c r="U65" s="109"/>
      <c r="V65" s="109"/>
      <c r="AB65" s="1723"/>
      <c r="AC65" s="1723"/>
      <c r="AD65" s="1723"/>
      <c r="AE65" s="1723"/>
      <c r="AF65" s="137"/>
      <c r="AG65" s="137"/>
      <c r="AH65" s="137"/>
      <c r="AI65" s="137"/>
      <c r="AJ65" s="137"/>
      <c r="AK65" s="137"/>
      <c r="AL65" s="137"/>
      <c r="AM65" s="150"/>
      <c r="AN65" s="149"/>
      <c r="AO65" s="149"/>
      <c r="AP65" s="149"/>
      <c r="AQ65" s="137"/>
    </row>
    <row r="66" spans="3:43" ht="14.65" customHeight="1">
      <c r="C66" s="112"/>
      <c r="D66" s="112"/>
      <c r="E66" s="112"/>
      <c r="K66" s="1723"/>
      <c r="L66" s="1723"/>
      <c r="M66" s="1723"/>
      <c r="N66" s="1723"/>
      <c r="S66" s="110"/>
      <c r="T66" s="110"/>
      <c r="U66" s="110"/>
      <c r="AB66" s="1723"/>
      <c r="AC66" s="1723"/>
      <c r="AD66" s="1723"/>
      <c r="AE66" s="1723"/>
      <c r="AF66" s="137"/>
      <c r="AG66" s="137"/>
      <c r="AH66" s="137"/>
      <c r="AI66" s="137"/>
      <c r="AJ66" s="137"/>
      <c r="AK66" s="137"/>
      <c r="AL66" s="137"/>
      <c r="AM66" s="151"/>
      <c r="AN66" s="1726"/>
      <c r="AO66" s="1726"/>
      <c r="AP66" s="149"/>
      <c r="AQ66" s="137"/>
    </row>
    <row r="67" spans="3:43">
      <c r="C67" s="112"/>
      <c r="D67" s="112"/>
      <c r="E67" s="112"/>
      <c r="K67" s="156"/>
      <c r="L67" s="156"/>
      <c r="M67" s="156"/>
      <c r="N67" s="156"/>
      <c r="S67" s="111"/>
      <c r="T67" s="111"/>
      <c r="U67" s="111"/>
      <c r="V67" s="111"/>
      <c r="AB67" s="1723"/>
      <c r="AC67" s="1723"/>
      <c r="AD67" s="1723"/>
      <c r="AE67" s="1723"/>
      <c r="AF67" s="1281"/>
      <c r="AG67" s="1281"/>
      <c r="AH67" s="137"/>
      <c r="AI67" s="137"/>
      <c r="AJ67" s="137"/>
      <c r="AK67" s="137"/>
      <c r="AL67" s="137"/>
      <c r="AM67" s="151"/>
      <c r="AN67" s="152"/>
      <c r="AO67" s="149"/>
      <c r="AP67" s="149"/>
      <c r="AQ67" s="137"/>
    </row>
    <row r="68" spans="3:43" ht="15.6">
      <c r="C68" s="112"/>
      <c r="D68" s="112"/>
      <c r="E68" s="112"/>
      <c r="K68" s="156"/>
      <c r="L68" s="156"/>
      <c r="M68" s="156"/>
      <c r="N68" s="156"/>
      <c r="S68" s="119"/>
      <c r="T68" s="119"/>
      <c r="U68" s="113"/>
      <c r="V68" s="110"/>
      <c r="W68" s="120"/>
      <c r="AB68" s="1723"/>
      <c r="AC68" s="1723"/>
      <c r="AD68" s="1723"/>
      <c r="AE68" s="1723"/>
      <c r="AF68" s="137"/>
      <c r="AG68" s="137"/>
      <c r="AH68" s="137"/>
      <c r="AI68" s="137"/>
      <c r="AJ68" s="137"/>
      <c r="AK68" s="137"/>
      <c r="AL68" s="137"/>
      <c r="AM68" s="1717"/>
      <c r="AN68" s="1717"/>
      <c r="AO68" s="153"/>
      <c r="AP68" s="149"/>
      <c r="AQ68" s="137"/>
    </row>
    <row r="69" spans="3:43">
      <c r="C69" s="112"/>
      <c r="D69" s="112"/>
      <c r="E69" s="112"/>
      <c r="K69" s="1"/>
      <c r="L69" s="1"/>
      <c r="M69" s="1"/>
      <c r="N69" s="1"/>
      <c r="S69" s="112"/>
      <c r="T69" s="112"/>
      <c r="U69" s="112"/>
      <c r="V69" s="112"/>
      <c r="AB69" s="1723"/>
      <c r="AC69" s="1723"/>
      <c r="AD69" s="1723"/>
      <c r="AE69" s="1723"/>
      <c r="AF69" s="137"/>
      <c r="AG69" s="137"/>
      <c r="AH69" s="137"/>
      <c r="AI69" s="137"/>
      <c r="AJ69" s="137"/>
      <c r="AK69" s="137"/>
      <c r="AL69" s="137"/>
      <c r="AM69" s="1724"/>
      <c r="AN69" s="1724"/>
      <c r="AO69" s="154"/>
      <c r="AP69" s="149"/>
      <c r="AQ69" s="137"/>
    </row>
    <row r="70" spans="3:43">
      <c r="C70" s="124"/>
      <c r="D70" s="122"/>
      <c r="K70" s="1"/>
      <c r="L70" s="1"/>
      <c r="M70" s="1"/>
      <c r="N70" s="1"/>
      <c r="S70" s="112"/>
      <c r="T70" s="112"/>
      <c r="U70" s="112"/>
      <c r="V70" s="112"/>
      <c r="AB70" s="1723"/>
      <c r="AC70" s="1723"/>
      <c r="AD70" s="1723"/>
      <c r="AE70" s="1723"/>
      <c r="AF70" s="137"/>
      <c r="AG70" s="137"/>
      <c r="AH70" s="137"/>
      <c r="AI70" s="137"/>
      <c r="AJ70" s="137"/>
      <c r="AK70" s="137"/>
      <c r="AL70" s="137"/>
      <c r="AM70" s="149"/>
      <c r="AN70" s="149"/>
      <c r="AO70" s="149"/>
      <c r="AP70" s="149"/>
      <c r="AQ70" s="137"/>
    </row>
    <row r="71" spans="3:43">
      <c r="K71" s="1"/>
      <c r="L71" s="1"/>
      <c r="M71" s="1"/>
      <c r="N71" s="1"/>
      <c r="S71" s="112"/>
      <c r="T71" s="112"/>
      <c r="U71" s="112"/>
      <c r="V71" s="112"/>
      <c r="AB71" s="1"/>
      <c r="AC71" s="1"/>
      <c r="AD71" s="1"/>
      <c r="AE71" s="1"/>
      <c r="AF71" s="137"/>
      <c r="AG71" s="137"/>
      <c r="AH71" s="137"/>
      <c r="AI71" s="137"/>
      <c r="AJ71" s="137"/>
      <c r="AK71" s="137"/>
      <c r="AL71" s="137"/>
      <c r="AM71" s="137"/>
      <c r="AN71" s="137"/>
      <c r="AO71" s="137"/>
      <c r="AP71" s="137"/>
      <c r="AQ71" s="137"/>
    </row>
    <row r="72" spans="3:43">
      <c r="K72" s="1"/>
      <c r="L72" s="1"/>
      <c r="M72" s="1"/>
      <c r="N72" s="1"/>
      <c r="AF72" s="137"/>
      <c r="AG72" s="137"/>
      <c r="AH72" s="137"/>
      <c r="AI72" s="137"/>
      <c r="AJ72" s="137"/>
      <c r="AK72" s="137"/>
      <c r="AL72" s="137"/>
      <c r="AM72" s="150"/>
      <c r="AN72" s="150"/>
      <c r="AO72" s="149"/>
      <c r="AP72" s="137"/>
      <c r="AQ72" s="137"/>
    </row>
    <row r="73" spans="3:43">
      <c r="AF73" s="137"/>
      <c r="AG73" s="137"/>
      <c r="AH73" s="137"/>
      <c r="AI73" s="137"/>
      <c r="AJ73" s="137"/>
      <c r="AK73" s="137"/>
      <c r="AL73" s="137"/>
      <c r="AM73" s="1717"/>
      <c r="AN73" s="1717"/>
      <c r="AO73" s="1717"/>
      <c r="AP73" s="137"/>
      <c r="AQ73" s="137"/>
    </row>
    <row r="74" spans="3:43">
      <c r="AF74" s="137"/>
      <c r="AG74" s="137"/>
      <c r="AH74" s="137"/>
      <c r="AI74" s="137"/>
      <c r="AJ74" s="137"/>
      <c r="AK74" s="137"/>
      <c r="AL74" s="137"/>
      <c r="AM74" s="1717"/>
      <c r="AN74" s="159"/>
      <c r="AO74" s="159"/>
      <c r="AP74" s="137"/>
      <c r="AQ74" s="137"/>
    </row>
    <row r="75" spans="3:43">
      <c r="AF75" s="137"/>
      <c r="AG75" s="137"/>
      <c r="AH75" s="137"/>
      <c r="AI75" s="137"/>
      <c r="AJ75" s="1727"/>
      <c r="AK75" s="1727"/>
      <c r="AL75" s="1727"/>
      <c r="AM75" s="159"/>
      <c r="AN75" s="160"/>
      <c r="AO75" s="161"/>
      <c r="AP75" s="137"/>
      <c r="AQ75" s="137"/>
    </row>
    <row r="76" spans="3:43">
      <c r="AF76" s="137"/>
      <c r="AG76" s="137"/>
      <c r="AH76" s="137"/>
      <c r="AI76" s="137"/>
      <c r="AJ76" s="1727"/>
      <c r="AK76" s="1727"/>
      <c r="AL76" s="1727"/>
      <c r="AM76" s="159"/>
      <c r="AN76" s="160"/>
      <c r="AO76" s="236"/>
      <c r="AP76" s="137"/>
      <c r="AQ76" s="137"/>
    </row>
    <row r="77" spans="3:43">
      <c r="AF77" s="137"/>
      <c r="AG77" s="137"/>
      <c r="AH77" s="137"/>
      <c r="AI77" s="137"/>
      <c r="AJ77" s="1727"/>
      <c r="AK77" s="1727"/>
      <c r="AL77" s="1727"/>
      <c r="AM77" s="159"/>
      <c r="AN77" s="160"/>
      <c r="AO77" s="236"/>
      <c r="AP77" s="137"/>
      <c r="AQ77" s="137"/>
    </row>
    <row r="78" spans="3:43">
      <c r="AF78" s="135"/>
      <c r="AG78" s="139"/>
      <c r="AH78" s="137"/>
      <c r="AI78" s="137"/>
      <c r="AJ78" s="1727"/>
      <c r="AK78" s="1727"/>
      <c r="AL78" s="1727"/>
      <c r="AM78" s="159"/>
      <c r="AN78" s="160"/>
      <c r="AO78" s="161"/>
      <c r="AP78" s="137"/>
      <c r="AQ78" s="137"/>
    </row>
    <row r="79" spans="3:43">
      <c r="AF79" s="135"/>
      <c r="AG79" s="142"/>
      <c r="AH79" s="142"/>
      <c r="AI79" s="137"/>
      <c r="AJ79" s="1727"/>
      <c r="AK79" s="1727"/>
      <c r="AL79" s="1727"/>
      <c r="AM79" s="159"/>
      <c r="AN79" s="160"/>
      <c r="AO79" s="161"/>
      <c r="AP79" s="137"/>
      <c r="AQ79" s="137"/>
    </row>
    <row r="80" spans="3:43">
      <c r="AF80" s="137"/>
      <c r="AG80" s="137"/>
      <c r="AH80" s="137"/>
      <c r="AI80" s="137"/>
      <c r="AJ80" s="1727"/>
      <c r="AK80" s="1727"/>
      <c r="AL80" s="1727"/>
      <c r="AM80" s="159"/>
      <c r="AN80" s="160"/>
      <c r="AO80" s="161"/>
      <c r="AP80" s="137"/>
      <c r="AQ80" s="137"/>
    </row>
    <row r="81" spans="32:43">
      <c r="AF81" s="137"/>
      <c r="AG81" s="137"/>
      <c r="AH81" s="137"/>
      <c r="AI81" s="137"/>
      <c r="AJ81" s="1727"/>
      <c r="AK81" s="1727"/>
      <c r="AL81" s="1727"/>
      <c r="AM81" s="159"/>
      <c r="AN81" s="160"/>
      <c r="AO81" s="161"/>
      <c r="AP81" s="137"/>
      <c r="AQ81" s="137"/>
    </row>
    <row r="82" spans="32:43">
      <c r="AF82" s="137"/>
      <c r="AG82" s="137"/>
      <c r="AH82" s="137"/>
      <c r="AI82" s="137"/>
      <c r="AJ82" s="1727"/>
      <c r="AK82" s="1727"/>
      <c r="AL82" s="1727"/>
      <c r="AM82" s="159"/>
      <c r="AN82" s="160"/>
      <c r="AO82" s="161"/>
      <c r="AP82" s="137"/>
      <c r="AQ82" s="137"/>
    </row>
    <row r="83" spans="32:43">
      <c r="AF83" s="137"/>
      <c r="AG83" s="137"/>
      <c r="AH83" s="137"/>
      <c r="AI83" s="137"/>
      <c r="AJ83" s="1727"/>
      <c r="AK83" s="1727"/>
      <c r="AL83" s="1727"/>
      <c r="AM83" s="159"/>
      <c r="AN83" s="160"/>
      <c r="AO83" s="161"/>
      <c r="AP83" s="137"/>
      <c r="AQ83" s="137"/>
    </row>
    <row r="84" spans="32:43">
      <c r="AF84" s="137"/>
      <c r="AG84" s="137"/>
      <c r="AH84" s="137"/>
      <c r="AI84" s="137"/>
      <c r="AJ84" s="1727"/>
      <c r="AK84" s="1727"/>
      <c r="AL84" s="1727"/>
      <c r="AM84" s="159"/>
      <c r="AN84" s="160"/>
      <c r="AO84" s="161"/>
      <c r="AP84" s="137"/>
      <c r="AQ84" s="137"/>
    </row>
    <row r="85" spans="32:43">
      <c r="AF85" s="137"/>
      <c r="AG85" s="137"/>
      <c r="AH85" s="137"/>
      <c r="AI85" s="137"/>
      <c r="AJ85" s="137"/>
      <c r="AK85" s="137"/>
      <c r="AL85" s="137"/>
      <c r="AM85" s="137"/>
      <c r="AN85" s="137"/>
      <c r="AO85" s="137"/>
      <c r="AP85" s="137"/>
      <c r="AQ85" s="137"/>
    </row>
    <row r="86" spans="32:43">
      <c r="AF86" s="137"/>
      <c r="AG86" s="137"/>
      <c r="AH86" s="137"/>
      <c r="AI86" s="137"/>
      <c r="AJ86" s="137"/>
      <c r="AK86" s="137"/>
      <c r="AL86" s="137"/>
      <c r="AM86" s="165"/>
      <c r="AN86" s="149"/>
      <c r="AO86" s="149"/>
      <c r="AP86" s="149"/>
      <c r="AQ86" s="137"/>
    </row>
    <row r="87" spans="32:43">
      <c r="AF87" s="226"/>
      <c r="AG87" s="226"/>
      <c r="AH87" s="226"/>
      <c r="AI87" s="137"/>
      <c r="AJ87" s="137"/>
      <c r="AK87" s="137"/>
      <c r="AL87" s="137"/>
      <c r="AM87" s="151"/>
      <c r="AN87" s="158"/>
      <c r="AO87" s="1717"/>
      <c r="AP87" s="1717"/>
      <c r="AQ87" s="137"/>
    </row>
    <row r="88" spans="32:43">
      <c r="AF88" s="226"/>
      <c r="AG88" s="226"/>
      <c r="AH88" s="226"/>
      <c r="AI88" s="137"/>
      <c r="AJ88" s="137"/>
      <c r="AK88" s="137"/>
      <c r="AL88" s="137"/>
      <c r="AM88" s="151"/>
      <c r="AN88" s="166"/>
      <c r="AO88" s="159"/>
      <c r="AP88" s="159"/>
      <c r="AQ88" s="137"/>
    </row>
    <row r="89" spans="32:43">
      <c r="AF89" s="137"/>
      <c r="AG89" s="137"/>
      <c r="AH89" s="137"/>
      <c r="AI89" s="137"/>
      <c r="AJ89" s="137"/>
      <c r="AK89" s="137"/>
      <c r="AL89" s="137"/>
      <c r="AM89" s="1717"/>
      <c r="AN89" s="1717"/>
      <c r="AO89" s="149"/>
      <c r="AP89" s="149"/>
      <c r="AQ89" s="137"/>
    </row>
    <row r="90" spans="32:43">
      <c r="AF90" s="137"/>
      <c r="AG90" s="137"/>
      <c r="AH90" s="137"/>
      <c r="AI90" s="137"/>
      <c r="AJ90" s="137"/>
      <c r="AK90" s="137"/>
      <c r="AL90" s="137"/>
      <c r="AM90" s="151"/>
      <c r="AN90" s="167"/>
      <c r="AO90" s="168"/>
      <c r="AP90" s="149"/>
      <c r="AQ90" s="137"/>
    </row>
    <row r="91" spans="32:43">
      <c r="AF91" s="137"/>
      <c r="AG91" s="137"/>
      <c r="AH91" s="139"/>
      <c r="AI91" s="137"/>
      <c r="AJ91" s="137"/>
      <c r="AK91" s="137"/>
      <c r="AL91" s="137"/>
      <c r="AM91" s="137"/>
      <c r="AN91" s="137"/>
      <c r="AO91" s="137"/>
      <c r="AP91" s="137"/>
      <c r="AQ91" s="137"/>
    </row>
    <row r="92" spans="32:43">
      <c r="AF92" s="227"/>
      <c r="AG92" s="227"/>
      <c r="AH92" s="227"/>
      <c r="AI92" s="137"/>
      <c r="AJ92" s="137"/>
      <c r="AK92" s="137"/>
      <c r="AL92" s="137"/>
      <c r="AM92" s="137"/>
      <c r="AN92" s="137"/>
      <c r="AO92" s="137"/>
      <c r="AP92" s="137"/>
      <c r="AQ92" s="137"/>
    </row>
    <row r="93" spans="32:43">
      <c r="AF93" s="137"/>
      <c r="AG93" s="228"/>
      <c r="AH93" s="137"/>
      <c r="AI93" s="137"/>
      <c r="AJ93" s="137"/>
      <c r="AK93" s="137"/>
      <c r="AL93" s="137"/>
      <c r="AM93" s="150"/>
      <c r="AN93" s="149"/>
      <c r="AO93" s="149"/>
      <c r="AP93" s="137"/>
      <c r="AQ93" s="137"/>
    </row>
    <row r="94" spans="32:43">
      <c r="AF94" s="137"/>
      <c r="AG94" s="229"/>
      <c r="AH94" s="230"/>
      <c r="AI94" s="137"/>
      <c r="AJ94" s="137"/>
      <c r="AK94" s="137"/>
      <c r="AL94" s="137"/>
      <c r="AM94" s="1717"/>
      <c r="AN94" s="171"/>
      <c r="AO94" s="172"/>
      <c r="AP94" s="137"/>
      <c r="AQ94" s="137"/>
    </row>
    <row r="95" spans="32:43">
      <c r="AF95" s="137"/>
      <c r="AG95" s="229"/>
      <c r="AH95" s="230"/>
      <c r="AI95" s="137"/>
      <c r="AJ95" s="137"/>
      <c r="AK95" s="137"/>
      <c r="AL95" s="137"/>
      <c r="AM95" s="1717"/>
      <c r="AN95" s="1717"/>
      <c r="AO95" s="1717"/>
      <c r="AP95" s="137"/>
      <c r="AQ95" s="137"/>
    </row>
    <row r="96" spans="32:43" ht="18">
      <c r="AF96" s="231"/>
      <c r="AG96" s="231"/>
      <c r="AH96" s="137"/>
      <c r="AI96" s="137"/>
      <c r="AJ96" s="137"/>
      <c r="AK96" s="137"/>
      <c r="AL96" s="137"/>
      <c r="AM96" s="1717"/>
      <c r="AN96" s="1717"/>
      <c r="AO96" s="1717"/>
      <c r="AP96" s="137"/>
      <c r="AQ96" s="137"/>
    </row>
    <row r="97" spans="32:43">
      <c r="AF97" s="136"/>
      <c r="AG97" s="137"/>
      <c r="AH97" s="137"/>
      <c r="AI97" s="137"/>
      <c r="AJ97" s="137"/>
      <c r="AK97" s="137"/>
      <c r="AL97" s="1727"/>
      <c r="AM97" s="159"/>
      <c r="AN97" s="173"/>
      <c r="AO97" s="173"/>
      <c r="AP97" s="137"/>
      <c r="AQ97" s="137"/>
    </row>
    <row r="98" spans="32:43">
      <c r="AF98" s="226"/>
      <c r="AG98" s="226"/>
      <c r="AH98" s="137"/>
      <c r="AI98" s="137"/>
      <c r="AJ98" s="137"/>
      <c r="AK98" s="137"/>
      <c r="AL98" s="1727"/>
      <c r="AM98" s="159"/>
      <c r="AN98" s="173"/>
      <c r="AO98" s="173"/>
      <c r="AP98" s="137"/>
      <c r="AQ98" s="137"/>
    </row>
    <row r="99" spans="32:43" ht="15.6">
      <c r="AF99" s="232"/>
      <c r="AG99" s="136"/>
      <c r="AH99" s="233"/>
      <c r="AI99" s="137"/>
      <c r="AJ99" s="137"/>
      <c r="AK99" s="137"/>
      <c r="AL99" s="1727"/>
      <c r="AM99" s="159"/>
      <c r="AN99" s="173"/>
      <c r="AO99" s="173"/>
      <c r="AP99" s="137"/>
      <c r="AQ99" s="137"/>
    </row>
    <row r="100" spans="32:43">
      <c r="AF100" s="234"/>
      <c r="AG100" s="234"/>
      <c r="AH100" s="137"/>
      <c r="AI100" s="137"/>
      <c r="AJ100" s="137"/>
      <c r="AK100" s="137"/>
      <c r="AL100" s="1727"/>
      <c r="AM100" s="159"/>
      <c r="AN100" s="173"/>
      <c r="AO100" s="173"/>
      <c r="AP100" s="137"/>
      <c r="AQ100" s="137"/>
    </row>
    <row r="101" spans="32:43">
      <c r="AF101" s="234"/>
      <c r="AG101" s="234"/>
      <c r="AH101" s="137"/>
      <c r="AI101" s="137"/>
      <c r="AJ101" s="137"/>
      <c r="AK101" s="137"/>
      <c r="AL101" s="1727"/>
      <c r="AM101" s="159"/>
      <c r="AN101" s="1728"/>
      <c r="AO101" s="1728"/>
      <c r="AP101" s="137"/>
      <c r="AQ101" s="137"/>
    </row>
    <row r="102" spans="32:43">
      <c r="AF102" s="234"/>
      <c r="AG102" s="234"/>
      <c r="AH102" s="137"/>
      <c r="AI102" s="137"/>
      <c r="AJ102" s="137"/>
      <c r="AK102" s="137"/>
      <c r="AL102" s="1727"/>
      <c r="AM102" s="159"/>
      <c r="AN102" s="1728"/>
      <c r="AO102" s="1728"/>
      <c r="AP102" s="137"/>
      <c r="AQ102" s="137"/>
    </row>
    <row r="103" spans="32:43">
      <c r="AF103" s="234"/>
      <c r="AG103" s="234"/>
      <c r="AH103" s="137"/>
      <c r="AI103" s="137"/>
      <c r="AJ103" s="137"/>
      <c r="AK103" s="137"/>
      <c r="AL103" s="1727"/>
      <c r="AM103" s="159"/>
      <c r="AN103" s="1728"/>
      <c r="AO103" s="1728"/>
      <c r="AP103" s="137"/>
      <c r="AQ103" s="137"/>
    </row>
    <row r="104" spans="32:43">
      <c r="AF104" s="234"/>
      <c r="AG104" s="234"/>
      <c r="AH104" s="137"/>
      <c r="AI104" s="137"/>
      <c r="AJ104" s="137"/>
      <c r="AK104" s="137"/>
      <c r="AL104" s="1727"/>
      <c r="AM104" s="159"/>
      <c r="AN104" s="1728"/>
      <c r="AO104" s="1728"/>
      <c r="AP104" s="137"/>
      <c r="AQ104" s="137"/>
    </row>
    <row r="105" spans="32:43">
      <c r="AF105" s="137"/>
      <c r="AG105" s="137"/>
      <c r="AH105" s="137"/>
      <c r="AI105" s="137"/>
      <c r="AJ105" s="137"/>
      <c r="AK105" s="137"/>
      <c r="AL105" s="137"/>
      <c r="AM105" s="137"/>
      <c r="AN105" s="137"/>
      <c r="AO105" s="137"/>
      <c r="AP105" s="137"/>
      <c r="AQ105" s="137"/>
    </row>
    <row r="106" spans="32:43">
      <c r="AF106" s="137"/>
      <c r="AG106" s="137"/>
      <c r="AH106" s="137"/>
      <c r="AI106" s="137"/>
      <c r="AJ106" s="137"/>
      <c r="AK106" s="137"/>
      <c r="AL106" s="137"/>
      <c r="AM106" s="137"/>
      <c r="AN106" s="137"/>
      <c r="AO106" s="137"/>
      <c r="AP106" s="137"/>
      <c r="AQ106" s="137"/>
    </row>
    <row r="107" spans="32:43">
      <c r="AF107" s="137"/>
      <c r="AG107" s="137"/>
      <c r="AH107" s="137"/>
      <c r="AI107" s="137"/>
      <c r="AJ107" s="137"/>
      <c r="AK107" s="137"/>
      <c r="AL107" s="137"/>
      <c r="AM107" s="137"/>
      <c r="AN107" s="137"/>
      <c r="AO107" s="137"/>
      <c r="AP107" s="137"/>
      <c r="AQ107" s="137"/>
    </row>
    <row r="108" spans="32:43">
      <c r="AF108" s="137"/>
      <c r="AG108" s="137"/>
      <c r="AH108" s="137"/>
      <c r="AI108" s="137"/>
      <c r="AJ108" s="137"/>
      <c r="AK108" s="137"/>
      <c r="AL108" s="137"/>
      <c r="AM108" s="137"/>
      <c r="AN108" s="137"/>
      <c r="AO108" s="137"/>
      <c r="AP108" s="137"/>
      <c r="AQ108" s="137"/>
    </row>
  </sheetData>
  <sheetProtection algorithmName="SHA-512" hashValue="k9lX7Z3wIwD0PPYMugEa5pcP4qXxAnTC4EiziJ6sK6j2bXp9XcQ+XCkOGOCCH/vWR3oRmiVxEbe01f+w+b7hZA==" saltValue="Foi7BNqq/4tl7ioTzRzs0A==" spinCount="100000" sheet="1" objects="1" scenarios="1"/>
  <mergeCells count="78">
    <mergeCell ref="AM73:AM74"/>
    <mergeCell ref="AN73:AO73"/>
    <mergeCell ref="AJ75:AJ84"/>
    <mergeCell ref="AK75:AK78"/>
    <mergeCell ref="AL75:AL78"/>
    <mergeCell ref="AK79:AK84"/>
    <mergeCell ref="AL79:AL84"/>
    <mergeCell ref="AO87:AP87"/>
    <mergeCell ref="AM89:AN89"/>
    <mergeCell ref="AM94:AM96"/>
    <mergeCell ref="AN95:AN96"/>
    <mergeCell ref="AO95:AO96"/>
    <mergeCell ref="AL97:AL100"/>
    <mergeCell ref="AL101:AL104"/>
    <mergeCell ref="AN101:AO101"/>
    <mergeCell ref="AN102:AO102"/>
    <mergeCell ref="AN103:AO103"/>
    <mergeCell ref="AN104:AO104"/>
    <mergeCell ref="AN50:AO50"/>
    <mergeCell ref="AF7:AM7"/>
    <mergeCell ref="AF9:AH9"/>
    <mergeCell ref="AN13:AO13"/>
    <mergeCell ref="AF14:AG14"/>
    <mergeCell ref="AM15:AN15"/>
    <mergeCell ref="AM20:AM21"/>
    <mergeCell ref="AN20:AO20"/>
    <mergeCell ref="AJ22:AJ30"/>
    <mergeCell ref="AK22:AK25"/>
    <mergeCell ref="AL22:AL25"/>
    <mergeCell ref="AK26:AK30"/>
    <mergeCell ref="AL26:AL30"/>
    <mergeCell ref="AO33:AP33"/>
    <mergeCell ref="AM35:AN35"/>
    <mergeCell ref="AM16:AN16"/>
    <mergeCell ref="K56:N66"/>
    <mergeCell ref="AM40:AM42"/>
    <mergeCell ref="AN41:AN42"/>
    <mergeCell ref="AB57:AE70"/>
    <mergeCell ref="AM69:AN69"/>
    <mergeCell ref="AF60:AM60"/>
    <mergeCell ref="AF62:AH62"/>
    <mergeCell ref="AN66:AO66"/>
    <mergeCell ref="AF67:AG67"/>
    <mergeCell ref="AM68:AN68"/>
    <mergeCell ref="AO41:AO42"/>
    <mergeCell ref="AL43:AL46"/>
    <mergeCell ref="AL47:AL50"/>
    <mergeCell ref="AN47:AO47"/>
    <mergeCell ref="AN48:AO48"/>
    <mergeCell ref="AN49:AO49"/>
    <mergeCell ref="C13:E13"/>
    <mergeCell ref="C14:C15"/>
    <mergeCell ref="H6:H15"/>
    <mergeCell ref="C26:E26"/>
    <mergeCell ref="K54:N54"/>
    <mergeCell ref="J40:J43"/>
    <mergeCell ref="M30:N30"/>
    <mergeCell ref="K32:L32"/>
    <mergeCell ref="I6:I9"/>
    <mergeCell ref="J6:J9"/>
    <mergeCell ref="I10:I15"/>
    <mergeCell ref="J10:J15"/>
    <mergeCell ref="K20:L20"/>
    <mergeCell ref="J19:J22"/>
    <mergeCell ref="N10:N15"/>
    <mergeCell ref="P2:S2"/>
    <mergeCell ref="K3:M3"/>
    <mergeCell ref="V4:W4"/>
    <mergeCell ref="L4:M4"/>
    <mergeCell ref="P4:S13"/>
    <mergeCell ref="AA10:AB10"/>
    <mergeCell ref="K4:K5"/>
    <mergeCell ref="P14:S23"/>
    <mergeCell ref="AA5:AB5"/>
    <mergeCell ref="AA7:AB7"/>
    <mergeCell ref="Y4:Y7"/>
    <mergeCell ref="AA4:AB4"/>
    <mergeCell ref="AA6:AB6"/>
  </mergeCells>
  <conditionalFormatting sqref="C66">
    <cfRule type="expression" dxfId="155" priority="3">
      <formula>$D$65&gt;12.1</formula>
    </cfRule>
  </conditionalFormatting>
  <conditionalFormatting sqref="S69:T69">
    <cfRule type="expression" dxfId="154" priority="1">
      <formula>$D$65&gt;12.1</formula>
    </cfRule>
  </conditionalFormatting>
  <conditionalFormatting sqref="S46:T51 C42">
    <cfRule type="expression" dxfId="153" priority="92">
      <formula>#REF!&gt;12.1</formula>
    </cfRule>
  </conditionalFormatting>
  <dataValidations disablePrompts="1" count="4">
    <dataValidation type="whole" operator="lessThanOrEqual" allowBlank="1" showErrorMessage="1" error="Attention, grande portée!!!_x000a_SVP verifiez conjointement_x000a_la deflection L/180" sqref="AF99 AF45" xr:uid="{00000000-0002-0000-0000-000000000000}">
      <formula1>14</formula1>
    </dataValidation>
    <dataValidation type="custom" errorStyle="warning" allowBlank="1" showInputMessage="1" showErrorMessage="1" sqref="F65 AH99 W68 AH45" xr:uid="{00000000-0002-0000-0000-000001000000}">
      <formula1>"SI(E37&gt;10)"</formula1>
    </dataValidation>
    <dataValidation operator="lessThanOrEqual" allowBlank="1" showErrorMessage="1" error="Attention, grande portée!!!_x000a_SVP verifiez conjointement_x000a_la deflection L/180" sqref="D65 U68" xr:uid="{00000000-0002-0000-0000-000002000000}"/>
    <dataValidation type="list" allowBlank="1" showInputMessage="1" showErrorMessage="1" sqref="D59:F59 AF92 U62:W62 AF38" xr:uid="{00000000-0002-0000-0000-000005000000}">
      <formula1>INDIRECT(#REF!)</formula1>
    </dataValidation>
  </dataValidations>
  <printOptions horizontalCentered="1" verticalCentered="1"/>
  <pageMargins left="0.70866141732283472" right="0.70866141732283472" top="0.74803149606299213" bottom="0.74803149606299213" header="0.31496062992125984" footer="0.31496062992125984"/>
  <pageSetup scale="72" orientation="portrait" r:id="rId1"/>
  <colBreaks count="1" manualBreakCount="1">
    <brk id="14" max="1048575" man="1"/>
  </colBreaks>
  <ignoredErrors>
    <ignoredError sqref="F4:F7"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432E7-01B0-435F-A790-DACDC555C369}">
  <sheetPr published="0" codeName="Feuil5"/>
  <dimension ref="B1:AQ108"/>
  <sheetViews>
    <sheetView workbookViewId="0"/>
  </sheetViews>
  <sheetFormatPr defaultColWidth="11.42578125" defaultRowHeight="14.45"/>
  <cols>
    <col min="3" max="3" width="12.140625" customWidth="1"/>
    <col min="4" max="4" width="12.42578125" customWidth="1"/>
    <col min="7" max="10" width="3.5703125" customWidth="1"/>
    <col min="11" max="11" width="12" customWidth="1"/>
    <col min="12" max="12" width="18.140625" customWidth="1"/>
    <col min="13" max="13" width="14.5703125" customWidth="1"/>
    <col min="14" max="14" width="9.42578125" customWidth="1"/>
    <col min="15" max="15" width="12.28515625" customWidth="1"/>
    <col min="16" max="16" width="9.140625" customWidth="1"/>
    <col min="17" max="17" width="8.85546875" customWidth="1"/>
    <col min="19" max="19" width="13.5703125" customWidth="1"/>
    <col min="25" max="25" width="3.7109375" customWidth="1"/>
    <col min="26" max="27" width="12.7109375" customWidth="1"/>
  </cols>
  <sheetData>
    <row r="1" spans="2:43" ht="15" thickBot="1"/>
    <row r="2" spans="2:43" ht="15" thickTop="1">
      <c r="B2" s="390"/>
      <c r="C2" s="189"/>
      <c r="D2" s="398" t="s">
        <v>28</v>
      </c>
      <c r="E2" s="397"/>
      <c r="F2" s="191"/>
      <c r="G2" s="136"/>
      <c r="H2" s="136"/>
      <c r="I2" s="136"/>
      <c r="J2" s="193"/>
      <c r="K2" s="190"/>
      <c r="L2" s="190"/>
      <c r="M2" s="190"/>
      <c r="N2" s="191"/>
      <c r="O2" s="137"/>
      <c r="P2" s="1701" t="s">
        <v>690</v>
      </c>
      <c r="Q2" s="1702"/>
      <c r="R2" s="1702"/>
      <c r="S2" s="1703"/>
      <c r="T2" s="214"/>
      <c r="AF2" s="137"/>
      <c r="AG2" s="137"/>
      <c r="AH2" s="137"/>
      <c r="AI2" s="137"/>
      <c r="AJ2" s="137"/>
      <c r="AK2" s="137"/>
      <c r="AL2" s="137"/>
      <c r="AM2" s="137"/>
      <c r="AN2" s="137"/>
      <c r="AO2" s="137"/>
      <c r="AP2" s="137"/>
      <c r="AQ2" s="137"/>
    </row>
    <row r="3" spans="2:43" ht="14.45" customHeight="1">
      <c r="B3" s="178"/>
      <c r="D3" s="731" t="s">
        <v>691</v>
      </c>
      <c r="F3" s="179"/>
      <c r="J3" s="178"/>
      <c r="K3" s="1704" t="s">
        <v>645</v>
      </c>
      <c r="L3" s="1705"/>
      <c r="M3" s="394"/>
      <c r="N3" s="180"/>
      <c r="O3" s="137"/>
      <c r="P3" s="200"/>
      <c r="Q3" s="201"/>
      <c r="R3" s="201"/>
      <c r="S3" s="202"/>
      <c r="T3" s="156"/>
      <c r="AF3" s="137"/>
      <c r="AG3" s="137"/>
      <c r="AH3" s="137"/>
      <c r="AI3" s="137"/>
      <c r="AJ3" s="137"/>
      <c r="AK3" s="137"/>
      <c r="AL3" s="137"/>
      <c r="AM3" s="137"/>
      <c r="AN3" s="137"/>
      <c r="AO3" s="137"/>
      <c r="AP3" s="137"/>
      <c r="AQ3" s="137"/>
    </row>
    <row r="4" spans="2:43" ht="17.649999999999999" customHeight="1">
      <c r="B4" s="192"/>
      <c r="C4" s="10" t="s">
        <v>644</v>
      </c>
      <c r="D4" s="203" t="s">
        <v>692</v>
      </c>
      <c r="E4" s="400">
        <f>'Saisie de données'!$K$45</f>
        <v>0</v>
      </c>
      <c r="F4" s="207" t="str">
        <f>IF(ISBLANK(E4),"Obligatoire","")</f>
        <v/>
      </c>
      <c r="G4" s="157"/>
      <c r="J4" s="178"/>
      <c r="K4" s="1688" t="s">
        <v>313</v>
      </c>
      <c r="L4" s="386" t="s">
        <v>648</v>
      </c>
      <c r="M4" s="393"/>
      <c r="N4" s="180"/>
      <c r="O4" s="137"/>
      <c r="P4" s="1707"/>
      <c r="Q4" s="1708"/>
      <c r="R4" s="1708"/>
      <c r="S4" s="1709"/>
      <c r="T4" s="215"/>
      <c r="AF4" s="137"/>
      <c r="AG4" s="137"/>
      <c r="AH4" s="137"/>
      <c r="AI4" s="137"/>
      <c r="AJ4" s="137"/>
      <c r="AK4" s="137"/>
      <c r="AL4" s="137"/>
      <c r="AM4" s="137"/>
      <c r="AN4" s="137"/>
      <c r="AO4" s="137"/>
      <c r="AP4" s="137"/>
      <c r="AQ4" s="137"/>
    </row>
    <row r="5" spans="2:43" ht="14.45" customHeight="1">
      <c r="B5" s="178"/>
      <c r="D5" s="206" t="s">
        <v>693</v>
      </c>
      <c r="E5" s="400">
        <f>'Saisie de données'!$K$49</f>
        <v>0</v>
      </c>
      <c r="F5" s="407"/>
      <c r="J5" s="178"/>
      <c r="K5" s="1689"/>
      <c r="L5" s="145" t="s">
        <v>694</v>
      </c>
      <c r="M5" s="145" t="s">
        <v>695</v>
      </c>
      <c r="N5" s="180"/>
      <c r="O5" s="137"/>
      <c r="P5" s="1707"/>
      <c r="Q5" s="1708"/>
      <c r="R5" s="1708"/>
      <c r="S5" s="1709"/>
      <c r="T5" s="215"/>
      <c r="AF5" s="136"/>
      <c r="AG5" s="136"/>
      <c r="AH5" s="136"/>
      <c r="AI5" s="136"/>
      <c r="AJ5" s="136"/>
      <c r="AK5" s="136"/>
      <c r="AL5" s="136"/>
      <c r="AM5" s="136"/>
      <c r="AN5" s="136"/>
      <c r="AO5" s="136"/>
      <c r="AP5" s="136"/>
      <c r="AQ5" s="137"/>
    </row>
    <row r="6" spans="2:43">
      <c r="B6" s="178"/>
      <c r="D6" s="206" t="s">
        <v>696</v>
      </c>
      <c r="E6" s="388">
        <v>0.85</v>
      </c>
      <c r="F6" s="205"/>
      <c r="H6" s="1413"/>
      <c r="I6" s="1413"/>
      <c r="J6" s="1718"/>
      <c r="K6" s="143" t="s">
        <v>346</v>
      </c>
      <c r="L6" s="405">
        <f>IF(E7&gt;60,-1.6,-1.19)</f>
        <v>-1.19</v>
      </c>
      <c r="M6" s="38" t="e">
        <f>$E$9*L6</f>
        <v>#N/A</v>
      </c>
      <c r="N6" s="180"/>
      <c r="O6" s="137"/>
      <c r="P6" s="1707"/>
      <c r="Q6" s="1708"/>
      <c r="R6" s="1708"/>
      <c r="S6" s="1709"/>
      <c r="T6" s="215"/>
      <c r="AF6" s="137"/>
      <c r="AG6" s="137"/>
      <c r="AH6" s="137"/>
      <c r="AI6" s="137"/>
      <c r="AJ6" s="137"/>
      <c r="AK6" s="137"/>
      <c r="AL6" s="137"/>
      <c r="AM6" s="137"/>
      <c r="AN6" s="137"/>
      <c r="AO6" s="137"/>
      <c r="AP6" s="137"/>
      <c r="AQ6" s="137"/>
    </row>
    <row r="7" spans="2:43">
      <c r="B7" s="178"/>
      <c r="D7" s="206" t="s">
        <v>697</v>
      </c>
      <c r="E7" s="401">
        <f>IF('Saisie de données'!F38 ='Menu déroulant'!AA23,'Saisie de données'!D38,'Saisie de données'!D38*3.281)</f>
        <v>29</v>
      </c>
      <c r="F7" s="391" t="s">
        <v>698</v>
      </c>
      <c r="H7" s="1413"/>
      <c r="I7" s="1413"/>
      <c r="J7" s="1718"/>
      <c r="K7" s="143" t="s">
        <v>699</v>
      </c>
      <c r="L7" s="405">
        <f>IF(E7&gt;60,0.83,0.88)</f>
        <v>0.88</v>
      </c>
      <c r="M7" s="38" t="e">
        <f>$E$9*L7</f>
        <v>#N/A</v>
      </c>
      <c r="N7" s="180"/>
      <c r="O7" s="137"/>
      <c r="P7" s="1707"/>
      <c r="Q7" s="1708"/>
      <c r="R7" s="1708"/>
      <c r="S7" s="1709"/>
      <c r="T7" s="215"/>
      <c r="AF7" s="1725"/>
      <c r="AG7" s="1725"/>
      <c r="AH7" s="1725"/>
      <c r="AI7" s="1725"/>
      <c r="AJ7" s="1725"/>
      <c r="AK7" s="1725"/>
      <c r="AL7" s="1725"/>
      <c r="AM7" s="1725"/>
      <c r="AN7" s="137"/>
      <c r="AO7" s="137"/>
      <c r="AP7" s="137"/>
      <c r="AQ7" s="137"/>
    </row>
    <row r="8" spans="2:43">
      <c r="B8" s="178"/>
      <c r="D8" s="206" t="s">
        <v>700</v>
      </c>
      <c r="E8" s="564" t="e" cm="1">
        <f t="array" ref="E8">VLOOKUP(MAX(IF('Infos Techniques'!$B$27:$B$83&lt;=$E$7,'Infos Techniques'!$B$27:$B$83)),'Infos Techniques'!$B$27:$E$83,_xlfn.IFS($E$5='Menu déroulant'!$AA$50,3,$E$5='Menu déroulant'!$AA$49,2,$E$5='Menu déroulant'!$AA$51,4),0)</f>
        <v>#N/A</v>
      </c>
      <c r="F8" s="208"/>
      <c r="H8" s="1413"/>
      <c r="I8" s="1413"/>
      <c r="J8" s="1718"/>
      <c r="K8" s="143" t="s">
        <v>347</v>
      </c>
      <c r="L8" s="405">
        <f>IF(E7&gt;60,-0.88,-0.98)</f>
        <v>-0.98</v>
      </c>
      <c r="M8" s="38" t="e">
        <f>$E$9*L8</f>
        <v>#N/A</v>
      </c>
      <c r="N8" s="194"/>
      <c r="O8" s="137"/>
      <c r="P8" s="1707"/>
      <c r="Q8" s="1708"/>
      <c r="R8" s="1708"/>
      <c r="S8" s="1709"/>
      <c r="T8" s="215"/>
      <c r="AF8" s="137"/>
      <c r="AG8" s="137"/>
      <c r="AH8" s="137"/>
      <c r="AI8" s="137"/>
      <c r="AJ8" s="137"/>
      <c r="AK8" s="137"/>
      <c r="AL8" s="137"/>
      <c r="AM8" s="137"/>
      <c r="AN8" s="137"/>
      <c r="AO8" s="137"/>
      <c r="AP8" s="137"/>
      <c r="AQ8" s="137"/>
    </row>
    <row r="9" spans="2:43" ht="15" thickBot="1">
      <c r="B9" s="181"/>
      <c r="C9" s="399"/>
      <c r="D9" s="209" t="s">
        <v>701</v>
      </c>
      <c r="E9" s="402" t="e">
        <f>0.00256*E6*E8*(E4^2)</f>
        <v>#N/A</v>
      </c>
      <c r="F9" s="210"/>
      <c r="H9" s="1413"/>
      <c r="I9" s="1413"/>
      <c r="J9" s="1718"/>
      <c r="K9" s="143" t="s">
        <v>702</v>
      </c>
      <c r="L9" s="405">
        <f>IF(E7&gt;60,0.83,0.88)</f>
        <v>0.88</v>
      </c>
      <c r="M9" s="38" t="e">
        <f>$E$9*L9</f>
        <v>#N/A</v>
      </c>
      <c r="N9" s="195"/>
      <c r="O9" s="137"/>
      <c r="P9" s="1707"/>
      <c r="Q9" s="1708"/>
      <c r="R9" s="1708"/>
      <c r="S9" s="1709"/>
      <c r="T9" s="215"/>
      <c r="AF9" s="1725"/>
      <c r="AG9" s="1725"/>
      <c r="AH9" s="1725"/>
      <c r="AI9" s="137"/>
      <c r="AJ9" s="137"/>
      <c r="AK9" s="137"/>
      <c r="AL9" s="137"/>
      <c r="AM9" s="147"/>
      <c r="AN9" s="148"/>
      <c r="AO9" s="137"/>
      <c r="AP9" s="137"/>
      <c r="AQ9" s="137"/>
    </row>
    <row r="10" spans="2:43" ht="15.6" thickTop="1" thickBot="1">
      <c r="H10" s="1413"/>
      <c r="I10" s="1413"/>
      <c r="J10" s="1718"/>
      <c r="K10" s="143" t="s">
        <v>703</v>
      </c>
      <c r="L10" s="405">
        <f>IF(E7&gt;60,-2.88,-3.2)</f>
        <v>-3.2</v>
      </c>
      <c r="M10" s="38" t="e">
        <f>$E$9*L10</f>
        <v>#N/A</v>
      </c>
      <c r="N10" s="195"/>
      <c r="O10" s="137"/>
      <c r="P10" s="1707"/>
      <c r="Q10" s="1708"/>
      <c r="R10" s="1708"/>
      <c r="S10" s="1709"/>
      <c r="T10" s="215"/>
      <c r="AF10" s="137"/>
      <c r="AG10" s="137"/>
      <c r="AH10" s="137"/>
      <c r="AI10" s="137"/>
      <c r="AJ10" s="137"/>
      <c r="AK10" s="137"/>
      <c r="AL10" s="137"/>
      <c r="AM10" s="137"/>
      <c r="AN10" s="137"/>
      <c r="AO10" s="137"/>
      <c r="AP10" s="137"/>
      <c r="AQ10" s="137"/>
    </row>
    <row r="11" spans="2:43" ht="15" thickTop="1">
      <c r="B11" s="174"/>
      <c r="C11" s="175"/>
      <c r="D11" s="176"/>
      <c r="E11" s="176"/>
      <c r="F11" s="177"/>
      <c r="H11" s="1413"/>
      <c r="I11" s="1413"/>
      <c r="J11" s="1718"/>
      <c r="K11" s="143" t="s">
        <v>704</v>
      </c>
      <c r="L11" s="405" t="s">
        <v>371</v>
      </c>
      <c r="M11" s="38"/>
      <c r="N11" s="195"/>
      <c r="O11" s="137"/>
      <c r="P11" s="1707"/>
      <c r="Q11" s="1708"/>
      <c r="R11" s="1708"/>
      <c r="S11" s="1709"/>
      <c r="T11" s="215"/>
      <c r="AF11" s="137"/>
      <c r="AG11" s="137"/>
      <c r="AH11" s="137"/>
      <c r="AI11" s="137"/>
      <c r="AJ11" s="137"/>
      <c r="AK11" s="137"/>
      <c r="AL11" s="137"/>
      <c r="AM11" s="149"/>
      <c r="AN11" s="149"/>
      <c r="AO11" s="149"/>
      <c r="AP11" s="149"/>
      <c r="AQ11" s="137"/>
    </row>
    <row r="12" spans="2:43">
      <c r="B12" s="178"/>
      <c r="C12" s="10" t="s">
        <v>665</v>
      </c>
      <c r="D12" s="137"/>
      <c r="E12" s="137"/>
      <c r="F12" s="179"/>
      <c r="H12" s="1413"/>
      <c r="I12" s="1413"/>
      <c r="J12" s="1718"/>
      <c r="K12" s="143" t="s">
        <v>705</v>
      </c>
      <c r="L12" s="405">
        <f>IF(E7&gt;60,-2.06,-2.3)</f>
        <v>-2.2999999999999998</v>
      </c>
      <c r="M12" s="38" t="e">
        <f>$E$9*L12</f>
        <v>#N/A</v>
      </c>
      <c r="N12" s="195"/>
      <c r="O12" s="137"/>
      <c r="P12" s="1707"/>
      <c r="Q12" s="1708"/>
      <c r="R12" s="1708"/>
      <c r="S12" s="1709"/>
      <c r="T12" s="215"/>
      <c r="AF12" s="137"/>
      <c r="AG12" s="137"/>
      <c r="AH12" s="137"/>
      <c r="AI12" s="137"/>
      <c r="AJ12" s="137"/>
      <c r="AK12" s="137"/>
      <c r="AL12" s="137"/>
      <c r="AM12" s="150"/>
      <c r="AN12" s="149"/>
      <c r="AO12" s="149"/>
      <c r="AP12" s="149"/>
      <c r="AQ12" s="137"/>
    </row>
    <row r="13" spans="2:43">
      <c r="B13" s="178"/>
      <c r="C13" s="137"/>
      <c r="D13" s="137"/>
      <c r="E13" s="137"/>
      <c r="F13" s="179"/>
      <c r="H13" s="1413"/>
      <c r="I13" s="1413"/>
      <c r="J13" s="1718"/>
      <c r="K13" s="143" t="s">
        <v>706</v>
      </c>
      <c r="L13" s="405" t="s">
        <v>371</v>
      </c>
      <c r="M13" s="38"/>
      <c r="N13" s="195"/>
      <c r="O13" s="137"/>
      <c r="P13" s="1707"/>
      <c r="Q13" s="1708"/>
      <c r="R13" s="1708"/>
      <c r="S13" s="1709"/>
      <c r="T13" s="215"/>
      <c r="AF13" s="137"/>
      <c r="AG13" s="137"/>
      <c r="AH13" s="137"/>
      <c r="AI13" s="137"/>
      <c r="AJ13" s="137"/>
      <c r="AK13" s="137"/>
      <c r="AL13" s="137"/>
      <c r="AM13" s="151"/>
      <c r="AN13" s="1726"/>
      <c r="AO13" s="1726"/>
      <c r="AP13" s="149"/>
      <c r="AQ13" s="137"/>
    </row>
    <row r="14" spans="2:43">
      <c r="B14" s="178"/>
      <c r="C14" s="1710" t="s">
        <v>671</v>
      </c>
      <c r="D14" s="1711"/>
      <c r="E14" s="1712"/>
      <c r="F14" s="179"/>
      <c r="H14" s="1413"/>
      <c r="I14" s="1413"/>
      <c r="J14" s="1718"/>
      <c r="K14" s="143" t="s">
        <v>707</v>
      </c>
      <c r="L14" s="405">
        <f>IF(E7&gt;60,-1.6,-3.7)</f>
        <v>-3.7</v>
      </c>
      <c r="M14" s="38" t="e">
        <f>$E$9*L14</f>
        <v>#N/A</v>
      </c>
      <c r="N14" s="195"/>
      <c r="O14" s="137"/>
      <c r="P14" s="1690"/>
      <c r="Q14" s="1691"/>
      <c r="R14" s="1691"/>
      <c r="S14" s="1692"/>
      <c r="T14" s="215"/>
      <c r="AF14" s="1281"/>
      <c r="AG14" s="1281"/>
      <c r="AH14" s="137"/>
      <c r="AI14" s="137"/>
      <c r="AJ14" s="137"/>
      <c r="AK14" s="137"/>
      <c r="AL14" s="137"/>
      <c r="AM14" s="151"/>
      <c r="AN14" s="152"/>
      <c r="AO14" s="149"/>
      <c r="AP14" s="149"/>
      <c r="AQ14" s="137"/>
    </row>
    <row r="15" spans="2:43">
      <c r="B15" s="178"/>
      <c r="C15" s="384" t="s">
        <v>313</v>
      </c>
      <c r="D15" s="392" t="s">
        <v>708</v>
      </c>
      <c r="E15" s="392" t="s">
        <v>709</v>
      </c>
      <c r="F15" s="179"/>
      <c r="H15" s="1413"/>
      <c r="I15" s="1413"/>
      <c r="J15" s="1718"/>
      <c r="K15" s="169" t="s">
        <v>710</v>
      </c>
      <c r="L15" s="406" t="s">
        <v>371</v>
      </c>
      <c r="M15" s="38"/>
      <c r="N15" s="179"/>
      <c r="P15" s="1690"/>
      <c r="Q15" s="1691"/>
      <c r="R15" s="1691"/>
      <c r="S15" s="1692"/>
      <c r="T15" s="137"/>
      <c r="AF15" s="137"/>
      <c r="AG15" s="137"/>
      <c r="AH15" s="137"/>
      <c r="AI15" s="137"/>
      <c r="AJ15" s="137"/>
      <c r="AK15" s="137"/>
      <c r="AL15" s="137"/>
      <c r="AM15" s="1717"/>
      <c r="AN15" s="1717"/>
      <c r="AO15" s="153"/>
      <c r="AP15" s="149"/>
      <c r="AQ15" s="137"/>
    </row>
    <row r="16" spans="2:43">
      <c r="B16" s="178"/>
      <c r="C16" s="385"/>
      <c r="D16" s="395" t="s">
        <v>711</v>
      </c>
      <c r="E16" s="395" t="s">
        <v>711</v>
      </c>
      <c r="F16" s="179"/>
      <c r="H16" s="137"/>
      <c r="I16" s="137"/>
      <c r="J16" s="196"/>
      <c r="K16" s="150"/>
      <c r="L16" s="150"/>
      <c r="M16" s="150"/>
      <c r="N16" s="211"/>
      <c r="P16" s="1690"/>
      <c r="Q16" s="1691"/>
      <c r="R16" s="1691"/>
      <c r="S16" s="1692"/>
      <c r="AF16" s="137"/>
      <c r="AG16" s="137"/>
      <c r="AH16" s="137"/>
      <c r="AI16" s="137"/>
      <c r="AJ16" s="137"/>
      <c r="AK16" s="137"/>
      <c r="AL16" s="137"/>
      <c r="AM16" s="1724"/>
      <c r="AN16" s="1724"/>
      <c r="AO16" s="154"/>
      <c r="AP16" s="149"/>
      <c r="AQ16" s="137"/>
    </row>
    <row r="17" spans="2:43">
      <c r="B17" s="178"/>
      <c r="C17" s="143" t="s">
        <v>346</v>
      </c>
      <c r="D17" s="39" t="e">
        <f>$E$9*(L6-$K$20)</f>
        <v>#N/A</v>
      </c>
      <c r="E17" s="39" t="e">
        <f>IF(OR('Saisie de données'!$E$51='Menu déroulant'!$AE$57,'Saisie de données'!$K$51='Menu déroulant'!$AE$57),"-",$E$9*(L6-$M$20))</f>
        <v>#N/A</v>
      </c>
      <c r="F17" s="179"/>
      <c r="H17" s="137"/>
      <c r="I17" s="137"/>
      <c r="J17" s="196"/>
      <c r="K17" s="2" t="s">
        <v>676</v>
      </c>
      <c r="L17" s="3"/>
      <c r="M17" s="4"/>
      <c r="N17" s="195"/>
      <c r="P17" s="1690"/>
      <c r="Q17" s="1691"/>
      <c r="R17" s="1691"/>
      <c r="S17" s="1692"/>
      <c r="T17" s="137"/>
      <c r="AF17" s="137"/>
      <c r="AG17" s="137"/>
      <c r="AH17" s="137"/>
      <c r="AI17" s="137"/>
      <c r="AJ17" s="137"/>
      <c r="AK17" s="137"/>
      <c r="AL17" s="137"/>
      <c r="AM17" s="149"/>
      <c r="AN17" s="149"/>
      <c r="AO17" s="149"/>
      <c r="AP17" s="149"/>
      <c r="AQ17" s="137"/>
    </row>
    <row r="18" spans="2:43">
      <c r="B18" s="178"/>
      <c r="C18" s="143" t="s">
        <v>699</v>
      </c>
      <c r="D18" s="39" t="e">
        <f>$E$9*(L7-$K$20)</f>
        <v>#N/A</v>
      </c>
      <c r="E18" s="39" t="e">
        <f>$E$9*(L7-$M$20)</f>
        <v>#N/A</v>
      </c>
      <c r="F18" s="179"/>
      <c r="H18" s="137"/>
      <c r="I18" s="137"/>
      <c r="J18" s="196"/>
      <c r="K18" s="5" t="s">
        <v>712</v>
      </c>
      <c r="L18" s="6">
        <f>'Saisie de données'!$K$47</f>
        <v>0</v>
      </c>
      <c r="M18" s="4"/>
      <c r="N18" s="195"/>
      <c r="P18" s="1690"/>
      <c r="Q18" s="1691"/>
      <c r="R18" s="1691"/>
      <c r="S18" s="1692"/>
      <c r="T18" s="137"/>
      <c r="AF18" s="137"/>
      <c r="AG18" s="137"/>
      <c r="AH18" s="137"/>
      <c r="AI18" s="137"/>
      <c r="AJ18" s="137"/>
      <c r="AK18" s="137"/>
      <c r="AL18" s="137"/>
      <c r="AM18" s="137"/>
      <c r="AN18" s="137"/>
      <c r="AO18" s="137"/>
      <c r="AP18" s="137"/>
      <c r="AQ18" s="137"/>
    </row>
    <row r="19" spans="2:43" ht="17.649999999999999" customHeight="1">
      <c r="B19" s="178"/>
      <c r="C19" s="143" t="s">
        <v>347</v>
      </c>
      <c r="D19" s="39" t="e">
        <f>$E$9*(L8-$K$20)</f>
        <v>#N/A</v>
      </c>
      <c r="E19" s="39" t="e">
        <f>IF(OR('Saisie de données'!$E$51='Menu déroulant'!$AE$57,'Saisie de données'!$K$51='Menu déroulant'!$AE$57),"-",$E$9*(L8-$M$20))</f>
        <v>#N/A</v>
      </c>
      <c r="F19" s="179"/>
      <c r="H19" s="170"/>
      <c r="I19" s="170"/>
      <c r="J19" s="1721"/>
      <c r="K19" s="1729" t="s">
        <v>713</v>
      </c>
      <c r="L19" s="1730"/>
      <c r="M19" s="146"/>
      <c r="N19" s="212"/>
      <c r="P19" s="1690"/>
      <c r="Q19" s="1691"/>
      <c r="R19" s="1691"/>
      <c r="S19" s="1692"/>
      <c r="T19" s="138"/>
      <c r="AF19" s="137"/>
      <c r="AG19" s="137"/>
      <c r="AH19" s="137"/>
      <c r="AI19" s="137"/>
      <c r="AJ19" s="137"/>
      <c r="AK19" s="137"/>
      <c r="AL19" s="137"/>
      <c r="AM19" s="150"/>
      <c r="AN19" s="150"/>
      <c r="AO19" s="149"/>
      <c r="AP19" s="137"/>
      <c r="AQ19" s="137"/>
    </row>
    <row r="20" spans="2:43" ht="17.649999999999999" customHeight="1" thickBot="1">
      <c r="B20" s="178"/>
      <c r="C20" s="143" t="s">
        <v>702</v>
      </c>
      <c r="D20" s="39" t="e">
        <f>$E$9*(L9-$K$20)</f>
        <v>#N/A</v>
      </c>
      <c r="E20" s="39" t="e">
        <f>$E$9*(L9-$M$20)</f>
        <v>#N/A</v>
      </c>
      <c r="F20" s="179"/>
      <c r="H20" s="170"/>
      <c r="I20" s="170"/>
      <c r="J20" s="1721"/>
      <c r="K20" s="1719" t="e">
        <f>VLOOKUP($L$18,'Menu déroulant'!$AA$44:$AC$47,2,0)</f>
        <v>#N/A</v>
      </c>
      <c r="L20" s="1720"/>
      <c r="M20" s="403" t="e">
        <f>VLOOKUP($L$18,'Menu déroulant'!$AA$44:$AC$47,3,0)</f>
        <v>#N/A</v>
      </c>
      <c r="N20" s="404"/>
      <c r="P20" s="1690"/>
      <c r="Q20" s="1691"/>
      <c r="R20" s="1691"/>
      <c r="S20" s="1692"/>
      <c r="T20" s="139"/>
      <c r="AF20" s="137"/>
      <c r="AG20" s="137"/>
      <c r="AH20" s="137"/>
      <c r="AI20" s="137"/>
      <c r="AJ20" s="137"/>
      <c r="AK20" s="137"/>
      <c r="AL20" s="137"/>
      <c r="AM20" s="1717"/>
      <c r="AN20" s="1717"/>
      <c r="AO20" s="1717"/>
      <c r="AP20" s="137"/>
      <c r="AQ20" s="137"/>
    </row>
    <row r="21" spans="2:43" ht="15.6" thickTop="1" thickBot="1">
      <c r="B21" s="178"/>
      <c r="C21" s="217"/>
      <c r="D21" s="218" t="s">
        <v>346</v>
      </c>
      <c r="E21" s="219" t="s">
        <v>347</v>
      </c>
      <c r="F21" s="179"/>
      <c r="H21" s="170"/>
      <c r="I21" s="170"/>
      <c r="J21" s="1721"/>
      <c r="K21" s="1729"/>
      <c r="L21" s="1730"/>
      <c r="M21" s="1731"/>
      <c r="N21" s="195"/>
      <c r="P21" s="1690"/>
      <c r="Q21" s="1691"/>
      <c r="R21" s="1691"/>
      <c r="S21" s="1692"/>
      <c r="T21" s="140"/>
      <c r="AF21" s="137"/>
      <c r="AG21" s="137"/>
      <c r="AH21" s="137"/>
      <c r="AI21" s="137"/>
      <c r="AJ21" s="137"/>
      <c r="AK21" s="137"/>
      <c r="AL21" s="137"/>
      <c r="AM21" s="1717"/>
      <c r="AN21" s="159"/>
      <c r="AO21" s="159"/>
      <c r="AP21" s="137"/>
      <c r="AQ21" s="137"/>
    </row>
    <row r="22" spans="2:43" ht="15" thickBot="1">
      <c r="B22" s="178"/>
      <c r="C22" s="221" t="s">
        <v>338</v>
      </c>
      <c r="D22" s="220" t="e">
        <f>-$E$17</f>
        <v>#N/A</v>
      </c>
      <c r="E22" s="222" t="e">
        <f>-$E$19</f>
        <v>#N/A</v>
      </c>
      <c r="F22" s="179"/>
      <c r="H22" s="170"/>
      <c r="I22" s="170"/>
      <c r="J22" s="1721"/>
      <c r="K22" s="164"/>
      <c r="L22" s="164"/>
      <c r="M22" s="164"/>
      <c r="N22" s="211"/>
      <c r="P22" s="1690"/>
      <c r="Q22" s="1691"/>
      <c r="R22" s="1691"/>
      <c r="S22" s="1692"/>
      <c r="T22" s="140"/>
      <c r="AF22" s="137"/>
      <c r="AG22" s="137"/>
      <c r="AH22" s="137"/>
      <c r="AI22" s="137"/>
      <c r="AJ22" s="1727"/>
      <c r="AK22" s="1727"/>
      <c r="AL22" s="1727"/>
      <c r="AM22" s="159"/>
      <c r="AN22" s="160"/>
      <c r="AO22" s="161"/>
      <c r="AP22" s="137"/>
      <c r="AQ22" s="137"/>
    </row>
    <row r="23" spans="2:43" ht="15" thickBot="1">
      <c r="B23" s="178"/>
      <c r="C23" s="223" t="s">
        <v>111</v>
      </c>
      <c r="D23" s="224" t="e">
        <f>$P$32</f>
        <v>#N/A</v>
      </c>
      <c r="E23" s="225" t="e">
        <f>$P$30</f>
        <v>#N/A</v>
      </c>
      <c r="F23" s="180"/>
      <c r="H23" s="170"/>
      <c r="I23" s="170"/>
      <c r="J23" s="197"/>
      <c r="K23" s="198"/>
      <c r="L23" s="198"/>
      <c r="M23" s="198"/>
      <c r="N23" s="199"/>
      <c r="P23" s="1693"/>
      <c r="Q23" s="1694"/>
      <c r="R23" s="1694"/>
      <c r="S23" s="1695"/>
      <c r="T23" s="140"/>
      <c r="AF23" s="137"/>
      <c r="AG23" s="137"/>
      <c r="AH23" s="137"/>
      <c r="AI23" s="137"/>
      <c r="AJ23" s="1727"/>
      <c r="AK23" s="1727"/>
      <c r="AL23" s="1727"/>
      <c r="AM23" s="159"/>
      <c r="AN23" s="160"/>
      <c r="AO23" s="161"/>
      <c r="AP23" s="137"/>
      <c r="AQ23" s="137"/>
    </row>
    <row r="24" spans="2:43" ht="15.6" thickTop="1" thickBot="1">
      <c r="B24" s="181"/>
      <c r="C24" s="182"/>
      <c r="D24" s="183"/>
      <c r="E24" s="184"/>
      <c r="F24" s="185"/>
      <c r="H24" s="170"/>
      <c r="I24" s="170"/>
      <c r="J24" s="170"/>
      <c r="K24" s="150"/>
      <c r="L24" s="150"/>
      <c r="M24" s="150"/>
      <c r="N24" s="150"/>
      <c r="S24" s="139"/>
      <c r="T24" s="139"/>
      <c r="AF24" s="137"/>
      <c r="AG24" s="137"/>
      <c r="AH24" s="137"/>
      <c r="AI24" s="137"/>
      <c r="AJ24" s="1727"/>
      <c r="AK24" s="1727"/>
      <c r="AL24" s="1727"/>
      <c r="AM24" s="159"/>
      <c r="AN24" s="160"/>
      <c r="AO24" s="161"/>
      <c r="AP24" s="137"/>
      <c r="AQ24" s="137"/>
    </row>
    <row r="25" spans="2:43" ht="15" thickTop="1">
      <c r="F25" s="137"/>
      <c r="H25" s="170"/>
      <c r="I25" s="170"/>
      <c r="J25" s="170"/>
      <c r="K25" s="150"/>
      <c r="L25" s="150"/>
      <c r="M25" s="150"/>
      <c r="N25" s="150"/>
      <c r="S25" s="140"/>
      <c r="T25" s="140"/>
      <c r="AF25" s="135"/>
      <c r="AG25" s="139"/>
      <c r="AH25" s="137"/>
      <c r="AI25" s="137"/>
      <c r="AJ25" s="1727"/>
      <c r="AK25" s="1727"/>
      <c r="AL25" s="1727"/>
      <c r="AM25" s="159"/>
      <c r="AN25" s="160"/>
      <c r="AO25" s="161"/>
      <c r="AP25" s="137"/>
      <c r="AQ25" s="137"/>
    </row>
    <row r="26" spans="2:43" ht="15" thickBot="1">
      <c r="C26" s="1715"/>
      <c r="D26" s="1715"/>
      <c r="E26" s="1715"/>
      <c r="F26" s="137"/>
      <c r="H26" s="170"/>
      <c r="I26" s="170"/>
      <c r="J26" s="170"/>
      <c r="K26" s="150"/>
      <c r="L26" s="150"/>
      <c r="M26" s="150"/>
      <c r="N26" s="150"/>
      <c r="S26" s="141"/>
      <c r="T26" s="141"/>
      <c r="AF26" s="135"/>
      <c r="AG26" s="142"/>
      <c r="AH26" s="142"/>
      <c r="AI26" s="137"/>
      <c r="AJ26" s="1727"/>
      <c r="AK26" s="1727"/>
      <c r="AL26" s="1727"/>
      <c r="AM26" s="159"/>
      <c r="AN26" s="160"/>
      <c r="AO26" s="161"/>
      <c r="AP26" s="137"/>
      <c r="AQ26" s="137"/>
    </row>
    <row r="27" spans="2:43" ht="15" thickTop="1">
      <c r="B27" s="482"/>
      <c r="C27" s="483"/>
      <c r="D27" s="484"/>
      <c r="E27" s="485"/>
      <c r="F27" s="486"/>
      <c r="H27" s="170"/>
      <c r="I27" s="170"/>
      <c r="J27" s="174"/>
      <c r="K27" s="176"/>
      <c r="L27" s="176"/>
      <c r="M27" s="176"/>
      <c r="N27" s="176"/>
      <c r="O27" s="176"/>
      <c r="P27" s="176"/>
      <c r="Q27" s="176"/>
      <c r="R27" s="177"/>
      <c r="S27" s="137"/>
      <c r="T27" s="137"/>
      <c r="AF27" s="137"/>
      <c r="AG27" s="137"/>
      <c r="AH27" s="137"/>
      <c r="AI27" s="137"/>
      <c r="AJ27" s="1727"/>
      <c r="AK27" s="1727"/>
      <c r="AL27" s="1727"/>
      <c r="AM27" s="159"/>
      <c r="AN27" s="160"/>
      <c r="AO27" s="161"/>
      <c r="AP27" s="137"/>
      <c r="AQ27" s="137"/>
    </row>
    <row r="28" spans="2:43">
      <c r="B28" s="487"/>
      <c r="C28" s="488" t="s">
        <v>685</v>
      </c>
      <c r="D28" s="450"/>
      <c r="E28" s="489"/>
      <c r="F28" s="490"/>
      <c r="H28" s="170"/>
      <c r="I28" s="170"/>
      <c r="J28" s="178"/>
      <c r="K28" s="10" t="s">
        <v>646</v>
      </c>
      <c r="R28" s="179"/>
      <c r="S28" s="137"/>
      <c r="T28" s="137"/>
      <c r="AF28" s="137"/>
      <c r="AG28" s="137"/>
      <c r="AH28" s="137"/>
      <c r="AI28" s="137"/>
      <c r="AJ28" s="1727"/>
      <c r="AK28" s="1727"/>
      <c r="AL28" s="1727"/>
      <c r="AM28" s="159"/>
      <c r="AN28" s="160"/>
      <c r="AO28" s="161"/>
      <c r="AP28" s="137"/>
      <c r="AQ28" s="137"/>
    </row>
    <row r="29" spans="2:43" ht="13.15" customHeight="1">
      <c r="B29" s="487"/>
      <c r="C29" s="450"/>
      <c r="D29" s="450"/>
      <c r="E29" s="450"/>
      <c r="F29" s="490"/>
      <c r="J29" s="178"/>
      <c r="K29" s="1113" t="s">
        <v>650</v>
      </c>
      <c r="L29" s="1113"/>
      <c r="N29" s="1698" t="s">
        <v>111</v>
      </c>
      <c r="O29" s="36" t="s">
        <v>714</v>
      </c>
      <c r="P29" s="1696" t="e">
        <f>M9-M8</f>
        <v>#N/A</v>
      </c>
      <c r="Q29" s="1697"/>
      <c r="R29" s="179"/>
      <c r="S29" s="137"/>
      <c r="T29" s="137"/>
      <c r="AF29" s="137"/>
      <c r="AG29" s="137"/>
      <c r="AH29" s="137"/>
      <c r="AI29" s="137"/>
      <c r="AJ29" s="1727"/>
      <c r="AK29" s="1727"/>
      <c r="AL29" s="1727"/>
      <c r="AM29" s="159"/>
      <c r="AN29" s="160"/>
      <c r="AO29" s="161"/>
      <c r="AP29" s="137"/>
      <c r="AQ29" s="137"/>
    </row>
    <row r="30" spans="2:43" ht="18" customHeight="1" thickBot="1">
      <c r="B30" s="487"/>
      <c r="C30" s="491" t="s">
        <v>686</v>
      </c>
      <c r="D30" s="489"/>
      <c r="E30" s="492"/>
      <c r="F30" s="493"/>
      <c r="J30" s="178"/>
      <c r="K30" s="28" t="s">
        <v>655</v>
      </c>
      <c r="L30" s="28" t="s">
        <v>338</v>
      </c>
      <c r="N30" s="1699"/>
      <c r="O30" s="36" t="s">
        <v>715</v>
      </c>
      <c r="P30" s="1696" t="e">
        <f>IF(OR('Saisie de données'!$E$51='Menu déroulant'!$AE$57,'Saisie de données'!$K$51='Menu déroulant'!$AE$57),"-",M9-M12)</f>
        <v>#N/A</v>
      </c>
      <c r="Q30" s="1697"/>
      <c r="R30" s="179"/>
      <c r="S30" s="137"/>
      <c r="T30" s="137"/>
      <c r="AF30" s="137"/>
      <c r="AG30" s="137"/>
      <c r="AH30" s="137"/>
      <c r="AI30" s="137"/>
      <c r="AJ30" s="1727"/>
      <c r="AK30" s="1727"/>
      <c r="AL30" s="1727"/>
      <c r="AM30" s="159"/>
      <c r="AN30" s="160"/>
      <c r="AO30" s="161"/>
      <c r="AP30" s="137"/>
      <c r="AQ30" s="137"/>
    </row>
    <row r="31" spans="2:43" ht="15" customHeight="1" thickTop="1" thickBot="1">
      <c r="B31" s="487"/>
      <c r="C31" s="494"/>
      <c r="D31" s="495" t="s">
        <v>346</v>
      </c>
      <c r="E31" s="496" t="s">
        <v>347</v>
      </c>
      <c r="F31" s="493"/>
      <c r="J31" s="178"/>
      <c r="K31" s="28">
        <v>1</v>
      </c>
      <c r="L31" s="28">
        <v>3.54</v>
      </c>
      <c r="N31" s="1699"/>
      <c r="O31" s="36" t="s">
        <v>716</v>
      </c>
      <c r="P31" s="1696" t="e">
        <f>M7-M6</f>
        <v>#N/A</v>
      </c>
      <c r="Q31" s="1697"/>
      <c r="R31" s="179"/>
      <c r="S31" s="137"/>
      <c r="T31" s="137"/>
      <c r="AF31" s="137"/>
      <c r="AG31" s="137"/>
      <c r="AH31" s="137"/>
      <c r="AI31" s="137"/>
      <c r="AJ31" s="137"/>
      <c r="AK31" s="137"/>
      <c r="AL31" s="137"/>
      <c r="AM31" s="137"/>
      <c r="AN31" s="137"/>
      <c r="AO31" s="137"/>
      <c r="AP31" s="137"/>
      <c r="AQ31" s="137"/>
    </row>
    <row r="32" spans="2:43" ht="15" customHeight="1" thickBot="1">
      <c r="B32" s="487"/>
      <c r="C32" s="497" t="s">
        <v>338</v>
      </c>
      <c r="D32" s="498" t="e">
        <f>IF(OR('Saisie de données'!AM70='Menu déroulant'!AA28,'Saisie de données'!AL70='Menu déroulant'!AG51),-$M$6,-$E$17)</f>
        <v>#N/A</v>
      </c>
      <c r="E32" s="499" t="e">
        <f>IF(OR('Saisie de données'!AM70='Menu déroulant'!AA28,'Saisie de données'!AL70='Menu déroulant'!AG51),-$M$8,-$E$19)</f>
        <v>#N/A</v>
      </c>
      <c r="F32" s="490"/>
      <c r="J32" s="178"/>
      <c r="N32" s="1700"/>
      <c r="O32" s="36" t="s">
        <v>717</v>
      </c>
      <c r="P32" s="1696" t="e">
        <f>IF(OR('Saisie de données'!$E$51='Menu déroulant'!$AE$57,'Saisie de données'!$K$51='Menu déroulant'!$AE$57),"-",M7-M10)</f>
        <v>#N/A</v>
      </c>
      <c r="Q32" s="1697"/>
      <c r="R32" s="179"/>
      <c r="AF32" s="137"/>
      <c r="AG32" s="137"/>
      <c r="AH32" s="137"/>
      <c r="AI32" s="137"/>
      <c r="AJ32" s="137"/>
      <c r="AK32" s="137"/>
      <c r="AL32" s="137"/>
      <c r="AM32" s="165"/>
      <c r="AN32" s="149"/>
      <c r="AO32" s="149"/>
      <c r="AP32" s="149"/>
      <c r="AQ32" s="137"/>
    </row>
    <row r="33" spans="2:43" ht="15" customHeight="1" thickBot="1">
      <c r="B33" s="487"/>
      <c r="C33" s="500" t="s">
        <v>111</v>
      </c>
      <c r="D33" s="501" t="e">
        <f>D23</f>
        <v>#N/A</v>
      </c>
      <c r="E33" s="502" t="e">
        <f>E23</f>
        <v>#N/A</v>
      </c>
      <c r="F33" s="490"/>
      <c r="J33" s="178"/>
      <c r="K33" s="10" t="s">
        <v>718</v>
      </c>
      <c r="R33" s="179"/>
      <c r="S33" s="114"/>
      <c r="T33" s="114"/>
      <c r="AF33" s="226"/>
      <c r="AG33" s="226"/>
      <c r="AH33" s="226"/>
      <c r="AI33" s="137"/>
      <c r="AJ33" s="137"/>
      <c r="AK33" s="137"/>
      <c r="AL33" s="137"/>
      <c r="AM33" s="151"/>
      <c r="AN33" s="158"/>
      <c r="AO33" s="1717"/>
      <c r="AP33" s="1717"/>
      <c r="AQ33" s="137"/>
    </row>
    <row r="34" spans="2:43" ht="27.95" customHeight="1" thickTop="1" thickBot="1">
      <c r="B34" s="487"/>
      <c r="C34" s="503" t="s">
        <v>687</v>
      </c>
      <c r="D34" s="450"/>
      <c r="E34" s="492"/>
      <c r="F34" s="490"/>
      <c r="J34" s="178"/>
      <c r="K34" s="380" t="s">
        <v>719</v>
      </c>
      <c r="O34" s="137"/>
      <c r="P34" s="137"/>
      <c r="Q34" s="137"/>
      <c r="R34" s="179"/>
      <c r="S34" s="114"/>
      <c r="T34" s="114"/>
      <c r="AF34" s="226"/>
      <c r="AG34" s="226"/>
      <c r="AH34" s="226"/>
      <c r="AI34" s="137"/>
      <c r="AJ34" s="137"/>
      <c r="AK34" s="137"/>
      <c r="AL34" s="137"/>
      <c r="AM34" s="151"/>
      <c r="AN34" s="166"/>
      <c r="AO34" s="159"/>
      <c r="AP34" s="159"/>
      <c r="AQ34" s="137"/>
    </row>
    <row r="35" spans="2:43" ht="15.6" thickTop="1" thickBot="1">
      <c r="B35" s="487"/>
      <c r="C35" s="494"/>
      <c r="D35" s="495" t="s">
        <v>346</v>
      </c>
      <c r="E35" s="496" t="s">
        <v>347</v>
      </c>
      <c r="F35" s="490"/>
      <c r="J35" s="178"/>
      <c r="K35" s="380" t="s">
        <v>720</v>
      </c>
      <c r="O35" s="137"/>
      <c r="P35" s="1231"/>
      <c r="Q35" s="1231"/>
      <c r="R35" s="179"/>
      <c r="S35" s="115"/>
      <c r="T35" s="115"/>
      <c r="AF35" s="137"/>
      <c r="AG35" s="137"/>
      <c r="AH35" s="137"/>
      <c r="AI35" s="137"/>
      <c r="AJ35" s="137"/>
      <c r="AK35" s="137"/>
      <c r="AL35" s="137"/>
      <c r="AM35" s="1717"/>
      <c r="AN35" s="1717"/>
      <c r="AO35" s="149"/>
      <c r="AP35" s="149"/>
      <c r="AQ35" s="137"/>
    </row>
    <row r="36" spans="2:43" ht="15" thickBot="1">
      <c r="B36" s="487"/>
      <c r="C36" s="497" t="s">
        <v>338</v>
      </c>
      <c r="D36" s="498" t="e">
        <f>IF(OR('Saisie de données'!AM71='Menu déroulant'!AA28,'Saisie de données'!AL71='Menu déroulant'!AG51),-$M$6,-$E$17)</f>
        <v>#N/A</v>
      </c>
      <c r="E36" s="499" t="e">
        <f>IF(OR('Saisie de données'!AM71='Menu déroulant'!AA28,'Saisie de données'!AL71='Menu déroulant'!AG51),-$M$8,-$E$19)</f>
        <v>#N/A</v>
      </c>
      <c r="F36" s="490"/>
      <c r="J36" s="178"/>
      <c r="K36" s="730" t="s">
        <v>721</v>
      </c>
      <c r="M36" t="s">
        <v>722</v>
      </c>
      <c r="O36" s="137"/>
      <c r="P36" s="410"/>
      <c r="Q36" s="410"/>
      <c r="R36" s="179"/>
      <c r="AF36" s="137"/>
      <c r="AG36" s="137"/>
      <c r="AH36" s="137"/>
      <c r="AI36" s="137"/>
      <c r="AJ36" s="137"/>
      <c r="AK36" s="137"/>
      <c r="AL36" s="137"/>
      <c r="AM36" s="151"/>
      <c r="AN36" s="167"/>
      <c r="AO36" s="168"/>
      <c r="AP36" s="149"/>
      <c r="AQ36" s="137"/>
    </row>
    <row r="37" spans="2:43" ht="15" thickBot="1">
      <c r="B37" s="487"/>
      <c r="C37" s="500" t="s">
        <v>111</v>
      </c>
      <c r="D37" s="501" t="e">
        <f>D23</f>
        <v>#N/A</v>
      </c>
      <c r="E37" s="502" t="e">
        <f>E23</f>
        <v>#N/A</v>
      </c>
      <c r="F37" s="490"/>
      <c r="J37" s="178"/>
      <c r="K37" s="730" t="s">
        <v>723</v>
      </c>
      <c r="O37" s="159"/>
      <c r="P37" s="160"/>
      <c r="Q37" s="160"/>
      <c r="R37" s="179"/>
      <c r="AF37" s="137"/>
      <c r="AG37" s="137"/>
      <c r="AH37" s="139"/>
      <c r="AI37" s="137"/>
      <c r="AJ37" s="137"/>
      <c r="AK37" s="137"/>
      <c r="AL37" s="137"/>
      <c r="AM37" s="137"/>
      <c r="AN37" s="137"/>
      <c r="AO37" s="137"/>
      <c r="AP37" s="137"/>
      <c r="AQ37" s="137"/>
    </row>
    <row r="38" spans="2:43" ht="31.5" customHeight="1" thickTop="1" thickBot="1">
      <c r="B38" s="487"/>
      <c r="C38" s="503" t="s">
        <v>688</v>
      </c>
      <c r="D38" s="450"/>
      <c r="E38" s="492"/>
      <c r="F38" s="490"/>
      <c r="J38" s="178"/>
      <c r="O38" s="159"/>
      <c r="P38" s="160"/>
      <c r="Q38" s="160"/>
      <c r="R38" s="179"/>
      <c r="U38" s="137"/>
      <c r="V38" s="137"/>
      <c r="W38" s="137"/>
      <c r="X38" s="137"/>
      <c r="AF38" s="227"/>
      <c r="AG38" s="227"/>
      <c r="AH38" s="227"/>
      <c r="AI38" s="137"/>
      <c r="AJ38" s="137"/>
      <c r="AK38" s="137"/>
      <c r="AL38" s="137"/>
      <c r="AM38" s="137"/>
      <c r="AN38" s="137"/>
      <c r="AO38" s="137"/>
      <c r="AP38" s="137"/>
      <c r="AQ38" s="137"/>
    </row>
    <row r="39" spans="2:43" ht="15.6" thickTop="1" thickBot="1">
      <c r="B39" s="487"/>
      <c r="C39" s="494"/>
      <c r="D39" s="495" t="s">
        <v>346</v>
      </c>
      <c r="E39" s="496" t="s">
        <v>347</v>
      </c>
      <c r="F39" s="490"/>
      <c r="J39" s="178"/>
      <c r="O39" s="159"/>
      <c r="P39" s="160"/>
      <c r="Q39" s="160"/>
      <c r="R39" s="179"/>
      <c r="AF39" s="137"/>
      <c r="AG39" s="228"/>
      <c r="AH39" s="137"/>
      <c r="AI39" s="137"/>
      <c r="AJ39" s="137"/>
      <c r="AK39" s="137"/>
      <c r="AL39" s="137"/>
      <c r="AM39" s="150"/>
      <c r="AN39" s="149"/>
      <c r="AO39" s="149"/>
      <c r="AP39" s="137"/>
      <c r="AQ39" s="137"/>
    </row>
    <row r="40" spans="2:43" ht="15" thickBot="1">
      <c r="B40" s="487"/>
      <c r="C40" s="497" t="s">
        <v>338</v>
      </c>
      <c r="D40" s="498" t="e">
        <f>IF(OR('Saisie de données'!AM72='Menu déroulant'!AA28,'Saisie de données'!AL72='Menu déroulant'!AG51),-$M$6,-$E$17)</f>
        <v>#N/A</v>
      </c>
      <c r="E40" s="499" t="e">
        <f>IF(OR('Saisie de données'!AM72='Menu déroulant'!AA28,'Saisie de données'!AL72='Menu déroulant'!AG51),-$M$8,-$E$19)</f>
        <v>#N/A</v>
      </c>
      <c r="F40" s="490"/>
      <c r="J40" s="178"/>
      <c r="O40" s="159"/>
      <c r="P40" s="160"/>
      <c r="Q40" s="160"/>
      <c r="R40" s="179"/>
      <c r="AF40" s="137"/>
      <c r="AG40" s="229"/>
      <c r="AH40" s="230"/>
      <c r="AI40" s="137"/>
      <c r="AJ40" s="137"/>
      <c r="AK40" s="137"/>
      <c r="AL40" s="137"/>
      <c r="AM40" s="1717"/>
      <c r="AN40" s="171"/>
      <c r="AO40" s="172"/>
      <c r="AP40" s="137"/>
      <c r="AQ40" s="137"/>
    </row>
    <row r="41" spans="2:43" ht="15" thickBot="1">
      <c r="B41" s="487"/>
      <c r="C41" s="500" t="s">
        <v>111</v>
      </c>
      <c r="D41" s="501" t="e">
        <f>D23</f>
        <v>#N/A</v>
      </c>
      <c r="E41" s="502" t="e">
        <f>E23</f>
        <v>#N/A</v>
      </c>
      <c r="F41" s="490"/>
      <c r="J41" s="178"/>
      <c r="O41" s="159"/>
      <c r="P41" s="160"/>
      <c r="Q41" s="160"/>
      <c r="R41" s="179"/>
      <c r="AF41" s="137"/>
      <c r="AG41" s="229"/>
      <c r="AH41" s="230"/>
      <c r="AI41" s="137"/>
      <c r="AJ41" s="137"/>
      <c r="AK41" s="137"/>
      <c r="AL41" s="137"/>
      <c r="AM41" s="1717"/>
      <c r="AN41" s="1717"/>
      <c r="AO41" s="1717"/>
      <c r="AP41" s="137"/>
      <c r="AQ41" s="137"/>
    </row>
    <row r="42" spans="2:43" ht="23.65" customHeight="1" thickTop="1" thickBot="1">
      <c r="B42" s="487"/>
      <c r="C42" s="507"/>
      <c r="D42" s="504"/>
      <c r="E42" s="492"/>
      <c r="F42" s="490"/>
      <c r="J42" s="178"/>
      <c r="O42" s="159"/>
      <c r="P42" s="160"/>
      <c r="Q42" s="160"/>
      <c r="R42" s="179"/>
      <c r="S42" s="109"/>
      <c r="T42" s="109"/>
      <c r="AF42" s="231"/>
      <c r="AG42" s="231"/>
      <c r="AH42" s="137"/>
      <c r="AI42" s="137"/>
      <c r="AJ42" s="137"/>
      <c r="AK42" s="137"/>
      <c r="AL42" s="137"/>
      <c r="AM42" s="1717"/>
      <c r="AN42" s="1717"/>
      <c r="AO42" s="1717"/>
      <c r="AP42" s="137"/>
      <c r="AQ42" s="137"/>
    </row>
    <row r="43" spans="2:43" ht="14.65" customHeight="1" thickTop="1" thickBot="1">
      <c r="B43" s="487"/>
      <c r="C43" s="494"/>
      <c r="D43" s="495"/>
      <c r="E43" s="496"/>
      <c r="F43" s="490"/>
      <c r="J43" s="181"/>
      <c r="K43" s="35"/>
      <c r="L43" s="35"/>
      <c r="M43" s="35"/>
      <c r="N43" s="35"/>
      <c r="O43" s="725"/>
      <c r="P43" s="726"/>
      <c r="Q43" s="726"/>
      <c r="R43" s="216"/>
      <c r="S43" s="110"/>
      <c r="T43" s="110"/>
      <c r="AF43" s="136"/>
      <c r="AG43" s="137"/>
      <c r="AH43" s="137"/>
      <c r="AI43" s="137"/>
      <c r="AJ43" s="137"/>
      <c r="AK43" s="137"/>
      <c r="AL43" s="1727"/>
      <c r="AM43" s="159"/>
      <c r="AN43" s="173"/>
      <c r="AO43" s="173"/>
      <c r="AP43" s="137"/>
      <c r="AQ43" s="137"/>
    </row>
    <row r="44" spans="2:43" ht="14.65" customHeight="1" thickTop="1" thickBot="1">
      <c r="B44" s="487"/>
      <c r="C44" s="497"/>
      <c r="D44" s="498"/>
      <c r="E44" s="499"/>
      <c r="F44" s="490"/>
      <c r="O44" s="159"/>
      <c r="P44" s="160"/>
      <c r="Q44" s="160"/>
      <c r="S44" s="111"/>
      <c r="T44" s="111"/>
      <c r="AF44" s="226"/>
      <c r="AG44" s="226"/>
      <c r="AH44" s="137"/>
      <c r="AI44" s="137"/>
      <c r="AJ44" s="137"/>
      <c r="AK44" s="137"/>
      <c r="AL44" s="1727"/>
      <c r="AM44" s="159"/>
      <c r="AN44" s="173"/>
      <c r="AO44" s="173"/>
      <c r="AP44" s="137"/>
      <c r="AQ44" s="137"/>
    </row>
    <row r="45" spans="2:43" ht="14.65" customHeight="1" thickBot="1">
      <c r="B45" s="487"/>
      <c r="C45" s="500"/>
      <c r="D45" s="501"/>
      <c r="E45" s="502"/>
      <c r="F45" s="490"/>
      <c r="O45" s="159"/>
      <c r="P45" s="160"/>
      <c r="Q45" s="160"/>
      <c r="S45" s="119"/>
      <c r="T45" s="119"/>
      <c r="AF45" s="232"/>
      <c r="AG45" s="136"/>
      <c r="AH45" s="233"/>
      <c r="AI45" s="137"/>
      <c r="AJ45" s="137"/>
      <c r="AK45" s="137"/>
      <c r="AL45" s="1727"/>
      <c r="AM45" s="159"/>
      <c r="AN45" s="173"/>
      <c r="AO45" s="173"/>
      <c r="AP45" s="137"/>
      <c r="AQ45" s="137"/>
    </row>
    <row r="46" spans="2:43" ht="14.65" customHeight="1" thickTop="1" thickBot="1">
      <c r="B46" s="487"/>
      <c r="C46" s="450"/>
      <c r="D46" s="450"/>
      <c r="E46" s="450"/>
      <c r="F46" s="490"/>
      <c r="O46" s="159"/>
      <c r="P46" s="160"/>
      <c r="Q46" s="160"/>
      <c r="S46" s="112"/>
      <c r="T46" s="112"/>
      <c r="AF46" s="234"/>
      <c r="AG46" s="234"/>
      <c r="AH46" s="137"/>
      <c r="AI46" s="137"/>
      <c r="AJ46" s="137"/>
      <c r="AK46" s="137"/>
      <c r="AL46" s="1727"/>
      <c r="AM46" s="159"/>
      <c r="AN46" s="173"/>
      <c r="AO46" s="173"/>
      <c r="AP46" s="137"/>
      <c r="AQ46" s="137"/>
    </row>
    <row r="47" spans="2:43" ht="14.65" customHeight="1" thickTop="1">
      <c r="B47" s="175"/>
      <c r="C47" s="175"/>
      <c r="D47" s="175"/>
      <c r="E47" s="175"/>
      <c r="F47" s="175"/>
      <c r="G47" s="137"/>
      <c r="S47" s="112"/>
      <c r="T47" s="112"/>
      <c r="AF47" s="234"/>
      <c r="AG47" s="234"/>
      <c r="AH47" s="137"/>
      <c r="AI47" s="137"/>
      <c r="AJ47" s="137"/>
      <c r="AK47" s="137"/>
      <c r="AL47" s="1727"/>
      <c r="AM47" s="159"/>
      <c r="AN47" s="1728"/>
      <c r="AO47" s="1728"/>
      <c r="AP47" s="137"/>
      <c r="AQ47" s="137"/>
    </row>
    <row r="48" spans="2:43" ht="14.65" customHeight="1">
      <c r="B48" s="137"/>
      <c r="C48" s="137"/>
      <c r="D48" s="137"/>
      <c r="E48" s="137"/>
      <c r="F48" s="137"/>
      <c r="G48" s="137"/>
      <c r="S48" s="112"/>
      <c r="T48" s="112"/>
      <c r="AF48" s="234"/>
      <c r="AG48" s="234"/>
      <c r="AH48" s="137"/>
      <c r="AI48" s="137"/>
      <c r="AJ48" s="137"/>
      <c r="AK48" s="137"/>
      <c r="AL48" s="1727"/>
      <c r="AM48" s="159"/>
      <c r="AN48" s="1728"/>
      <c r="AO48" s="1728"/>
      <c r="AP48" s="137"/>
      <c r="AQ48" s="137"/>
    </row>
    <row r="49" spans="2:43">
      <c r="B49" s="137"/>
      <c r="C49" s="234"/>
      <c r="D49" s="234"/>
      <c r="E49" s="234"/>
      <c r="F49" s="137"/>
      <c r="G49" s="137"/>
      <c r="K49" s="125"/>
      <c r="L49" s="126"/>
      <c r="M49" s="126"/>
      <c r="N49" s="126"/>
      <c r="S49" s="112"/>
      <c r="T49" s="112"/>
      <c r="AF49" s="234"/>
      <c r="AG49" s="234"/>
      <c r="AH49" s="137"/>
      <c r="AI49" s="137"/>
      <c r="AJ49" s="137"/>
      <c r="AK49" s="137"/>
      <c r="AL49" s="1727"/>
      <c r="AM49" s="159"/>
      <c r="AN49" s="1728"/>
      <c r="AO49" s="1728"/>
      <c r="AP49" s="137"/>
      <c r="AQ49" s="137"/>
    </row>
    <row r="50" spans="2:43">
      <c r="B50" s="137"/>
      <c r="C50" s="234"/>
      <c r="D50" s="234"/>
      <c r="E50" s="234"/>
      <c r="F50" s="137"/>
      <c r="G50" s="137"/>
      <c r="K50" s="127"/>
      <c r="L50" s="126"/>
      <c r="M50" s="128"/>
      <c r="N50" s="126"/>
      <c r="S50" s="112"/>
      <c r="T50" s="112"/>
      <c r="AF50" s="234"/>
      <c r="AG50" s="234"/>
      <c r="AH50" s="137"/>
      <c r="AI50" s="137"/>
      <c r="AJ50" s="137"/>
      <c r="AK50" s="137"/>
      <c r="AL50" s="1727"/>
      <c r="AM50" s="159"/>
      <c r="AN50" s="1728"/>
      <c r="AO50" s="1728"/>
      <c r="AP50" s="137"/>
      <c r="AQ50" s="137"/>
    </row>
    <row r="51" spans="2:43">
      <c r="B51" s="137"/>
      <c r="C51" s="506"/>
      <c r="D51" s="142"/>
      <c r="E51" s="137"/>
      <c r="F51" s="137"/>
      <c r="G51" s="137"/>
      <c r="K51" s="126"/>
      <c r="L51" s="126"/>
      <c r="M51" s="128"/>
      <c r="N51" s="126"/>
      <c r="S51" s="112"/>
      <c r="T51" s="112"/>
      <c r="AF51" s="234"/>
      <c r="AG51" s="234"/>
      <c r="AH51" s="137"/>
      <c r="AI51" s="137"/>
      <c r="AJ51" s="137"/>
      <c r="AK51" s="137"/>
      <c r="AL51" s="137"/>
      <c r="AM51" s="137"/>
      <c r="AN51" s="137"/>
      <c r="AO51" s="137"/>
      <c r="AP51" s="137"/>
      <c r="AQ51" s="137"/>
    </row>
    <row r="52" spans="2:43">
      <c r="S52" s="112"/>
      <c r="T52" s="112"/>
      <c r="U52" s="112"/>
      <c r="V52" s="112"/>
      <c r="AB52" s="125"/>
      <c r="AC52" s="126"/>
      <c r="AD52" s="126"/>
      <c r="AE52" s="126"/>
      <c r="AF52" s="234"/>
      <c r="AG52" s="234"/>
      <c r="AH52" s="137"/>
      <c r="AI52" s="137"/>
      <c r="AJ52" s="137"/>
      <c r="AK52" s="137"/>
      <c r="AL52" s="137"/>
      <c r="AM52" s="165"/>
      <c r="AN52" s="149"/>
      <c r="AO52" s="149"/>
      <c r="AP52" s="149"/>
      <c r="AQ52" s="137"/>
    </row>
    <row r="53" spans="2:43">
      <c r="S53" s="112"/>
      <c r="T53" s="112"/>
      <c r="U53" s="112"/>
      <c r="V53" s="112"/>
      <c r="AB53" s="127"/>
      <c r="AC53" s="126"/>
      <c r="AD53" s="128"/>
      <c r="AE53" s="126"/>
      <c r="AF53" s="234"/>
      <c r="AG53" s="234"/>
      <c r="AH53" s="137"/>
      <c r="AI53" s="137"/>
      <c r="AJ53" s="137"/>
      <c r="AK53" s="137"/>
      <c r="AL53" s="137"/>
      <c r="AM53" s="158"/>
      <c r="AN53" s="149"/>
      <c r="AO53" s="235"/>
      <c r="AP53" s="149"/>
      <c r="AQ53" s="137"/>
    </row>
    <row r="54" spans="2:43" ht="14.65" customHeight="1">
      <c r="C54" s="111"/>
      <c r="D54" s="111"/>
      <c r="E54" s="111"/>
      <c r="F54" s="111"/>
      <c r="K54" s="1716"/>
      <c r="L54" s="1716"/>
      <c r="M54" s="1716"/>
      <c r="N54" s="1716"/>
      <c r="S54" s="121"/>
      <c r="T54" s="121"/>
      <c r="U54" s="122"/>
      <c r="AB54" s="126"/>
      <c r="AC54" s="126"/>
      <c r="AD54" s="128"/>
      <c r="AE54" s="126"/>
      <c r="AF54" s="142"/>
      <c r="AG54" s="137"/>
      <c r="AH54" s="137"/>
      <c r="AI54" s="137"/>
      <c r="AJ54" s="137"/>
      <c r="AK54" s="137"/>
      <c r="AL54" s="137"/>
      <c r="AM54" s="149"/>
      <c r="AN54" s="149"/>
      <c r="AO54" s="235"/>
      <c r="AP54" s="149"/>
      <c r="AQ54" s="137"/>
    </row>
    <row r="55" spans="2:43">
      <c r="K55" s="156"/>
      <c r="L55" s="156"/>
      <c r="M55" s="156"/>
      <c r="N55" s="156"/>
      <c r="AF55" s="137"/>
      <c r="AG55" s="137"/>
      <c r="AH55" s="137"/>
      <c r="AI55" s="137"/>
      <c r="AJ55" s="137"/>
      <c r="AK55" s="137"/>
      <c r="AL55" s="137"/>
      <c r="AM55" s="137"/>
      <c r="AN55" s="137"/>
      <c r="AO55" s="137"/>
      <c r="AP55" s="137"/>
      <c r="AQ55" s="137"/>
    </row>
    <row r="56" spans="2:43" ht="14.45" customHeight="1">
      <c r="F56" s="123"/>
      <c r="K56" s="156"/>
      <c r="L56" s="156"/>
      <c r="M56" s="156"/>
      <c r="N56" s="156"/>
      <c r="AF56" s="137"/>
      <c r="AG56" s="137"/>
      <c r="AH56" s="137"/>
      <c r="AI56" s="137"/>
      <c r="AJ56" s="137"/>
      <c r="AK56" s="137"/>
      <c r="AL56" s="137"/>
      <c r="AM56" s="137"/>
      <c r="AN56" s="137"/>
      <c r="AO56" s="137"/>
      <c r="AP56" s="137"/>
      <c r="AQ56" s="137"/>
    </row>
    <row r="57" spans="2:43">
      <c r="K57" s="156"/>
      <c r="L57" s="156"/>
      <c r="M57" s="156"/>
      <c r="N57" s="156"/>
      <c r="S57" s="111"/>
      <c r="T57" s="111"/>
      <c r="U57" s="111"/>
      <c r="V57" s="111"/>
      <c r="W57" s="111"/>
      <c r="AB57" s="1723"/>
      <c r="AC57" s="1723"/>
      <c r="AD57" s="1723"/>
      <c r="AE57" s="1723"/>
      <c r="AF57" s="137"/>
      <c r="AG57" s="137"/>
      <c r="AH57" s="137"/>
      <c r="AI57" s="137"/>
      <c r="AJ57" s="137"/>
      <c r="AK57" s="137"/>
      <c r="AL57" s="137"/>
      <c r="AM57" s="137"/>
      <c r="AN57" s="137"/>
      <c r="AO57" s="137"/>
      <c r="AP57" s="137"/>
      <c r="AQ57" s="137"/>
    </row>
    <row r="58" spans="2:43">
      <c r="F58" s="116"/>
      <c r="K58" s="156"/>
      <c r="L58" s="156"/>
      <c r="M58" s="156"/>
      <c r="N58" s="156"/>
      <c r="AB58" s="1723"/>
      <c r="AC58" s="1723"/>
      <c r="AD58" s="1723"/>
      <c r="AE58" s="1723"/>
      <c r="AF58" s="136"/>
      <c r="AG58" s="136"/>
      <c r="AH58" s="136"/>
      <c r="AI58" s="136"/>
      <c r="AJ58" s="136"/>
      <c r="AK58" s="136"/>
      <c r="AL58" s="136"/>
      <c r="AM58" s="136"/>
      <c r="AN58" s="136"/>
      <c r="AO58" s="136"/>
      <c r="AP58" s="136"/>
      <c r="AQ58" s="137"/>
    </row>
    <row r="59" spans="2:43">
      <c r="D59" s="117"/>
      <c r="E59" s="117"/>
      <c r="F59" s="117"/>
      <c r="K59" s="389"/>
      <c r="L59" s="156"/>
      <c r="M59" s="156"/>
      <c r="N59" s="156"/>
      <c r="W59" s="123"/>
      <c r="AB59" s="1723"/>
      <c r="AC59" s="1723"/>
      <c r="AD59" s="1723"/>
      <c r="AE59" s="1723"/>
      <c r="AF59" s="137"/>
      <c r="AG59" s="137"/>
      <c r="AH59" s="137"/>
      <c r="AI59" s="137"/>
      <c r="AJ59" s="137"/>
      <c r="AK59" s="137"/>
      <c r="AL59" s="137"/>
      <c r="AM59" s="137"/>
      <c r="AN59" s="137"/>
      <c r="AO59" s="137"/>
      <c r="AP59" s="137"/>
      <c r="AQ59" s="137"/>
    </row>
    <row r="60" spans="2:43">
      <c r="E60" s="107"/>
      <c r="K60" s="156"/>
      <c r="L60" s="156"/>
      <c r="M60" s="156"/>
      <c r="N60" s="156"/>
      <c r="AB60" s="1723"/>
      <c r="AC60" s="1723"/>
      <c r="AD60" s="1723"/>
      <c r="AE60" s="1723"/>
      <c r="AF60" s="1725"/>
      <c r="AG60" s="1725"/>
      <c r="AH60" s="1725"/>
      <c r="AI60" s="1725"/>
      <c r="AJ60" s="1725"/>
      <c r="AK60" s="1725"/>
      <c r="AL60" s="1725"/>
      <c r="AM60" s="1725"/>
      <c r="AN60" s="137"/>
      <c r="AO60" s="137"/>
      <c r="AP60" s="137"/>
      <c r="AQ60" s="137"/>
    </row>
    <row r="61" spans="2:43">
      <c r="E61" s="108"/>
      <c r="F61" s="118"/>
      <c r="K61" s="156"/>
      <c r="L61" s="156"/>
      <c r="M61" s="156"/>
      <c r="N61" s="156"/>
      <c r="W61" s="116"/>
      <c r="AB61" s="1723"/>
      <c r="AC61" s="1723"/>
      <c r="AD61" s="1723"/>
      <c r="AE61" s="1723"/>
      <c r="AF61" s="137"/>
      <c r="AG61" s="137"/>
      <c r="AH61" s="137"/>
      <c r="AI61" s="137"/>
      <c r="AJ61" s="137"/>
      <c r="AK61" s="137"/>
      <c r="AL61" s="137"/>
      <c r="AM61" s="137"/>
      <c r="AN61" s="137"/>
      <c r="AO61" s="137"/>
      <c r="AP61" s="137"/>
      <c r="AQ61" s="137"/>
    </row>
    <row r="62" spans="2:43" ht="18">
      <c r="C62" s="109"/>
      <c r="D62" s="109"/>
      <c r="E62" s="109"/>
      <c r="K62" s="156"/>
      <c r="L62" s="156"/>
      <c r="M62" s="156"/>
      <c r="N62" s="156"/>
      <c r="U62" s="117"/>
      <c r="V62" s="117"/>
      <c r="W62" s="117"/>
      <c r="AB62" s="1723"/>
      <c r="AC62" s="1723"/>
      <c r="AD62" s="1723"/>
      <c r="AE62" s="1723"/>
      <c r="AF62" s="1725"/>
      <c r="AG62" s="1725"/>
      <c r="AH62" s="1725"/>
      <c r="AI62" s="137"/>
      <c r="AJ62" s="137"/>
      <c r="AK62" s="137"/>
      <c r="AL62" s="137"/>
      <c r="AM62" s="147"/>
      <c r="AN62" s="148"/>
      <c r="AO62" s="137"/>
      <c r="AP62" s="137"/>
      <c r="AQ62" s="137"/>
    </row>
    <row r="63" spans="2:43">
      <c r="C63" s="110"/>
      <c r="D63" s="110"/>
      <c r="K63" s="156"/>
      <c r="L63" s="156"/>
      <c r="M63" s="156"/>
      <c r="N63" s="156"/>
      <c r="V63" s="107"/>
      <c r="AB63" s="1723"/>
      <c r="AC63" s="1723"/>
      <c r="AD63" s="1723"/>
      <c r="AE63" s="1723"/>
      <c r="AF63" s="137"/>
      <c r="AG63" s="137"/>
      <c r="AH63" s="137"/>
      <c r="AI63" s="137"/>
      <c r="AJ63" s="137"/>
      <c r="AK63" s="137"/>
      <c r="AL63" s="137"/>
      <c r="AM63" s="137"/>
      <c r="AN63" s="137"/>
      <c r="AO63" s="137"/>
      <c r="AP63" s="137"/>
      <c r="AQ63" s="137"/>
    </row>
    <row r="64" spans="2:43">
      <c r="C64" s="111"/>
      <c r="D64" s="111"/>
      <c r="E64" s="111"/>
      <c r="K64" s="156"/>
      <c r="L64" s="156"/>
      <c r="M64" s="156"/>
      <c r="N64" s="156"/>
      <c r="O64" t="s">
        <v>689</v>
      </c>
      <c r="V64" s="108"/>
      <c r="W64" s="118"/>
      <c r="AB64" s="1723"/>
      <c r="AC64" s="1723"/>
      <c r="AD64" s="1723"/>
      <c r="AE64" s="1723"/>
      <c r="AF64" s="137"/>
      <c r="AG64" s="137"/>
      <c r="AH64" s="137"/>
      <c r="AI64" s="137"/>
      <c r="AJ64" s="137"/>
      <c r="AK64" s="137"/>
      <c r="AL64" s="137"/>
      <c r="AM64" s="149"/>
      <c r="AN64" s="149"/>
      <c r="AO64" s="149"/>
      <c r="AP64" s="149"/>
      <c r="AQ64" s="137"/>
    </row>
    <row r="65" spans="3:43" ht="18">
      <c r="C65" s="119"/>
      <c r="D65" s="113"/>
      <c r="E65" s="110"/>
      <c r="F65" s="120"/>
      <c r="K65" s="156"/>
      <c r="L65" s="156"/>
      <c r="M65" s="156"/>
      <c r="N65" s="156"/>
      <c r="S65" s="109"/>
      <c r="T65" s="109"/>
      <c r="U65" s="109"/>
      <c r="V65" s="109"/>
      <c r="AB65" s="1723"/>
      <c r="AC65" s="1723"/>
      <c r="AD65" s="1723"/>
      <c r="AE65" s="1723"/>
      <c r="AF65" s="137"/>
      <c r="AG65" s="137"/>
      <c r="AH65" s="137"/>
      <c r="AI65" s="137"/>
      <c r="AJ65" s="137"/>
      <c r="AK65" s="137"/>
      <c r="AL65" s="137"/>
      <c r="AM65" s="150"/>
      <c r="AN65" s="149"/>
      <c r="AO65" s="149"/>
      <c r="AP65" s="149"/>
      <c r="AQ65" s="137"/>
    </row>
    <row r="66" spans="3:43" ht="14.65" customHeight="1">
      <c r="C66" s="112"/>
      <c r="D66" s="112"/>
      <c r="E66" s="112"/>
      <c r="K66" s="156"/>
      <c r="L66" s="156"/>
      <c r="M66" s="156"/>
      <c r="N66" s="156"/>
      <c r="S66" s="110"/>
      <c r="T66" s="110"/>
      <c r="U66" s="110"/>
      <c r="AB66" s="1723"/>
      <c r="AC66" s="1723"/>
      <c r="AD66" s="1723"/>
      <c r="AE66" s="1723"/>
      <c r="AF66" s="137"/>
      <c r="AG66" s="137"/>
      <c r="AH66" s="137"/>
      <c r="AI66" s="137"/>
      <c r="AJ66" s="137"/>
      <c r="AK66" s="137"/>
      <c r="AL66" s="137"/>
      <c r="AM66" s="151"/>
      <c r="AN66" s="1726"/>
      <c r="AO66" s="1726"/>
      <c r="AP66" s="149"/>
      <c r="AQ66" s="137"/>
    </row>
    <row r="67" spans="3:43">
      <c r="C67" s="112"/>
      <c r="D67" s="112"/>
      <c r="E67" s="112"/>
      <c r="K67" s="156"/>
      <c r="L67" s="156"/>
      <c r="M67" s="156"/>
      <c r="N67" s="156"/>
      <c r="S67" s="111"/>
      <c r="T67" s="111"/>
      <c r="U67" s="111"/>
      <c r="V67" s="111"/>
      <c r="AB67" s="1723"/>
      <c r="AC67" s="1723"/>
      <c r="AD67" s="1723"/>
      <c r="AE67" s="1723"/>
      <c r="AF67" s="1281"/>
      <c r="AG67" s="1281"/>
      <c r="AH67" s="137"/>
      <c r="AI67" s="137"/>
      <c r="AJ67" s="137"/>
      <c r="AK67" s="137"/>
      <c r="AL67" s="137"/>
      <c r="AM67" s="151"/>
      <c r="AN67" s="152"/>
      <c r="AO67" s="149"/>
      <c r="AP67" s="149"/>
      <c r="AQ67" s="137"/>
    </row>
    <row r="68" spans="3:43" ht="15.6">
      <c r="C68" s="112"/>
      <c r="D68" s="112"/>
      <c r="E68" s="112"/>
      <c r="K68" s="156"/>
      <c r="L68" s="156"/>
      <c r="M68" s="156"/>
      <c r="N68" s="156"/>
      <c r="S68" s="119"/>
      <c r="T68" s="119"/>
      <c r="U68" s="113"/>
      <c r="V68" s="110"/>
      <c r="W68" s="120"/>
      <c r="AB68" s="1723"/>
      <c r="AC68" s="1723"/>
      <c r="AD68" s="1723"/>
      <c r="AE68" s="1723"/>
      <c r="AF68" s="137"/>
      <c r="AG68" s="137"/>
      <c r="AH68" s="137"/>
      <c r="AI68" s="137"/>
      <c r="AJ68" s="137"/>
      <c r="AK68" s="137"/>
      <c r="AL68" s="137"/>
      <c r="AM68" s="1717"/>
      <c r="AN68" s="1717"/>
      <c r="AO68" s="153"/>
      <c r="AP68" s="149"/>
      <c r="AQ68" s="137"/>
    </row>
    <row r="69" spans="3:43">
      <c r="C69" s="112"/>
      <c r="D69" s="112"/>
      <c r="E69" s="112"/>
      <c r="K69" s="1"/>
      <c r="L69" s="1"/>
      <c r="M69" s="1"/>
      <c r="N69" s="1"/>
      <c r="S69" s="112"/>
      <c r="T69" s="112"/>
      <c r="U69" s="112"/>
      <c r="V69" s="112"/>
      <c r="AB69" s="1723"/>
      <c r="AC69" s="1723"/>
      <c r="AD69" s="1723"/>
      <c r="AE69" s="1723"/>
      <c r="AF69" s="137"/>
      <c r="AG69" s="137"/>
      <c r="AH69" s="137"/>
      <c r="AI69" s="137"/>
      <c r="AJ69" s="137"/>
      <c r="AK69" s="137"/>
      <c r="AL69" s="137"/>
      <c r="AM69" s="1724"/>
      <c r="AN69" s="1724"/>
      <c r="AO69" s="154"/>
      <c r="AP69" s="149"/>
      <c r="AQ69" s="137"/>
    </row>
    <row r="70" spans="3:43">
      <c r="C70" s="124"/>
      <c r="D70" s="122"/>
      <c r="K70" s="1"/>
      <c r="L70" s="1"/>
      <c r="M70" s="1"/>
      <c r="N70" s="1"/>
      <c r="S70" s="112"/>
      <c r="T70" s="112"/>
      <c r="U70" s="112"/>
      <c r="V70" s="112"/>
      <c r="AB70" s="1723"/>
      <c r="AC70" s="1723"/>
      <c r="AD70" s="1723"/>
      <c r="AE70" s="1723"/>
      <c r="AF70" s="137"/>
      <c r="AG70" s="137"/>
      <c r="AH70" s="137"/>
      <c r="AI70" s="137"/>
      <c r="AJ70" s="137"/>
      <c r="AK70" s="137"/>
      <c r="AL70" s="137"/>
      <c r="AM70" s="149"/>
      <c r="AN70" s="149"/>
      <c r="AO70" s="149"/>
      <c r="AP70" s="149"/>
      <c r="AQ70" s="137"/>
    </row>
    <row r="71" spans="3:43">
      <c r="K71" s="1"/>
      <c r="L71" s="1"/>
      <c r="M71" s="1"/>
      <c r="N71" s="1"/>
      <c r="S71" s="112"/>
      <c r="T71" s="112"/>
      <c r="U71" s="112"/>
      <c r="V71" s="112"/>
      <c r="AB71" s="1"/>
      <c r="AC71" s="1"/>
      <c r="AD71" s="1"/>
      <c r="AE71" s="1"/>
      <c r="AF71" s="137"/>
      <c r="AG71" s="137"/>
      <c r="AH71" s="137"/>
      <c r="AI71" s="137"/>
      <c r="AJ71" s="137"/>
      <c r="AK71" s="137"/>
      <c r="AL71" s="137"/>
      <c r="AM71" s="137"/>
      <c r="AN71" s="137"/>
      <c r="AO71" s="137"/>
      <c r="AP71" s="137"/>
      <c r="AQ71" s="137"/>
    </row>
    <row r="72" spans="3:43">
      <c r="K72" s="1"/>
      <c r="L72" s="1"/>
      <c r="M72" s="1"/>
      <c r="N72" s="1"/>
      <c r="AF72" s="137"/>
      <c r="AG72" s="137"/>
      <c r="AH72" s="137"/>
      <c r="AI72" s="137"/>
      <c r="AJ72" s="137"/>
      <c r="AK72" s="137"/>
      <c r="AL72" s="137"/>
      <c r="AM72" s="150"/>
      <c r="AN72" s="150"/>
      <c r="AO72" s="149"/>
      <c r="AP72" s="137"/>
      <c r="AQ72" s="137"/>
    </row>
    <row r="73" spans="3:43">
      <c r="AF73" s="137"/>
      <c r="AG73" s="137"/>
      <c r="AH73" s="137"/>
      <c r="AI73" s="137"/>
      <c r="AJ73" s="137"/>
      <c r="AK73" s="137"/>
      <c r="AL73" s="137"/>
      <c r="AM73" s="1717"/>
      <c r="AN73" s="1717"/>
      <c r="AO73" s="1717"/>
      <c r="AP73" s="137"/>
      <c r="AQ73" s="137"/>
    </row>
    <row r="74" spans="3:43">
      <c r="AF74" s="137"/>
      <c r="AG74" s="137"/>
      <c r="AH74" s="137"/>
      <c r="AI74" s="137"/>
      <c r="AJ74" s="137"/>
      <c r="AK74" s="137"/>
      <c r="AL74" s="137"/>
      <c r="AM74" s="1717"/>
      <c r="AN74" s="159"/>
      <c r="AO74" s="159"/>
      <c r="AP74" s="137"/>
      <c r="AQ74" s="137"/>
    </row>
    <row r="75" spans="3:43">
      <c r="AF75" s="137"/>
      <c r="AG75" s="137"/>
      <c r="AH75" s="137"/>
      <c r="AI75" s="137"/>
      <c r="AJ75" s="1727"/>
      <c r="AK75" s="1727"/>
      <c r="AL75" s="1727"/>
      <c r="AM75" s="159"/>
      <c r="AN75" s="160"/>
      <c r="AO75" s="161"/>
      <c r="AP75" s="137"/>
      <c r="AQ75" s="137"/>
    </row>
    <row r="76" spans="3:43">
      <c r="AF76" s="137"/>
      <c r="AG76" s="137"/>
      <c r="AH76" s="137"/>
      <c r="AI76" s="137"/>
      <c r="AJ76" s="1727"/>
      <c r="AK76" s="1727"/>
      <c r="AL76" s="1727"/>
      <c r="AM76" s="159"/>
      <c r="AN76" s="160"/>
      <c r="AO76" s="236"/>
      <c r="AP76" s="137"/>
      <c r="AQ76" s="137"/>
    </row>
    <row r="77" spans="3:43">
      <c r="AF77" s="137"/>
      <c r="AG77" s="137"/>
      <c r="AH77" s="137"/>
      <c r="AI77" s="137"/>
      <c r="AJ77" s="1727"/>
      <c r="AK77" s="1727"/>
      <c r="AL77" s="1727"/>
      <c r="AM77" s="159"/>
      <c r="AN77" s="160"/>
      <c r="AO77" s="236"/>
      <c r="AP77" s="137"/>
      <c r="AQ77" s="137"/>
    </row>
    <row r="78" spans="3:43">
      <c r="AF78" s="135"/>
      <c r="AG78" s="139"/>
      <c r="AH78" s="137"/>
      <c r="AI78" s="137"/>
      <c r="AJ78" s="1727"/>
      <c r="AK78" s="1727"/>
      <c r="AL78" s="1727"/>
      <c r="AM78" s="159"/>
      <c r="AN78" s="160"/>
      <c r="AO78" s="161"/>
      <c r="AP78" s="137"/>
      <c r="AQ78" s="137"/>
    </row>
    <row r="79" spans="3:43">
      <c r="AF79" s="135"/>
      <c r="AG79" s="142"/>
      <c r="AH79" s="142"/>
      <c r="AI79" s="137"/>
      <c r="AJ79" s="1727"/>
      <c r="AK79" s="1727"/>
      <c r="AL79" s="1727"/>
      <c r="AM79" s="159"/>
      <c r="AN79" s="160"/>
      <c r="AO79" s="161"/>
      <c r="AP79" s="137"/>
      <c r="AQ79" s="137"/>
    </row>
    <row r="80" spans="3:43">
      <c r="AF80" s="137"/>
      <c r="AG80" s="137"/>
      <c r="AH80" s="137"/>
      <c r="AI80" s="137"/>
      <c r="AJ80" s="1727"/>
      <c r="AK80" s="1727"/>
      <c r="AL80" s="1727"/>
      <c r="AM80" s="159"/>
      <c r="AN80" s="160"/>
      <c r="AO80" s="161"/>
      <c r="AP80" s="137"/>
      <c r="AQ80" s="137"/>
    </row>
    <row r="81" spans="3:43">
      <c r="AF81" s="137"/>
      <c r="AG81" s="137"/>
      <c r="AH81" s="137"/>
      <c r="AI81" s="137"/>
      <c r="AJ81" s="1727"/>
      <c r="AK81" s="1727"/>
      <c r="AL81" s="1727"/>
      <c r="AM81" s="159"/>
      <c r="AN81" s="160"/>
      <c r="AO81" s="161"/>
      <c r="AP81" s="137"/>
      <c r="AQ81" s="137"/>
    </row>
    <row r="82" spans="3:43">
      <c r="AF82" s="137"/>
      <c r="AG82" s="137"/>
      <c r="AH82" s="137"/>
      <c r="AI82" s="137"/>
      <c r="AJ82" s="1727"/>
      <c r="AK82" s="1727"/>
      <c r="AL82" s="1727"/>
      <c r="AM82" s="159"/>
      <c r="AN82" s="160"/>
      <c r="AO82" s="161"/>
      <c r="AP82" s="137"/>
      <c r="AQ82" s="137"/>
    </row>
    <row r="83" spans="3:43">
      <c r="AF83" s="137"/>
      <c r="AG83" s="137"/>
      <c r="AH83" s="137"/>
      <c r="AI83" s="137"/>
      <c r="AJ83" s="1727"/>
      <c r="AK83" s="1727"/>
      <c r="AL83" s="1727"/>
      <c r="AM83" s="159"/>
      <c r="AN83" s="160"/>
      <c r="AO83" s="161"/>
      <c r="AP83" s="137"/>
      <c r="AQ83" s="137"/>
    </row>
    <row r="84" spans="3:43">
      <c r="AF84" s="137"/>
      <c r="AG84" s="137"/>
      <c r="AH84" s="137"/>
      <c r="AI84" s="137"/>
      <c r="AJ84" s="1727"/>
      <c r="AK84" s="1727"/>
      <c r="AL84" s="1727"/>
      <c r="AM84" s="159"/>
      <c r="AN84" s="160"/>
      <c r="AO84" s="161"/>
      <c r="AP84" s="137"/>
      <c r="AQ84" s="137"/>
    </row>
    <row r="85" spans="3:43">
      <c r="AF85" s="137"/>
      <c r="AG85" s="137"/>
      <c r="AH85" s="137"/>
      <c r="AI85" s="137"/>
      <c r="AJ85" s="137"/>
      <c r="AK85" s="137"/>
      <c r="AL85" s="137"/>
      <c r="AM85" s="137"/>
      <c r="AN85" s="137"/>
      <c r="AO85" s="137"/>
      <c r="AP85" s="137"/>
      <c r="AQ85" s="137"/>
    </row>
    <row r="86" spans="3:43">
      <c r="AF86" s="137"/>
      <c r="AG86" s="137"/>
      <c r="AH86" s="137"/>
      <c r="AI86" s="137"/>
      <c r="AJ86" s="137"/>
      <c r="AK86" s="137"/>
      <c r="AL86" s="137"/>
      <c r="AM86" s="165"/>
      <c r="AN86" s="149"/>
      <c r="AO86" s="149"/>
      <c r="AP86" s="149"/>
      <c r="AQ86" s="137"/>
    </row>
    <row r="87" spans="3:43">
      <c r="AF87" s="226"/>
      <c r="AG87" s="226"/>
      <c r="AH87" s="226"/>
      <c r="AI87" s="137"/>
      <c r="AJ87" s="137"/>
      <c r="AK87" s="137"/>
      <c r="AL87" s="137"/>
      <c r="AM87" s="151"/>
      <c r="AN87" s="158"/>
      <c r="AO87" s="1717"/>
      <c r="AP87" s="1717"/>
      <c r="AQ87" s="137"/>
    </row>
    <row r="88" spans="3:43">
      <c r="AF88" s="226"/>
      <c r="AG88" s="226"/>
      <c r="AH88" s="226"/>
      <c r="AI88" s="137"/>
      <c r="AJ88" s="137"/>
      <c r="AK88" s="137"/>
      <c r="AL88" s="137"/>
      <c r="AM88" s="151"/>
      <c r="AN88" s="166"/>
      <c r="AO88" s="159"/>
      <c r="AP88" s="159"/>
      <c r="AQ88" s="137"/>
    </row>
    <row r="89" spans="3:43">
      <c r="C89" s="1710" t="s">
        <v>671</v>
      </c>
      <c r="D89" s="1711"/>
      <c r="E89" s="1712"/>
      <c r="AF89" s="137"/>
      <c r="AG89" s="137"/>
      <c r="AH89" s="137"/>
      <c r="AI89" s="137"/>
      <c r="AJ89" s="137"/>
      <c r="AK89" s="137"/>
      <c r="AL89" s="137"/>
      <c r="AM89" s="1717"/>
      <c r="AN89" s="1717"/>
      <c r="AO89" s="149"/>
      <c r="AP89" s="149"/>
      <c r="AQ89" s="137"/>
    </row>
    <row r="90" spans="3:43">
      <c r="C90" s="1713" t="s">
        <v>313</v>
      </c>
      <c r="D90" s="392" t="s">
        <v>724</v>
      </c>
      <c r="E90" s="392" t="s">
        <v>725</v>
      </c>
      <c r="AF90" s="137"/>
      <c r="AG90" s="137"/>
      <c r="AH90" s="137"/>
      <c r="AI90" s="137"/>
      <c r="AJ90" s="137"/>
      <c r="AK90" s="137"/>
      <c r="AL90" s="137"/>
      <c r="AM90" s="151"/>
      <c r="AN90" s="167"/>
      <c r="AO90" s="168"/>
      <c r="AP90" s="149"/>
      <c r="AQ90" s="137"/>
    </row>
    <row r="91" spans="3:43">
      <c r="C91" s="1714"/>
      <c r="D91" s="395" t="s">
        <v>711</v>
      </c>
      <c r="E91" s="395" t="s">
        <v>711</v>
      </c>
      <c r="AF91" s="137"/>
      <c r="AG91" s="137"/>
      <c r="AH91" s="139"/>
      <c r="AI91" s="137"/>
      <c r="AJ91" s="137"/>
      <c r="AK91" s="137"/>
      <c r="AL91" s="137"/>
      <c r="AM91" s="137"/>
      <c r="AN91" s="137"/>
      <c r="AO91" s="137"/>
      <c r="AP91" s="137"/>
      <c r="AQ91" s="137"/>
    </row>
    <row r="92" spans="3:43">
      <c r="C92" s="143" t="s">
        <v>726</v>
      </c>
      <c r="D92" s="39" t="e">
        <f>$E$9*(L82-$K$20)</f>
        <v>#N/A</v>
      </c>
      <c r="E92" s="39" t="e">
        <f>$E$9*(L82-$M$20)</f>
        <v>#N/A</v>
      </c>
      <c r="AF92" s="227"/>
      <c r="AG92" s="227"/>
      <c r="AH92" s="227"/>
      <c r="AI92" s="137"/>
      <c r="AJ92" s="137"/>
      <c r="AK92" s="137"/>
      <c r="AL92" s="137"/>
      <c r="AM92" s="137"/>
      <c r="AN92" s="137"/>
      <c r="AO92" s="137"/>
      <c r="AP92" s="137"/>
      <c r="AQ92" s="137"/>
    </row>
    <row r="93" spans="3:43">
      <c r="C93" s="143" t="s">
        <v>727</v>
      </c>
      <c r="D93" s="39" t="e">
        <f>$E$9*(L83-$K$20)</f>
        <v>#N/A</v>
      </c>
      <c r="E93" s="39" t="e">
        <f>$E$9*(L83-$M$20)</f>
        <v>#N/A</v>
      </c>
      <c r="AF93" s="137"/>
      <c r="AG93" s="228"/>
      <c r="AH93" s="137"/>
      <c r="AI93" s="137"/>
      <c r="AJ93" s="137"/>
      <c r="AK93" s="137"/>
      <c r="AL93" s="137"/>
      <c r="AM93" s="150"/>
      <c r="AN93" s="149"/>
      <c r="AO93" s="149"/>
      <c r="AP93" s="137"/>
      <c r="AQ93" s="137"/>
    </row>
    <row r="94" spans="3:43">
      <c r="C94" s="143" t="s">
        <v>728</v>
      </c>
      <c r="D94" s="39" t="e">
        <f>$E$9*(L84-$K$20)</f>
        <v>#N/A</v>
      </c>
      <c r="E94" s="39" t="e">
        <f>$E$9*(L84-$M$20)</f>
        <v>#N/A</v>
      </c>
      <c r="AF94" s="137"/>
      <c r="AG94" s="229"/>
      <c r="AH94" s="230"/>
      <c r="AI94" s="137"/>
      <c r="AJ94" s="137"/>
      <c r="AK94" s="137"/>
      <c r="AL94" s="137"/>
      <c r="AM94" s="1717"/>
      <c r="AN94" s="171"/>
      <c r="AO94" s="172"/>
      <c r="AP94" s="137"/>
      <c r="AQ94" s="137"/>
    </row>
    <row r="95" spans="3:43">
      <c r="C95" s="143" t="s">
        <v>729</v>
      </c>
      <c r="D95" s="39" t="e">
        <f>$E$9*(L85-$K$20)</f>
        <v>#N/A</v>
      </c>
      <c r="E95" s="39" t="e">
        <f>$E$9*(L85-$M$20)</f>
        <v>#N/A</v>
      </c>
      <c r="AF95" s="137"/>
      <c r="AG95" s="229"/>
      <c r="AH95" s="230"/>
      <c r="AI95" s="137"/>
      <c r="AJ95" s="137"/>
      <c r="AK95" s="137"/>
      <c r="AL95" s="137"/>
      <c r="AM95" s="1717"/>
      <c r="AN95" s="1717"/>
      <c r="AO95" s="1717"/>
      <c r="AP95" s="137"/>
      <c r="AQ95" s="137"/>
    </row>
    <row r="96" spans="3:43" ht="18">
      <c r="C96" s="36" t="s">
        <v>730</v>
      </c>
      <c r="D96" s="1696" t="e">
        <f>$M$7-$M$6</f>
        <v>#N/A</v>
      </c>
      <c r="E96" s="1697"/>
      <c r="AF96" s="231"/>
      <c r="AG96" s="231"/>
      <c r="AH96" s="137"/>
      <c r="AI96" s="137"/>
      <c r="AJ96" s="137"/>
      <c r="AK96" s="137"/>
      <c r="AL96" s="137"/>
      <c r="AM96" s="1717"/>
      <c r="AN96" s="1717"/>
      <c r="AO96" s="1717"/>
      <c r="AP96" s="137"/>
      <c r="AQ96" s="137"/>
    </row>
    <row r="97" spans="3:43">
      <c r="C97" s="36" t="s">
        <v>731</v>
      </c>
      <c r="D97" s="1696" t="e">
        <f>$M$10-$M$7</f>
        <v>#N/A</v>
      </c>
      <c r="E97" s="1697"/>
      <c r="AF97" s="136"/>
      <c r="AG97" s="137"/>
      <c r="AH97" s="137"/>
      <c r="AI97" s="137"/>
      <c r="AJ97" s="137"/>
      <c r="AK97" s="137"/>
      <c r="AL97" s="1727"/>
      <c r="AM97" s="159"/>
      <c r="AN97" s="173"/>
      <c r="AO97" s="173"/>
      <c r="AP97" s="137"/>
      <c r="AQ97" s="137"/>
    </row>
    <row r="98" spans="3:43">
      <c r="C98" s="36" t="s">
        <v>732</v>
      </c>
      <c r="D98" s="1696" t="e">
        <f>$M$9-$M$8</f>
        <v>#N/A</v>
      </c>
      <c r="E98" s="1697"/>
      <c r="AF98" s="226"/>
      <c r="AG98" s="226"/>
      <c r="AH98" s="137"/>
      <c r="AI98" s="137"/>
      <c r="AJ98" s="137"/>
      <c r="AK98" s="137"/>
      <c r="AL98" s="1727"/>
      <c r="AM98" s="159"/>
      <c r="AN98" s="173"/>
      <c r="AO98" s="173"/>
      <c r="AP98" s="137"/>
      <c r="AQ98" s="137"/>
    </row>
    <row r="99" spans="3:43" ht="15.6">
      <c r="C99" s="36" t="s">
        <v>733</v>
      </c>
      <c r="D99" s="1696" t="e">
        <f>$M$12-$M$9</f>
        <v>#N/A</v>
      </c>
      <c r="E99" s="1697"/>
      <c r="AF99" s="232"/>
      <c r="AG99" s="136"/>
      <c r="AH99" s="233"/>
      <c r="AI99" s="137"/>
      <c r="AJ99" s="137"/>
      <c r="AK99" s="137"/>
      <c r="AL99" s="1727"/>
      <c r="AM99" s="159"/>
      <c r="AN99" s="173"/>
      <c r="AO99" s="173"/>
      <c r="AP99" s="137"/>
      <c r="AQ99" s="137"/>
    </row>
    <row r="100" spans="3:43">
      <c r="C100" s="143"/>
      <c r="AF100" s="234"/>
      <c r="AG100" s="234"/>
      <c r="AH100" s="137"/>
      <c r="AI100" s="137"/>
      <c r="AJ100" s="137"/>
      <c r="AK100" s="137"/>
      <c r="AL100" s="1727"/>
      <c r="AM100" s="159"/>
      <c r="AN100" s="173"/>
      <c r="AO100" s="173"/>
      <c r="AP100" s="137"/>
      <c r="AQ100" s="137"/>
    </row>
    <row r="101" spans="3:43">
      <c r="C101" s="169"/>
      <c r="AF101" s="234"/>
      <c r="AG101" s="234"/>
      <c r="AH101" s="137"/>
      <c r="AI101" s="137"/>
      <c r="AJ101" s="137"/>
      <c r="AK101" s="137"/>
      <c r="AL101" s="1727"/>
      <c r="AM101" s="159"/>
      <c r="AN101" s="1728"/>
      <c r="AO101" s="1728"/>
      <c r="AP101" s="137"/>
      <c r="AQ101" s="137"/>
    </row>
    <row r="102" spans="3:43">
      <c r="AF102" s="234"/>
      <c r="AG102" s="234"/>
      <c r="AH102" s="137"/>
      <c r="AI102" s="137"/>
      <c r="AJ102" s="137"/>
      <c r="AK102" s="137"/>
      <c r="AL102" s="1727"/>
      <c r="AM102" s="159"/>
      <c r="AN102" s="1728"/>
      <c r="AO102" s="1728"/>
      <c r="AP102" s="137"/>
      <c r="AQ102" s="137"/>
    </row>
    <row r="103" spans="3:43">
      <c r="AF103" s="234"/>
      <c r="AG103" s="234"/>
      <c r="AH103" s="137"/>
      <c r="AI103" s="137"/>
      <c r="AJ103" s="137"/>
      <c r="AK103" s="137"/>
      <c r="AL103" s="1727"/>
      <c r="AM103" s="159"/>
      <c r="AN103" s="1728"/>
      <c r="AO103" s="1728"/>
      <c r="AP103" s="137"/>
      <c r="AQ103" s="137"/>
    </row>
    <row r="104" spans="3:43">
      <c r="AF104" s="234"/>
      <c r="AG104" s="234"/>
      <c r="AH104" s="137"/>
      <c r="AI104" s="137"/>
      <c r="AJ104" s="137"/>
      <c r="AK104" s="137"/>
      <c r="AL104" s="1727"/>
      <c r="AM104" s="159"/>
      <c r="AN104" s="1728"/>
      <c r="AO104" s="1728"/>
      <c r="AP104" s="137"/>
      <c r="AQ104" s="137"/>
    </row>
    <row r="105" spans="3:43">
      <c r="AF105" s="137"/>
      <c r="AG105" s="137"/>
      <c r="AH105" s="137"/>
      <c r="AI105" s="137"/>
      <c r="AJ105" s="137"/>
      <c r="AK105" s="137"/>
      <c r="AL105" s="137"/>
      <c r="AM105" s="137"/>
      <c r="AN105" s="137"/>
      <c r="AO105" s="137"/>
      <c r="AP105" s="137"/>
      <c r="AQ105" s="137"/>
    </row>
    <row r="106" spans="3:43">
      <c r="AF106" s="137"/>
      <c r="AG106" s="137"/>
      <c r="AH106" s="137"/>
      <c r="AI106" s="137"/>
      <c r="AJ106" s="137"/>
      <c r="AK106" s="137"/>
      <c r="AL106" s="137"/>
      <c r="AM106" s="137"/>
      <c r="AN106" s="137"/>
      <c r="AO106" s="137"/>
      <c r="AP106" s="137"/>
      <c r="AQ106" s="137"/>
    </row>
    <row r="107" spans="3:43">
      <c r="AF107" s="137"/>
      <c r="AG107" s="137"/>
      <c r="AH107" s="137"/>
      <c r="AI107" s="137"/>
      <c r="AJ107" s="137"/>
      <c r="AK107" s="137"/>
      <c r="AL107" s="137"/>
      <c r="AM107" s="137"/>
      <c r="AN107" s="137"/>
      <c r="AO107" s="137"/>
      <c r="AP107" s="137"/>
      <c r="AQ107" s="137"/>
    </row>
    <row r="108" spans="3:43">
      <c r="AF108" s="137"/>
      <c r="AG108" s="137"/>
      <c r="AH108" s="137"/>
      <c r="AI108" s="137"/>
      <c r="AJ108" s="137"/>
      <c r="AK108" s="137"/>
      <c r="AL108" s="137"/>
      <c r="AM108" s="137"/>
      <c r="AN108" s="137"/>
      <c r="AO108" s="137"/>
      <c r="AP108" s="137"/>
      <c r="AQ108" s="137"/>
    </row>
  </sheetData>
  <sheetProtection algorithmName="SHA-512" hashValue="wfeEEyjJtvxr8P6kfnht3ph2hw+/Jdv1bLOXThC75c2l50zKQkqZdm9kA9XSW8zumoETYoMjdmpkzP5Hjmuzsg==" saltValue="tUFA10JuwGzDxMuc35JzTw==" spinCount="100000" sheet="1" objects="1" scenarios="1"/>
  <mergeCells count="79">
    <mergeCell ref="D99:E99"/>
    <mergeCell ref="C14:E14"/>
    <mergeCell ref="K3:L3"/>
    <mergeCell ref="C89:E89"/>
    <mergeCell ref="C90:C91"/>
    <mergeCell ref="J19:J22"/>
    <mergeCell ref="K20:L20"/>
    <mergeCell ref="H6:H15"/>
    <mergeCell ref="C26:E26"/>
    <mergeCell ref="K21:M21"/>
    <mergeCell ref="K19:L19"/>
    <mergeCell ref="D96:E96"/>
    <mergeCell ref="D97:E97"/>
    <mergeCell ref="D98:E98"/>
    <mergeCell ref="I6:I9"/>
    <mergeCell ref="J6:J9"/>
    <mergeCell ref="AL101:AL104"/>
    <mergeCell ref="AN101:AO101"/>
    <mergeCell ref="AN102:AO102"/>
    <mergeCell ref="AN103:AO103"/>
    <mergeCell ref="AN104:AO104"/>
    <mergeCell ref="AL97:AL100"/>
    <mergeCell ref="AM73:AM74"/>
    <mergeCell ref="AN73:AO73"/>
    <mergeCell ref="AJ75:AJ84"/>
    <mergeCell ref="AK75:AK78"/>
    <mergeCell ref="AL75:AL78"/>
    <mergeCell ref="AK79:AK84"/>
    <mergeCell ref="AL79:AL84"/>
    <mergeCell ref="AO87:AP87"/>
    <mergeCell ref="AM89:AN89"/>
    <mergeCell ref="AM94:AM96"/>
    <mergeCell ref="AN95:AN96"/>
    <mergeCell ref="AO95:AO96"/>
    <mergeCell ref="AN47:AO47"/>
    <mergeCell ref="AN48:AO48"/>
    <mergeCell ref="AN49:AO49"/>
    <mergeCell ref="AN50:AO50"/>
    <mergeCell ref="AB57:AE70"/>
    <mergeCell ref="AF60:AM60"/>
    <mergeCell ref="AF62:AH62"/>
    <mergeCell ref="AN66:AO66"/>
    <mergeCell ref="AF67:AG67"/>
    <mergeCell ref="AM68:AN68"/>
    <mergeCell ref="AM69:AN69"/>
    <mergeCell ref="AO33:AP33"/>
    <mergeCell ref="AM35:AN35"/>
    <mergeCell ref="AM40:AM42"/>
    <mergeCell ref="AN41:AN42"/>
    <mergeCell ref="AO41:AO42"/>
    <mergeCell ref="AL43:AL46"/>
    <mergeCell ref="AK26:AK30"/>
    <mergeCell ref="AL26:AL30"/>
    <mergeCell ref="K54:N54"/>
    <mergeCell ref="AL47:AL50"/>
    <mergeCell ref="P31:Q31"/>
    <mergeCell ref="P32:Q32"/>
    <mergeCell ref="K29:L29"/>
    <mergeCell ref="AN13:AO13"/>
    <mergeCell ref="P14:S23"/>
    <mergeCell ref="AF14:AG14"/>
    <mergeCell ref="AM15:AN15"/>
    <mergeCell ref="AM16:AN16"/>
    <mergeCell ref="AM20:AM21"/>
    <mergeCell ref="AN20:AO20"/>
    <mergeCell ref="AJ22:AJ30"/>
    <mergeCell ref="AK22:AK25"/>
    <mergeCell ref="AL22:AL25"/>
    <mergeCell ref="I10:I15"/>
    <mergeCell ref="J10:J15"/>
    <mergeCell ref="P35:Q35"/>
    <mergeCell ref="N29:N32"/>
    <mergeCell ref="P29:Q29"/>
    <mergeCell ref="P30:Q30"/>
    <mergeCell ref="P2:S2"/>
    <mergeCell ref="K4:K5"/>
    <mergeCell ref="P4:S13"/>
    <mergeCell ref="AF7:AM7"/>
    <mergeCell ref="AF9:AH9"/>
  </mergeCells>
  <conditionalFormatting sqref="C66">
    <cfRule type="expression" dxfId="152" priority="3">
      <formula>$D$65&gt;12.1</formula>
    </cfRule>
  </conditionalFormatting>
  <conditionalFormatting sqref="S69:T69">
    <cfRule type="expression" dxfId="151" priority="2">
      <formula>$D$65&gt;12.1</formula>
    </cfRule>
  </conditionalFormatting>
  <conditionalFormatting sqref="S46:T51 C42">
    <cfRule type="expression" dxfId="150" priority="4">
      <formula>#REF!&gt;12.1</formula>
    </cfRule>
  </conditionalFormatting>
  <conditionalFormatting sqref="F4">
    <cfRule type="containsText" dxfId="149" priority="1" operator="containsText" text="Obligatoire">
      <formula>NOT(ISERROR(SEARCH("Obligatoire",F4)))</formula>
    </cfRule>
  </conditionalFormatting>
  <dataValidations disablePrompts="1" count="4">
    <dataValidation type="list" allowBlank="1" showInputMessage="1" showErrorMessage="1" sqref="D59:F59 AF92 U62:W62 AF38" xr:uid="{041C1ABD-5C2F-4733-8EFB-A8DB97580421}">
      <formula1>INDIRECT(#REF!)</formula1>
    </dataValidation>
    <dataValidation operator="lessThanOrEqual" allowBlank="1" showErrorMessage="1" error="Attention, grande portée!!!_x000a_SVP verifiez conjointement_x000a_la deflection L/180" sqref="D65 U68" xr:uid="{0E55DCB0-09B7-4131-B08E-B58DA5D6EE6F}"/>
    <dataValidation type="custom" errorStyle="warning" allowBlank="1" showInputMessage="1" showErrorMessage="1" sqref="F65 AH99 W68 AH45" xr:uid="{155B8867-4124-40E7-AE23-6670FA0D41F9}">
      <formula1>"SI(E37&gt;10)"</formula1>
    </dataValidation>
    <dataValidation type="whole" operator="lessThanOrEqual" allowBlank="1" showErrorMessage="1" error="Attention, grande portée!!!_x000a_SVP verifiez conjointement_x000a_la deflection L/180" sqref="AF99 AF45" xr:uid="{C2324ABF-14CC-4A0A-B6EA-035440238660}">
      <formula1>14</formula1>
    </dataValidation>
  </dataValidations>
  <hyperlinks>
    <hyperlink ref="D2" r:id="rId1" display="https://hazards.atcouncil.org/" xr:uid="{3D164CC5-4405-46F0-AE5F-37D05588ED38}"/>
    <hyperlink ref="K34" r:id="rId2" xr:uid="{75B3A1A6-DA3A-4035-892E-2959DFED1676}"/>
    <hyperlink ref="K35" r:id="rId3" xr:uid="{FA646A97-9F24-4FDD-A208-0C5779CB26F8}"/>
    <hyperlink ref="K36" r:id="rId4" xr:uid="{B46EA704-888F-4A9D-8C10-AA46DC936F27}"/>
    <hyperlink ref="K37" r:id="rId5" xr:uid="{B650CA60-5CC0-49A5-8DB0-AE90875F8EB0}"/>
    <hyperlink ref="D3" r:id="rId6" xr:uid="{45C0C9AB-D099-4C37-A6E5-FD720DD8F759}"/>
  </hyperlinks>
  <printOptions horizontalCentered="1" verticalCentered="1"/>
  <pageMargins left="0.70866141732283472" right="0.70866141732283472" top="0.74803149606299213" bottom="0.74803149606299213" header="0.31496062992125984" footer="0.31496062992125984"/>
  <pageSetup scale="72" orientation="portrait" r:id="rId7"/>
  <colBreaks count="1" manualBreakCount="1">
    <brk id="14" max="1048575"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22D1-5B91-49E0-8A44-DAC7CE1F7F75}">
  <sheetPr published="0" codeName="Feuil7"/>
  <dimension ref="A2:W123"/>
  <sheetViews>
    <sheetView workbookViewId="0">
      <selection activeCell="C33" sqref="C33"/>
    </sheetView>
  </sheetViews>
  <sheetFormatPr defaultColWidth="11.42578125" defaultRowHeight="14.45"/>
  <cols>
    <col min="2" max="2" width="19.85546875" customWidth="1"/>
    <col min="3" max="3" width="19.140625" customWidth="1"/>
    <col min="4" max="4" width="16" customWidth="1"/>
    <col min="5" max="5" width="18.140625" customWidth="1"/>
    <col min="6" max="6" width="24.28515625" customWidth="1"/>
    <col min="11" max="11" width="17.42578125" customWidth="1"/>
    <col min="13" max="13" width="32.7109375" customWidth="1"/>
    <col min="14" max="14" width="15.28515625" customWidth="1"/>
  </cols>
  <sheetData>
    <row r="2" spans="1:23" ht="15.6">
      <c r="B2" s="323" t="s">
        <v>734</v>
      </c>
      <c r="C2" s="324"/>
      <c r="D2" s="324"/>
      <c r="E2" s="324"/>
      <c r="F2" s="324"/>
      <c r="G2" s="325"/>
    </row>
    <row r="3" spans="1:23">
      <c r="B3" s="1780"/>
      <c r="C3" s="1780"/>
      <c r="D3" s="1780"/>
      <c r="E3" s="1780"/>
      <c r="F3" s="1780"/>
      <c r="G3" s="126"/>
    </row>
    <row r="4" spans="1:23">
      <c r="B4" s="1753" t="s">
        <v>48</v>
      </c>
      <c r="C4" s="1753"/>
      <c r="G4" s="126"/>
      <c r="J4" s="1753" t="s">
        <v>54</v>
      </c>
      <c r="K4" s="1753"/>
      <c r="O4" s="126"/>
    </row>
    <row r="5" spans="1:23" ht="15" thickBot="1">
      <c r="G5" s="306"/>
      <c r="O5" s="306"/>
    </row>
    <row r="6" spans="1:23">
      <c r="A6" s="1774"/>
      <c r="B6" s="1736" t="s">
        <v>735</v>
      </c>
      <c r="C6" s="1737"/>
      <c r="D6" s="1737"/>
      <c r="E6" s="1737"/>
      <c r="F6" s="1740" t="str">
        <f>'Saisie de données'!C60</f>
        <v>Norex</v>
      </c>
      <c r="G6" s="1779">
        <f>VLOOKUP(F6,A98:B100,2,FALSE)</f>
        <v>1</v>
      </c>
      <c r="H6" s="304"/>
      <c r="I6" s="304"/>
      <c r="J6" s="1736" t="s">
        <v>735</v>
      </c>
      <c r="K6" s="1737"/>
      <c r="L6" s="1737"/>
      <c r="M6" s="1737"/>
      <c r="N6" s="1740" t="str">
        <f>'Saisie de données'!C61</f>
        <v>Norex</v>
      </c>
      <c r="O6" s="1732">
        <f>VLOOKUP(N6,A98:B100,2,FALSE)</f>
        <v>1</v>
      </c>
      <c r="S6" t="s">
        <v>736</v>
      </c>
    </row>
    <row r="7" spans="1:23">
      <c r="A7" s="1774"/>
      <c r="B7" s="1738"/>
      <c r="C7" s="1739"/>
      <c r="D7" s="1739"/>
      <c r="E7" s="1739"/>
      <c r="F7" s="1741"/>
      <c r="G7" s="1779"/>
      <c r="H7" s="304"/>
      <c r="I7" s="304"/>
      <c r="J7" s="1738"/>
      <c r="K7" s="1739"/>
      <c r="L7" s="1739"/>
      <c r="M7" s="1739"/>
      <c r="N7" s="1741"/>
      <c r="O7" s="1732"/>
      <c r="T7" t="s">
        <v>737</v>
      </c>
      <c r="U7" t="s">
        <v>738</v>
      </c>
      <c r="V7" t="s">
        <v>739</v>
      </c>
      <c r="W7" t="s">
        <v>740</v>
      </c>
    </row>
    <row r="8" spans="1:23">
      <c r="A8" s="1774"/>
      <c r="B8" s="1738" t="s">
        <v>741</v>
      </c>
      <c r="C8" s="1739"/>
      <c r="D8" s="1739"/>
      <c r="E8" s="1739"/>
      <c r="F8" s="1742" cm="1">
        <f t="array" ref="F8">_xlfn.IFS('Saisie de données'!H60='Menu déroulant'!AC29,A113,'Saisie de données'!H60='Menu déroulant'!AC31,A116,'Saisie de données'!H60='Menu déroulant'!AC30,A114)</f>
        <v>1.95E-2</v>
      </c>
      <c r="G8" s="1779">
        <f>VLOOKUP(F8,A113:B116,2,FALSE)</f>
        <v>1</v>
      </c>
      <c r="H8" s="304"/>
      <c r="I8" s="304"/>
      <c r="J8" s="1738" t="s">
        <v>741</v>
      </c>
      <c r="K8" s="1739"/>
      <c r="L8" s="1739"/>
      <c r="M8" s="1739"/>
      <c r="N8" s="1742" cm="1">
        <f t="array" ref="N8">_xlfn.IFS('Saisie de données'!H61='Menu déroulant'!AC29,A113,'Saisie de données'!H61='Menu déroulant'!AC31,A116,'Saisie de données'!H61='Menu déroulant'!AC30,A114)</f>
        <v>1.95E-2</v>
      </c>
      <c r="O8" s="1732">
        <f>VLOOKUP(N8,A113:B116,2,FALSE)</f>
        <v>1</v>
      </c>
      <c r="S8" t="s">
        <v>742</v>
      </c>
      <c r="T8" s="129">
        <v>0</v>
      </c>
      <c r="U8" s="129">
        <v>0</v>
      </c>
      <c r="V8">
        <v>0</v>
      </c>
      <c r="W8">
        <v>0</v>
      </c>
    </row>
    <row r="9" spans="1:23">
      <c r="A9" s="1774"/>
      <c r="B9" s="1738"/>
      <c r="C9" s="1739"/>
      <c r="D9" s="1739"/>
      <c r="E9" s="1739"/>
      <c r="F9" s="1742"/>
      <c r="G9" s="1779"/>
      <c r="H9" s="377">
        <f>(39*POWER((1.58+F8+G12),3)/12)</f>
        <v>13.299523899593753</v>
      </c>
      <c r="I9" s="328" t="s">
        <v>743</v>
      </c>
      <c r="J9" s="1738"/>
      <c r="K9" s="1739"/>
      <c r="L9" s="1739"/>
      <c r="M9" s="1739"/>
      <c r="N9" s="1742"/>
      <c r="O9" s="1732"/>
      <c r="P9" s="42">
        <f>(39*POWER((1.58+N8+O12),3)/12)</f>
        <v>13.299523899593753</v>
      </c>
      <c r="S9" t="s">
        <v>744</v>
      </c>
      <c r="T9">
        <v>28</v>
      </c>
      <c r="U9">
        <v>28</v>
      </c>
      <c r="V9">
        <v>0</v>
      </c>
      <c r="W9">
        <v>0</v>
      </c>
    </row>
    <row r="10" spans="1:23">
      <c r="A10" s="1774"/>
      <c r="B10" s="1743" t="s">
        <v>745</v>
      </c>
      <c r="C10" s="1745" t="str">
        <f>'Saisie de données'!J60</f>
        <v>Couleur inconnue (STD.)</v>
      </c>
      <c r="D10" s="1747" t="s">
        <v>746</v>
      </c>
      <c r="E10" s="1748"/>
      <c r="F10" s="1751">
        <f>VLOOKUP(C10,'Infos Techniques'!U15:V43,2,0)</f>
        <v>0.05</v>
      </c>
      <c r="G10" s="1754">
        <f>VLOOKUP(C10,'Infos Techniques'!U15:AC43,9,0)</f>
        <v>29155.253179262334</v>
      </c>
      <c r="H10" s="378">
        <f>POWER(H9,2)</f>
        <v>176.87733595586542</v>
      </c>
      <c r="I10" s="328" t="s">
        <v>747</v>
      </c>
      <c r="J10" s="1743" t="s">
        <v>745</v>
      </c>
      <c r="K10" s="1745" t="str">
        <f>'Saisie de données'!J61</f>
        <v>Couleur inconnue (STD.)</v>
      </c>
      <c r="L10" s="1747" t="s">
        <v>746</v>
      </c>
      <c r="M10" s="1748"/>
      <c r="N10" s="1751">
        <f>VLOOKUP(K10,'Infos Techniques'!U15:V43,2,0)</f>
        <v>0.05</v>
      </c>
      <c r="O10" s="1752">
        <f>VLOOKUP(K10,'Infos Techniques'!U15:AC43,9,0)</f>
        <v>29155.253179262334</v>
      </c>
      <c r="P10" s="369">
        <f>POWER(P9,2)</f>
        <v>176.87733595586542</v>
      </c>
    </row>
    <row r="11" spans="1:23">
      <c r="A11" s="1774"/>
      <c r="B11" s="1744"/>
      <c r="C11" s="1746"/>
      <c r="D11" s="1749"/>
      <c r="E11" s="1750"/>
      <c r="F11" s="1751"/>
      <c r="G11" s="1754"/>
      <c r="H11" s="376"/>
      <c r="I11" s="304"/>
      <c r="J11" s="1744"/>
      <c r="K11" s="1746"/>
      <c r="L11" s="1749"/>
      <c r="M11" s="1750"/>
      <c r="N11" s="1751"/>
      <c r="O11" s="1752"/>
      <c r="S11" t="s">
        <v>748</v>
      </c>
    </row>
    <row r="12" spans="1:23">
      <c r="A12" s="1774"/>
      <c r="B12" s="1755" t="s">
        <v>749</v>
      </c>
      <c r="C12" s="1756"/>
      <c r="D12" s="1756"/>
      <c r="E12" s="1757"/>
      <c r="F12" s="370">
        <f>(SQRT((4*9.87*500000*G8*H10)/(1.25*G6*(G10))))</f>
        <v>309.52537137541071</v>
      </c>
      <c r="G12" s="1779">
        <v>0</v>
      </c>
      <c r="H12" s="304"/>
      <c r="I12" s="304"/>
      <c r="J12" s="1755" t="s">
        <v>749</v>
      </c>
      <c r="K12" s="1756"/>
      <c r="L12" s="1756"/>
      <c r="M12" s="1757"/>
      <c r="N12" s="370">
        <f>SQRT((4*9.87*500000*O8*P10)/(1.25*O6*O10))</f>
        <v>309.52537137541071</v>
      </c>
      <c r="O12" s="1732">
        <v>0</v>
      </c>
      <c r="T12" t="s">
        <v>737</v>
      </c>
      <c r="U12" t="s">
        <v>738</v>
      </c>
      <c r="V12" t="s">
        <v>739</v>
      </c>
      <c r="W12" t="s">
        <v>740</v>
      </c>
    </row>
    <row r="13" spans="1:23" ht="15" thickBot="1">
      <c r="A13" s="1774"/>
      <c r="B13" s="1733" t="s">
        <v>750</v>
      </c>
      <c r="C13" s="1734"/>
      <c r="D13" s="1734"/>
      <c r="E13" s="1735"/>
      <c r="F13" s="371">
        <f>SQRT((4*9.87*500000*G8*H10)/(G6*G10))</f>
        <v>346.05988557814294</v>
      </c>
      <c r="G13" s="1779"/>
      <c r="H13" s="304"/>
      <c r="I13" s="304"/>
      <c r="J13" s="1733" t="s">
        <v>750</v>
      </c>
      <c r="K13" s="1734"/>
      <c r="L13" s="1734"/>
      <c r="M13" s="1735"/>
      <c r="N13" s="371">
        <f>SQRT((4*9.87*500000*O8*P10)/(O6*O10))</f>
        <v>346.05988557814294</v>
      </c>
      <c r="O13" s="1732"/>
      <c r="S13" t="s">
        <v>742</v>
      </c>
      <c r="T13" s="129">
        <v>30</v>
      </c>
      <c r="U13" s="129">
        <v>30</v>
      </c>
      <c r="V13">
        <v>29</v>
      </c>
      <c r="W13">
        <v>0</v>
      </c>
    </row>
    <row r="14" spans="1:23">
      <c r="A14" s="1397"/>
      <c r="B14" s="322"/>
      <c r="F14">
        <f>F13/12</f>
        <v>28.838323798178578</v>
      </c>
      <c r="S14" t="s">
        <v>744</v>
      </c>
      <c r="T14">
        <v>40</v>
      </c>
      <c r="U14">
        <v>40</v>
      </c>
      <c r="V14">
        <v>38</v>
      </c>
      <c r="W14" t="s">
        <v>751</v>
      </c>
    </row>
    <row r="15" spans="1:23">
      <c r="A15" s="1397"/>
    </row>
    <row r="16" spans="1:23">
      <c r="A16" s="1397"/>
      <c r="B16" s="1753" t="s">
        <v>55</v>
      </c>
      <c r="C16" s="1753"/>
      <c r="G16" s="126"/>
      <c r="J16" s="1753"/>
      <c r="K16" s="1753"/>
      <c r="O16" s="126"/>
      <c r="S16" s="304" t="s">
        <v>752</v>
      </c>
      <c r="T16" s="304"/>
      <c r="U16" s="304"/>
      <c r="V16" s="304"/>
      <c r="W16" s="304"/>
    </row>
    <row r="17" spans="1:23" ht="15" thickBot="1">
      <c r="A17" s="1397"/>
      <c r="G17" s="306"/>
      <c r="O17" s="306"/>
      <c r="S17" s="304"/>
      <c r="T17" s="304" t="s">
        <v>737</v>
      </c>
      <c r="U17" s="304" t="s">
        <v>738</v>
      </c>
      <c r="V17" s="304" t="s">
        <v>739</v>
      </c>
      <c r="W17" s="304" t="s">
        <v>740</v>
      </c>
    </row>
    <row r="18" spans="1:23">
      <c r="B18" s="1736" t="s">
        <v>735</v>
      </c>
      <c r="C18" s="1737"/>
      <c r="D18" s="1737"/>
      <c r="E18" s="1737"/>
      <c r="F18" s="1740" t="str">
        <f>'Saisie de données'!C62</f>
        <v>Noroc</v>
      </c>
      <c r="G18" s="1773">
        <f>VLOOKUP(F18,A98:B100,2,FALSE)</f>
        <v>0.85</v>
      </c>
      <c r="J18" s="1736"/>
      <c r="K18" s="1737"/>
      <c r="L18" s="1737"/>
      <c r="M18" s="1737"/>
      <c r="N18" s="1740"/>
      <c r="O18" s="1732"/>
      <c r="S18" s="304" t="s">
        <v>742</v>
      </c>
      <c r="T18" s="328">
        <v>30</v>
      </c>
      <c r="U18" s="328">
        <v>30</v>
      </c>
      <c r="V18" s="328">
        <v>29</v>
      </c>
      <c r="W18" s="304">
        <v>0</v>
      </c>
    </row>
    <row r="19" spans="1:23">
      <c r="B19" s="1738"/>
      <c r="C19" s="1739"/>
      <c r="D19" s="1739"/>
      <c r="E19" s="1739"/>
      <c r="F19" s="1741"/>
      <c r="G19" s="1773"/>
      <c r="J19" s="1738"/>
      <c r="K19" s="1739"/>
      <c r="L19" s="1739"/>
      <c r="M19" s="1739"/>
      <c r="N19" s="1741"/>
      <c r="O19" s="1732"/>
      <c r="S19" s="304" t="s">
        <v>744</v>
      </c>
      <c r="T19" s="328">
        <v>40</v>
      </c>
      <c r="U19" s="328">
        <v>40</v>
      </c>
      <c r="V19" s="328">
        <v>38</v>
      </c>
      <c r="W19" s="304" t="s">
        <v>751</v>
      </c>
    </row>
    <row r="20" spans="1:23">
      <c r="B20" s="1738" t="s">
        <v>741</v>
      </c>
      <c r="C20" s="1739"/>
      <c r="D20" s="1739"/>
      <c r="E20" s="1739"/>
      <c r="F20" s="1742" cm="1">
        <f t="array" ref="F20">_xlfn.IFS('Saisie de données'!H62='Menu déroulant'!AC29,A113,'Saisie de données'!H62='Menu déroulant'!AC31,A116,'Saisie de données'!H62='Menu déroulant'!AC30,A114)</f>
        <v>1.95E-2</v>
      </c>
      <c r="G20" s="1732">
        <f>VLOOKUP(F20,A113:B116,2,FALSE)</f>
        <v>1</v>
      </c>
      <c r="J20" s="1738"/>
      <c r="K20" s="1739"/>
      <c r="L20" s="1739"/>
      <c r="M20" s="1739"/>
      <c r="N20" s="1742"/>
      <c r="O20" s="1732"/>
    </row>
    <row r="21" spans="1:23">
      <c r="B21" s="1738"/>
      <c r="C21" s="1739"/>
      <c r="D21" s="1739"/>
      <c r="E21" s="1739"/>
      <c r="F21" s="1742"/>
      <c r="G21" s="1732"/>
      <c r="H21" s="42">
        <f>(39*POWER((1.58+F20+G24),3)/12)</f>
        <v>13.299523899593753</v>
      </c>
      <c r="J21" s="1738"/>
      <c r="K21" s="1739"/>
      <c r="L21" s="1739"/>
      <c r="M21" s="1739"/>
      <c r="N21" s="1742"/>
      <c r="O21" s="1732"/>
      <c r="P21" s="42"/>
    </row>
    <row r="22" spans="1:23">
      <c r="B22" s="1743" t="s">
        <v>745</v>
      </c>
      <c r="C22" s="1745" t="str">
        <f>'Saisie de données'!J62</f>
        <v>Electric Yellow</v>
      </c>
      <c r="D22" s="1747" t="s">
        <v>746</v>
      </c>
      <c r="E22" s="1748"/>
      <c r="F22" s="1751">
        <f>VLOOKUP(C22,'Infos Techniques'!U15:V43,2,0)</f>
        <v>0.56999999999999995</v>
      </c>
      <c r="G22" s="1752">
        <f>VLOOKUP(C22,'Infos Techniques'!U15:AC43,9,0)</f>
        <v>12150.319564265072</v>
      </c>
      <c r="H22" s="369">
        <f>POWER(H21,2)</f>
        <v>176.87733595586542</v>
      </c>
      <c r="J22" s="1743"/>
      <c r="K22" s="1745"/>
      <c r="L22" s="1747"/>
      <c r="M22" s="1748"/>
      <c r="N22" s="1751"/>
      <c r="O22" s="1752"/>
      <c r="P22" s="369"/>
      <c r="S22" t="s">
        <v>753</v>
      </c>
    </row>
    <row r="23" spans="1:23">
      <c r="B23" s="1744"/>
      <c r="C23" s="1746"/>
      <c r="D23" s="1749"/>
      <c r="E23" s="1750"/>
      <c r="F23" s="1751"/>
      <c r="G23" s="1752"/>
      <c r="H23" s="120"/>
      <c r="J23" s="1744"/>
      <c r="K23" s="1746"/>
      <c r="L23" s="1749"/>
      <c r="M23" s="1750"/>
      <c r="N23" s="1751"/>
      <c r="O23" s="1752"/>
      <c r="T23" t="s">
        <v>737</v>
      </c>
      <c r="U23" t="s">
        <v>738</v>
      </c>
      <c r="V23" t="s">
        <v>739</v>
      </c>
      <c r="W23" t="s">
        <v>740</v>
      </c>
    </row>
    <row r="24" spans="1:23">
      <c r="A24" s="126"/>
      <c r="B24" s="1755" t="s">
        <v>749</v>
      </c>
      <c r="C24" s="1756"/>
      <c r="D24" s="1756"/>
      <c r="E24" s="1757"/>
      <c r="F24" s="370">
        <f>(SQRT((4*9.87*500000*G20*H22)/(1.25*G18*(G22))))</f>
        <v>520.05748192850126</v>
      </c>
      <c r="G24" s="1732">
        <v>0</v>
      </c>
      <c r="J24" s="1755"/>
      <c r="K24" s="1756"/>
      <c r="L24" s="1756"/>
      <c r="M24" s="1757"/>
      <c r="N24" s="370"/>
      <c r="O24" s="1732"/>
      <c r="S24" t="s">
        <v>742</v>
      </c>
      <c r="T24" s="129" t="s">
        <v>754</v>
      </c>
      <c r="U24" s="129" t="s">
        <v>754</v>
      </c>
      <c r="V24" t="s">
        <v>755</v>
      </c>
      <c r="W24">
        <v>0</v>
      </c>
    </row>
    <row r="25" spans="1:23">
      <c r="A25" s="126"/>
      <c r="B25" s="1733" t="s">
        <v>750</v>
      </c>
      <c r="C25" s="1734"/>
      <c r="D25" s="1734"/>
      <c r="E25" s="1735"/>
      <c r="F25" s="371">
        <f>SQRT((4*9.87*500000*G20*H22)/(G18*G22))</f>
        <v>581.44194089974872</v>
      </c>
      <c r="G25" s="1732"/>
      <c r="J25" s="1733"/>
      <c r="K25" s="1734"/>
      <c r="L25" s="1734"/>
      <c r="M25" s="1735"/>
      <c r="N25" s="371"/>
      <c r="O25" s="1732"/>
      <c r="S25" t="s">
        <v>744</v>
      </c>
      <c r="T25" s="129" t="s">
        <v>754</v>
      </c>
      <c r="U25" s="129" t="s">
        <v>754</v>
      </c>
      <c r="V25" s="129" t="s">
        <v>754</v>
      </c>
      <c r="W25" t="s">
        <v>756</v>
      </c>
    </row>
    <row r="26" spans="1:23" ht="14.45" customHeight="1">
      <c r="A26" s="126"/>
      <c r="B26" s="126"/>
      <c r="C26" s="126"/>
      <c r="D26" s="126"/>
      <c r="E26" s="126"/>
      <c r="F26" s="126"/>
    </row>
    <row r="27" spans="1:23" ht="14.45" customHeight="1">
      <c r="A27" s="126"/>
      <c r="B27" s="126"/>
      <c r="C27" s="126"/>
      <c r="D27" s="126"/>
      <c r="E27" s="126"/>
      <c r="F27" s="126"/>
    </row>
    <row r="28" spans="1:23" ht="14.45" customHeight="1">
      <c r="A28" s="126"/>
      <c r="B28" s="126"/>
      <c r="C28" s="309"/>
      <c r="D28" s="126"/>
      <c r="E28" s="126"/>
      <c r="F28" s="126"/>
      <c r="T28" t="s">
        <v>757</v>
      </c>
    </row>
    <row r="29" spans="1:23" ht="14.45" customHeight="1">
      <c r="A29" s="126"/>
      <c r="B29" s="126"/>
      <c r="C29" s="126"/>
      <c r="D29" s="126"/>
      <c r="E29" s="126"/>
      <c r="F29" s="126"/>
      <c r="T29" t="s">
        <v>758</v>
      </c>
    </row>
    <row r="30" spans="1:23">
      <c r="A30" s="126"/>
      <c r="T30" t="s">
        <v>759</v>
      </c>
    </row>
    <row r="31" spans="1:23">
      <c r="A31" s="126"/>
    </row>
    <row r="32" spans="1:23">
      <c r="A32" s="126"/>
      <c r="T32" t="s">
        <v>760</v>
      </c>
    </row>
    <row r="33" spans="1:20">
      <c r="A33" s="126"/>
      <c r="T33" t="s">
        <v>761</v>
      </c>
    </row>
    <row r="34" spans="1:20">
      <c r="A34" s="126"/>
      <c r="T34" t="s">
        <v>762</v>
      </c>
    </row>
    <row r="35" spans="1:20">
      <c r="A35" s="126"/>
      <c r="T35" t="s">
        <v>763</v>
      </c>
    </row>
    <row r="36" spans="1:20">
      <c r="A36" s="126"/>
      <c r="T36" t="s">
        <v>764</v>
      </c>
    </row>
    <row r="37" spans="1:20">
      <c r="A37" s="126"/>
      <c r="T37" t="s">
        <v>765</v>
      </c>
    </row>
    <row r="38" spans="1:20">
      <c r="A38" s="126"/>
      <c r="F38" s="126"/>
    </row>
    <row r="39" spans="1:20">
      <c r="A39" s="126"/>
      <c r="B39" s="126"/>
      <c r="C39" s="126"/>
      <c r="D39" s="126"/>
      <c r="E39" s="126"/>
      <c r="F39" s="126"/>
      <c r="T39" t="s">
        <v>766</v>
      </c>
    </row>
    <row r="40" spans="1:20">
      <c r="A40" s="126"/>
      <c r="B40" s="126"/>
      <c r="C40" s="126"/>
      <c r="D40" s="126"/>
      <c r="E40" s="126"/>
      <c r="F40" s="126"/>
    </row>
    <row r="41" spans="1:20">
      <c r="A41" s="126"/>
      <c r="B41" s="126"/>
      <c r="C41" s="126"/>
      <c r="D41" s="126"/>
      <c r="E41" s="126"/>
      <c r="F41" s="126"/>
      <c r="T41" t="s">
        <v>767</v>
      </c>
    </row>
    <row r="42" spans="1:20">
      <c r="A42" s="126"/>
      <c r="B42" s="126"/>
      <c r="C42" s="126"/>
      <c r="D42" s="126"/>
      <c r="E42" s="126"/>
      <c r="F42" s="126"/>
    </row>
    <row r="43" spans="1:20">
      <c r="A43" s="126"/>
      <c r="B43" s="126"/>
      <c r="C43" s="126"/>
      <c r="D43" s="126"/>
      <c r="E43" s="126"/>
      <c r="F43" s="126"/>
      <c r="T43" t="s">
        <v>768</v>
      </c>
    </row>
    <row r="44" spans="1:20">
      <c r="A44" s="126"/>
      <c r="B44" s="126"/>
      <c r="C44" s="126"/>
      <c r="D44" s="126"/>
      <c r="E44" s="126"/>
      <c r="F44" s="126"/>
      <c r="T44" t="s">
        <v>769</v>
      </c>
    </row>
    <row r="45" spans="1:20">
      <c r="A45" s="126"/>
      <c r="B45" s="126"/>
      <c r="C45" s="126"/>
      <c r="D45" s="126"/>
      <c r="E45" s="126"/>
      <c r="F45" s="126"/>
    </row>
    <row r="46" spans="1:20">
      <c r="A46" s="126"/>
      <c r="B46" s="126"/>
      <c r="C46" s="126"/>
      <c r="D46" s="126"/>
      <c r="E46" s="126"/>
      <c r="F46" s="126"/>
    </row>
    <row r="47" spans="1:20">
      <c r="A47" s="126"/>
      <c r="B47" s="126"/>
      <c r="C47" s="126"/>
      <c r="D47" s="126"/>
      <c r="E47" s="126"/>
      <c r="F47" s="126"/>
    </row>
    <row r="48" spans="1:20">
      <c r="A48" s="126"/>
      <c r="B48" s="126"/>
      <c r="C48" s="126"/>
      <c r="D48" s="126"/>
      <c r="E48" s="126"/>
      <c r="F48" s="126"/>
    </row>
    <row r="49" spans="1:6">
      <c r="A49" s="126"/>
      <c r="B49" s="126"/>
      <c r="C49" s="126"/>
      <c r="D49" s="126"/>
      <c r="E49" s="126"/>
      <c r="F49" s="126"/>
    </row>
    <row r="50" spans="1:6">
      <c r="A50" s="126"/>
      <c r="B50" s="126"/>
      <c r="C50" s="126"/>
      <c r="D50" s="126"/>
      <c r="E50" s="126"/>
      <c r="F50" s="126"/>
    </row>
    <row r="51" spans="1:6">
      <c r="A51" s="126"/>
      <c r="B51" s="126"/>
      <c r="C51" s="126"/>
      <c r="D51" s="126"/>
      <c r="E51" s="126"/>
      <c r="F51" s="126"/>
    </row>
    <row r="52" spans="1:6">
      <c r="A52" s="126"/>
      <c r="B52" s="126"/>
      <c r="C52" s="126"/>
      <c r="D52" s="126"/>
      <c r="E52" s="126"/>
      <c r="F52" s="126"/>
    </row>
    <row r="53" spans="1:6">
      <c r="A53" s="126"/>
      <c r="B53" s="126"/>
      <c r="C53" s="126"/>
      <c r="D53" s="126"/>
      <c r="E53" s="126"/>
      <c r="F53" s="126"/>
    </row>
    <row r="67" spans="2:7" ht="24" customHeight="1"/>
    <row r="68" spans="2:7" ht="24" customHeight="1">
      <c r="B68" s="1775"/>
      <c r="C68" s="1776"/>
      <c r="D68" s="1776"/>
      <c r="E68" s="1776"/>
      <c r="F68" s="1778"/>
    </row>
    <row r="69" spans="2:7" ht="24" customHeight="1">
      <c r="B69" s="1775"/>
      <c r="C69" s="1776"/>
      <c r="D69" s="1776"/>
      <c r="E69" s="1776"/>
      <c r="F69" s="1778"/>
    </row>
    <row r="70" spans="2:7" ht="24" customHeight="1">
      <c r="B70" s="1775"/>
      <c r="C70" s="1776"/>
      <c r="D70" s="1776"/>
      <c r="E70" s="1776"/>
      <c r="F70" s="1777"/>
      <c r="G70" s="1732"/>
    </row>
    <row r="71" spans="2:7" ht="24" customHeight="1">
      <c r="B71" s="1775"/>
      <c r="C71" s="1776"/>
      <c r="D71" s="1776"/>
      <c r="E71" s="1776"/>
      <c r="F71" s="1777"/>
      <c r="G71" s="1732"/>
    </row>
    <row r="72" spans="2:7" ht="24" customHeight="1"/>
    <row r="73" spans="2:7" ht="24" customHeight="1"/>
    <row r="74" spans="2:7" ht="24" customHeight="1">
      <c r="B74" s="1768"/>
      <c r="C74" s="1769"/>
      <c r="D74" s="1769"/>
      <c r="E74" s="1769"/>
      <c r="F74" s="1770"/>
      <c r="G74" s="1771"/>
    </row>
    <row r="75" spans="2:7" ht="24" customHeight="1">
      <c r="B75" s="1768"/>
      <c r="C75" s="1769"/>
      <c r="D75" s="1769"/>
      <c r="E75" s="1769"/>
      <c r="F75" s="1770"/>
      <c r="G75" s="1772"/>
    </row>
    <row r="76" spans="2:7" ht="24" customHeight="1" thickBot="1">
      <c r="B76" s="1758"/>
      <c r="C76" s="1759"/>
      <c r="D76" s="1759"/>
      <c r="E76" s="1759"/>
      <c r="F76" s="320"/>
      <c r="G76" s="307"/>
    </row>
    <row r="77" spans="2:7" ht="24" customHeight="1">
      <c r="B77" s="1760" t="s">
        <v>770</v>
      </c>
      <c r="C77" s="1761"/>
      <c r="D77" s="1761"/>
      <c r="E77" s="1761"/>
      <c r="F77" s="1762"/>
      <c r="G77" s="308"/>
    </row>
    <row r="78" spans="2:7" ht="24" customHeight="1">
      <c r="G78" s="308"/>
    </row>
    <row r="79" spans="2:7" ht="24" customHeight="1">
      <c r="B79" s="1763"/>
      <c r="C79" s="1764"/>
      <c r="D79" s="1764"/>
      <c r="E79" s="1765"/>
      <c r="F79" s="321"/>
      <c r="G79" s="308"/>
    </row>
    <row r="80" spans="2:7" ht="24" customHeight="1">
      <c r="B80" s="1763"/>
      <c r="C80" s="1766"/>
      <c r="D80" s="1766"/>
      <c r="E80" s="1767"/>
      <c r="F80" s="321"/>
      <c r="G80" s="308"/>
    </row>
    <row r="81" spans="2:5" ht="24" customHeight="1">
      <c r="B81" s="126"/>
      <c r="C81" s="309"/>
      <c r="D81" s="126"/>
      <c r="E81" s="126"/>
    </row>
    <row r="82" spans="2:5" ht="24" customHeight="1">
      <c r="B82" s="126"/>
      <c r="C82" s="126"/>
      <c r="D82" s="126"/>
      <c r="E82" s="126"/>
    </row>
    <row r="83" spans="2:5" ht="24" customHeight="1">
      <c r="B83" s="126"/>
      <c r="C83" s="310"/>
      <c r="D83" s="126"/>
      <c r="E83" s="126"/>
    </row>
    <row r="84" spans="2:5" ht="24" customHeight="1">
      <c r="B84" s="126"/>
      <c r="C84" s="126"/>
      <c r="D84" s="126"/>
      <c r="E84" s="126"/>
    </row>
    <row r="85" spans="2:5" ht="24" customHeight="1">
      <c r="B85" s="126"/>
      <c r="C85" s="126" t="s">
        <v>771</v>
      </c>
      <c r="D85" s="126">
        <v>20000</v>
      </c>
      <c r="E85" s="126"/>
    </row>
    <row r="86" spans="2:5" ht="24" customHeight="1">
      <c r="B86" s="126"/>
      <c r="C86" s="126" t="s">
        <v>772</v>
      </c>
      <c r="D86" s="126">
        <v>30000</v>
      </c>
      <c r="E86" s="126"/>
    </row>
    <row r="87" spans="2:5" ht="24" customHeight="1">
      <c r="B87" s="126"/>
      <c r="C87" s="126"/>
      <c r="D87" s="126"/>
      <c r="E87" s="126"/>
    </row>
    <row r="88" spans="2:5" ht="24" customHeight="1">
      <c r="B88" s="126"/>
      <c r="C88" s="126"/>
      <c r="D88" s="126"/>
      <c r="E88" s="126" t="b">
        <f>ISBLANK(F10)</f>
        <v>0</v>
      </c>
    </row>
    <row r="89" spans="2:5" ht="24" customHeight="1">
      <c r="B89" s="126"/>
      <c r="C89" s="126"/>
      <c r="D89" s="126"/>
      <c r="E89" s="126"/>
    </row>
    <row r="90" spans="2:5" ht="24" customHeight="1"/>
    <row r="91" spans="2:5" ht="24" customHeight="1"/>
    <row r="92" spans="2:5" ht="24" customHeight="1"/>
    <row r="93" spans="2:5" ht="24" customHeight="1"/>
    <row r="94" spans="2:5" ht="24" customHeight="1"/>
    <row r="95" spans="2:5" ht="24" customHeight="1"/>
    <row r="96" spans="2:5" ht="24" customHeight="1"/>
    <row r="97" spans="1:5" ht="24" customHeight="1"/>
    <row r="98" spans="1:5" ht="24" customHeight="1">
      <c r="A98" s="311" t="s">
        <v>773</v>
      </c>
      <c r="B98" s="312">
        <v>1</v>
      </c>
      <c r="C98" s="313"/>
      <c r="D98" s="311" t="s">
        <v>774</v>
      </c>
      <c r="E98" s="312">
        <v>0</v>
      </c>
    </row>
    <row r="99" spans="1:5" ht="24" customHeight="1">
      <c r="A99" s="314"/>
      <c r="B99" s="315"/>
      <c r="C99" s="313"/>
      <c r="D99" s="316" t="s">
        <v>775</v>
      </c>
      <c r="E99" s="317">
        <v>5.0000000000000001E-3</v>
      </c>
    </row>
    <row r="100" spans="1:5" ht="24" customHeight="1">
      <c r="A100" s="316" t="s">
        <v>776</v>
      </c>
      <c r="B100" s="317">
        <v>0.85</v>
      </c>
      <c r="C100" s="313"/>
    </row>
    <row r="101" spans="1:5" ht="24" customHeight="1">
      <c r="C101" s="313"/>
    </row>
    <row r="102" spans="1:5" ht="24" customHeight="1"/>
    <row r="103" spans="1:5" ht="24" customHeight="1"/>
    <row r="104" spans="1:5" ht="24" customHeight="1"/>
    <row r="105" spans="1:5" ht="24" customHeight="1"/>
    <row r="106" spans="1:5" ht="24" customHeight="1"/>
    <row r="107" spans="1:5" ht="24" customHeight="1"/>
    <row r="108" spans="1:5" ht="24" customHeight="1"/>
    <row r="109" spans="1:5" ht="24" customHeight="1">
      <c r="A109" t="s">
        <v>777</v>
      </c>
      <c r="B109">
        <v>1.25</v>
      </c>
      <c r="D109" t="s">
        <v>777</v>
      </c>
      <c r="E109">
        <v>1.25</v>
      </c>
    </row>
    <row r="110" spans="1:5" ht="24" customHeight="1">
      <c r="A110" t="s">
        <v>778</v>
      </c>
      <c r="B110">
        <v>0</v>
      </c>
      <c r="D110" t="s">
        <v>778</v>
      </c>
      <c r="E110">
        <v>0</v>
      </c>
    </row>
    <row r="111" spans="1:5" ht="24" customHeight="1"/>
    <row r="112" spans="1:5" ht="24" customHeight="1"/>
    <row r="113" spans="1:5" ht="24" customHeight="1">
      <c r="A113">
        <v>1.95E-2</v>
      </c>
      <c r="B113">
        <v>1</v>
      </c>
      <c r="D113" t="s">
        <v>777</v>
      </c>
      <c r="E113">
        <v>1.875</v>
      </c>
    </row>
    <row r="114" spans="1:5" ht="24" customHeight="1">
      <c r="A114">
        <v>2.4E-2</v>
      </c>
      <c r="B114">
        <v>1.2</v>
      </c>
      <c r="D114" t="s">
        <v>778</v>
      </c>
      <c r="E114">
        <v>0</v>
      </c>
    </row>
    <row r="115" spans="1:5" ht="24" customHeight="1">
      <c r="A115">
        <v>2.7E-2</v>
      </c>
      <c r="B115">
        <v>1.42</v>
      </c>
    </row>
    <row r="116" spans="1:5" ht="24" customHeight="1">
      <c r="A116">
        <v>2.8500000000000001E-2</v>
      </c>
      <c r="B116">
        <v>1.6</v>
      </c>
    </row>
    <row r="117" spans="1:5" ht="24" customHeight="1"/>
    <row r="118" spans="1:5" ht="24" customHeight="1"/>
    <row r="119" spans="1:5" ht="24" customHeight="1">
      <c r="A119" s="318" t="s">
        <v>779</v>
      </c>
      <c r="B119" s="312">
        <v>-0.255</v>
      </c>
    </row>
    <row r="120" spans="1:5" ht="24" customHeight="1">
      <c r="A120" s="319" t="s">
        <v>780</v>
      </c>
      <c r="B120" s="315">
        <v>8.0000000000000002E-3</v>
      </c>
    </row>
    <row r="121" spans="1:5" ht="24" customHeight="1">
      <c r="A121" s="319"/>
      <c r="B121" s="315"/>
    </row>
    <row r="122" spans="1:5" ht="24" customHeight="1">
      <c r="A122" s="316"/>
      <c r="B122" s="317"/>
    </row>
    <row r="123" spans="1:5" ht="24" customHeight="1"/>
  </sheetData>
  <mergeCells count="79">
    <mergeCell ref="G6:G7"/>
    <mergeCell ref="B3:F3"/>
    <mergeCell ref="B4:C4"/>
    <mergeCell ref="A6:A7"/>
    <mergeCell ref="B6:E7"/>
    <mergeCell ref="F6:F7"/>
    <mergeCell ref="A8:A9"/>
    <mergeCell ref="B8:E9"/>
    <mergeCell ref="F8:F9"/>
    <mergeCell ref="G8:G9"/>
    <mergeCell ref="A10:A11"/>
    <mergeCell ref="G74:G75"/>
    <mergeCell ref="G18:G19"/>
    <mergeCell ref="G20:G21"/>
    <mergeCell ref="A12:A13"/>
    <mergeCell ref="B70:E71"/>
    <mergeCell ref="F70:F71"/>
    <mergeCell ref="G70:G71"/>
    <mergeCell ref="A14:A15"/>
    <mergeCell ref="B68:E69"/>
    <mergeCell ref="F68:F69"/>
    <mergeCell ref="G12:G13"/>
    <mergeCell ref="A16:A17"/>
    <mergeCell ref="B76:E76"/>
    <mergeCell ref="B77:F77"/>
    <mergeCell ref="B12:E12"/>
    <mergeCell ref="B79:E79"/>
    <mergeCell ref="B80:E80"/>
    <mergeCell ref="B13:E13"/>
    <mergeCell ref="B18:E19"/>
    <mergeCell ref="F18:F19"/>
    <mergeCell ref="B20:E21"/>
    <mergeCell ref="F20:F21"/>
    <mergeCell ref="B16:C16"/>
    <mergeCell ref="B74:E75"/>
    <mergeCell ref="F74:F75"/>
    <mergeCell ref="J4:K4"/>
    <mergeCell ref="J6:M7"/>
    <mergeCell ref="N6:N7"/>
    <mergeCell ref="O6:O7"/>
    <mergeCell ref="J8:M9"/>
    <mergeCell ref="N8:N9"/>
    <mergeCell ref="O8:O9"/>
    <mergeCell ref="N10:N11"/>
    <mergeCell ref="O10:O11"/>
    <mergeCell ref="J12:M12"/>
    <mergeCell ref="O12:O13"/>
    <mergeCell ref="J13:M13"/>
    <mergeCell ref="J10:J11"/>
    <mergeCell ref="K10:K11"/>
    <mergeCell ref="L10:M11"/>
    <mergeCell ref="J16:K16"/>
    <mergeCell ref="F10:F11"/>
    <mergeCell ref="G10:G11"/>
    <mergeCell ref="C10:C11"/>
    <mergeCell ref="B24:E24"/>
    <mergeCell ref="G24:G25"/>
    <mergeCell ref="B25:E25"/>
    <mergeCell ref="B10:B11"/>
    <mergeCell ref="D10:E11"/>
    <mergeCell ref="B22:B23"/>
    <mergeCell ref="C22:C23"/>
    <mergeCell ref="D22:E23"/>
    <mergeCell ref="F22:F23"/>
    <mergeCell ref="G22:G23"/>
    <mergeCell ref="J24:M24"/>
    <mergeCell ref="O24:O25"/>
    <mergeCell ref="J25:M25"/>
    <mergeCell ref="J18:M19"/>
    <mergeCell ref="N18:N19"/>
    <mergeCell ref="O18:O19"/>
    <mergeCell ref="J20:M21"/>
    <mergeCell ref="N20:N21"/>
    <mergeCell ref="O20:O21"/>
    <mergeCell ref="J22:J23"/>
    <mergeCell ref="K22:K23"/>
    <mergeCell ref="L22:M23"/>
    <mergeCell ref="N22:N23"/>
    <mergeCell ref="O22:O23"/>
  </mergeCells>
  <dataValidations count="7">
    <dataValidation type="custom" operator="lessThan" allowBlank="1" showInputMessage="1" showErrorMessage="1" errorTitle="SELECTION NON VALIDE" error="Attention, vous ne devez pas sélectionner deux types de peinture simultanément!_x000a_Sélectionner ''Aucun'' pour l'option non désirée." promptTitle="Cellule temoin " prompt="cellule temoin des selections de peinture." sqref="C83" xr:uid="{B171E83E-B37F-452E-8002-30EC5D0FF1D2}">
      <formula1>"SI(C36&lt;30000)"</formula1>
    </dataValidation>
    <dataValidation type="custom" allowBlank="1" showInputMessage="1" showErrorMessage="1" sqref="C88" xr:uid="{519C1CC7-1100-4DFE-A604-79D58CA5A9CF}">
      <formula1>"SI(C33&lt;D36+10,FAUX)"</formula1>
    </dataValidation>
    <dataValidation type="list" allowBlank="1" showInputMessage="1" showErrorMessage="1" sqref="F68:F69" xr:uid="{AB013486-5D3B-4EF4-A784-BCE6078A1864}">
      <formula1>NERVURAGE1</formula1>
    </dataValidation>
    <dataValidation type="list" allowBlank="1" showInputMessage="1" showErrorMessage="1" sqref="F70:F71" xr:uid="{8077D072-F589-4581-98BD-16E7F3486450}">
      <formula1>$D$98:$D$99</formula1>
    </dataValidation>
    <dataValidation allowBlank="1" showInputMessage="1" showErrorMessage="1" error="Donnée invalide!!!_x000a_Réessayer en entrant une valeur_x000a_de TSR comprise entre 0 et 1" sqref="N22:N23 F22:F23 F10:F11 N10:N11" xr:uid="{A7F489BA-AB1D-4D7C-9763-C98B3050D256}"/>
    <dataValidation type="list" allowBlank="1" showInputMessage="1" showErrorMessage="1" sqref="F76" xr:uid="{DDA0E587-D0A8-49A0-861D-AFE0153A5D63}">
      <formula1>$D$113:$D$114</formula1>
    </dataValidation>
    <dataValidation type="list" allowBlank="1" showInputMessage="1" showErrorMessage="1" sqref="F74:F75" xr:uid="{F8BDE128-A264-48C2-BA8B-843237273F49}">
      <formula1>formebatiment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828D1-AC5E-4D0D-9DB2-0B271946E468}">
  <sheetPr published="0" codeName="Feuil8"/>
  <dimension ref="B1:AQ108"/>
  <sheetViews>
    <sheetView workbookViewId="0">
      <selection activeCell="U35" sqref="U35"/>
    </sheetView>
  </sheetViews>
  <sheetFormatPr defaultColWidth="11.42578125" defaultRowHeight="14.45"/>
  <cols>
    <col min="3" max="3" width="12.140625" customWidth="1"/>
    <col min="4" max="4" width="12.42578125" customWidth="1"/>
    <col min="5" max="5" width="11.140625" bestFit="1" customWidth="1"/>
    <col min="7" max="10" width="3.5703125" customWidth="1"/>
    <col min="11" max="11" width="12" customWidth="1"/>
    <col min="12" max="12" width="18.140625" customWidth="1"/>
    <col min="13" max="13" width="14.5703125" customWidth="1"/>
    <col min="14" max="14" width="9.42578125" customWidth="1"/>
    <col min="15" max="15" width="12.28515625" customWidth="1"/>
    <col min="16" max="16" width="9.140625" customWidth="1"/>
    <col min="17" max="17" width="8.85546875" customWidth="1"/>
    <col min="19" max="19" width="13.5703125" customWidth="1"/>
    <col min="25" max="25" width="3.7109375" customWidth="1"/>
    <col min="26" max="27" width="12.7109375" customWidth="1"/>
  </cols>
  <sheetData>
    <row r="1" spans="2:43" ht="15" thickBot="1"/>
    <row r="2" spans="2:43" ht="15" thickTop="1">
      <c r="B2" s="390"/>
      <c r="C2" s="189"/>
      <c r="D2" s="398"/>
      <c r="E2" s="397"/>
      <c r="F2" s="191"/>
      <c r="G2" s="136"/>
      <c r="H2" s="136"/>
      <c r="I2" s="136"/>
      <c r="J2" s="193"/>
      <c r="K2" s="190"/>
      <c r="L2" s="190"/>
      <c r="M2" s="190"/>
      <c r="N2" s="191"/>
      <c r="O2" s="137"/>
      <c r="P2" s="1701" t="s">
        <v>690</v>
      </c>
      <c r="Q2" s="1702"/>
      <c r="R2" s="1702"/>
      <c r="S2" s="1703"/>
      <c r="T2" s="214"/>
      <c r="AF2" s="137"/>
      <c r="AG2" s="137"/>
      <c r="AH2" s="137"/>
      <c r="AI2" s="137"/>
      <c r="AJ2" s="137"/>
      <c r="AK2" s="137"/>
      <c r="AL2" s="137"/>
      <c r="AM2" s="137"/>
      <c r="AN2" s="137"/>
      <c r="AO2" s="137"/>
      <c r="AP2" s="137"/>
      <c r="AQ2" s="137"/>
    </row>
    <row r="3" spans="2:43" ht="14.45" customHeight="1">
      <c r="B3" s="178"/>
      <c r="F3" s="179"/>
      <c r="J3" s="178"/>
      <c r="K3" s="1704" t="s">
        <v>645</v>
      </c>
      <c r="L3" s="1705"/>
      <c r="M3" s="394"/>
      <c r="N3" s="180"/>
      <c r="O3" s="137"/>
      <c r="P3" s="200"/>
      <c r="Q3" s="201"/>
      <c r="R3" s="201"/>
      <c r="S3" s="202"/>
      <c r="T3" s="156"/>
      <c r="AF3" s="137"/>
      <c r="AG3" s="137"/>
      <c r="AH3" s="137"/>
      <c r="AI3" s="137"/>
      <c r="AJ3" s="137"/>
      <c r="AK3" s="137"/>
      <c r="AL3" s="137"/>
      <c r="AM3" s="137"/>
      <c r="AN3" s="137"/>
      <c r="AO3" s="137"/>
      <c r="AP3" s="137"/>
      <c r="AQ3" s="137"/>
    </row>
    <row r="4" spans="2:43" ht="17.649999999999999" customHeight="1">
      <c r="B4" s="192"/>
      <c r="C4" s="10" t="s">
        <v>644</v>
      </c>
      <c r="D4" s="203" t="s">
        <v>692</v>
      </c>
      <c r="E4" s="696" t="e">
        <f>IF('Saisie de données'!$D$16='Menu déroulant'!$B$20,'Saisie de données'!$D$67,VLOOKUP('Saisie de données'!$J$20,'Charges de neige'!$C$5:$T$672,18,0))</f>
        <v>#N/A</v>
      </c>
      <c r="F4" s="207" t="str">
        <f>IF(ISBLANK(E4),"Obligatoire","")</f>
        <v/>
      </c>
      <c r="G4" s="157"/>
      <c r="J4" s="178"/>
      <c r="K4" s="1688" t="s">
        <v>313</v>
      </c>
      <c r="L4" s="386" t="s">
        <v>648</v>
      </c>
      <c r="M4" s="393"/>
      <c r="N4" s="180"/>
      <c r="O4" s="137"/>
      <c r="P4" s="1707"/>
      <c r="Q4" s="1708"/>
      <c r="R4" s="1708"/>
      <c r="S4" s="1709"/>
      <c r="T4" s="215"/>
      <c r="AF4" s="137"/>
      <c r="AG4" s="137"/>
      <c r="AH4" s="137"/>
      <c r="AI4" s="137"/>
      <c r="AJ4" s="137"/>
      <c r="AK4" s="137"/>
      <c r="AL4" s="137"/>
      <c r="AM4" s="137"/>
      <c r="AN4" s="137"/>
      <c r="AO4" s="137"/>
      <c r="AP4" s="137"/>
      <c r="AQ4" s="137"/>
    </row>
    <row r="5" spans="2:43" ht="14.45" customHeight="1">
      <c r="B5" s="178"/>
      <c r="D5" s="206" t="s">
        <v>693</v>
      </c>
      <c r="E5" s="697" t="str" cm="1">
        <f t="array" ref="E5">IF('Saisie de données'!$D$16='Menu déroulant'!$B$20,'Saisie de données'!$K$49,_xlfn.IFS('Saisie de données'!$E$49='Menu déroulant'!$AA$12,'Menu déroulant'!$AA$50,'Saisie de données'!$E$49='Menu déroulant'!$AA$13,'Menu déroulant'!$AA$49))</f>
        <v>C (STD.)</v>
      </c>
      <c r="F5" s="407"/>
      <c r="J5" s="178"/>
      <c r="K5" s="1689"/>
      <c r="L5" s="145" t="s">
        <v>694</v>
      </c>
      <c r="M5" s="145" t="s">
        <v>695</v>
      </c>
      <c r="N5" s="180"/>
      <c r="O5" s="137"/>
      <c r="P5" s="1707"/>
      <c r="Q5" s="1708"/>
      <c r="R5" s="1708"/>
      <c r="S5" s="1709"/>
      <c r="T5" s="215"/>
      <c r="AF5" s="136"/>
      <c r="AG5" s="136"/>
      <c r="AH5" s="136"/>
      <c r="AI5" s="136"/>
      <c r="AJ5" s="136"/>
      <c r="AK5" s="136"/>
      <c r="AL5" s="136"/>
      <c r="AM5" s="136"/>
      <c r="AN5" s="136"/>
      <c r="AO5" s="136"/>
      <c r="AP5" s="136"/>
      <c r="AQ5" s="137"/>
    </row>
    <row r="6" spans="2:43">
      <c r="B6" s="178"/>
      <c r="D6" s="206" t="s">
        <v>696</v>
      </c>
      <c r="E6" s="697">
        <v>0.85</v>
      </c>
      <c r="F6" s="205"/>
      <c r="H6" s="1413"/>
      <c r="I6" s="1413"/>
      <c r="J6" s="1718"/>
      <c r="K6" s="143" t="s">
        <v>346</v>
      </c>
      <c r="L6" s="405">
        <f>IF(L32=TRUE(),-1.26,-1.8)</f>
        <v>-1.26</v>
      </c>
      <c r="M6" s="38" t="e">
        <f>$E$9*L6</f>
        <v>#N/A</v>
      </c>
      <c r="N6" s="180"/>
      <c r="O6" s="137"/>
      <c r="P6" s="1707"/>
      <c r="Q6" s="1708"/>
      <c r="R6" s="1708"/>
      <c r="S6" s="1709"/>
      <c r="T6" s="215"/>
      <c r="AF6" s="137"/>
      <c r="AG6" s="137"/>
      <c r="AH6" s="137"/>
      <c r="AI6" s="137"/>
      <c r="AJ6" s="137"/>
      <c r="AK6" s="137"/>
      <c r="AL6" s="137"/>
      <c r="AM6" s="137"/>
      <c r="AN6" s="137"/>
      <c r="AO6" s="137"/>
      <c r="AP6" s="137"/>
      <c r="AQ6" s="137"/>
    </row>
    <row r="7" spans="2:43">
      <c r="B7" s="178"/>
      <c r="D7" s="206" t="s">
        <v>697</v>
      </c>
      <c r="E7" s="698">
        <f>IF('Saisie de données'!F38 ='Menu déroulant'!AA23,'Saisie de données'!D38,'Saisie de données'!D38*3.281)</f>
        <v>29</v>
      </c>
      <c r="F7" s="391" t="s">
        <v>698</v>
      </c>
      <c r="H7" s="1413"/>
      <c r="I7" s="1413"/>
      <c r="J7" s="1718"/>
      <c r="K7" s="143" t="s">
        <v>699</v>
      </c>
      <c r="L7" s="405">
        <v>0.9</v>
      </c>
      <c r="M7" s="38" t="e">
        <f>$E$9*L7</f>
        <v>#N/A</v>
      </c>
      <c r="N7" s="180"/>
      <c r="O7" s="137"/>
      <c r="P7" s="1707"/>
      <c r="Q7" s="1708"/>
      <c r="R7" s="1708"/>
      <c r="S7" s="1709"/>
      <c r="T7" s="215"/>
      <c r="AF7" s="1725"/>
      <c r="AG7" s="1725"/>
      <c r="AH7" s="1725"/>
      <c r="AI7" s="1725"/>
      <c r="AJ7" s="1725"/>
      <c r="AK7" s="1725"/>
      <c r="AL7" s="1725"/>
      <c r="AM7" s="1725"/>
      <c r="AN7" s="137"/>
      <c r="AO7" s="137"/>
      <c r="AP7" s="137"/>
      <c r="AQ7" s="137"/>
    </row>
    <row r="8" spans="2:43">
      <c r="B8" s="178"/>
      <c r="D8" s="206" t="s">
        <v>700</v>
      </c>
      <c r="E8" s="699" cm="1">
        <f t="array" ref="E8">VLOOKUP(MAX(IF('Infos Techniques'!$B$27:$B$83&lt;=$E$7,'Infos Techniques'!$B$27:$B$83)),'Infos Techniques'!$B$27:$E$83,_xlfn.IFS($E$5='Menu déroulant'!AA50,3,$E$5='Menu déroulant'!AA49,2,$E$5='Menu déroulant'!AA51,4),0)</f>
        <v>0.97199999999999998</v>
      </c>
      <c r="F8" s="208"/>
      <c r="H8" s="1413"/>
      <c r="I8" s="1413"/>
      <c r="J8" s="1718"/>
      <c r="K8" s="143" t="s">
        <v>347</v>
      </c>
      <c r="L8" s="405">
        <f>IF($L$32=TRUE(),-0.99,-0.9)</f>
        <v>-0.99</v>
      </c>
      <c r="M8" s="38" t="e">
        <f>$E$9*L8</f>
        <v>#N/A</v>
      </c>
      <c r="N8" s="194"/>
      <c r="O8" s="137"/>
      <c r="P8" s="1707"/>
      <c r="Q8" s="1708"/>
      <c r="R8" s="1708"/>
      <c r="S8" s="1709"/>
      <c r="T8" s="215"/>
      <c r="AF8" s="137"/>
      <c r="AG8" s="137"/>
      <c r="AH8" s="137"/>
      <c r="AI8" s="137"/>
      <c r="AJ8" s="137"/>
      <c r="AK8" s="137"/>
      <c r="AL8" s="137"/>
      <c r="AM8" s="137"/>
      <c r="AN8" s="137"/>
      <c r="AO8" s="137"/>
      <c r="AP8" s="137"/>
      <c r="AQ8" s="137"/>
    </row>
    <row r="9" spans="2:43" ht="15" thickBot="1">
      <c r="B9" s="181"/>
      <c r="C9" s="399"/>
      <c r="D9" s="209" t="s">
        <v>701</v>
      </c>
      <c r="E9" s="700" t="e">
        <f>0.00256*1.15*E6*E8*(E4^2)</f>
        <v>#N/A</v>
      </c>
      <c r="F9" s="210"/>
      <c r="H9" s="1413"/>
      <c r="I9" s="1413"/>
      <c r="J9" s="1718"/>
      <c r="K9" s="143" t="s">
        <v>702</v>
      </c>
      <c r="L9" s="405">
        <v>0.9</v>
      </c>
      <c r="M9" s="38" t="e">
        <f>$E$9*L9</f>
        <v>#N/A</v>
      </c>
      <c r="N9" s="195"/>
      <c r="O9" s="137"/>
      <c r="P9" s="1707"/>
      <c r="Q9" s="1708"/>
      <c r="R9" s="1708"/>
      <c r="S9" s="1709"/>
      <c r="T9" s="215"/>
      <c r="AF9" s="1725"/>
      <c r="AG9" s="1725"/>
      <c r="AH9" s="1725"/>
      <c r="AI9" s="137"/>
      <c r="AJ9" s="137"/>
      <c r="AK9" s="137"/>
      <c r="AL9" s="137"/>
      <c r="AM9" s="147"/>
      <c r="AN9" s="148"/>
      <c r="AO9" s="137"/>
      <c r="AP9" s="137"/>
      <c r="AQ9" s="137"/>
    </row>
    <row r="10" spans="2:43" ht="15.6" thickTop="1" thickBot="1">
      <c r="H10" s="1413"/>
      <c r="I10" s="1413"/>
      <c r="J10" s="1718"/>
      <c r="K10" s="143" t="s">
        <v>703</v>
      </c>
      <c r="L10" s="405">
        <v>-3.2</v>
      </c>
      <c r="M10" s="38" t="e">
        <f>$E$9*L10</f>
        <v>#N/A</v>
      </c>
      <c r="N10" s="195"/>
      <c r="O10" s="137"/>
      <c r="P10" s="1707"/>
      <c r="Q10" s="1708"/>
      <c r="R10" s="1708"/>
      <c r="S10" s="1709"/>
      <c r="T10" s="215"/>
      <c r="AF10" s="137"/>
      <c r="AG10" s="137"/>
      <c r="AH10" s="137"/>
      <c r="AI10" s="137"/>
      <c r="AJ10" s="137"/>
      <c r="AK10" s="137"/>
      <c r="AL10" s="137"/>
      <c r="AM10" s="137"/>
      <c r="AN10" s="137"/>
      <c r="AO10" s="137"/>
      <c r="AP10" s="137"/>
      <c r="AQ10" s="137"/>
    </row>
    <row r="11" spans="2:43" ht="15" thickTop="1">
      <c r="B11" s="174"/>
      <c r="C11" s="175"/>
      <c r="D11" s="176"/>
      <c r="E11" s="176"/>
      <c r="F11" s="177"/>
      <c r="H11" s="1413"/>
      <c r="I11" s="1413"/>
      <c r="J11" s="1718"/>
      <c r="K11" s="143" t="s">
        <v>704</v>
      </c>
      <c r="L11" s="405" t="s">
        <v>371</v>
      </c>
      <c r="M11" s="38"/>
      <c r="N11" s="195"/>
      <c r="O11" s="137"/>
      <c r="P11" s="1707"/>
      <c r="Q11" s="1708"/>
      <c r="R11" s="1708"/>
      <c r="S11" s="1709"/>
      <c r="T11" s="215"/>
      <c r="AF11" s="137"/>
      <c r="AG11" s="137"/>
      <c r="AH11" s="137"/>
      <c r="AI11" s="137"/>
      <c r="AJ11" s="137"/>
      <c r="AK11" s="137"/>
      <c r="AL11" s="137"/>
      <c r="AM11" s="149"/>
      <c r="AN11" s="149"/>
      <c r="AO11" s="149"/>
      <c r="AP11" s="149"/>
      <c r="AQ11" s="137"/>
    </row>
    <row r="12" spans="2:43">
      <c r="B12" s="178"/>
      <c r="C12" s="10" t="s">
        <v>665</v>
      </c>
      <c r="D12" s="137"/>
      <c r="E12" s="137"/>
      <c r="F12" s="179"/>
      <c r="H12" s="1413"/>
      <c r="I12" s="1413"/>
      <c r="J12" s="1718"/>
      <c r="K12" s="143" t="s">
        <v>705</v>
      </c>
      <c r="L12" s="405">
        <v>-2.2999999999999998</v>
      </c>
      <c r="M12" s="38" t="e">
        <f>$E$9*L12</f>
        <v>#N/A</v>
      </c>
      <c r="N12" s="195"/>
      <c r="O12" s="137"/>
      <c r="P12" s="1707"/>
      <c r="Q12" s="1708"/>
      <c r="R12" s="1708"/>
      <c r="S12" s="1709"/>
      <c r="T12" s="215"/>
      <c r="AF12" s="137"/>
      <c r="AG12" s="137"/>
      <c r="AH12" s="137"/>
      <c r="AI12" s="137"/>
      <c r="AJ12" s="137"/>
      <c r="AK12" s="137"/>
      <c r="AL12" s="137"/>
      <c r="AM12" s="150"/>
      <c r="AN12" s="149"/>
      <c r="AO12" s="149"/>
      <c r="AP12" s="149"/>
      <c r="AQ12" s="137"/>
    </row>
    <row r="13" spans="2:43">
      <c r="B13" s="178"/>
      <c r="C13" s="137"/>
      <c r="D13" s="137"/>
      <c r="E13" s="137"/>
      <c r="F13" s="179"/>
      <c r="H13" s="1413"/>
      <c r="I13" s="1413"/>
      <c r="J13" s="1718"/>
      <c r="K13" s="143" t="s">
        <v>706</v>
      </c>
      <c r="L13" s="405" t="s">
        <v>371</v>
      </c>
      <c r="M13" s="38"/>
      <c r="N13" s="195"/>
      <c r="O13" s="137"/>
      <c r="P13" s="1707"/>
      <c r="Q13" s="1708"/>
      <c r="R13" s="1708"/>
      <c r="S13" s="1709"/>
      <c r="T13" s="215"/>
      <c r="AF13" s="137"/>
      <c r="AG13" s="137"/>
      <c r="AH13" s="137"/>
      <c r="AI13" s="137"/>
      <c r="AJ13" s="137"/>
      <c r="AK13" s="137"/>
      <c r="AL13" s="137"/>
      <c r="AM13" s="151"/>
      <c r="AN13" s="1726"/>
      <c r="AO13" s="1726"/>
      <c r="AP13" s="149"/>
      <c r="AQ13" s="137"/>
    </row>
    <row r="14" spans="2:43">
      <c r="B14" s="178"/>
      <c r="C14" s="1710" t="s">
        <v>671</v>
      </c>
      <c r="D14" s="1711"/>
      <c r="E14" s="1712"/>
      <c r="F14" s="179"/>
      <c r="H14" s="1413"/>
      <c r="I14" s="1413"/>
      <c r="J14" s="1718"/>
      <c r="K14" s="143" t="s">
        <v>707</v>
      </c>
      <c r="L14" s="405">
        <f>IF($L$32=TRUE(),-1.7,-1.4)</f>
        <v>-1.7</v>
      </c>
      <c r="M14" s="38" t="e">
        <f>$E$9*L14</f>
        <v>#N/A</v>
      </c>
      <c r="N14" s="195"/>
      <c r="O14" s="137"/>
      <c r="P14" s="1690"/>
      <c r="Q14" s="1691"/>
      <c r="R14" s="1691"/>
      <c r="S14" s="1692"/>
      <c r="T14" s="215"/>
      <c r="AF14" s="1281"/>
      <c r="AG14" s="1281"/>
      <c r="AH14" s="137"/>
      <c r="AI14" s="137"/>
      <c r="AJ14" s="137"/>
      <c r="AK14" s="137"/>
      <c r="AL14" s="137"/>
      <c r="AM14" s="151"/>
      <c r="AN14" s="152"/>
      <c r="AO14" s="149"/>
      <c r="AP14" s="149"/>
      <c r="AQ14" s="137"/>
    </row>
    <row r="15" spans="2:43">
      <c r="B15" s="178"/>
      <c r="C15" s="384" t="s">
        <v>313</v>
      </c>
      <c r="D15" s="392" t="s">
        <v>708</v>
      </c>
      <c r="E15" s="392" t="s">
        <v>709</v>
      </c>
      <c r="F15" s="179"/>
      <c r="H15" s="1413"/>
      <c r="I15" s="1413"/>
      <c r="J15" s="1718"/>
      <c r="K15" s="169" t="s">
        <v>710</v>
      </c>
      <c r="L15" s="406" t="s">
        <v>371</v>
      </c>
      <c r="M15" s="38"/>
      <c r="N15" s="179"/>
      <c r="P15" s="1690"/>
      <c r="Q15" s="1691"/>
      <c r="R15" s="1691"/>
      <c r="S15" s="1692"/>
      <c r="T15" s="137"/>
      <c r="AF15" s="137"/>
      <c r="AG15" s="137"/>
      <c r="AH15" s="137"/>
      <c r="AI15" s="137"/>
      <c r="AJ15" s="137"/>
      <c r="AK15" s="137"/>
      <c r="AL15" s="137"/>
      <c r="AM15" s="1717"/>
      <c r="AN15" s="1717"/>
      <c r="AO15" s="153"/>
      <c r="AP15" s="149"/>
      <c r="AQ15" s="137"/>
    </row>
    <row r="16" spans="2:43">
      <c r="B16" s="178"/>
      <c r="C16" s="385"/>
      <c r="D16" s="395" t="s">
        <v>711</v>
      </c>
      <c r="E16" s="395" t="s">
        <v>711</v>
      </c>
      <c r="F16" s="179"/>
      <c r="H16" s="137"/>
      <c r="I16" s="137"/>
      <c r="J16" s="196"/>
      <c r="K16" s="150"/>
      <c r="L16" s="150"/>
      <c r="M16" s="150"/>
      <c r="N16" s="211"/>
      <c r="P16" s="1690"/>
      <c r="Q16" s="1691"/>
      <c r="R16" s="1691"/>
      <c r="S16" s="1692"/>
      <c r="AF16" s="137"/>
      <c r="AG16" s="137"/>
      <c r="AH16" s="137"/>
      <c r="AI16" s="137"/>
      <c r="AJ16" s="137"/>
      <c r="AK16" s="137"/>
      <c r="AL16" s="137"/>
      <c r="AM16" s="1724"/>
      <c r="AN16" s="1724"/>
      <c r="AO16" s="154"/>
      <c r="AP16" s="149"/>
      <c r="AQ16" s="137"/>
    </row>
    <row r="17" spans="2:43">
      <c r="B17" s="178"/>
      <c r="C17" s="143" t="s">
        <v>346</v>
      </c>
      <c r="D17" s="39" t="e">
        <f>$E$9*(L6-$K$20)</f>
        <v>#N/A</v>
      </c>
      <c r="E17" s="39" t="e">
        <f>IF(OR('Saisie de données'!$E$51='Menu déroulant'!$AE$57,'Saisie de données'!$K$51='Menu déroulant'!$AE$57),"-",$E$9*(L6-$M$20))</f>
        <v>#N/A</v>
      </c>
      <c r="F17" s="179"/>
      <c r="H17" s="137"/>
      <c r="I17" s="137"/>
      <c r="J17" s="196"/>
      <c r="K17" s="2" t="s">
        <v>676</v>
      </c>
      <c r="L17" s="3"/>
      <c r="M17" s="4"/>
      <c r="N17" s="195"/>
      <c r="P17" s="1690"/>
      <c r="Q17" s="1691"/>
      <c r="R17" s="1691"/>
      <c r="S17" s="1692"/>
      <c r="T17" s="137"/>
      <c r="AF17" s="137"/>
      <c r="AG17" s="137"/>
      <c r="AH17" s="137"/>
      <c r="AI17" s="137"/>
      <c r="AJ17" s="137"/>
      <c r="AK17" s="137"/>
      <c r="AL17" s="137"/>
      <c r="AM17" s="149"/>
      <c r="AN17" s="149"/>
      <c r="AO17" s="149"/>
      <c r="AP17" s="149"/>
      <c r="AQ17" s="137"/>
    </row>
    <row r="18" spans="2:43">
      <c r="B18" s="178"/>
      <c r="C18" s="143" t="s">
        <v>699</v>
      </c>
      <c r="D18" s="39" t="e">
        <f>$E$9*(L7-$K$20)</f>
        <v>#N/A</v>
      </c>
      <c r="E18" s="39" t="e">
        <f>$E$9*(L7-$M$20)</f>
        <v>#N/A</v>
      </c>
      <c r="F18" s="179"/>
      <c r="H18" s="137"/>
      <c r="I18" s="137"/>
      <c r="J18" s="196"/>
      <c r="K18" s="5" t="s">
        <v>712</v>
      </c>
      <c r="L18" s="6" t="str" cm="1">
        <f t="array" ref="L18">IF('Saisie de données'!$D$16='Menu déroulant'!$B$20,'Saisie de données'!$K$47,_xlfn.IFS('Saisie de données'!$E$47='Menu déroulant'!$AA$15,'Menu déroulant'!$AA$45,'Saisie de données'!$E$47='Menu déroulant'!$AA$16,'Menu déroulant'!$AA$45,'Saisie de données'!$E$47='Menu déroulant'!$AA$17,'Menu déroulant'!$AA$46))</f>
        <v>Partially Open / Enclosed</v>
      </c>
      <c r="M18" s="4"/>
      <c r="N18" s="195"/>
      <c r="P18" s="1690"/>
      <c r="Q18" s="1691"/>
      <c r="R18" s="1691"/>
      <c r="S18" s="1692"/>
      <c r="T18" s="137"/>
      <c r="AF18" s="137"/>
      <c r="AG18" s="137"/>
      <c r="AH18" s="137"/>
      <c r="AI18" s="137"/>
      <c r="AJ18" s="137"/>
      <c r="AK18" s="137"/>
      <c r="AL18" s="137"/>
      <c r="AM18" s="137"/>
      <c r="AN18" s="137"/>
      <c r="AO18" s="137"/>
      <c r="AP18" s="137"/>
      <c r="AQ18" s="137"/>
    </row>
    <row r="19" spans="2:43" ht="17.649999999999999" customHeight="1">
      <c r="B19" s="178"/>
      <c r="C19" s="143" t="s">
        <v>347</v>
      </c>
      <c r="D19" s="39" t="e">
        <f>$E$9*(L8-$K$20)</f>
        <v>#N/A</v>
      </c>
      <c r="E19" s="39" t="e">
        <f>IF(OR('Saisie de données'!$E$51='Menu déroulant'!$AE$57,'Saisie de données'!$K$51='Menu déroulant'!$AE$57),"-",$E$9*(L8-$M$20))</f>
        <v>#N/A</v>
      </c>
      <c r="F19" s="179"/>
      <c r="H19" s="170"/>
      <c r="I19" s="170"/>
      <c r="J19" s="1721"/>
      <c r="K19" s="1729" t="s">
        <v>713</v>
      </c>
      <c r="L19" s="1730"/>
      <c r="M19" s="146"/>
      <c r="N19" s="212"/>
      <c r="P19" s="1690"/>
      <c r="Q19" s="1691"/>
      <c r="R19" s="1691"/>
      <c r="S19" s="1692"/>
      <c r="T19" s="138"/>
      <c r="AF19" s="137"/>
      <c r="AG19" s="137"/>
      <c r="AH19" s="137"/>
      <c r="AI19" s="137"/>
      <c r="AJ19" s="137"/>
      <c r="AK19" s="137"/>
      <c r="AL19" s="137"/>
      <c r="AM19" s="150"/>
      <c r="AN19" s="150"/>
      <c r="AO19" s="149"/>
      <c r="AP19" s="137"/>
      <c r="AQ19" s="137"/>
    </row>
    <row r="20" spans="2:43" ht="17.649999999999999" customHeight="1" thickBot="1">
      <c r="B20" s="178"/>
      <c r="C20" s="143" t="s">
        <v>702</v>
      </c>
      <c r="D20" s="39" t="e">
        <f>$E$9*(L9-$K$20)</f>
        <v>#N/A</v>
      </c>
      <c r="E20" s="39" t="e">
        <f>$E$9*(L9-$M$20)</f>
        <v>#N/A</v>
      </c>
      <c r="F20" s="179"/>
      <c r="H20" s="170"/>
      <c r="I20" s="170"/>
      <c r="J20" s="1721"/>
      <c r="K20" s="1719">
        <f>VLOOKUP($L$18,'Menu déroulant'!$AA$44:$AC$47,2,0)</f>
        <v>-0.18</v>
      </c>
      <c r="L20" s="1720"/>
      <c r="M20" s="403">
        <f>VLOOKUP($L$18,'Menu déroulant'!$AA$44:$AC$47,3,0)</f>
        <v>0.18</v>
      </c>
      <c r="N20" s="404"/>
      <c r="P20" s="1690"/>
      <c r="Q20" s="1691"/>
      <c r="R20" s="1691"/>
      <c r="S20" s="1692"/>
      <c r="T20" s="139"/>
      <c r="AF20" s="137"/>
      <c r="AG20" s="137"/>
      <c r="AH20" s="137"/>
      <c r="AI20" s="137"/>
      <c r="AJ20" s="137"/>
      <c r="AK20" s="137"/>
      <c r="AL20" s="137"/>
      <c r="AM20" s="1717"/>
      <c r="AN20" s="1717"/>
      <c r="AO20" s="1717"/>
      <c r="AP20" s="137"/>
      <c r="AQ20" s="137"/>
    </row>
    <row r="21" spans="2:43" ht="15.6" thickTop="1" thickBot="1">
      <c r="B21" s="178"/>
      <c r="C21" s="217"/>
      <c r="D21" s="218" t="s">
        <v>346</v>
      </c>
      <c r="E21" s="219" t="s">
        <v>347</v>
      </c>
      <c r="F21" s="179"/>
      <c r="H21" s="170"/>
      <c r="I21" s="170"/>
      <c r="J21" s="1721"/>
      <c r="K21" s="1729"/>
      <c r="L21" s="1730"/>
      <c r="M21" s="1731"/>
      <c r="N21" s="195"/>
      <c r="P21" s="1690"/>
      <c r="Q21" s="1691"/>
      <c r="R21" s="1691"/>
      <c r="S21" s="1692"/>
      <c r="T21" s="140"/>
      <c r="AF21" s="137"/>
      <c r="AG21" s="137"/>
      <c r="AH21" s="137"/>
      <c r="AI21" s="137"/>
      <c r="AJ21" s="137"/>
      <c r="AK21" s="137"/>
      <c r="AL21" s="137"/>
      <c r="AM21" s="1717"/>
      <c r="AN21" s="159"/>
      <c r="AO21" s="159"/>
      <c r="AP21" s="137"/>
      <c r="AQ21" s="137"/>
    </row>
    <row r="22" spans="2:43" ht="15" thickBot="1">
      <c r="B22" s="178"/>
      <c r="C22" s="221" t="s">
        <v>781</v>
      </c>
      <c r="D22" s="220" t="e">
        <f>CEILING(-$E$17*2,5)</f>
        <v>#N/A</v>
      </c>
      <c r="E22" s="222" t="e">
        <f>CEILING(-$E$19*2,5)</f>
        <v>#N/A</v>
      </c>
      <c r="F22" s="179"/>
      <c r="H22" s="170"/>
      <c r="I22" s="170"/>
      <c r="J22" s="1721"/>
      <c r="K22" s="164"/>
      <c r="L22" s="164"/>
      <c r="M22" s="164"/>
      <c r="N22" s="211"/>
      <c r="P22" s="1690"/>
      <c r="Q22" s="1691"/>
      <c r="R22" s="1691"/>
      <c r="S22" s="1692"/>
      <c r="T22" s="140"/>
      <c r="AF22" s="137"/>
      <c r="AG22" s="137"/>
      <c r="AH22" s="137"/>
      <c r="AI22" s="137"/>
      <c r="AJ22" s="1727"/>
      <c r="AK22" s="1727"/>
      <c r="AL22" s="1727"/>
      <c r="AM22" s="159"/>
      <c r="AN22" s="160"/>
      <c r="AO22" s="161"/>
      <c r="AP22" s="137"/>
      <c r="AQ22" s="137"/>
    </row>
    <row r="23" spans="2:43" ht="15" thickBot="1">
      <c r="B23" s="178"/>
      <c r="C23" s="223" t="s">
        <v>782</v>
      </c>
      <c r="D23" s="224" t="e">
        <f>-$E$17*2</f>
        <v>#N/A</v>
      </c>
      <c r="E23" s="225" t="e">
        <f>-$E$19*2</f>
        <v>#N/A</v>
      </c>
      <c r="F23" s="180"/>
      <c r="H23" s="170"/>
      <c r="I23" s="170"/>
      <c r="J23" s="197"/>
      <c r="K23" s="198"/>
      <c r="L23" s="198"/>
      <c r="M23" s="198"/>
      <c r="N23" s="199"/>
      <c r="P23" s="1693"/>
      <c r="Q23" s="1694"/>
      <c r="R23" s="1694"/>
      <c r="S23" s="1695"/>
      <c r="T23" s="140"/>
      <c r="AF23" s="137"/>
      <c r="AG23" s="137"/>
      <c r="AH23" s="137"/>
      <c r="AI23" s="137"/>
      <c r="AJ23" s="1727"/>
      <c r="AK23" s="1727"/>
      <c r="AL23" s="1727"/>
      <c r="AM23" s="159"/>
      <c r="AN23" s="160"/>
      <c r="AO23" s="161"/>
      <c r="AP23" s="137"/>
      <c r="AQ23" s="137"/>
    </row>
    <row r="24" spans="2:43" ht="15.6" thickTop="1" thickBot="1">
      <c r="B24" s="181"/>
      <c r="C24" s="727" t="s">
        <v>783</v>
      </c>
      <c r="D24" s="183"/>
      <c r="E24" s="184"/>
      <c r="F24" s="185"/>
      <c r="H24" s="170"/>
      <c r="I24" s="170"/>
      <c r="J24" s="170"/>
      <c r="K24" s="150"/>
      <c r="L24" s="150"/>
      <c r="M24" s="150"/>
      <c r="N24" s="150"/>
      <c r="S24" s="139"/>
      <c r="T24" s="139"/>
      <c r="AF24" s="137"/>
      <c r="AG24" s="137"/>
      <c r="AH24" s="137"/>
      <c r="AI24" s="137"/>
      <c r="AJ24" s="1727"/>
      <c r="AK24" s="1727"/>
      <c r="AL24" s="1727"/>
      <c r="AM24" s="159"/>
      <c r="AN24" s="160"/>
      <c r="AO24" s="161"/>
      <c r="AP24" s="137"/>
      <c r="AQ24" s="137"/>
    </row>
    <row r="25" spans="2:43" ht="15" thickTop="1">
      <c r="F25" s="137"/>
      <c r="H25" s="170"/>
      <c r="I25" s="170"/>
      <c r="J25" s="170"/>
      <c r="K25" s="150"/>
      <c r="L25" s="150"/>
      <c r="M25" s="150"/>
      <c r="N25" s="150"/>
      <c r="S25" s="140"/>
      <c r="T25" s="140"/>
      <c r="AF25" s="135"/>
      <c r="AG25" s="139"/>
      <c r="AH25" s="137"/>
      <c r="AI25" s="137"/>
      <c r="AJ25" s="1727"/>
      <c r="AK25" s="1727"/>
      <c r="AL25" s="1727"/>
      <c r="AM25" s="159"/>
      <c r="AN25" s="160"/>
      <c r="AO25" s="161"/>
      <c r="AP25" s="137"/>
      <c r="AQ25" s="137"/>
    </row>
    <row r="26" spans="2:43" ht="15" thickBot="1">
      <c r="C26" s="1715"/>
      <c r="D26" s="1715"/>
      <c r="E26" s="1715"/>
      <c r="F26" s="137"/>
      <c r="H26" s="170"/>
      <c r="I26" s="170"/>
      <c r="J26" s="170"/>
      <c r="K26" s="150"/>
      <c r="L26" s="150"/>
      <c r="M26" s="150"/>
      <c r="N26" s="150"/>
      <c r="S26" s="141"/>
      <c r="T26" s="141"/>
      <c r="AF26" s="135"/>
      <c r="AG26" s="142"/>
      <c r="AH26" s="142"/>
      <c r="AI26" s="137"/>
      <c r="AJ26" s="1727"/>
      <c r="AK26" s="1727"/>
      <c r="AL26" s="1727"/>
      <c r="AM26" s="159"/>
      <c r="AN26" s="160"/>
      <c r="AO26" s="161"/>
      <c r="AP26" s="137"/>
      <c r="AQ26" s="137"/>
    </row>
    <row r="27" spans="2:43" ht="15" thickTop="1">
      <c r="B27" s="482"/>
      <c r="C27" s="483"/>
      <c r="D27" s="484"/>
      <c r="E27" s="485"/>
      <c r="F27" s="486"/>
      <c r="H27" s="170"/>
      <c r="I27" s="170"/>
      <c r="J27" s="174"/>
      <c r="K27" s="176"/>
      <c r="L27" s="176"/>
      <c r="M27" s="176"/>
      <c r="N27" s="176"/>
      <c r="O27" s="176"/>
      <c r="P27" s="176"/>
      <c r="Q27" s="176"/>
      <c r="R27" s="177"/>
      <c r="S27" s="137"/>
      <c r="T27" s="137"/>
      <c r="AF27" s="137"/>
      <c r="AG27" s="137"/>
      <c r="AH27" s="137"/>
      <c r="AI27" s="137"/>
      <c r="AJ27" s="1727"/>
      <c r="AK27" s="1727"/>
      <c r="AL27" s="1727"/>
      <c r="AM27" s="159"/>
      <c r="AN27" s="160"/>
      <c r="AO27" s="161"/>
      <c r="AP27" s="137"/>
      <c r="AQ27" s="137"/>
    </row>
    <row r="28" spans="2:43">
      <c r="B28" s="487"/>
      <c r="C28" s="488" t="s">
        <v>685</v>
      </c>
      <c r="D28" s="450"/>
      <c r="E28" s="489"/>
      <c r="F28" s="490"/>
      <c r="H28" s="170"/>
      <c r="I28" s="170"/>
      <c r="J28" s="178"/>
      <c r="K28" s="10" t="s">
        <v>646</v>
      </c>
      <c r="R28" s="179"/>
      <c r="S28" s="137"/>
      <c r="T28" s="137"/>
      <c r="AF28" s="137"/>
      <c r="AG28" s="137"/>
      <c r="AH28" s="137"/>
      <c r="AI28" s="137"/>
      <c r="AJ28" s="1727"/>
      <c r="AK28" s="1727"/>
      <c r="AL28" s="1727"/>
      <c r="AM28" s="159"/>
      <c r="AN28" s="160"/>
      <c r="AO28" s="161"/>
      <c r="AP28" s="137"/>
      <c r="AQ28" s="137"/>
    </row>
    <row r="29" spans="2:43" ht="13.15" customHeight="1">
      <c r="B29" s="487"/>
      <c r="C29" s="450"/>
      <c r="D29" s="450"/>
      <c r="E29" s="450"/>
      <c r="F29" s="490"/>
      <c r="J29" s="178"/>
      <c r="K29" s="1113" t="s">
        <v>650</v>
      </c>
      <c r="L29" s="1113"/>
      <c r="N29" s="1698" t="s">
        <v>111</v>
      </c>
      <c r="O29" s="36" t="s">
        <v>714</v>
      </c>
      <c r="P29" s="1696" t="e">
        <f>M9-M8</f>
        <v>#N/A</v>
      </c>
      <c r="Q29" s="1697"/>
      <c r="R29" s="179"/>
      <c r="S29" s="137"/>
      <c r="T29" s="137"/>
      <c r="AF29" s="137"/>
      <c r="AG29" s="137"/>
      <c r="AH29" s="137"/>
      <c r="AI29" s="137"/>
      <c r="AJ29" s="1727"/>
      <c r="AK29" s="1727"/>
      <c r="AL29" s="1727"/>
      <c r="AM29" s="159"/>
      <c r="AN29" s="160"/>
      <c r="AO29" s="161"/>
      <c r="AP29" s="137"/>
      <c r="AQ29" s="137"/>
    </row>
    <row r="30" spans="2:43" ht="18" customHeight="1" thickBot="1">
      <c r="B30" s="487"/>
      <c r="C30" s="491" t="s">
        <v>686</v>
      </c>
      <c r="D30" s="489"/>
      <c r="E30" s="492"/>
      <c r="F30" s="493"/>
      <c r="J30" s="178"/>
      <c r="K30" s="28" t="s">
        <v>655</v>
      </c>
      <c r="L30" s="28" t="s">
        <v>338</v>
      </c>
      <c r="N30" s="1699"/>
      <c r="O30" s="36" t="s">
        <v>715</v>
      </c>
      <c r="P30" s="1696" t="e">
        <f>IF(OR('Saisie de données'!$E$51='Menu déroulant'!$AE$57,'Saisie de données'!$K$51='Menu déroulant'!$AE$57),"-",M9-M12)</f>
        <v>#N/A</v>
      </c>
      <c r="Q30" s="1697"/>
      <c r="R30" s="179"/>
      <c r="S30" s="137"/>
      <c r="T30" s="137"/>
      <c r="AF30" s="137"/>
      <c r="AG30" s="137"/>
      <c r="AH30" s="137"/>
      <c r="AI30" s="137"/>
      <c r="AJ30" s="1727"/>
      <c r="AK30" s="1727"/>
      <c r="AL30" s="1727"/>
      <c r="AM30" s="159"/>
      <c r="AN30" s="160"/>
      <c r="AO30" s="161"/>
      <c r="AP30" s="137"/>
      <c r="AQ30" s="137"/>
    </row>
    <row r="31" spans="2:43" ht="15" customHeight="1" thickTop="1" thickBot="1">
      <c r="B31" s="487"/>
      <c r="C31" s="494"/>
      <c r="D31" s="495" t="s">
        <v>346</v>
      </c>
      <c r="E31" s="496" t="s">
        <v>347</v>
      </c>
      <c r="F31" s="493"/>
      <c r="J31" s="178"/>
      <c r="K31" s="28">
        <v>1</v>
      </c>
      <c r="L31" s="28">
        <v>3.54</v>
      </c>
      <c r="N31" s="1699"/>
      <c r="O31" s="36" t="s">
        <v>716</v>
      </c>
      <c r="P31" s="1696" t="e">
        <f>M7-M6</f>
        <v>#N/A</v>
      </c>
      <c r="Q31" s="1697"/>
      <c r="R31" s="179"/>
      <c r="S31" s="137"/>
      <c r="T31" s="137"/>
      <c r="AF31" s="137"/>
      <c r="AG31" s="137"/>
      <c r="AH31" s="137"/>
      <c r="AI31" s="137"/>
      <c r="AJ31" s="137"/>
      <c r="AK31" s="137"/>
      <c r="AL31" s="137"/>
      <c r="AM31" s="137"/>
      <c r="AN31" s="137"/>
      <c r="AO31" s="137"/>
      <c r="AP31" s="137"/>
      <c r="AQ31" s="137"/>
    </row>
    <row r="32" spans="2:43" ht="15" customHeight="1" thickBot="1">
      <c r="B32" s="487"/>
      <c r="C32" s="497" t="s">
        <v>338</v>
      </c>
      <c r="D32" s="498" t="e">
        <f>IF(D22&gt;84,"N/A",D22)</f>
        <v>#N/A</v>
      </c>
      <c r="E32" s="499" t="e">
        <f>IF(E22&gt;84,"N/A",E22)</f>
        <v>#N/A</v>
      </c>
      <c r="F32" s="490"/>
      <c r="J32" s="178"/>
      <c r="K32" s="305" t="s">
        <v>784</v>
      </c>
      <c r="L32" s="305" t="b">
        <f>IF(OR(E7&lt;=60,AND($E$7&lt;=90,('Saisie de données'!$D$38/MIN('Saisie de données'!$D$36,'Saisie de données'!$J$36))&lt;=1)),TRUE(),FALSE())</f>
        <v>1</v>
      </c>
      <c r="N32" s="1700"/>
      <c r="O32" s="36" t="s">
        <v>717</v>
      </c>
      <c r="P32" s="1696" t="e">
        <f>IF(OR('Saisie de données'!$E$51='Menu déroulant'!$AE$57,'Saisie de données'!$K$51='Menu déroulant'!$AE$57),"-",M7-M10)</f>
        <v>#N/A</v>
      </c>
      <c r="Q32" s="1697"/>
      <c r="R32" s="179"/>
      <c r="AF32" s="137"/>
      <c r="AG32" s="137"/>
      <c r="AH32" s="137"/>
      <c r="AI32" s="137"/>
      <c r="AJ32" s="137"/>
      <c r="AK32" s="137"/>
      <c r="AL32" s="137"/>
      <c r="AM32" s="165"/>
      <c r="AN32" s="149"/>
      <c r="AO32" s="149"/>
      <c r="AP32" s="149"/>
      <c r="AQ32" s="137"/>
    </row>
    <row r="33" spans="2:43" ht="15" customHeight="1" thickBot="1">
      <c r="B33" s="487"/>
      <c r="C33" s="500" t="s">
        <v>111</v>
      </c>
      <c r="D33" s="501"/>
      <c r="E33" s="502"/>
      <c r="F33" s="490"/>
      <c r="J33" s="181"/>
      <c r="K33" s="729" t="s">
        <v>785</v>
      </c>
      <c r="L33" s="35"/>
      <c r="M33" s="35"/>
      <c r="N33" s="35"/>
      <c r="O33" s="35"/>
      <c r="P33" s="35"/>
      <c r="Q33" s="35"/>
      <c r="R33" s="216"/>
      <c r="S33" s="114"/>
      <c r="T33" s="114"/>
      <c r="AF33" s="226"/>
      <c r="AG33" s="226"/>
      <c r="AH33" s="226"/>
      <c r="AI33" s="137"/>
      <c r="AJ33" s="137"/>
      <c r="AK33" s="137"/>
      <c r="AL33" s="137"/>
      <c r="AM33" s="151"/>
      <c r="AN33" s="158"/>
      <c r="AO33" s="1717"/>
      <c r="AP33" s="1717"/>
      <c r="AQ33" s="137"/>
    </row>
    <row r="34" spans="2:43" ht="27.95" customHeight="1" thickTop="1" thickBot="1">
      <c r="B34" s="487"/>
      <c r="C34" s="503" t="s">
        <v>687</v>
      </c>
      <c r="D34" s="450"/>
      <c r="E34" s="492"/>
      <c r="F34" s="490"/>
      <c r="J34" s="176"/>
      <c r="K34" s="176"/>
      <c r="L34" s="176"/>
      <c r="M34" s="176"/>
      <c r="N34" s="176"/>
      <c r="O34" s="175"/>
      <c r="P34" s="175"/>
      <c r="Q34" s="175"/>
      <c r="R34" s="176"/>
      <c r="S34" s="114"/>
      <c r="T34" s="114"/>
      <c r="AF34" s="226"/>
      <c r="AG34" s="226"/>
      <c r="AH34" s="226"/>
      <c r="AI34" s="137"/>
      <c r="AJ34" s="137"/>
      <c r="AK34" s="137"/>
      <c r="AL34" s="137"/>
      <c r="AM34" s="151"/>
      <c r="AN34" s="166"/>
      <c r="AO34" s="159"/>
      <c r="AP34" s="159"/>
      <c r="AQ34" s="137"/>
    </row>
    <row r="35" spans="2:43" ht="15.6" thickTop="1" thickBot="1">
      <c r="B35" s="487"/>
      <c r="C35" s="494"/>
      <c r="D35" s="495" t="s">
        <v>346</v>
      </c>
      <c r="E35" s="496" t="s">
        <v>347</v>
      </c>
      <c r="F35" s="490"/>
      <c r="O35" s="137"/>
      <c r="P35" s="1231"/>
      <c r="Q35" s="1231"/>
      <c r="S35" s="115"/>
      <c r="T35" s="115"/>
      <c r="AF35" s="137"/>
      <c r="AG35" s="137"/>
      <c r="AH35" s="137"/>
      <c r="AI35" s="137"/>
      <c r="AJ35" s="137"/>
      <c r="AK35" s="137"/>
      <c r="AL35" s="137"/>
      <c r="AM35" s="1717"/>
      <c r="AN35" s="1717"/>
      <c r="AO35" s="149"/>
      <c r="AP35" s="149"/>
      <c r="AQ35" s="137"/>
    </row>
    <row r="36" spans="2:43" ht="15" thickBot="1">
      <c r="B36" s="487"/>
      <c r="C36" s="497" t="s">
        <v>338</v>
      </c>
      <c r="D36" s="498" t="e">
        <f>IF(D22&gt;84,"N/A",D22)</f>
        <v>#N/A</v>
      </c>
      <c r="E36" s="499" t="e">
        <f>IF(E22&gt;84,"N/A",E22)</f>
        <v>#N/A</v>
      </c>
      <c r="F36" s="490"/>
      <c r="O36" s="137"/>
      <c r="P36" s="410"/>
      <c r="Q36" s="410"/>
      <c r="AF36" s="137"/>
      <c r="AG36" s="137"/>
      <c r="AH36" s="137"/>
      <c r="AI36" s="137"/>
      <c r="AJ36" s="137"/>
      <c r="AK36" s="137"/>
      <c r="AL36" s="137"/>
      <c r="AM36" s="151"/>
      <c r="AN36" s="167"/>
      <c r="AO36" s="168"/>
      <c r="AP36" s="149"/>
      <c r="AQ36" s="137"/>
    </row>
    <row r="37" spans="2:43" ht="15" thickBot="1">
      <c r="B37" s="487"/>
      <c r="C37" s="500" t="s">
        <v>111</v>
      </c>
      <c r="D37" s="501"/>
      <c r="E37" s="502"/>
      <c r="F37" s="490"/>
      <c r="O37" s="159"/>
      <c r="P37" s="160"/>
      <c r="Q37" s="160"/>
      <c r="AF37" s="137"/>
      <c r="AG37" s="137"/>
      <c r="AH37" s="139"/>
      <c r="AI37" s="137"/>
      <c r="AJ37" s="137"/>
      <c r="AK37" s="137"/>
      <c r="AL37" s="137"/>
      <c r="AM37" s="137"/>
      <c r="AN37" s="137"/>
      <c r="AO37" s="137"/>
      <c r="AP37" s="137"/>
      <c r="AQ37" s="137"/>
    </row>
    <row r="38" spans="2:43" ht="31.5" customHeight="1" thickTop="1" thickBot="1">
      <c r="B38" s="487"/>
      <c r="C38" s="503" t="s">
        <v>688</v>
      </c>
      <c r="D38" s="450"/>
      <c r="E38" s="492"/>
      <c r="F38" s="490"/>
      <c r="O38" s="159"/>
      <c r="P38" s="160"/>
      <c r="Q38" s="160"/>
      <c r="U38" s="137"/>
      <c r="V38" s="137"/>
      <c r="W38" s="137"/>
      <c r="X38" s="137"/>
      <c r="AF38" s="227"/>
      <c r="AG38" s="227"/>
      <c r="AH38" s="227"/>
      <c r="AI38" s="137"/>
      <c r="AJ38" s="137"/>
      <c r="AK38" s="137"/>
      <c r="AL38" s="137"/>
      <c r="AM38" s="137"/>
      <c r="AN38" s="137"/>
      <c r="AO38" s="137"/>
      <c r="AP38" s="137"/>
      <c r="AQ38" s="137"/>
    </row>
    <row r="39" spans="2:43" ht="15.6" thickTop="1" thickBot="1">
      <c r="B39" s="487"/>
      <c r="C39" s="494"/>
      <c r="D39" s="495" t="s">
        <v>346</v>
      </c>
      <c r="E39" s="496" t="s">
        <v>347</v>
      </c>
      <c r="F39" s="490"/>
      <c r="O39" s="159"/>
      <c r="P39" s="160"/>
      <c r="Q39" s="160"/>
      <c r="AF39" s="137"/>
      <c r="AG39" s="228"/>
      <c r="AH39" s="137"/>
      <c r="AI39" s="137"/>
      <c r="AJ39" s="137"/>
      <c r="AK39" s="137"/>
      <c r="AL39" s="137"/>
      <c r="AM39" s="150"/>
      <c r="AN39" s="149"/>
      <c r="AO39" s="149"/>
      <c r="AP39" s="137"/>
      <c r="AQ39" s="137"/>
    </row>
    <row r="40" spans="2:43" ht="15" thickBot="1">
      <c r="B40" s="487"/>
      <c r="C40" s="497" t="s">
        <v>338</v>
      </c>
      <c r="D40" s="498" t="e">
        <f>IF(D22&gt;84,"N/A",D22)</f>
        <v>#N/A</v>
      </c>
      <c r="E40" s="499" t="e">
        <f>IF(E22&gt;84,"N/A",E22)</f>
        <v>#N/A</v>
      </c>
      <c r="F40" s="490"/>
      <c r="O40" s="159"/>
      <c r="P40" s="160"/>
      <c r="Q40" s="160"/>
      <c r="AF40" s="137"/>
      <c r="AG40" s="229"/>
      <c r="AH40" s="230"/>
      <c r="AI40" s="137"/>
      <c r="AJ40" s="137"/>
      <c r="AK40" s="137"/>
      <c r="AL40" s="137"/>
      <c r="AM40" s="1717"/>
      <c r="AN40" s="171"/>
      <c r="AO40" s="172"/>
      <c r="AP40" s="137"/>
      <c r="AQ40" s="137"/>
    </row>
    <row r="41" spans="2:43" ht="15" thickBot="1">
      <c r="B41" s="487"/>
      <c r="C41" s="500" t="s">
        <v>111</v>
      </c>
      <c r="D41" s="501"/>
      <c r="E41" s="502"/>
      <c r="F41" s="490"/>
      <c r="O41" s="159"/>
      <c r="P41" s="160"/>
      <c r="Q41" s="160"/>
      <c r="AF41" s="137"/>
      <c r="AG41" s="229"/>
      <c r="AH41" s="230"/>
      <c r="AI41" s="137"/>
      <c r="AJ41" s="137"/>
      <c r="AK41" s="137"/>
      <c r="AL41" s="137"/>
      <c r="AM41" s="1717"/>
      <c r="AN41" s="1717"/>
      <c r="AO41" s="1717"/>
      <c r="AP41" s="137"/>
      <c r="AQ41" s="137"/>
    </row>
    <row r="42" spans="2:43" ht="23.65" customHeight="1" thickTop="1" thickBot="1">
      <c r="B42" s="487"/>
      <c r="C42" s="507"/>
      <c r="D42" s="504"/>
      <c r="E42" s="492"/>
      <c r="F42" s="490"/>
      <c r="O42" s="159"/>
      <c r="P42" s="160"/>
      <c r="Q42" s="160"/>
      <c r="S42" s="109"/>
      <c r="T42" s="109"/>
      <c r="AF42" s="231"/>
      <c r="AG42" s="231"/>
      <c r="AH42" s="137"/>
      <c r="AI42" s="137"/>
      <c r="AJ42" s="137"/>
      <c r="AK42" s="137"/>
      <c r="AL42" s="137"/>
      <c r="AM42" s="1717"/>
      <c r="AN42" s="1717"/>
      <c r="AO42" s="1717"/>
      <c r="AP42" s="137"/>
      <c r="AQ42" s="137"/>
    </row>
    <row r="43" spans="2:43" ht="14.65" customHeight="1" thickTop="1" thickBot="1">
      <c r="B43" s="487"/>
      <c r="C43" s="494"/>
      <c r="D43" s="495"/>
      <c r="E43" s="496"/>
      <c r="F43" s="490"/>
      <c r="O43" s="159"/>
      <c r="P43" s="160"/>
      <c r="Q43" s="160"/>
      <c r="S43" s="110"/>
      <c r="T43" s="110"/>
      <c r="AF43" s="136"/>
      <c r="AG43" s="137"/>
      <c r="AH43" s="137"/>
      <c r="AI43" s="137"/>
      <c r="AJ43" s="137"/>
      <c r="AK43" s="137"/>
      <c r="AL43" s="1727"/>
      <c r="AM43" s="159"/>
      <c r="AN43" s="173"/>
      <c r="AO43" s="173"/>
      <c r="AP43" s="137"/>
      <c r="AQ43" s="137"/>
    </row>
    <row r="44" spans="2:43" ht="14.65" customHeight="1" thickBot="1">
      <c r="B44" s="487"/>
      <c r="C44" s="497"/>
      <c r="D44" s="498"/>
      <c r="E44" s="499"/>
      <c r="F44" s="490"/>
      <c r="O44" s="159"/>
      <c r="P44" s="160"/>
      <c r="Q44" s="160"/>
      <c r="S44" s="111"/>
      <c r="T44" s="111"/>
      <c r="AF44" s="226"/>
      <c r="AG44" s="226"/>
      <c r="AH44" s="137"/>
      <c r="AI44" s="137"/>
      <c r="AJ44" s="137"/>
      <c r="AK44" s="137"/>
      <c r="AL44" s="1727"/>
      <c r="AM44" s="159"/>
      <c r="AN44" s="173"/>
      <c r="AO44" s="173"/>
      <c r="AP44" s="137"/>
      <c r="AQ44" s="137"/>
    </row>
    <row r="45" spans="2:43" ht="14.65" customHeight="1" thickBot="1">
      <c r="B45" s="487"/>
      <c r="C45" s="500"/>
      <c r="D45" s="501"/>
      <c r="E45" s="502"/>
      <c r="F45" s="490"/>
      <c r="O45" s="159"/>
      <c r="P45" s="160"/>
      <c r="Q45" s="160"/>
      <c r="S45" s="119"/>
      <c r="T45" s="119"/>
      <c r="AF45" s="232"/>
      <c r="AG45" s="136"/>
      <c r="AH45" s="233"/>
      <c r="AI45" s="137"/>
      <c r="AJ45" s="137"/>
      <c r="AK45" s="137"/>
      <c r="AL45" s="1727"/>
      <c r="AM45" s="159"/>
      <c r="AN45" s="173"/>
      <c r="AO45" s="173"/>
      <c r="AP45" s="137"/>
      <c r="AQ45" s="137"/>
    </row>
    <row r="46" spans="2:43" ht="14.65" customHeight="1" thickTop="1" thickBot="1">
      <c r="B46" s="487"/>
      <c r="C46" s="450"/>
      <c r="D46" s="450"/>
      <c r="E46" s="450"/>
      <c r="F46" s="490"/>
      <c r="O46" s="159"/>
      <c r="P46" s="160"/>
      <c r="Q46" s="160"/>
      <c r="S46" s="112"/>
      <c r="T46" s="112"/>
      <c r="AF46" s="234"/>
      <c r="AG46" s="234"/>
      <c r="AH46" s="137"/>
      <c r="AI46" s="137"/>
      <c r="AJ46" s="137"/>
      <c r="AK46" s="137"/>
      <c r="AL46" s="1727"/>
      <c r="AM46" s="159"/>
      <c r="AN46" s="173"/>
      <c r="AO46" s="173"/>
      <c r="AP46" s="137"/>
      <c r="AQ46" s="137"/>
    </row>
    <row r="47" spans="2:43" ht="14.65" customHeight="1" thickTop="1">
      <c r="B47" s="175"/>
      <c r="C47" s="175"/>
      <c r="D47" s="175"/>
      <c r="E47" s="175"/>
      <c r="F47" s="175"/>
      <c r="G47" s="137"/>
      <c r="S47" s="112"/>
      <c r="T47" s="112"/>
      <c r="AF47" s="234"/>
      <c r="AG47" s="234"/>
      <c r="AH47" s="137"/>
      <c r="AI47" s="137"/>
      <c r="AJ47" s="137"/>
      <c r="AK47" s="137"/>
      <c r="AL47" s="1727"/>
      <c r="AM47" s="159"/>
      <c r="AN47" s="1728"/>
      <c r="AO47" s="1728"/>
      <c r="AP47" s="137"/>
      <c r="AQ47" s="137"/>
    </row>
    <row r="48" spans="2:43" ht="14.65" customHeight="1">
      <c r="B48" s="137"/>
      <c r="C48" s="137"/>
      <c r="D48" s="137"/>
      <c r="E48" s="137"/>
      <c r="F48" s="137"/>
      <c r="G48" s="137"/>
      <c r="S48" s="112"/>
      <c r="T48" s="112"/>
      <c r="AF48" s="234"/>
      <c r="AG48" s="234"/>
      <c r="AH48" s="137"/>
      <c r="AI48" s="137"/>
      <c r="AJ48" s="137"/>
      <c r="AK48" s="137"/>
      <c r="AL48" s="1727"/>
      <c r="AM48" s="159"/>
      <c r="AN48" s="1728"/>
      <c r="AO48" s="1728"/>
      <c r="AP48" s="137"/>
      <c r="AQ48" s="137"/>
    </row>
    <row r="49" spans="2:43">
      <c r="B49" s="137"/>
      <c r="C49" s="234"/>
      <c r="D49" s="234"/>
      <c r="E49" s="234"/>
      <c r="F49" s="137"/>
      <c r="G49" s="137"/>
      <c r="K49" s="125"/>
      <c r="L49" s="126"/>
      <c r="M49" s="126"/>
      <c r="N49" s="126"/>
      <c r="S49" s="112"/>
      <c r="T49" s="112"/>
      <c r="AF49" s="234"/>
      <c r="AG49" s="234"/>
      <c r="AH49" s="137"/>
      <c r="AI49" s="137"/>
      <c r="AJ49" s="137"/>
      <c r="AK49" s="137"/>
      <c r="AL49" s="1727"/>
      <c r="AM49" s="159"/>
      <c r="AN49" s="1728"/>
      <c r="AO49" s="1728"/>
      <c r="AP49" s="137"/>
      <c r="AQ49" s="137"/>
    </row>
    <row r="50" spans="2:43">
      <c r="B50" s="137"/>
      <c r="C50" s="234"/>
      <c r="D50" s="234"/>
      <c r="E50" s="234"/>
      <c r="F50" s="137"/>
      <c r="G50" s="137"/>
      <c r="K50" s="127"/>
      <c r="L50" s="126"/>
      <c r="M50" s="128"/>
      <c r="N50" s="126"/>
      <c r="S50" s="112"/>
      <c r="T50" s="112"/>
      <c r="AF50" s="234"/>
      <c r="AG50" s="234"/>
      <c r="AH50" s="137"/>
      <c r="AI50" s="137"/>
      <c r="AJ50" s="137"/>
      <c r="AK50" s="137"/>
      <c r="AL50" s="1727"/>
      <c r="AM50" s="159"/>
      <c r="AN50" s="1728"/>
      <c r="AO50" s="1728"/>
      <c r="AP50" s="137"/>
      <c r="AQ50" s="137"/>
    </row>
    <row r="51" spans="2:43">
      <c r="B51" s="137"/>
      <c r="C51" s="506"/>
      <c r="D51" s="142"/>
      <c r="E51" s="137"/>
      <c r="F51" s="137"/>
      <c r="G51" s="137"/>
      <c r="K51" s="126"/>
      <c r="L51" s="126"/>
      <c r="M51" s="128"/>
      <c r="N51" s="126"/>
      <c r="S51" s="112"/>
      <c r="T51" s="112"/>
      <c r="AF51" s="234"/>
      <c r="AG51" s="234"/>
      <c r="AH51" s="137"/>
      <c r="AI51" s="137"/>
      <c r="AJ51" s="137"/>
      <c r="AK51" s="137"/>
      <c r="AL51" s="137"/>
      <c r="AM51" s="137"/>
      <c r="AN51" s="137"/>
      <c r="AO51" s="137"/>
      <c r="AP51" s="137"/>
      <c r="AQ51" s="137"/>
    </row>
    <row r="52" spans="2:43">
      <c r="S52" s="112"/>
      <c r="T52" s="112"/>
      <c r="U52" s="112"/>
      <c r="V52" s="112"/>
      <c r="AB52" s="125"/>
      <c r="AC52" s="126"/>
      <c r="AD52" s="126"/>
      <c r="AE52" s="126"/>
      <c r="AF52" s="234"/>
      <c r="AG52" s="234"/>
      <c r="AH52" s="137"/>
      <c r="AI52" s="137"/>
      <c r="AJ52" s="137"/>
      <c r="AK52" s="137"/>
      <c r="AL52" s="137"/>
      <c r="AM52" s="165"/>
      <c r="AN52" s="149"/>
      <c r="AO52" s="149"/>
      <c r="AP52" s="149"/>
      <c r="AQ52" s="137"/>
    </row>
    <row r="53" spans="2:43">
      <c r="S53" s="112"/>
      <c r="T53" s="112"/>
      <c r="U53" s="112"/>
      <c r="V53" s="112"/>
      <c r="AB53" s="127"/>
      <c r="AC53" s="126"/>
      <c r="AD53" s="128"/>
      <c r="AE53" s="126"/>
      <c r="AF53" s="234"/>
      <c r="AG53" s="234"/>
      <c r="AH53" s="137"/>
      <c r="AI53" s="137"/>
      <c r="AJ53" s="137"/>
      <c r="AK53" s="137"/>
      <c r="AL53" s="137"/>
      <c r="AM53" s="158"/>
      <c r="AN53" s="149"/>
      <c r="AO53" s="235"/>
      <c r="AP53" s="149"/>
      <c r="AQ53" s="137"/>
    </row>
    <row r="54" spans="2:43" ht="14.65" customHeight="1">
      <c r="C54" s="111"/>
      <c r="D54" s="111"/>
      <c r="E54" s="111"/>
      <c r="F54" s="111"/>
      <c r="K54" s="1716"/>
      <c r="L54" s="1716"/>
      <c r="M54" s="1716"/>
      <c r="N54" s="1716"/>
      <c r="S54" s="121"/>
      <c r="T54" s="121"/>
      <c r="U54" s="122"/>
      <c r="AB54" s="126"/>
      <c r="AC54" s="126"/>
      <c r="AD54" s="128"/>
      <c r="AE54" s="126"/>
      <c r="AF54" s="142"/>
      <c r="AG54" s="137"/>
      <c r="AH54" s="137"/>
      <c r="AI54" s="137"/>
      <c r="AJ54" s="137"/>
      <c r="AK54" s="137"/>
      <c r="AL54" s="137"/>
      <c r="AM54" s="149"/>
      <c r="AN54" s="149"/>
      <c r="AO54" s="235"/>
      <c r="AP54" s="149"/>
      <c r="AQ54" s="137"/>
    </row>
    <row r="55" spans="2:43">
      <c r="K55" s="156"/>
      <c r="L55" s="156"/>
      <c r="M55" s="156"/>
      <c r="N55" s="156"/>
      <c r="AF55" s="137"/>
      <c r="AG55" s="137"/>
      <c r="AH55" s="137"/>
      <c r="AI55" s="137"/>
      <c r="AJ55" s="137"/>
      <c r="AK55" s="137"/>
      <c r="AL55" s="137"/>
      <c r="AM55" s="137"/>
      <c r="AN55" s="137"/>
      <c r="AO55" s="137"/>
      <c r="AP55" s="137"/>
      <c r="AQ55" s="137"/>
    </row>
    <row r="56" spans="2:43" ht="14.45" customHeight="1">
      <c r="F56" s="123"/>
      <c r="K56" s="156"/>
      <c r="L56" s="156"/>
      <c r="M56" s="156"/>
      <c r="N56" s="156"/>
      <c r="AF56" s="137"/>
      <c r="AG56" s="137"/>
      <c r="AH56" s="137"/>
      <c r="AI56" s="137"/>
      <c r="AJ56" s="137"/>
      <c r="AK56" s="137"/>
      <c r="AL56" s="137"/>
      <c r="AM56" s="137"/>
      <c r="AN56" s="137"/>
      <c r="AO56" s="137"/>
      <c r="AP56" s="137"/>
      <c r="AQ56" s="137"/>
    </row>
    <row r="57" spans="2:43">
      <c r="K57" s="156"/>
      <c r="L57" s="156"/>
      <c r="M57" s="156"/>
      <c r="N57" s="156"/>
      <c r="S57" s="111"/>
      <c r="T57" s="111"/>
      <c r="U57" s="111"/>
      <c r="V57" s="111"/>
      <c r="W57" s="111"/>
      <c r="AB57" s="1723"/>
      <c r="AC57" s="1723"/>
      <c r="AD57" s="1723"/>
      <c r="AE57" s="1723"/>
      <c r="AF57" s="137"/>
      <c r="AG57" s="137"/>
      <c r="AH57" s="137"/>
      <c r="AI57" s="137"/>
      <c r="AJ57" s="137"/>
      <c r="AK57" s="137"/>
      <c r="AL57" s="137"/>
      <c r="AM57" s="137"/>
      <c r="AN57" s="137"/>
      <c r="AO57" s="137"/>
      <c r="AP57" s="137"/>
      <c r="AQ57" s="137"/>
    </row>
    <row r="58" spans="2:43">
      <c r="F58" s="116"/>
      <c r="K58" s="156"/>
      <c r="L58" s="156"/>
      <c r="M58" s="156"/>
      <c r="N58" s="156"/>
      <c r="AB58" s="1723"/>
      <c r="AC58" s="1723"/>
      <c r="AD58" s="1723"/>
      <c r="AE58" s="1723"/>
      <c r="AF58" s="136"/>
      <c r="AG58" s="136"/>
      <c r="AH58" s="136"/>
      <c r="AI58" s="136"/>
      <c r="AJ58" s="136"/>
      <c r="AK58" s="136"/>
      <c r="AL58" s="136"/>
      <c r="AM58" s="136"/>
      <c r="AN58" s="136"/>
      <c r="AO58" s="136"/>
      <c r="AP58" s="136"/>
      <c r="AQ58" s="137"/>
    </row>
    <row r="59" spans="2:43">
      <c r="D59" s="117"/>
      <c r="E59" s="117"/>
      <c r="F59" s="117"/>
      <c r="K59" s="389"/>
      <c r="L59" s="156"/>
      <c r="M59" s="156"/>
      <c r="N59" s="156"/>
      <c r="W59" s="123"/>
      <c r="AB59" s="1723"/>
      <c r="AC59" s="1723"/>
      <c r="AD59" s="1723"/>
      <c r="AE59" s="1723"/>
      <c r="AF59" s="137"/>
      <c r="AG59" s="137"/>
      <c r="AH59" s="137"/>
      <c r="AI59" s="137"/>
      <c r="AJ59" s="137"/>
      <c r="AK59" s="137"/>
      <c r="AL59" s="137"/>
      <c r="AM59" s="137"/>
      <c r="AN59" s="137"/>
      <c r="AO59" s="137"/>
      <c r="AP59" s="137"/>
      <c r="AQ59" s="137"/>
    </row>
    <row r="60" spans="2:43">
      <c r="E60" s="107"/>
      <c r="K60" s="156"/>
      <c r="L60" s="156"/>
      <c r="M60" s="156"/>
      <c r="N60" s="156"/>
      <c r="AB60" s="1723"/>
      <c r="AC60" s="1723"/>
      <c r="AD60" s="1723"/>
      <c r="AE60" s="1723"/>
      <c r="AF60" s="1725"/>
      <c r="AG60" s="1725"/>
      <c r="AH60" s="1725"/>
      <c r="AI60" s="1725"/>
      <c r="AJ60" s="1725"/>
      <c r="AK60" s="1725"/>
      <c r="AL60" s="1725"/>
      <c r="AM60" s="1725"/>
      <c r="AN60" s="137"/>
      <c r="AO60" s="137"/>
      <c r="AP60" s="137"/>
      <c r="AQ60" s="137"/>
    </row>
    <row r="61" spans="2:43">
      <c r="E61" s="108"/>
      <c r="F61" s="118"/>
      <c r="K61" s="156"/>
      <c r="L61" s="156"/>
      <c r="M61" s="156"/>
      <c r="N61" s="156"/>
      <c r="W61" s="116"/>
      <c r="AB61" s="1723"/>
      <c r="AC61" s="1723"/>
      <c r="AD61" s="1723"/>
      <c r="AE61" s="1723"/>
      <c r="AF61" s="137"/>
      <c r="AG61" s="137"/>
      <c r="AH61" s="137"/>
      <c r="AI61" s="137"/>
      <c r="AJ61" s="137"/>
      <c r="AK61" s="137"/>
      <c r="AL61" s="137"/>
      <c r="AM61" s="137"/>
      <c r="AN61" s="137"/>
      <c r="AO61" s="137"/>
      <c r="AP61" s="137"/>
      <c r="AQ61" s="137"/>
    </row>
    <row r="62" spans="2:43" ht="18">
      <c r="C62" s="109"/>
      <c r="D62" s="109"/>
      <c r="E62" s="109"/>
      <c r="K62" s="156"/>
      <c r="L62" s="156"/>
      <c r="M62" s="156"/>
      <c r="N62" s="156"/>
      <c r="U62" s="117"/>
      <c r="V62" s="117"/>
      <c r="W62" s="117"/>
      <c r="AB62" s="1723"/>
      <c r="AC62" s="1723"/>
      <c r="AD62" s="1723"/>
      <c r="AE62" s="1723"/>
      <c r="AF62" s="1725"/>
      <c r="AG62" s="1725"/>
      <c r="AH62" s="1725"/>
      <c r="AI62" s="137"/>
      <c r="AJ62" s="137"/>
      <c r="AK62" s="137"/>
      <c r="AL62" s="137"/>
      <c r="AM62" s="147"/>
      <c r="AN62" s="148"/>
      <c r="AO62" s="137"/>
      <c r="AP62" s="137"/>
      <c r="AQ62" s="137"/>
    </row>
    <row r="63" spans="2:43">
      <c r="C63" s="110"/>
      <c r="D63" s="110"/>
      <c r="K63" s="156"/>
      <c r="L63" s="156"/>
      <c r="M63" s="156"/>
      <c r="N63" s="156"/>
      <c r="V63" s="107"/>
      <c r="AB63" s="1723"/>
      <c r="AC63" s="1723"/>
      <c r="AD63" s="1723"/>
      <c r="AE63" s="1723"/>
      <c r="AF63" s="137"/>
      <c r="AG63" s="137"/>
      <c r="AH63" s="137"/>
      <c r="AI63" s="137"/>
      <c r="AJ63" s="137"/>
      <c r="AK63" s="137"/>
      <c r="AL63" s="137"/>
      <c r="AM63" s="137"/>
      <c r="AN63" s="137"/>
      <c r="AO63" s="137"/>
      <c r="AP63" s="137"/>
      <c r="AQ63" s="137"/>
    </row>
    <row r="64" spans="2:43">
      <c r="C64" s="111"/>
      <c r="D64" s="111"/>
      <c r="E64" s="111"/>
      <c r="K64" s="156"/>
      <c r="L64" s="156"/>
      <c r="M64" s="156"/>
      <c r="N64" s="156"/>
      <c r="O64" t="s">
        <v>689</v>
      </c>
      <c r="V64" s="108"/>
      <c r="W64" s="118"/>
      <c r="AB64" s="1723"/>
      <c r="AC64" s="1723"/>
      <c r="AD64" s="1723"/>
      <c r="AE64" s="1723"/>
      <c r="AF64" s="137"/>
      <c r="AG64" s="137"/>
      <c r="AH64" s="137"/>
      <c r="AI64" s="137"/>
      <c r="AJ64" s="137"/>
      <c r="AK64" s="137"/>
      <c r="AL64" s="137"/>
      <c r="AM64" s="149"/>
      <c r="AN64" s="149"/>
      <c r="AO64" s="149"/>
      <c r="AP64" s="149"/>
      <c r="AQ64" s="137"/>
    </row>
    <row r="65" spans="3:43" ht="18">
      <c r="C65" s="119"/>
      <c r="D65" s="113"/>
      <c r="E65" s="110"/>
      <c r="F65" s="120"/>
      <c r="K65" s="156"/>
      <c r="L65" s="156"/>
      <c r="M65" s="156"/>
      <c r="N65" s="156"/>
      <c r="S65" s="109"/>
      <c r="T65" s="109"/>
      <c r="U65" s="109"/>
      <c r="V65" s="109"/>
      <c r="AB65" s="1723"/>
      <c r="AC65" s="1723"/>
      <c r="AD65" s="1723"/>
      <c r="AE65" s="1723"/>
      <c r="AF65" s="137"/>
      <c r="AG65" s="137"/>
      <c r="AH65" s="137"/>
      <c r="AI65" s="137"/>
      <c r="AJ65" s="137"/>
      <c r="AK65" s="137"/>
      <c r="AL65" s="137"/>
      <c r="AM65" s="150"/>
      <c r="AN65" s="149"/>
      <c r="AO65" s="149"/>
      <c r="AP65" s="149"/>
      <c r="AQ65" s="137"/>
    </row>
    <row r="66" spans="3:43" ht="14.65" customHeight="1">
      <c r="C66" s="112"/>
      <c r="D66" s="112"/>
      <c r="E66" s="112"/>
      <c r="K66" s="156"/>
      <c r="L66" s="156"/>
      <c r="M66" s="156"/>
      <c r="N66" s="156"/>
      <c r="S66" s="110"/>
      <c r="T66" s="110"/>
      <c r="U66" s="110"/>
      <c r="AB66" s="1723"/>
      <c r="AC66" s="1723"/>
      <c r="AD66" s="1723"/>
      <c r="AE66" s="1723"/>
      <c r="AF66" s="137"/>
      <c r="AG66" s="137"/>
      <c r="AH66" s="137"/>
      <c r="AI66" s="137"/>
      <c r="AJ66" s="137"/>
      <c r="AK66" s="137"/>
      <c r="AL66" s="137"/>
      <c r="AM66" s="151"/>
      <c r="AN66" s="1726"/>
      <c r="AO66" s="1726"/>
      <c r="AP66" s="149"/>
      <c r="AQ66" s="137"/>
    </row>
    <row r="67" spans="3:43">
      <c r="C67" s="112"/>
      <c r="D67" s="112"/>
      <c r="E67" s="112"/>
      <c r="K67" s="156"/>
      <c r="L67" s="156"/>
      <c r="M67" s="156"/>
      <c r="N67" s="156"/>
      <c r="S67" s="111"/>
      <c r="T67" s="111"/>
      <c r="U67" s="111"/>
      <c r="V67" s="111"/>
      <c r="AB67" s="1723"/>
      <c r="AC67" s="1723"/>
      <c r="AD67" s="1723"/>
      <c r="AE67" s="1723"/>
      <c r="AF67" s="1281"/>
      <c r="AG67" s="1281"/>
      <c r="AH67" s="137"/>
      <c r="AI67" s="137"/>
      <c r="AJ67" s="137"/>
      <c r="AK67" s="137"/>
      <c r="AL67" s="137"/>
      <c r="AM67" s="151"/>
      <c r="AN67" s="152"/>
      <c r="AO67" s="149"/>
      <c r="AP67" s="149"/>
      <c r="AQ67" s="137"/>
    </row>
    <row r="68" spans="3:43" ht="15.6">
      <c r="C68" s="112"/>
      <c r="D68" s="112"/>
      <c r="E68" s="112"/>
      <c r="K68" s="156"/>
      <c r="L68" s="156"/>
      <c r="M68" s="156"/>
      <c r="N68" s="156"/>
      <c r="S68" s="119"/>
      <c r="T68" s="119"/>
      <c r="U68" s="113"/>
      <c r="V68" s="110"/>
      <c r="W68" s="120"/>
      <c r="AB68" s="1723"/>
      <c r="AC68" s="1723"/>
      <c r="AD68" s="1723"/>
      <c r="AE68" s="1723"/>
      <c r="AF68" s="137"/>
      <c r="AG68" s="137"/>
      <c r="AH68" s="137"/>
      <c r="AI68" s="137"/>
      <c r="AJ68" s="137"/>
      <c r="AK68" s="137"/>
      <c r="AL68" s="137"/>
      <c r="AM68" s="1717"/>
      <c r="AN68" s="1717"/>
      <c r="AO68" s="153"/>
      <c r="AP68" s="149"/>
      <c r="AQ68" s="137"/>
    </row>
    <row r="69" spans="3:43">
      <c r="C69" s="112"/>
      <c r="D69" s="112"/>
      <c r="E69" s="112"/>
      <c r="K69" s="1"/>
      <c r="L69" s="1"/>
      <c r="M69" s="1"/>
      <c r="N69" s="1"/>
      <c r="S69" s="112"/>
      <c r="T69" s="112"/>
      <c r="U69" s="112"/>
      <c r="V69" s="112"/>
      <c r="AB69" s="1723"/>
      <c r="AC69" s="1723"/>
      <c r="AD69" s="1723"/>
      <c r="AE69" s="1723"/>
      <c r="AF69" s="137"/>
      <c r="AG69" s="137"/>
      <c r="AH69" s="137"/>
      <c r="AI69" s="137"/>
      <c r="AJ69" s="137"/>
      <c r="AK69" s="137"/>
      <c r="AL69" s="137"/>
      <c r="AM69" s="1724"/>
      <c r="AN69" s="1724"/>
      <c r="AO69" s="154"/>
      <c r="AP69" s="149"/>
      <c r="AQ69" s="137"/>
    </row>
    <row r="70" spans="3:43">
      <c r="C70" s="124"/>
      <c r="D70" s="122"/>
      <c r="K70" s="1"/>
      <c r="L70" s="1"/>
      <c r="M70" s="1"/>
      <c r="N70" s="1"/>
      <c r="S70" s="112"/>
      <c r="T70" s="112"/>
      <c r="U70" s="112"/>
      <c r="V70" s="112"/>
      <c r="AB70" s="1723"/>
      <c r="AC70" s="1723"/>
      <c r="AD70" s="1723"/>
      <c r="AE70" s="1723"/>
      <c r="AF70" s="137"/>
      <c r="AG70" s="137"/>
      <c r="AH70" s="137"/>
      <c r="AI70" s="137"/>
      <c r="AJ70" s="137"/>
      <c r="AK70" s="137"/>
      <c r="AL70" s="137"/>
      <c r="AM70" s="149"/>
      <c r="AN70" s="149"/>
      <c r="AO70" s="149"/>
      <c r="AP70" s="149"/>
      <c r="AQ70" s="137"/>
    </row>
    <row r="71" spans="3:43">
      <c r="K71" s="1"/>
      <c r="L71" s="1"/>
      <c r="M71" s="1"/>
      <c r="N71" s="1"/>
      <c r="S71" s="112"/>
      <c r="T71" s="112"/>
      <c r="U71" s="112"/>
      <c r="V71" s="112"/>
      <c r="AB71" s="1"/>
      <c r="AC71" s="1"/>
      <c r="AD71" s="1"/>
      <c r="AE71" s="1"/>
      <c r="AF71" s="137"/>
      <c r="AG71" s="137"/>
      <c r="AH71" s="137"/>
      <c r="AI71" s="137"/>
      <c r="AJ71" s="137"/>
      <c r="AK71" s="137"/>
      <c r="AL71" s="137"/>
      <c r="AM71" s="137"/>
      <c r="AN71" s="137"/>
      <c r="AO71" s="137"/>
      <c r="AP71" s="137"/>
      <c r="AQ71" s="137"/>
    </row>
    <row r="72" spans="3:43">
      <c r="K72" s="1"/>
      <c r="L72" s="1"/>
      <c r="M72" s="1"/>
      <c r="N72" s="1"/>
      <c r="AF72" s="137"/>
      <c r="AG72" s="137"/>
      <c r="AH72" s="137"/>
      <c r="AI72" s="137"/>
      <c r="AJ72" s="137"/>
      <c r="AK72" s="137"/>
      <c r="AL72" s="137"/>
      <c r="AM72" s="150"/>
      <c r="AN72" s="150"/>
      <c r="AO72" s="149"/>
      <c r="AP72" s="137"/>
      <c r="AQ72" s="137"/>
    </row>
    <row r="73" spans="3:43">
      <c r="AF73" s="137"/>
      <c r="AG73" s="137"/>
      <c r="AH73" s="137"/>
      <c r="AI73" s="137"/>
      <c r="AJ73" s="137"/>
      <c r="AK73" s="137"/>
      <c r="AL73" s="137"/>
      <c r="AM73" s="1717"/>
      <c r="AN73" s="1717"/>
      <c r="AO73" s="1717"/>
      <c r="AP73" s="137"/>
      <c r="AQ73" s="137"/>
    </row>
    <row r="74" spans="3:43">
      <c r="AF74" s="137"/>
      <c r="AG74" s="137"/>
      <c r="AH74" s="137"/>
      <c r="AI74" s="137"/>
      <c r="AJ74" s="137"/>
      <c r="AK74" s="137"/>
      <c r="AL74" s="137"/>
      <c r="AM74" s="1717"/>
      <c r="AN74" s="159"/>
      <c r="AO74" s="159"/>
      <c r="AP74" s="137"/>
      <c r="AQ74" s="137"/>
    </row>
    <row r="75" spans="3:43">
      <c r="AF75" s="137"/>
      <c r="AG75" s="137"/>
      <c r="AH75" s="137"/>
      <c r="AI75" s="137"/>
      <c r="AJ75" s="1727"/>
      <c r="AK75" s="1727"/>
      <c r="AL75" s="1727"/>
      <c r="AM75" s="159"/>
      <c r="AN75" s="160"/>
      <c r="AO75" s="161"/>
      <c r="AP75" s="137"/>
      <c r="AQ75" s="137"/>
    </row>
    <row r="76" spans="3:43">
      <c r="AF76" s="137"/>
      <c r="AG76" s="137"/>
      <c r="AH76" s="137"/>
      <c r="AI76" s="137"/>
      <c r="AJ76" s="1727"/>
      <c r="AK76" s="1727"/>
      <c r="AL76" s="1727"/>
      <c r="AM76" s="159"/>
      <c r="AN76" s="160"/>
      <c r="AO76" s="236"/>
      <c r="AP76" s="137"/>
      <c r="AQ76" s="137"/>
    </row>
    <row r="77" spans="3:43">
      <c r="AF77" s="137"/>
      <c r="AG77" s="137"/>
      <c r="AH77" s="137"/>
      <c r="AI77" s="137"/>
      <c r="AJ77" s="1727"/>
      <c r="AK77" s="1727"/>
      <c r="AL77" s="1727"/>
      <c r="AM77" s="159"/>
      <c r="AN77" s="160"/>
      <c r="AO77" s="236"/>
      <c r="AP77" s="137"/>
      <c r="AQ77" s="137"/>
    </row>
    <row r="78" spans="3:43">
      <c r="AF78" s="135"/>
      <c r="AG78" s="139"/>
      <c r="AH78" s="137"/>
      <c r="AI78" s="137"/>
      <c r="AJ78" s="1727"/>
      <c r="AK78" s="1727"/>
      <c r="AL78" s="1727"/>
      <c r="AM78" s="159"/>
      <c r="AN78" s="160"/>
      <c r="AO78" s="161"/>
      <c r="AP78" s="137"/>
      <c r="AQ78" s="137"/>
    </row>
    <row r="79" spans="3:43">
      <c r="AF79" s="135"/>
      <c r="AG79" s="142"/>
      <c r="AH79" s="142"/>
      <c r="AI79" s="137"/>
      <c r="AJ79" s="1727"/>
      <c r="AK79" s="1727"/>
      <c r="AL79" s="1727"/>
      <c r="AM79" s="159"/>
      <c r="AN79" s="160"/>
      <c r="AO79" s="161"/>
      <c r="AP79" s="137"/>
      <c r="AQ79" s="137"/>
    </row>
    <row r="80" spans="3:43">
      <c r="AF80" s="137"/>
      <c r="AG80" s="137"/>
      <c r="AH80" s="137"/>
      <c r="AI80" s="137"/>
      <c r="AJ80" s="1727"/>
      <c r="AK80" s="1727"/>
      <c r="AL80" s="1727"/>
      <c r="AM80" s="159"/>
      <c r="AN80" s="160"/>
      <c r="AO80" s="161"/>
      <c r="AP80" s="137"/>
      <c r="AQ80" s="137"/>
    </row>
    <row r="81" spans="3:43">
      <c r="AF81" s="137"/>
      <c r="AG81" s="137"/>
      <c r="AH81" s="137"/>
      <c r="AI81" s="137"/>
      <c r="AJ81" s="1727"/>
      <c r="AK81" s="1727"/>
      <c r="AL81" s="1727"/>
      <c r="AM81" s="159"/>
      <c r="AN81" s="160"/>
      <c r="AO81" s="161"/>
      <c r="AP81" s="137"/>
      <c r="AQ81" s="137"/>
    </row>
    <row r="82" spans="3:43">
      <c r="AF82" s="137"/>
      <c r="AG82" s="137"/>
      <c r="AH82" s="137"/>
      <c r="AI82" s="137"/>
      <c r="AJ82" s="1727"/>
      <c r="AK82" s="1727"/>
      <c r="AL82" s="1727"/>
      <c r="AM82" s="159"/>
      <c r="AN82" s="160"/>
      <c r="AO82" s="161"/>
      <c r="AP82" s="137"/>
      <c r="AQ82" s="137"/>
    </row>
    <row r="83" spans="3:43">
      <c r="AF83" s="137"/>
      <c r="AG83" s="137"/>
      <c r="AH83" s="137"/>
      <c r="AI83" s="137"/>
      <c r="AJ83" s="1727"/>
      <c r="AK83" s="1727"/>
      <c r="AL83" s="1727"/>
      <c r="AM83" s="159"/>
      <c r="AN83" s="160"/>
      <c r="AO83" s="161"/>
      <c r="AP83" s="137"/>
      <c r="AQ83" s="137"/>
    </row>
    <row r="84" spans="3:43">
      <c r="AF84" s="137"/>
      <c r="AG84" s="137"/>
      <c r="AH84" s="137"/>
      <c r="AI84" s="137"/>
      <c r="AJ84" s="1727"/>
      <c r="AK84" s="1727"/>
      <c r="AL84" s="1727"/>
      <c r="AM84" s="159"/>
      <c r="AN84" s="160"/>
      <c r="AO84" s="161"/>
      <c r="AP84" s="137"/>
      <c r="AQ84" s="137"/>
    </row>
    <row r="85" spans="3:43">
      <c r="AF85" s="137"/>
      <c r="AG85" s="137"/>
      <c r="AH85" s="137"/>
      <c r="AI85" s="137"/>
      <c r="AJ85" s="137"/>
      <c r="AK85" s="137"/>
      <c r="AL85" s="137"/>
      <c r="AM85" s="137"/>
      <c r="AN85" s="137"/>
      <c r="AO85" s="137"/>
      <c r="AP85" s="137"/>
      <c r="AQ85" s="137"/>
    </row>
    <row r="86" spans="3:43">
      <c r="AF86" s="137"/>
      <c r="AG86" s="137"/>
      <c r="AH86" s="137"/>
      <c r="AI86" s="137"/>
      <c r="AJ86" s="137"/>
      <c r="AK86" s="137"/>
      <c r="AL86" s="137"/>
      <c r="AM86" s="165"/>
      <c r="AN86" s="149"/>
      <c r="AO86" s="149"/>
      <c r="AP86" s="149"/>
      <c r="AQ86" s="137"/>
    </row>
    <row r="87" spans="3:43">
      <c r="AF87" s="226"/>
      <c r="AG87" s="226"/>
      <c r="AH87" s="226"/>
      <c r="AI87" s="137"/>
      <c r="AJ87" s="137"/>
      <c r="AK87" s="137"/>
      <c r="AL87" s="137"/>
      <c r="AM87" s="151"/>
      <c r="AN87" s="158"/>
      <c r="AO87" s="1717"/>
      <c r="AP87" s="1717"/>
      <c r="AQ87" s="137"/>
    </row>
    <row r="88" spans="3:43">
      <c r="AF88" s="226"/>
      <c r="AG88" s="226"/>
      <c r="AH88" s="226"/>
      <c r="AI88" s="137"/>
      <c r="AJ88" s="137"/>
      <c r="AK88" s="137"/>
      <c r="AL88" s="137"/>
      <c r="AM88" s="151"/>
      <c r="AN88" s="166"/>
      <c r="AO88" s="159"/>
      <c r="AP88" s="159"/>
      <c r="AQ88" s="137"/>
    </row>
    <row r="89" spans="3:43">
      <c r="C89" s="1710" t="s">
        <v>671</v>
      </c>
      <c r="D89" s="1711"/>
      <c r="E89" s="1712"/>
      <c r="AF89" s="137"/>
      <c r="AG89" s="137"/>
      <c r="AH89" s="137"/>
      <c r="AI89" s="137"/>
      <c r="AJ89" s="137"/>
      <c r="AK89" s="137"/>
      <c r="AL89" s="137"/>
      <c r="AM89" s="1717"/>
      <c r="AN89" s="1717"/>
      <c r="AO89" s="149"/>
      <c r="AP89" s="149"/>
      <c r="AQ89" s="137"/>
    </row>
    <row r="90" spans="3:43">
      <c r="C90" s="1713" t="s">
        <v>313</v>
      </c>
      <c r="D90" s="392" t="s">
        <v>724</v>
      </c>
      <c r="E90" s="392" t="s">
        <v>725</v>
      </c>
      <c r="AF90" s="137"/>
      <c r="AG90" s="137"/>
      <c r="AH90" s="137"/>
      <c r="AI90" s="137"/>
      <c r="AJ90" s="137"/>
      <c r="AK90" s="137"/>
      <c r="AL90" s="137"/>
      <c r="AM90" s="151"/>
      <c r="AN90" s="167"/>
      <c r="AO90" s="168"/>
      <c r="AP90" s="149"/>
      <c r="AQ90" s="137"/>
    </row>
    <row r="91" spans="3:43">
      <c r="C91" s="1714"/>
      <c r="D91" s="395" t="s">
        <v>711</v>
      </c>
      <c r="E91" s="395" t="s">
        <v>711</v>
      </c>
      <c r="AF91" s="137"/>
      <c r="AG91" s="137"/>
      <c r="AH91" s="139"/>
      <c r="AI91" s="137"/>
      <c r="AJ91" s="137"/>
      <c r="AK91" s="137"/>
      <c r="AL91" s="137"/>
      <c r="AM91" s="137"/>
      <c r="AN91" s="137"/>
      <c r="AO91" s="137"/>
      <c r="AP91" s="137"/>
      <c r="AQ91" s="137"/>
    </row>
    <row r="92" spans="3:43">
      <c r="C92" s="143" t="s">
        <v>726</v>
      </c>
      <c r="D92" s="39" t="e">
        <f>$E$9*(L82-$K$20)</f>
        <v>#N/A</v>
      </c>
      <c r="E92" s="39" t="e">
        <f>$E$9*(L82-$M$20)</f>
        <v>#N/A</v>
      </c>
      <c r="AF92" s="227"/>
      <c r="AG92" s="227"/>
      <c r="AH92" s="227"/>
      <c r="AI92" s="137"/>
      <c r="AJ92" s="137"/>
      <c r="AK92" s="137"/>
      <c r="AL92" s="137"/>
      <c r="AM92" s="137"/>
      <c r="AN92" s="137"/>
      <c r="AO92" s="137"/>
      <c r="AP92" s="137"/>
      <c r="AQ92" s="137"/>
    </row>
    <row r="93" spans="3:43">
      <c r="C93" s="143" t="s">
        <v>727</v>
      </c>
      <c r="D93" s="39" t="e">
        <f>$E$9*(L83-$K$20)</f>
        <v>#N/A</v>
      </c>
      <c r="E93" s="39" t="e">
        <f>$E$9*(L83-$M$20)</f>
        <v>#N/A</v>
      </c>
      <c r="AF93" s="137"/>
      <c r="AG93" s="228"/>
      <c r="AH93" s="137"/>
      <c r="AI93" s="137"/>
      <c r="AJ93" s="137"/>
      <c r="AK93" s="137"/>
      <c r="AL93" s="137"/>
      <c r="AM93" s="150"/>
      <c r="AN93" s="149"/>
      <c r="AO93" s="149"/>
      <c r="AP93" s="137"/>
      <c r="AQ93" s="137"/>
    </row>
    <row r="94" spans="3:43">
      <c r="C94" s="143" t="s">
        <v>728</v>
      </c>
      <c r="D94" s="39" t="e">
        <f>$E$9*(L84-$K$20)</f>
        <v>#N/A</v>
      </c>
      <c r="E94" s="39" t="e">
        <f>$E$9*(L84-$M$20)</f>
        <v>#N/A</v>
      </c>
      <c r="AF94" s="137"/>
      <c r="AG94" s="229"/>
      <c r="AH94" s="230"/>
      <c r="AI94" s="137"/>
      <c r="AJ94" s="137"/>
      <c r="AK94" s="137"/>
      <c r="AL94" s="137"/>
      <c r="AM94" s="1717"/>
      <c r="AN94" s="171"/>
      <c r="AO94" s="172"/>
      <c r="AP94" s="137"/>
      <c r="AQ94" s="137"/>
    </row>
    <row r="95" spans="3:43">
      <c r="C95" s="143" t="s">
        <v>729</v>
      </c>
      <c r="D95" s="39" t="e">
        <f>$E$9*(L85-$K$20)</f>
        <v>#N/A</v>
      </c>
      <c r="E95" s="39" t="e">
        <f>$E$9*(L85-$M$20)</f>
        <v>#N/A</v>
      </c>
      <c r="AF95" s="137"/>
      <c r="AG95" s="229"/>
      <c r="AH95" s="230"/>
      <c r="AI95" s="137"/>
      <c r="AJ95" s="137"/>
      <c r="AK95" s="137"/>
      <c r="AL95" s="137"/>
      <c r="AM95" s="1717"/>
      <c r="AN95" s="1717"/>
      <c r="AO95" s="1717"/>
      <c r="AP95" s="137"/>
      <c r="AQ95" s="137"/>
    </row>
    <row r="96" spans="3:43" ht="18">
      <c r="C96" s="36" t="s">
        <v>730</v>
      </c>
      <c r="D96" s="1696" t="e">
        <f>$M$7-$M$6</f>
        <v>#N/A</v>
      </c>
      <c r="E96" s="1697"/>
      <c r="AF96" s="231"/>
      <c r="AG96" s="231"/>
      <c r="AH96" s="137"/>
      <c r="AI96" s="137"/>
      <c r="AJ96" s="137"/>
      <c r="AK96" s="137"/>
      <c r="AL96" s="137"/>
      <c r="AM96" s="1717"/>
      <c r="AN96" s="1717"/>
      <c r="AO96" s="1717"/>
      <c r="AP96" s="137"/>
      <c r="AQ96" s="137"/>
    </row>
    <row r="97" spans="3:43">
      <c r="C97" s="36" t="s">
        <v>731</v>
      </c>
      <c r="D97" s="1696" t="e">
        <f>$M$10-$M$7</f>
        <v>#N/A</v>
      </c>
      <c r="E97" s="1697"/>
      <c r="AF97" s="136"/>
      <c r="AG97" s="137"/>
      <c r="AH97" s="137"/>
      <c r="AI97" s="137"/>
      <c r="AJ97" s="137"/>
      <c r="AK97" s="137"/>
      <c r="AL97" s="1727"/>
      <c r="AM97" s="159"/>
      <c r="AN97" s="173"/>
      <c r="AO97" s="173"/>
      <c r="AP97" s="137"/>
      <c r="AQ97" s="137"/>
    </row>
    <row r="98" spans="3:43">
      <c r="C98" s="36" t="s">
        <v>732</v>
      </c>
      <c r="D98" s="1696" t="e">
        <f>$M$9-$M$8</f>
        <v>#N/A</v>
      </c>
      <c r="E98" s="1697"/>
      <c r="AF98" s="226"/>
      <c r="AG98" s="226"/>
      <c r="AH98" s="137"/>
      <c r="AI98" s="137"/>
      <c r="AJ98" s="137"/>
      <c r="AK98" s="137"/>
      <c r="AL98" s="1727"/>
      <c r="AM98" s="159"/>
      <c r="AN98" s="173"/>
      <c r="AO98" s="173"/>
      <c r="AP98" s="137"/>
      <c r="AQ98" s="137"/>
    </row>
    <row r="99" spans="3:43" ht="15.6">
      <c r="C99" s="36" t="s">
        <v>733</v>
      </c>
      <c r="D99" s="1696" t="e">
        <f>$M$12-$M$9</f>
        <v>#N/A</v>
      </c>
      <c r="E99" s="1697"/>
      <c r="AF99" s="232"/>
      <c r="AG99" s="136"/>
      <c r="AH99" s="233"/>
      <c r="AI99" s="137"/>
      <c r="AJ99" s="137"/>
      <c r="AK99" s="137"/>
      <c r="AL99" s="1727"/>
      <c r="AM99" s="159"/>
      <c r="AN99" s="173"/>
      <c r="AO99" s="173"/>
      <c r="AP99" s="137"/>
      <c r="AQ99" s="137"/>
    </row>
    <row r="100" spans="3:43">
      <c r="C100" s="143"/>
      <c r="AF100" s="234"/>
      <c r="AG100" s="234"/>
      <c r="AH100" s="137"/>
      <c r="AI100" s="137"/>
      <c r="AJ100" s="137"/>
      <c r="AK100" s="137"/>
      <c r="AL100" s="1727"/>
      <c r="AM100" s="159"/>
      <c r="AN100" s="173"/>
      <c r="AO100" s="173"/>
      <c r="AP100" s="137"/>
      <c r="AQ100" s="137"/>
    </row>
    <row r="101" spans="3:43">
      <c r="C101" s="169"/>
      <c r="AF101" s="234"/>
      <c r="AG101" s="234"/>
      <c r="AH101" s="137"/>
      <c r="AI101" s="137"/>
      <c r="AJ101" s="137"/>
      <c r="AK101" s="137"/>
      <c r="AL101" s="1727"/>
      <c r="AM101" s="159"/>
      <c r="AN101" s="1728"/>
      <c r="AO101" s="1728"/>
      <c r="AP101" s="137"/>
      <c r="AQ101" s="137"/>
    </row>
    <row r="102" spans="3:43">
      <c r="AF102" s="234"/>
      <c r="AG102" s="234"/>
      <c r="AH102" s="137"/>
      <c r="AI102" s="137"/>
      <c r="AJ102" s="137"/>
      <c r="AK102" s="137"/>
      <c r="AL102" s="1727"/>
      <c r="AM102" s="159"/>
      <c r="AN102" s="1728"/>
      <c r="AO102" s="1728"/>
      <c r="AP102" s="137"/>
      <c r="AQ102" s="137"/>
    </row>
    <row r="103" spans="3:43">
      <c r="AF103" s="234"/>
      <c r="AG103" s="234"/>
      <c r="AH103" s="137"/>
      <c r="AI103" s="137"/>
      <c r="AJ103" s="137"/>
      <c r="AK103" s="137"/>
      <c r="AL103" s="1727"/>
      <c r="AM103" s="159"/>
      <c r="AN103" s="1728"/>
      <c r="AO103" s="1728"/>
      <c r="AP103" s="137"/>
      <c r="AQ103" s="137"/>
    </row>
    <row r="104" spans="3:43">
      <c r="AF104" s="234"/>
      <c r="AG104" s="234"/>
      <c r="AH104" s="137"/>
      <c r="AI104" s="137"/>
      <c r="AJ104" s="137"/>
      <c r="AK104" s="137"/>
      <c r="AL104" s="1727"/>
      <c r="AM104" s="159"/>
      <c r="AN104" s="1728"/>
      <c r="AO104" s="1728"/>
      <c r="AP104" s="137"/>
      <c r="AQ104" s="137"/>
    </row>
    <row r="105" spans="3:43">
      <c r="AF105" s="137"/>
      <c r="AG105" s="137"/>
      <c r="AH105" s="137"/>
      <c r="AI105" s="137"/>
      <c r="AJ105" s="137"/>
      <c r="AK105" s="137"/>
      <c r="AL105" s="137"/>
      <c r="AM105" s="137"/>
      <c r="AN105" s="137"/>
      <c r="AO105" s="137"/>
      <c r="AP105" s="137"/>
      <c r="AQ105" s="137"/>
    </row>
    <row r="106" spans="3:43">
      <c r="AF106" s="137"/>
      <c r="AG106" s="137"/>
      <c r="AH106" s="137"/>
      <c r="AI106" s="137"/>
      <c r="AJ106" s="137"/>
      <c r="AK106" s="137"/>
      <c r="AL106" s="137"/>
      <c r="AM106" s="137"/>
      <c r="AN106" s="137"/>
      <c r="AO106" s="137"/>
      <c r="AP106" s="137"/>
      <c r="AQ106" s="137"/>
    </row>
    <row r="107" spans="3:43">
      <c r="AF107" s="137"/>
      <c r="AG107" s="137"/>
      <c r="AH107" s="137"/>
      <c r="AI107" s="137"/>
      <c r="AJ107" s="137"/>
      <c r="AK107" s="137"/>
      <c r="AL107" s="137"/>
      <c r="AM107" s="137"/>
      <c r="AN107" s="137"/>
      <c r="AO107" s="137"/>
      <c r="AP107" s="137"/>
      <c r="AQ107" s="137"/>
    </row>
    <row r="108" spans="3:43">
      <c r="AF108" s="137"/>
      <c r="AG108" s="137"/>
      <c r="AH108" s="137"/>
      <c r="AI108" s="137"/>
      <c r="AJ108" s="137"/>
      <c r="AK108" s="137"/>
      <c r="AL108" s="137"/>
      <c r="AM108" s="137"/>
      <c r="AN108" s="137"/>
      <c r="AO108" s="137"/>
      <c r="AP108" s="137"/>
      <c r="AQ108" s="137"/>
    </row>
  </sheetData>
  <sheetProtection algorithmName="SHA-512" hashValue="6HmkiK7Ocg2VNw5QJrZYDXTZEzZwqBGyHVpMEOWMBWpQngSyrhXb3VBENpLl4OrqWfSYFlTfm3Nn5FEE91sjmg==" saltValue="l3FdHWGgu/6uOuUtfZrAaw==" spinCount="100000" sheet="1" objects="1" scenarios="1"/>
  <mergeCells count="79">
    <mergeCell ref="D97:E97"/>
    <mergeCell ref="AL97:AL100"/>
    <mergeCell ref="D98:E98"/>
    <mergeCell ref="D99:E99"/>
    <mergeCell ref="AL101:AL104"/>
    <mergeCell ref="AN101:AO101"/>
    <mergeCell ref="AN102:AO102"/>
    <mergeCell ref="AN103:AO103"/>
    <mergeCell ref="AN104:AO104"/>
    <mergeCell ref="AO87:AP87"/>
    <mergeCell ref="AO95:AO96"/>
    <mergeCell ref="C89:E89"/>
    <mergeCell ref="AM89:AN89"/>
    <mergeCell ref="C90:C91"/>
    <mergeCell ref="AM94:AM96"/>
    <mergeCell ref="AN95:AN96"/>
    <mergeCell ref="D96:E96"/>
    <mergeCell ref="AM73:AM74"/>
    <mergeCell ref="AN73:AO73"/>
    <mergeCell ref="AJ75:AJ84"/>
    <mergeCell ref="AK75:AK78"/>
    <mergeCell ref="AL75:AL78"/>
    <mergeCell ref="AK79:AK84"/>
    <mergeCell ref="AL79:AL84"/>
    <mergeCell ref="K54:N54"/>
    <mergeCell ref="AB57:AE70"/>
    <mergeCell ref="AF60:AM60"/>
    <mergeCell ref="AF62:AH62"/>
    <mergeCell ref="AN66:AO66"/>
    <mergeCell ref="AF67:AG67"/>
    <mergeCell ref="AM68:AN68"/>
    <mergeCell ref="AM69:AN69"/>
    <mergeCell ref="AL43:AL46"/>
    <mergeCell ref="AL47:AL50"/>
    <mergeCell ref="AN47:AO47"/>
    <mergeCell ref="AN48:AO48"/>
    <mergeCell ref="AN49:AO49"/>
    <mergeCell ref="AN50:AO50"/>
    <mergeCell ref="AO33:AP33"/>
    <mergeCell ref="P35:Q35"/>
    <mergeCell ref="AM35:AN35"/>
    <mergeCell ref="AM40:AM42"/>
    <mergeCell ref="AN41:AN42"/>
    <mergeCell ref="AO41:AO42"/>
    <mergeCell ref="AL26:AL30"/>
    <mergeCell ref="K29:L29"/>
    <mergeCell ref="N29:N32"/>
    <mergeCell ref="P29:Q29"/>
    <mergeCell ref="P30:Q30"/>
    <mergeCell ref="P31:Q31"/>
    <mergeCell ref="P32:Q32"/>
    <mergeCell ref="AF7:AM7"/>
    <mergeCell ref="AF9:AH9"/>
    <mergeCell ref="I10:I15"/>
    <mergeCell ref="J10:J15"/>
    <mergeCell ref="AN13:AO13"/>
    <mergeCell ref="C14:E14"/>
    <mergeCell ref="P14:S23"/>
    <mergeCell ref="AF14:AG14"/>
    <mergeCell ref="AM15:AN15"/>
    <mergeCell ref="AM16:AN16"/>
    <mergeCell ref="J19:J22"/>
    <mergeCell ref="K19:L19"/>
    <mergeCell ref="K20:L20"/>
    <mergeCell ref="AM20:AM21"/>
    <mergeCell ref="AN20:AO20"/>
    <mergeCell ref="K21:M21"/>
    <mergeCell ref="AJ22:AJ30"/>
    <mergeCell ref="AK22:AK25"/>
    <mergeCell ref="AL22:AL25"/>
    <mergeCell ref="C26:E26"/>
    <mergeCell ref="AK26:AK30"/>
    <mergeCell ref="P2:S2"/>
    <mergeCell ref="K3:L3"/>
    <mergeCell ref="K4:K5"/>
    <mergeCell ref="P4:S13"/>
    <mergeCell ref="H6:H15"/>
    <mergeCell ref="I6:I9"/>
    <mergeCell ref="J6:J9"/>
  </mergeCells>
  <conditionalFormatting sqref="C66">
    <cfRule type="expression" dxfId="148" priority="3">
      <formula>$D$65&gt;12.1</formula>
    </cfRule>
  </conditionalFormatting>
  <conditionalFormatting sqref="S69:T69">
    <cfRule type="expression" dxfId="147" priority="2">
      <formula>$D$65&gt;12.1</formula>
    </cfRule>
  </conditionalFormatting>
  <conditionalFormatting sqref="S46:T51 C42">
    <cfRule type="expression" dxfId="146" priority="4">
      <formula>#REF!&gt;12.1</formula>
    </cfRule>
  </conditionalFormatting>
  <conditionalFormatting sqref="F4">
    <cfRule type="containsText" dxfId="145" priority="1" operator="containsText" text="Obligatoire">
      <formula>NOT(ISERROR(SEARCH("Obligatoire",F4)))</formula>
    </cfRule>
  </conditionalFormatting>
  <dataValidations disablePrompts="1" count="4">
    <dataValidation type="whole" operator="lessThanOrEqual" allowBlank="1" showErrorMessage="1" error="Attention, grande portée!!!_x000a_SVP verifiez conjointement_x000a_la deflection L/180" sqref="AF99 AF45" xr:uid="{4595D298-8EEF-498B-866A-B5D6A594E9A8}">
      <formula1>14</formula1>
    </dataValidation>
    <dataValidation type="custom" errorStyle="warning" allowBlank="1" showInputMessage="1" showErrorMessage="1" sqref="F65 AH99 W68 AH45" xr:uid="{17B3A2A4-E68F-4ACB-AC6F-F69EC5CAD93E}">
      <formula1>"SI(E37&gt;10)"</formula1>
    </dataValidation>
    <dataValidation operator="lessThanOrEqual" allowBlank="1" showErrorMessage="1" error="Attention, grande portée!!!_x000a_SVP verifiez conjointement_x000a_la deflection L/180" sqref="D65 U68" xr:uid="{A5724850-8B72-4345-BB73-319181DE0D05}"/>
    <dataValidation type="list" allowBlank="1" showInputMessage="1" showErrorMessage="1" sqref="D59:F59 AF92 U62:W62 AF38" xr:uid="{551C0839-FADD-4806-AB92-FEDA3EB12836}">
      <formula1>INDIRECT(#REF!)</formula1>
    </dataValidation>
  </dataValidations>
  <hyperlinks>
    <hyperlink ref="K33" r:id="rId1" xr:uid="{DC9C09FF-D940-4A48-90DE-EF059DDCE0D5}"/>
  </hyperlinks>
  <printOptions horizontalCentered="1" verticalCentered="1"/>
  <pageMargins left="0.70866141732283472" right="0.70866141732283472" top="0.74803149606299213" bottom="0.74803149606299213" header="0.31496062992125984" footer="0.31496062992125984"/>
  <pageSetup scale="72" orientation="portrait" r:id="rId2"/>
  <colBreaks count="1" manualBreakCount="1">
    <brk id="14"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8750C-953B-4764-B71E-951BBF1E7382}">
  <sheetPr published="0" codeName="Feuil10"/>
  <dimension ref="B1:AV233"/>
  <sheetViews>
    <sheetView workbookViewId="0">
      <selection activeCell="A34" sqref="A34"/>
    </sheetView>
  </sheetViews>
  <sheetFormatPr defaultColWidth="11.42578125" defaultRowHeight="14.45"/>
  <cols>
    <col min="4" max="4" width="24.7109375" customWidth="1"/>
    <col min="15" max="15" width="18.5703125" bestFit="1" customWidth="1"/>
    <col min="18" max="18" width="21.5703125" customWidth="1"/>
    <col min="19" max="22" width="15.5703125" style="129" customWidth="1"/>
    <col min="23" max="23" width="23.85546875" style="129" customWidth="1"/>
    <col min="24" max="24" width="15.5703125" style="129" customWidth="1"/>
    <col min="25" max="25" width="11" style="129"/>
    <col min="26" max="26" width="17.28515625" customWidth="1"/>
    <col min="27" max="27" width="18.140625" customWidth="1"/>
    <col min="28" max="28" width="14.28515625" customWidth="1"/>
  </cols>
  <sheetData>
    <row r="1" spans="2:43" ht="16.149999999999999" thickTop="1">
      <c r="E1" s="1562" t="s">
        <v>786</v>
      </c>
      <c r="F1" s="1562"/>
      <c r="G1" s="1562"/>
      <c r="H1" s="1562"/>
      <c r="I1" s="1562"/>
      <c r="J1" s="1562"/>
      <c r="K1" s="1562"/>
      <c r="L1" s="1562"/>
      <c r="M1" s="1562"/>
      <c r="N1" s="1562"/>
      <c r="O1" s="1562"/>
      <c r="P1" s="1562"/>
      <c r="Q1" s="1562"/>
      <c r="R1" s="102" t="s">
        <v>787</v>
      </c>
      <c r="S1" s="817" t="s">
        <v>788</v>
      </c>
      <c r="T1" s="818" t="s">
        <v>789</v>
      </c>
      <c r="U1" s="818" t="s">
        <v>790</v>
      </c>
      <c r="V1" s="818" t="s">
        <v>791</v>
      </c>
      <c r="W1" s="818" t="s">
        <v>792</v>
      </c>
      <c r="X1" s="819" t="s">
        <v>793</v>
      </c>
      <c r="Z1" s="1781" t="s">
        <v>794</v>
      </c>
      <c r="AA1" s="1782"/>
      <c r="AB1" s="176"/>
      <c r="AC1" s="176"/>
      <c r="AD1" s="176"/>
      <c r="AE1" s="176"/>
      <c r="AF1" s="176"/>
      <c r="AG1" s="176"/>
      <c r="AH1" s="176"/>
      <c r="AI1" s="177"/>
      <c r="AJ1" s="738" t="s">
        <v>795</v>
      </c>
      <c r="AK1" s="175"/>
      <c r="AL1" s="175"/>
      <c r="AM1" s="175" t="str">
        <f>""</f>
        <v/>
      </c>
      <c r="AN1" s="738" t="s">
        <v>796</v>
      </c>
      <c r="AO1" s="175"/>
      <c r="AP1" s="739"/>
      <c r="AQ1" t="str">
        <f>""</f>
        <v/>
      </c>
    </row>
    <row r="2" spans="2:43">
      <c r="E2" s="1562"/>
      <c r="F2" s="1562"/>
      <c r="G2" s="1562"/>
      <c r="H2" s="1562"/>
      <c r="I2" s="1562"/>
      <c r="J2" s="1562"/>
      <c r="K2" s="1562"/>
      <c r="L2" s="1562"/>
      <c r="M2" s="1562"/>
      <c r="N2" s="1562"/>
      <c r="O2" s="1562"/>
      <c r="P2" s="1562"/>
      <c r="Q2" s="1562"/>
      <c r="S2" s="287" t="str" cm="1">
        <f t="array" aca="1" ref="S2:S224" ca="1">INDIRECT('Saisie de données'!$D$20)</f>
        <v>Ailsa Craig</v>
      </c>
      <c r="T2" s="129">
        <f ca="1">IFERROR(SEARCH('Saisie de données'!$J$20,S2),)</f>
        <v>1</v>
      </c>
      <c r="U2" s="129">
        <f ca="1">IF(T2=0,"",COUNTIF($T$2:T2,1))</f>
        <v>1</v>
      </c>
      <c r="V2" s="129" t="str">
        <f ca="1">IFERROR(INDEX(S:S,MATCH(ROW(U1),U:U,0)),"")</f>
        <v>Ailsa Craig</v>
      </c>
      <c r="W2" s="129" t="str" cm="1">
        <f t="array" aca="1" ref="W2:W224" ca="1">OFFSET('Menu déroulant'!$V$2,,,COUNTIF('Menu déroulant'!$V:$V,"?*")-1)</f>
        <v>Ailsa Craig</v>
      </c>
      <c r="X2" s="720" t="str" cm="1">
        <f t="array" aca="1" ref="X2:X224" ca="1">Villes</f>
        <v>Ailsa Craig</v>
      </c>
      <c r="Z2" s="178"/>
      <c r="AB2" s="133" t="s">
        <v>797</v>
      </c>
      <c r="AC2" s="129" t="s">
        <v>798</v>
      </c>
      <c r="AD2" t="s">
        <v>799</v>
      </c>
      <c r="AI2" s="179"/>
      <c r="AJ2" s="137"/>
      <c r="AK2" s="137"/>
      <c r="AL2" s="137"/>
      <c r="AM2" s="137" t="str">
        <f>""</f>
        <v/>
      </c>
      <c r="AN2" s="137"/>
      <c r="AO2" s="137"/>
      <c r="AP2" s="180"/>
      <c r="AQ2" t="str">
        <f>""</f>
        <v/>
      </c>
    </row>
    <row r="3" spans="2:43" s="102" customFormat="1" ht="15.6">
      <c r="B3" s="101" t="s">
        <v>800</v>
      </c>
      <c r="C3" s="101" t="s">
        <v>796</v>
      </c>
      <c r="D3" s="101" t="s">
        <v>795</v>
      </c>
      <c r="E3" s="101" t="str">
        <f>D4</f>
        <v>Alberta</v>
      </c>
      <c r="F3" s="101" t="str">
        <f>D5</f>
        <v>Colombie_Britannique</v>
      </c>
      <c r="G3" s="101" t="str">
        <f>D6</f>
        <v>Île_du_Prince_Édouard</v>
      </c>
      <c r="H3" s="101" t="str">
        <f>D7</f>
        <v>Manitoba</v>
      </c>
      <c r="I3" s="101" t="str">
        <f>D8</f>
        <v>Nouveau_Brunswick</v>
      </c>
      <c r="J3" s="101" t="str">
        <f>D9</f>
        <v>Nouvelle_Écosse</v>
      </c>
      <c r="K3" s="101" t="str">
        <f>D10</f>
        <v>Nunavut</v>
      </c>
      <c r="L3" s="101" t="str">
        <f>D11</f>
        <v>Ontario</v>
      </c>
      <c r="M3" s="101" t="str">
        <f>D12</f>
        <v>Québec</v>
      </c>
      <c r="N3" s="101" t="str">
        <f>D13</f>
        <v>Saskatchewan</v>
      </c>
      <c r="O3" s="101" t="str">
        <f>D14</f>
        <v>Territoires_NO</v>
      </c>
      <c r="P3" s="101" t="str">
        <f>D15</f>
        <v>Terre_Neuve</v>
      </c>
      <c r="Q3" s="101" t="str">
        <f>D16</f>
        <v>Yukon</v>
      </c>
      <c r="R3" s="101"/>
      <c r="S3" s="287" t="str">
        <f ca="1"/>
        <v>Ajax</v>
      </c>
      <c r="T3" s="129">
        <f ca="1">IFERROR(SEARCH('Saisie de données'!$J$20,S3),)</f>
        <v>1</v>
      </c>
      <c r="U3" s="129">
        <f ca="1">IF(T3=0,"",COUNTIF($T$2:T3,1))</f>
        <v>2</v>
      </c>
      <c r="V3" s="129" t="str">
        <f t="shared" ref="V3:V66" ca="1" si="0">IFERROR(INDEX(S:S,MATCH(ROW(U2),U:U,0)),"")</f>
        <v>Ajax</v>
      </c>
      <c r="W3" s="129" t="str">
        <f ca="1"/>
        <v>Ajax</v>
      </c>
      <c r="X3" s="720" t="str">
        <f ca="1"/>
        <v>Ajax</v>
      </c>
      <c r="Y3" s="129"/>
      <c r="Z3" s="822"/>
      <c r="AA3" s="129" t="s">
        <v>154</v>
      </c>
      <c r="AB3" s="129" t="s">
        <v>154</v>
      </c>
      <c r="AC3" s="129" t="s">
        <v>154</v>
      </c>
      <c r="AE3"/>
      <c r="AG3"/>
      <c r="AH3" s="735"/>
      <c r="AI3" s="179"/>
      <c r="AJ3" s="742" t="s">
        <v>801</v>
      </c>
      <c r="AK3" s="585"/>
      <c r="AL3" s="585"/>
      <c r="AM3" s="137" t="str">
        <f>""</f>
        <v/>
      </c>
      <c r="AN3" s="742" t="s">
        <v>801</v>
      </c>
      <c r="AO3" s="585"/>
      <c r="AP3" s="740"/>
      <c r="AQ3" t="str">
        <f>""</f>
        <v/>
      </c>
    </row>
    <row r="4" spans="2:43">
      <c r="B4" t="s">
        <v>11</v>
      </c>
      <c r="C4" s="103" t="s">
        <v>802</v>
      </c>
      <c r="D4" t="s">
        <v>803</v>
      </c>
      <c r="E4" s="663" t="s">
        <v>804</v>
      </c>
      <c r="F4" s="664" t="s">
        <v>805</v>
      </c>
      <c r="G4" s="663" t="s">
        <v>806</v>
      </c>
      <c r="H4" s="663" t="s">
        <v>807</v>
      </c>
      <c r="I4" s="663" t="s">
        <v>808</v>
      </c>
      <c r="J4" s="663" t="s">
        <v>809</v>
      </c>
      <c r="K4" s="663" t="s">
        <v>810</v>
      </c>
      <c r="L4" s="664" t="s">
        <v>811</v>
      </c>
      <c r="M4" s="663" t="s">
        <v>812</v>
      </c>
      <c r="N4" s="663" t="s">
        <v>813</v>
      </c>
      <c r="O4" s="664" t="s">
        <v>814</v>
      </c>
      <c r="P4" s="664" t="s">
        <v>815</v>
      </c>
      <c r="Q4" s="663" t="s">
        <v>816</v>
      </c>
      <c r="R4" s="129"/>
      <c r="S4" s="287" t="str">
        <f ca="1"/>
        <v>Alexandria</v>
      </c>
      <c r="T4" s="129">
        <f ca="1">IFERROR(SEARCH('Saisie de données'!$J$20,S4),)</f>
        <v>1</v>
      </c>
      <c r="U4" s="129">
        <f ca="1">IF(T4=0,"",COUNTIF($T$2:T4,1))</f>
        <v>3</v>
      </c>
      <c r="V4" s="129" t="str">
        <f t="shared" ca="1" si="0"/>
        <v>Alexandria</v>
      </c>
      <c r="W4" s="129" t="str">
        <f ca="1"/>
        <v>Alexandria</v>
      </c>
      <c r="X4" s="720" t="str">
        <f ca="1"/>
        <v>Alexandria</v>
      </c>
      <c r="Z4" s="1784" t="s">
        <v>817</v>
      </c>
      <c r="AA4" s="129" t="s">
        <v>155</v>
      </c>
      <c r="AB4" s="760" t="s">
        <v>155</v>
      </c>
      <c r="AC4" s="129" t="s">
        <v>155</v>
      </c>
      <c r="AG4" s="32"/>
      <c r="AI4" s="179"/>
      <c r="AJ4" s="137" t="s">
        <v>818</v>
      </c>
      <c r="AK4" s="137" t="s">
        <v>819</v>
      </c>
      <c r="AL4" s="137" t="s">
        <v>820</v>
      </c>
      <c r="AM4" s="137" t="str">
        <f>""</f>
        <v/>
      </c>
      <c r="AN4" s="137" t="s">
        <v>818</v>
      </c>
      <c r="AO4" s="137" t="s">
        <v>819</v>
      </c>
      <c r="AP4" s="180" t="s">
        <v>820</v>
      </c>
      <c r="AQ4" t="str">
        <f>""</f>
        <v/>
      </c>
    </row>
    <row r="5" spans="2:43">
      <c r="B5" t="s">
        <v>796</v>
      </c>
      <c r="D5" t="s">
        <v>821</v>
      </c>
      <c r="E5" s="664" t="s">
        <v>822</v>
      </c>
      <c r="F5" s="663" t="s">
        <v>823</v>
      </c>
      <c r="G5" s="664" t="s">
        <v>824</v>
      </c>
      <c r="H5" s="664" t="s">
        <v>825</v>
      </c>
      <c r="I5" s="664" t="s">
        <v>826</v>
      </c>
      <c r="J5" s="664" t="s">
        <v>827</v>
      </c>
      <c r="K5" s="664" t="s">
        <v>828</v>
      </c>
      <c r="L5" s="663" t="s">
        <v>829</v>
      </c>
      <c r="M5" s="664" t="s">
        <v>808</v>
      </c>
      <c r="N5" s="664" t="s">
        <v>830</v>
      </c>
      <c r="O5" s="664" t="s">
        <v>831</v>
      </c>
      <c r="P5" s="663" t="s">
        <v>832</v>
      </c>
      <c r="Q5" s="664" t="s">
        <v>833</v>
      </c>
      <c r="R5" s="129"/>
      <c r="S5" s="287" t="str">
        <f ca="1"/>
        <v>Alliston</v>
      </c>
      <c r="T5" s="129">
        <f ca="1">IFERROR(SEARCH('Saisie de données'!$J$20,S5),)</f>
        <v>1</v>
      </c>
      <c r="U5" s="129">
        <f ca="1">IF(T5=0,"",COUNTIF($T$2:T5,1))</f>
        <v>4</v>
      </c>
      <c r="V5" s="129" t="str">
        <f t="shared" ca="1" si="0"/>
        <v>Alliston</v>
      </c>
      <c r="W5" s="129" t="str">
        <f ca="1"/>
        <v>Alliston</v>
      </c>
      <c r="X5" s="720" t="str">
        <f ca="1"/>
        <v>Alliston</v>
      </c>
      <c r="Z5" s="1784"/>
      <c r="AA5" s="129" t="s">
        <v>9</v>
      </c>
      <c r="AB5" s="760" t="s">
        <v>834</v>
      </c>
      <c r="AC5" s="129" t="s">
        <v>835</v>
      </c>
      <c r="AG5" s="32"/>
      <c r="AI5" s="179"/>
      <c r="AJ5" s="554" t="s">
        <v>836</v>
      </c>
      <c r="AK5" s="137" t="s">
        <v>837</v>
      </c>
      <c r="AL5" s="137" t="s">
        <v>838</v>
      </c>
      <c r="AM5" s="137" t="str">
        <f>""</f>
        <v/>
      </c>
      <c r="AN5" s="137" t="s">
        <v>839</v>
      </c>
      <c r="AO5" s="137" t="s">
        <v>840</v>
      </c>
      <c r="AP5" s="180" t="s">
        <v>841</v>
      </c>
      <c r="AQ5" t="str">
        <f>""</f>
        <v/>
      </c>
    </row>
    <row r="6" spans="2:43">
      <c r="D6" s="105" t="s">
        <v>842</v>
      </c>
      <c r="E6" s="663" t="s">
        <v>843</v>
      </c>
      <c r="F6" s="664" t="s">
        <v>844</v>
      </c>
      <c r="G6" s="663" t="s">
        <v>845</v>
      </c>
      <c r="H6" s="663" t="s">
        <v>846</v>
      </c>
      <c r="I6" s="663" t="s">
        <v>847</v>
      </c>
      <c r="J6" s="663" t="s">
        <v>848</v>
      </c>
      <c r="K6" s="663" t="s">
        <v>849</v>
      </c>
      <c r="L6" s="664" t="s">
        <v>850</v>
      </c>
      <c r="M6" s="663" t="s">
        <v>851</v>
      </c>
      <c r="N6" s="663" t="s">
        <v>852</v>
      </c>
      <c r="O6" s="663" t="s">
        <v>853</v>
      </c>
      <c r="P6" s="664" t="s">
        <v>854</v>
      </c>
      <c r="Q6" s="663" t="s">
        <v>855</v>
      </c>
      <c r="R6" s="129"/>
      <c r="S6" s="287" t="str">
        <f ca="1"/>
        <v>Almonte</v>
      </c>
      <c r="T6" s="129">
        <f ca="1">IFERROR(SEARCH('Saisie de données'!$J$20,S6),)</f>
        <v>1</v>
      </c>
      <c r="U6" s="129">
        <f ca="1">IF(T6=0,"",COUNTIF($T$2:T6,1))</f>
        <v>5</v>
      </c>
      <c r="V6" s="129" t="str">
        <f t="shared" ca="1" si="0"/>
        <v>Almonte</v>
      </c>
      <c r="W6" s="129" t="str">
        <f ca="1"/>
        <v>Almonte</v>
      </c>
      <c r="X6" s="720" t="str">
        <f ca="1"/>
        <v>Almonte</v>
      </c>
      <c r="Z6" s="1785" t="s">
        <v>856</v>
      </c>
      <c r="AA6" s="129" t="s">
        <v>857</v>
      </c>
      <c r="AB6" s="792" t="s">
        <v>858</v>
      </c>
      <c r="AC6" s="132" t="s">
        <v>859</v>
      </c>
      <c r="AG6" s="32"/>
      <c r="AI6" s="179"/>
      <c r="AJ6" s="554" t="s">
        <v>30</v>
      </c>
      <c r="AK6" s="137" t="str">
        <f>""</f>
        <v/>
      </c>
      <c r="AL6" s="137" t="str">
        <f>""</f>
        <v/>
      </c>
      <c r="AM6" s="137" t="str">
        <f>""</f>
        <v/>
      </c>
      <c r="AN6" s="137" t="s">
        <v>860</v>
      </c>
      <c r="AO6" s="137" t="str">
        <f>""</f>
        <v/>
      </c>
      <c r="AP6" s="180" t="str">
        <f>""</f>
        <v/>
      </c>
      <c r="AQ6" t="str">
        <f>""</f>
        <v/>
      </c>
    </row>
    <row r="7" spans="2:43">
      <c r="D7" t="s">
        <v>861</v>
      </c>
      <c r="E7" s="664" t="s">
        <v>862</v>
      </c>
      <c r="F7" s="663" t="s">
        <v>863</v>
      </c>
      <c r="G7" s="664" t="s">
        <v>864</v>
      </c>
      <c r="H7" s="664" t="s">
        <v>865</v>
      </c>
      <c r="I7" s="664" t="s">
        <v>866</v>
      </c>
      <c r="J7" s="664" t="s">
        <v>867</v>
      </c>
      <c r="K7" s="664" t="s">
        <v>868</v>
      </c>
      <c r="L7" s="663" t="s">
        <v>869</v>
      </c>
      <c r="M7" s="663" t="s">
        <v>870</v>
      </c>
      <c r="N7" s="664" t="s">
        <v>871</v>
      </c>
      <c r="O7" s="664" t="s">
        <v>872</v>
      </c>
      <c r="P7" s="663" t="s">
        <v>873</v>
      </c>
      <c r="Q7" s="664" t="s">
        <v>874</v>
      </c>
      <c r="R7" s="129"/>
      <c r="S7" s="287" t="str">
        <f ca="1"/>
        <v>Armstrong</v>
      </c>
      <c r="T7" s="129">
        <f ca="1">IFERROR(SEARCH('Saisie de données'!$J$20,S7),)</f>
        <v>1</v>
      </c>
      <c r="U7" s="129">
        <f ca="1">IF(T7=0,"",COUNTIF($T$2:T7,1))</f>
        <v>6</v>
      </c>
      <c r="V7" s="129" t="str">
        <f t="shared" ca="1" si="0"/>
        <v>Armstrong</v>
      </c>
      <c r="W7" s="129" t="str">
        <f ca="1"/>
        <v>Armstrong</v>
      </c>
      <c r="X7" s="720" t="str">
        <f ca="1"/>
        <v>Armstrong</v>
      </c>
      <c r="Z7" s="1785"/>
      <c r="AA7" s="129" t="s">
        <v>875</v>
      </c>
      <c r="AB7" s="792" t="s">
        <v>876</v>
      </c>
      <c r="AC7" s="129" t="s">
        <v>877</v>
      </c>
      <c r="AG7" s="32"/>
      <c r="AI7" s="179"/>
      <c r="AJ7" s="554" t="s">
        <v>878</v>
      </c>
      <c r="AK7" s="137" t="s">
        <v>879</v>
      </c>
      <c r="AL7" s="137" t="s">
        <v>880</v>
      </c>
      <c r="AM7" s="137" t="str">
        <f>""</f>
        <v/>
      </c>
      <c r="AN7" s="137" t="s">
        <v>881</v>
      </c>
      <c r="AO7" s="137" t="s">
        <v>882</v>
      </c>
      <c r="AP7" s="180" t="s">
        <v>883</v>
      </c>
      <c r="AQ7" t="str">
        <f>""</f>
        <v/>
      </c>
    </row>
    <row r="8" spans="2:43">
      <c r="D8" t="s">
        <v>884</v>
      </c>
      <c r="E8" s="663" t="s">
        <v>885</v>
      </c>
      <c r="F8" s="664" t="s">
        <v>886</v>
      </c>
      <c r="H8" s="663" t="s">
        <v>887</v>
      </c>
      <c r="I8" s="663" t="s">
        <v>888</v>
      </c>
      <c r="J8" s="663" t="s">
        <v>889</v>
      </c>
      <c r="K8" s="663" t="s">
        <v>890</v>
      </c>
      <c r="L8" s="664" t="s">
        <v>891</v>
      </c>
      <c r="M8" s="663" t="s">
        <v>892</v>
      </c>
      <c r="N8" s="663" t="s">
        <v>893</v>
      </c>
      <c r="O8" s="663" t="s">
        <v>894</v>
      </c>
      <c r="P8" s="664" t="s">
        <v>895</v>
      </c>
      <c r="Q8" s="663" t="s">
        <v>896</v>
      </c>
      <c r="R8" s="129"/>
      <c r="S8" s="287" t="str">
        <f ca="1"/>
        <v>Arnprior</v>
      </c>
      <c r="T8" s="129">
        <f ca="1">IFERROR(SEARCH('Saisie de données'!$J$20,S8),)</f>
        <v>1</v>
      </c>
      <c r="U8" s="129">
        <f ca="1">IF(T8=0,"",COUNTIF($T$2:T8,1))</f>
        <v>7</v>
      </c>
      <c r="V8" s="129" t="str">
        <f t="shared" ca="1" si="0"/>
        <v>Arnprior</v>
      </c>
      <c r="W8" s="129" t="str">
        <f ca="1"/>
        <v>Arnprior</v>
      </c>
      <c r="X8" s="720" t="str">
        <f ca="1"/>
        <v>Arnprior</v>
      </c>
      <c r="Z8" s="1786" t="s">
        <v>897</v>
      </c>
      <c r="AA8" s="129" t="s">
        <v>836</v>
      </c>
      <c r="AB8" s="823" t="s">
        <v>898</v>
      </c>
      <c r="AC8" s="129" t="s">
        <v>899</v>
      </c>
      <c r="AD8" s="129">
        <v>0.8</v>
      </c>
      <c r="AE8" s="129"/>
      <c r="AI8" s="179"/>
      <c r="AJ8" s="554" t="s">
        <v>900</v>
      </c>
      <c r="AK8" s="137" t="s">
        <v>901</v>
      </c>
      <c r="AL8" s="137" t="s">
        <v>902</v>
      </c>
      <c r="AM8" s="137" t="str">
        <f>""</f>
        <v/>
      </c>
      <c r="AN8" s="137" t="s">
        <v>418</v>
      </c>
      <c r="AO8" s="137" t="s">
        <v>903</v>
      </c>
      <c r="AP8" s="180" t="s">
        <v>904</v>
      </c>
      <c r="AQ8" t="str">
        <f>""</f>
        <v/>
      </c>
    </row>
    <row r="9" spans="2:43">
      <c r="D9" t="s">
        <v>905</v>
      </c>
      <c r="E9" s="664" t="s">
        <v>906</v>
      </c>
      <c r="F9" s="663" t="s">
        <v>907</v>
      </c>
      <c r="H9" s="664" t="s">
        <v>908</v>
      </c>
      <c r="I9" s="664" t="s">
        <v>909</v>
      </c>
      <c r="J9" s="663" t="s">
        <v>910</v>
      </c>
      <c r="K9" s="663" t="s">
        <v>911</v>
      </c>
      <c r="L9" s="663" t="s">
        <v>912</v>
      </c>
      <c r="M9" s="664" t="s">
        <v>913</v>
      </c>
      <c r="N9" s="664" t="s">
        <v>914</v>
      </c>
      <c r="O9" s="664" t="s">
        <v>915</v>
      </c>
      <c r="P9" s="663" t="s">
        <v>916</v>
      </c>
      <c r="Q9" s="664" t="s">
        <v>917</v>
      </c>
      <c r="R9" s="129"/>
      <c r="S9" s="287" t="str">
        <f ca="1"/>
        <v>Atikokan</v>
      </c>
      <c r="T9" s="129">
        <f ca="1">IFERROR(SEARCH('Saisie de données'!$J$20,S9),)</f>
        <v>1</v>
      </c>
      <c r="U9" s="129">
        <f ca="1">IF(T9=0,"",COUNTIF($T$2:T9,1))</f>
        <v>8</v>
      </c>
      <c r="V9" s="129" t="str">
        <f t="shared" ca="1" si="0"/>
        <v>Atikokan</v>
      </c>
      <c r="W9" s="129" t="str">
        <f ca="1"/>
        <v>Atikokan</v>
      </c>
      <c r="X9" s="720" t="str">
        <f ca="1"/>
        <v>Atikokan</v>
      </c>
      <c r="Z9" s="1786"/>
      <c r="AA9" s="129" t="s">
        <v>30</v>
      </c>
      <c r="AB9" s="823" t="s">
        <v>782</v>
      </c>
      <c r="AC9" s="129" t="s">
        <v>782</v>
      </c>
      <c r="AD9" s="129">
        <v>1</v>
      </c>
      <c r="AE9" s="129"/>
      <c r="AI9" s="179"/>
      <c r="AJ9" s="554" t="s">
        <v>36</v>
      </c>
      <c r="AK9" s="137" t="str">
        <f>""</f>
        <v/>
      </c>
      <c r="AL9" s="137" t="str">
        <f>""</f>
        <v/>
      </c>
      <c r="AM9" s="137" t="str">
        <f>""</f>
        <v/>
      </c>
      <c r="AN9" s="137" t="s">
        <v>918</v>
      </c>
      <c r="AO9" s="137" t="str">
        <f>""</f>
        <v/>
      </c>
      <c r="AP9" s="180" t="str">
        <f>""</f>
        <v/>
      </c>
      <c r="AQ9" t="str">
        <f>""</f>
        <v/>
      </c>
    </row>
    <row r="10" spans="2:43">
      <c r="D10" t="s">
        <v>919</v>
      </c>
      <c r="E10" s="663" t="s">
        <v>920</v>
      </c>
      <c r="F10" s="664" t="s">
        <v>921</v>
      </c>
      <c r="H10" s="663" t="s">
        <v>922</v>
      </c>
      <c r="I10" s="663" t="s">
        <v>923</v>
      </c>
      <c r="J10" s="664" t="s">
        <v>924</v>
      </c>
      <c r="K10" s="663" t="s">
        <v>925</v>
      </c>
      <c r="L10" s="664" t="s">
        <v>926</v>
      </c>
      <c r="M10" s="663" t="s">
        <v>927</v>
      </c>
      <c r="N10" s="663" t="s">
        <v>928</v>
      </c>
      <c r="O10" s="663" t="s">
        <v>929</v>
      </c>
      <c r="P10" s="664" t="s">
        <v>930</v>
      </c>
      <c r="Q10" s="663" t="s">
        <v>931</v>
      </c>
      <c r="R10" s="129"/>
      <c r="S10" s="287" t="str">
        <f ca="1"/>
        <v>Attawapiskat</v>
      </c>
      <c r="T10" s="129">
        <f ca="1">IFERROR(SEARCH('Saisie de données'!$J$20,S10),)</f>
        <v>1</v>
      </c>
      <c r="U10" s="129">
        <f ca="1">IF(T10=0,"",COUNTIF($T$2:T10,1))</f>
        <v>9</v>
      </c>
      <c r="V10" s="129" t="str">
        <f t="shared" ca="1" si="0"/>
        <v>Attawapiskat</v>
      </c>
      <c r="W10" s="129" t="str">
        <f ca="1"/>
        <v>Attawapiskat</v>
      </c>
      <c r="X10" s="720" t="str">
        <f ca="1"/>
        <v>Attawapiskat</v>
      </c>
      <c r="Z10" s="1786"/>
      <c r="AA10" s="129" t="s">
        <v>878</v>
      </c>
      <c r="AB10" s="823" t="s">
        <v>932</v>
      </c>
      <c r="AC10" s="129" t="s">
        <v>933</v>
      </c>
      <c r="AD10" s="129">
        <v>1.1499999999999999</v>
      </c>
      <c r="AE10" s="129"/>
      <c r="AI10" s="179"/>
      <c r="AJ10" s="554" t="s">
        <v>934</v>
      </c>
      <c r="AK10" s="137" t="s">
        <v>935</v>
      </c>
      <c r="AL10" s="137" t="s">
        <v>936</v>
      </c>
      <c r="AM10" s="137" t="str">
        <f>""</f>
        <v/>
      </c>
      <c r="AN10" s="137" t="s">
        <v>420</v>
      </c>
      <c r="AO10" s="137" t="s">
        <v>937</v>
      </c>
      <c r="AP10" s="180" t="s">
        <v>938</v>
      </c>
      <c r="AQ10" t="str">
        <f>""</f>
        <v/>
      </c>
    </row>
    <row r="11" spans="2:43">
      <c r="D11" t="s">
        <v>17</v>
      </c>
      <c r="E11" s="664" t="s">
        <v>939</v>
      </c>
      <c r="F11" s="663" t="s">
        <v>940</v>
      </c>
      <c r="H11" s="664" t="s">
        <v>941</v>
      </c>
      <c r="I11" s="664" t="s">
        <v>942</v>
      </c>
      <c r="J11" s="663" t="s">
        <v>943</v>
      </c>
      <c r="K11" s="663" t="s">
        <v>944</v>
      </c>
      <c r="L11" s="663" t="s">
        <v>945</v>
      </c>
      <c r="M11" s="664" t="s">
        <v>946</v>
      </c>
      <c r="N11" s="664" t="s">
        <v>947</v>
      </c>
      <c r="O11" s="664" t="s">
        <v>948</v>
      </c>
      <c r="P11" s="663" t="s">
        <v>949</v>
      </c>
      <c r="Q11" s="664" t="s">
        <v>950</v>
      </c>
      <c r="R11" s="129"/>
      <c r="S11" s="287" t="str">
        <f ca="1"/>
        <v>Aurora</v>
      </c>
      <c r="T11" s="129">
        <f ca="1">IFERROR(SEARCH('Saisie de données'!$J$20,S11),)</f>
        <v>1</v>
      </c>
      <c r="U11" s="129">
        <f ca="1">IF(T11=0,"",COUNTIF($T$2:T11,1))</f>
        <v>10</v>
      </c>
      <c r="V11" s="129" t="str">
        <f t="shared" ca="1" si="0"/>
        <v>Aurora</v>
      </c>
      <c r="W11" s="129" t="str">
        <f ca="1"/>
        <v>Aurora</v>
      </c>
      <c r="X11" s="720" t="str">
        <f ca="1"/>
        <v>Aurora</v>
      </c>
      <c r="Z11" s="1786"/>
      <c r="AA11" s="129" t="s">
        <v>900</v>
      </c>
      <c r="AB11" s="129" t="s">
        <v>951</v>
      </c>
      <c r="AC11" s="129" t="s">
        <v>952</v>
      </c>
      <c r="AD11" s="129">
        <v>1.25</v>
      </c>
      <c r="AE11" s="129"/>
      <c r="AI11" s="179"/>
      <c r="AJ11" s="554" t="s">
        <v>953</v>
      </c>
      <c r="AK11" s="137" t="s">
        <v>954</v>
      </c>
      <c r="AL11" s="137" t="s">
        <v>955</v>
      </c>
      <c r="AM11" s="137" t="str">
        <f>""</f>
        <v/>
      </c>
      <c r="AN11" s="137" t="s">
        <v>39</v>
      </c>
      <c r="AO11" s="137" t="str">
        <f>""</f>
        <v/>
      </c>
      <c r="AP11" s="180" t="str">
        <f>""</f>
        <v/>
      </c>
      <c r="AQ11" t="str">
        <f>""</f>
        <v/>
      </c>
    </row>
    <row r="12" spans="2:43">
      <c r="D12" t="s">
        <v>956</v>
      </c>
      <c r="E12" s="663" t="s">
        <v>957</v>
      </c>
      <c r="F12" s="664" t="s">
        <v>958</v>
      </c>
      <c r="H12" s="663" t="s">
        <v>959</v>
      </c>
      <c r="I12" s="663" t="s">
        <v>960</v>
      </c>
      <c r="J12" s="664" t="s">
        <v>961</v>
      </c>
      <c r="K12" s="663" t="s">
        <v>962</v>
      </c>
      <c r="L12" s="664" t="s">
        <v>963</v>
      </c>
      <c r="M12" s="664" t="s">
        <v>964</v>
      </c>
      <c r="N12" s="663" t="s">
        <v>965</v>
      </c>
      <c r="O12" s="663" t="s">
        <v>966</v>
      </c>
      <c r="P12" s="664" t="s">
        <v>967</v>
      </c>
      <c r="Q12" s="663" t="s">
        <v>968</v>
      </c>
      <c r="R12" s="129"/>
      <c r="S12" s="287" t="str">
        <f ca="1"/>
        <v>Bancroft</v>
      </c>
      <c r="T12" s="129">
        <f ca="1">IFERROR(SEARCH('Saisie de données'!$J$20,S12),)</f>
        <v>1</v>
      </c>
      <c r="U12" s="129">
        <f ca="1">IF(T12=0,"",COUNTIF($T$2:T12,1))</f>
        <v>11</v>
      </c>
      <c r="V12" s="129" t="str">
        <f t="shared" ca="1" si="0"/>
        <v>Bancroft</v>
      </c>
      <c r="W12" s="129" t="str">
        <f ca="1"/>
        <v>Bancroft</v>
      </c>
      <c r="X12" s="720" t="str">
        <f ca="1"/>
        <v>Bancroft</v>
      </c>
      <c r="Z12" s="1787" t="s">
        <v>969</v>
      </c>
      <c r="AA12" s="129" t="s">
        <v>36</v>
      </c>
      <c r="AB12" s="129" t="s">
        <v>970</v>
      </c>
      <c r="AC12" s="129" t="s">
        <v>971</v>
      </c>
      <c r="AD12" s="129"/>
      <c r="AE12" s="129"/>
      <c r="AG12" t="s">
        <v>972</v>
      </c>
      <c r="AH12" t="s">
        <v>973</v>
      </c>
      <c r="AI12" s="179" t="s">
        <v>974</v>
      </c>
      <c r="AJ12" s="554" t="s">
        <v>33</v>
      </c>
      <c r="AK12" s="137" t="str">
        <f>""</f>
        <v/>
      </c>
      <c r="AL12" s="137" t="str">
        <f>""</f>
        <v/>
      </c>
      <c r="AM12" s="137" t="str">
        <f>""</f>
        <v/>
      </c>
      <c r="AN12" s="137" t="s">
        <v>975</v>
      </c>
      <c r="AO12" s="137" t="s">
        <v>976</v>
      </c>
      <c r="AP12" s="180" t="s">
        <v>977</v>
      </c>
      <c r="AQ12" t="str">
        <f>""</f>
        <v/>
      </c>
    </row>
    <row r="13" spans="2:43">
      <c r="D13" t="s">
        <v>978</v>
      </c>
      <c r="E13" s="664" t="s">
        <v>979</v>
      </c>
      <c r="F13" s="664" t="s">
        <v>980</v>
      </c>
      <c r="H13" s="664" t="s">
        <v>981</v>
      </c>
      <c r="I13" s="664" t="s">
        <v>982</v>
      </c>
      <c r="J13" s="663" t="s">
        <v>983</v>
      </c>
      <c r="K13" s="664" t="s">
        <v>984</v>
      </c>
      <c r="L13" s="663" t="s">
        <v>985</v>
      </c>
      <c r="M13" s="663" t="s">
        <v>986</v>
      </c>
      <c r="N13" s="664" t="s">
        <v>987</v>
      </c>
      <c r="O13" s="663" t="s">
        <v>988</v>
      </c>
      <c r="P13" s="663" t="s">
        <v>989</v>
      </c>
      <c r="S13" s="287" t="str">
        <f ca="1"/>
        <v>Barrie</v>
      </c>
      <c r="T13" s="129">
        <f ca="1">IFERROR(SEARCH('Saisie de données'!$J$20,S13),)</f>
        <v>1</v>
      </c>
      <c r="U13" s="129">
        <f ca="1">IF(T13=0,"",COUNTIF($T$2:T13,1))</f>
        <v>12</v>
      </c>
      <c r="V13" s="129" t="str">
        <f t="shared" ca="1" si="0"/>
        <v>Barrie</v>
      </c>
      <c r="W13" s="129" t="str">
        <f ca="1"/>
        <v>Barrie</v>
      </c>
      <c r="X13" s="720" t="str">
        <f ca="1"/>
        <v>Barrie</v>
      </c>
      <c r="Z13" s="1787"/>
      <c r="AA13" s="129" t="s">
        <v>934</v>
      </c>
      <c r="AB13" s="129" t="s">
        <v>990</v>
      </c>
      <c r="AC13" s="129" t="s">
        <v>991</v>
      </c>
      <c r="AD13" s="129"/>
      <c r="AE13" s="129"/>
      <c r="AG13" t="s">
        <v>992</v>
      </c>
      <c r="AH13" t="s">
        <v>993</v>
      </c>
      <c r="AI13" s="179" t="s">
        <v>994</v>
      </c>
      <c r="AJ13" s="554" t="s">
        <v>995</v>
      </c>
      <c r="AK13" s="137" t="s">
        <v>996</v>
      </c>
      <c r="AL13" s="137" t="s">
        <v>997</v>
      </c>
      <c r="AM13" s="137" t="str">
        <f>""</f>
        <v/>
      </c>
      <c r="AN13" s="137"/>
      <c r="AO13" s="137"/>
      <c r="AP13" s="180"/>
      <c r="AQ13" t="str">
        <f>""</f>
        <v/>
      </c>
    </row>
    <row r="14" spans="2:43">
      <c r="D14" s="105" t="s">
        <v>998</v>
      </c>
      <c r="E14" s="663" t="s">
        <v>999</v>
      </c>
      <c r="F14" s="663" t="s">
        <v>1000</v>
      </c>
      <c r="H14" s="663" t="s">
        <v>1001</v>
      </c>
      <c r="I14" s="663" t="s">
        <v>1002</v>
      </c>
      <c r="J14" s="663" t="s">
        <v>1003</v>
      </c>
      <c r="K14" s="663" t="s">
        <v>1004</v>
      </c>
      <c r="L14" s="664" t="s">
        <v>1005</v>
      </c>
      <c r="M14" s="664" t="s">
        <v>1006</v>
      </c>
      <c r="N14" s="663" t="s">
        <v>1007</v>
      </c>
      <c r="O14" s="664" t="s">
        <v>1008</v>
      </c>
      <c r="P14" s="664" t="s">
        <v>1009</v>
      </c>
      <c r="S14" s="287" t="str">
        <f ca="1"/>
        <v>Barriefield</v>
      </c>
      <c r="T14" s="129">
        <f ca="1">IFERROR(SEARCH('Saisie de données'!$J$20,S14),)</f>
        <v>1</v>
      </c>
      <c r="U14" s="129">
        <f ca="1">IF(T14=0,"",COUNTIF($T$2:T14,1))</f>
        <v>13</v>
      </c>
      <c r="V14" s="129" t="str">
        <f t="shared" ca="1" si="0"/>
        <v>Barriefield</v>
      </c>
      <c r="W14" s="129" t="str">
        <f ca="1"/>
        <v>Barriefield</v>
      </c>
      <c r="X14" s="720" t="str">
        <f ca="1"/>
        <v>Barriefield</v>
      </c>
      <c r="Z14" s="824"/>
      <c r="AD14" s="129"/>
      <c r="AE14" s="129"/>
      <c r="AI14" s="179"/>
      <c r="AJ14" s="137" t="s">
        <v>39</v>
      </c>
      <c r="AK14" s="137" t="str">
        <f>""</f>
        <v/>
      </c>
      <c r="AL14" s="137" t="str">
        <f>""</f>
        <v/>
      </c>
      <c r="AM14" s="137" t="str">
        <f>""</f>
        <v/>
      </c>
      <c r="AN14" s="137"/>
      <c r="AO14" s="137"/>
      <c r="AP14" s="180"/>
      <c r="AQ14" t="str">
        <f>""</f>
        <v/>
      </c>
    </row>
    <row r="15" spans="2:43">
      <c r="D15" s="104" t="s">
        <v>1010</v>
      </c>
      <c r="E15" s="664" t="s">
        <v>1011</v>
      </c>
      <c r="F15" s="664" t="s">
        <v>1012</v>
      </c>
      <c r="H15" s="664" t="s">
        <v>1013</v>
      </c>
      <c r="I15" s="664" t="s">
        <v>1014</v>
      </c>
      <c r="J15" s="664" t="s">
        <v>1015</v>
      </c>
      <c r="K15" s="664" t="s">
        <v>1016</v>
      </c>
      <c r="L15" s="663" t="s">
        <v>1017</v>
      </c>
      <c r="M15" s="663" t="s">
        <v>1018</v>
      </c>
      <c r="N15" s="664" t="s">
        <v>1019</v>
      </c>
      <c r="O15" s="663" t="s">
        <v>1020</v>
      </c>
      <c r="P15" s="663" t="s">
        <v>1021</v>
      </c>
      <c r="S15" s="287" t="str">
        <f ca="1"/>
        <v>Beaverton</v>
      </c>
      <c r="T15" s="129">
        <f ca="1">IFERROR(SEARCH('Saisie de données'!$J$20,S15),)</f>
        <v>1</v>
      </c>
      <c r="U15" s="129">
        <f ca="1">IF(T15=0,"",COUNTIF($T$2:T15,1))</f>
        <v>14</v>
      </c>
      <c r="V15" s="129" t="str">
        <f t="shared" ca="1" si="0"/>
        <v>Beaverton</v>
      </c>
      <c r="W15" s="129" t="str">
        <f ca="1"/>
        <v>Beaverton</v>
      </c>
      <c r="X15" s="720" t="str">
        <f ca="1"/>
        <v>Beaverton</v>
      </c>
      <c r="Z15" s="1785" t="s">
        <v>1022</v>
      </c>
      <c r="AA15" s="129" t="s">
        <v>953</v>
      </c>
      <c r="AB15" s="129" t="s">
        <v>1023</v>
      </c>
      <c r="AC15" s="129" t="s">
        <v>1024</v>
      </c>
      <c r="AD15" s="129">
        <v>-0.15</v>
      </c>
      <c r="AE15" s="129">
        <v>0</v>
      </c>
      <c r="AI15" s="179"/>
      <c r="AJ15" s="137" t="s">
        <v>975</v>
      </c>
      <c r="AK15" s="137" t="s">
        <v>976</v>
      </c>
      <c r="AL15" s="137" t="s">
        <v>977</v>
      </c>
      <c r="AM15" s="137" t="str">
        <f>""</f>
        <v/>
      </c>
      <c r="AN15" s="137"/>
      <c r="AO15" s="137"/>
      <c r="AP15" s="180"/>
      <c r="AQ15" t="str">
        <f>""</f>
        <v/>
      </c>
    </row>
    <row r="16" spans="2:43">
      <c r="D16" t="s">
        <v>1025</v>
      </c>
      <c r="E16" s="663" t="s">
        <v>1026</v>
      </c>
      <c r="F16" s="663" t="s">
        <v>1027</v>
      </c>
      <c r="H16" s="663" t="s">
        <v>1028</v>
      </c>
      <c r="I16" s="663" t="s">
        <v>1029</v>
      </c>
      <c r="J16" s="663" t="s">
        <v>1030</v>
      </c>
      <c r="K16" s="663" t="s">
        <v>1031</v>
      </c>
      <c r="L16" s="664" t="s">
        <v>1032</v>
      </c>
      <c r="M16" s="664" t="s">
        <v>1033</v>
      </c>
      <c r="N16" s="663" t="s">
        <v>1034</v>
      </c>
      <c r="O16" s="663" t="s">
        <v>1035</v>
      </c>
      <c r="P16" s="664" t="s">
        <v>1036</v>
      </c>
      <c r="S16" s="287" t="str">
        <f ca="1"/>
        <v>Belleville</v>
      </c>
      <c r="T16" s="129">
        <f ca="1">IFERROR(SEARCH('Saisie de données'!$J$20,S16),)</f>
        <v>1</v>
      </c>
      <c r="U16" s="129">
        <f ca="1">IF(T16=0,"",COUNTIF($T$2:T16,1))</f>
        <v>15</v>
      </c>
      <c r="V16" s="129" t="str">
        <f t="shared" ca="1" si="0"/>
        <v>Belleville</v>
      </c>
      <c r="W16" s="129" t="str">
        <f ca="1"/>
        <v>Belleville</v>
      </c>
      <c r="X16" s="720" t="str">
        <f ca="1"/>
        <v>Belleville</v>
      </c>
      <c r="Z16" s="1785"/>
      <c r="AA16" s="129" t="s">
        <v>33</v>
      </c>
      <c r="AB16" s="129" t="s">
        <v>1037</v>
      </c>
      <c r="AC16" s="129" t="s">
        <v>1038</v>
      </c>
      <c r="AD16" s="129">
        <v>-0.45</v>
      </c>
      <c r="AE16" s="129">
        <v>0.3</v>
      </c>
      <c r="AG16" t="s">
        <v>1039</v>
      </c>
      <c r="AI16" s="179"/>
      <c r="AJ16" s="137"/>
      <c r="AK16" s="137"/>
      <c r="AL16" s="137"/>
      <c r="AM16" s="137"/>
      <c r="AN16" s="137"/>
      <c r="AO16" s="137"/>
      <c r="AP16" s="180"/>
    </row>
    <row r="17" spans="2:48">
      <c r="E17" s="664" t="s">
        <v>1040</v>
      </c>
      <c r="F17" s="664" t="s">
        <v>1041</v>
      </c>
      <c r="H17" s="664" t="s">
        <v>1042</v>
      </c>
      <c r="I17" s="664" t="s">
        <v>1043</v>
      </c>
      <c r="J17" s="664" t="s">
        <v>1044</v>
      </c>
      <c r="K17" s="664" t="s">
        <v>1045</v>
      </c>
      <c r="L17" s="663" t="s">
        <v>1046</v>
      </c>
      <c r="M17" s="663" t="s">
        <v>1047</v>
      </c>
      <c r="N17" s="664" t="s">
        <v>1048</v>
      </c>
      <c r="O17" s="664" t="s">
        <v>1049</v>
      </c>
      <c r="P17" s="663" t="s">
        <v>1050</v>
      </c>
      <c r="S17" s="287" t="str">
        <f ca="1"/>
        <v>Belmont</v>
      </c>
      <c r="T17" s="129">
        <f ca="1">IFERROR(SEARCH('Saisie de données'!$J$20,S17),)</f>
        <v>1</v>
      </c>
      <c r="U17" s="129">
        <f ca="1">IF(T17=0,"",COUNTIF($T$2:T17,1))</f>
        <v>16</v>
      </c>
      <c r="V17" s="129" t="str">
        <f t="shared" ca="1" si="0"/>
        <v>Belmont</v>
      </c>
      <c r="W17" s="129" t="str">
        <f ca="1"/>
        <v>Belmont</v>
      </c>
      <c r="X17" s="720" t="str">
        <f ca="1"/>
        <v>Belmont</v>
      </c>
      <c r="Z17" s="1785"/>
      <c r="AA17" s="129" t="s">
        <v>995</v>
      </c>
      <c r="AB17" s="129" t="s">
        <v>1051</v>
      </c>
      <c r="AC17" s="129" t="s">
        <v>1052</v>
      </c>
      <c r="AD17" s="129">
        <v>-0.7</v>
      </c>
      <c r="AE17" s="129">
        <v>0.7</v>
      </c>
      <c r="AG17" t="s">
        <v>1053</v>
      </c>
      <c r="AI17" s="179"/>
      <c r="AJ17" s="137"/>
      <c r="AK17" s="137"/>
      <c r="AL17" s="137"/>
      <c r="AM17" s="137"/>
      <c r="AN17" s="137"/>
      <c r="AO17" s="137"/>
      <c r="AP17" s="180"/>
      <c r="AQ17" t="str">
        <f>""</f>
        <v/>
      </c>
    </row>
    <row r="18" spans="2:48">
      <c r="E18" s="663" t="s">
        <v>1054</v>
      </c>
      <c r="F18" s="663" t="s">
        <v>1055</v>
      </c>
      <c r="H18" s="663" t="s">
        <v>1056</v>
      </c>
      <c r="I18" s="663" t="s">
        <v>1057</v>
      </c>
      <c r="J18" s="663" t="s">
        <v>1058</v>
      </c>
      <c r="K18" s="664" t="s">
        <v>1059</v>
      </c>
      <c r="L18" s="664" t="s">
        <v>1060</v>
      </c>
      <c r="M18" s="664" t="s">
        <v>1061</v>
      </c>
      <c r="N18" s="663" t="s">
        <v>1062</v>
      </c>
      <c r="O18" s="664" t="s">
        <v>1063</v>
      </c>
      <c r="P18" s="664" t="s">
        <v>1064</v>
      </c>
      <c r="S18" s="287" t="str">
        <f ca="1"/>
        <v>BFC Borden</v>
      </c>
      <c r="T18" s="129">
        <f ca="1">IFERROR(SEARCH('Saisie de données'!$J$20,S18),)</f>
        <v>1</v>
      </c>
      <c r="U18" s="129">
        <f ca="1">IF(T18=0,"",COUNTIF($T$2:T18,1))</f>
        <v>17</v>
      </c>
      <c r="V18" s="129" t="str">
        <f t="shared" ca="1" si="0"/>
        <v>BFC Borden</v>
      </c>
      <c r="W18" s="129" t="str">
        <f ca="1"/>
        <v>BFC Borden</v>
      </c>
      <c r="X18" s="720" t="str">
        <f ca="1"/>
        <v>BFC Borden</v>
      </c>
      <c r="Z18" s="825"/>
      <c r="AA18" s="129" t="s">
        <v>1065</v>
      </c>
      <c r="AB18" s="129" t="s">
        <v>1066</v>
      </c>
      <c r="AC18" s="129" t="s">
        <v>1067</v>
      </c>
      <c r="AG18" t="s">
        <v>1068</v>
      </c>
      <c r="AI18" s="179"/>
      <c r="AJ18" s="742" t="s">
        <v>1069</v>
      </c>
      <c r="AK18" s="137"/>
      <c r="AL18" s="137"/>
      <c r="AM18" s="137"/>
      <c r="AN18" s="742" t="s">
        <v>1069</v>
      </c>
      <c r="AO18" s="137"/>
      <c r="AP18" s="180"/>
      <c r="AQ18" t="str">
        <f>""</f>
        <v/>
      </c>
    </row>
    <row r="19" spans="2:48">
      <c r="E19" s="664" t="s">
        <v>1070</v>
      </c>
      <c r="F19" s="664" t="s">
        <v>1071</v>
      </c>
      <c r="H19" s="664" t="s">
        <v>1072</v>
      </c>
      <c r="I19" s="664" t="s">
        <v>1073</v>
      </c>
      <c r="J19" s="664" t="s">
        <v>1074</v>
      </c>
      <c r="K19" s="663" t="s">
        <v>1075</v>
      </c>
      <c r="L19" s="663" t="s">
        <v>1076</v>
      </c>
      <c r="M19" s="663" t="s">
        <v>1077</v>
      </c>
      <c r="N19" s="664" t="s">
        <v>1078</v>
      </c>
      <c r="O19" s="663" t="s">
        <v>1079</v>
      </c>
      <c r="P19" s="663" t="s">
        <v>1080</v>
      </c>
      <c r="S19" s="287" t="str">
        <f ca="1"/>
        <v>Big Trout Lake</v>
      </c>
      <c r="T19" s="129">
        <f ca="1">IFERROR(SEARCH('Saisie de données'!$J$20,S19),)</f>
        <v>1</v>
      </c>
      <c r="U19" s="129">
        <f ca="1">IF(T19=0,"",COUNTIF($T$2:T19,1))</f>
        <v>18</v>
      </c>
      <c r="V19" s="129" t="str">
        <f t="shared" ca="1" si="0"/>
        <v>Big Trout Lake</v>
      </c>
      <c r="W19" s="129" t="str">
        <f ca="1"/>
        <v>Big Trout Lake</v>
      </c>
      <c r="X19" s="720" t="str">
        <f ca="1"/>
        <v>Big Trout Lake</v>
      </c>
      <c r="Z19" s="825"/>
      <c r="AA19" s="129" t="s">
        <v>1081</v>
      </c>
      <c r="AB19" s="129" t="s">
        <v>92</v>
      </c>
      <c r="AC19" s="129" t="s">
        <v>255</v>
      </c>
      <c r="AI19" s="179"/>
      <c r="AJ19" s="137" t="s">
        <v>818</v>
      </c>
      <c r="AK19" s="137" t="s">
        <v>819</v>
      </c>
      <c r="AL19" s="137" t="s">
        <v>820</v>
      </c>
      <c r="AM19" s="137" t="str">
        <f>""</f>
        <v/>
      </c>
      <c r="AN19" s="137" t="s">
        <v>818</v>
      </c>
      <c r="AO19" s="137" t="s">
        <v>819</v>
      </c>
      <c r="AP19" s="180" t="s">
        <v>820</v>
      </c>
      <c r="AQ19" t="str">
        <f>""</f>
        <v/>
      </c>
    </row>
    <row r="20" spans="2:48">
      <c r="B20" s="305" t="s">
        <v>1082</v>
      </c>
      <c r="E20" s="663" t="s">
        <v>1083</v>
      </c>
      <c r="F20" s="663" t="s">
        <v>1084</v>
      </c>
      <c r="H20" s="663" t="s">
        <v>1085</v>
      </c>
      <c r="I20" s="663" t="s">
        <v>1086</v>
      </c>
      <c r="J20" s="663" t="s">
        <v>1087</v>
      </c>
      <c r="L20" s="664" t="s">
        <v>1088</v>
      </c>
      <c r="M20" s="664" t="s">
        <v>1089</v>
      </c>
      <c r="N20" s="663" t="s">
        <v>1090</v>
      </c>
      <c r="O20" s="104"/>
      <c r="P20" s="664" t="s">
        <v>1091</v>
      </c>
      <c r="S20" s="287" t="str">
        <f ca="1"/>
        <v>Bracebridge</v>
      </c>
      <c r="T20" s="129">
        <f ca="1">IFERROR(SEARCH('Saisie de données'!$J$20,S20),)</f>
        <v>1</v>
      </c>
      <c r="U20" s="129">
        <f ca="1">IF(T20=0,"",COUNTIF($T$2:T20,1))</f>
        <v>19</v>
      </c>
      <c r="V20" s="129" t="str">
        <f t="shared" ca="1" si="0"/>
        <v>Bracebridge</v>
      </c>
      <c r="W20" s="129" t="str">
        <f ca="1"/>
        <v>Bracebridge</v>
      </c>
      <c r="X20" s="720" t="str">
        <f ca="1"/>
        <v>Bracebridge</v>
      </c>
      <c r="Z20" s="825"/>
      <c r="AA20" s="129"/>
      <c r="AB20" s="129"/>
      <c r="AC20" s="129"/>
      <c r="AI20" s="179"/>
      <c r="AJ20" s="554" t="s">
        <v>836</v>
      </c>
      <c r="AK20" s="137" t="s">
        <v>1092</v>
      </c>
      <c r="AL20" s="137" t="s">
        <v>1093</v>
      </c>
      <c r="AM20" s="137" t="str">
        <f>""</f>
        <v/>
      </c>
      <c r="AN20" s="137" t="s">
        <v>839</v>
      </c>
      <c r="AO20" s="137" t="s">
        <v>1094</v>
      </c>
      <c r="AP20" s="180" t="s">
        <v>1095</v>
      </c>
      <c r="AQ20" t="str">
        <f>""</f>
        <v/>
      </c>
    </row>
    <row r="21" spans="2:48" ht="14.45" customHeight="1">
      <c r="B21" s="305" t="s">
        <v>11</v>
      </c>
      <c r="E21" s="664" t="s">
        <v>1096</v>
      </c>
      <c r="F21" s="663" t="s">
        <v>1097</v>
      </c>
      <c r="H21" s="664" t="s">
        <v>1098</v>
      </c>
      <c r="J21" s="664" t="s">
        <v>1099</v>
      </c>
      <c r="L21" s="664" t="s">
        <v>1100</v>
      </c>
      <c r="M21" s="663" t="s">
        <v>1101</v>
      </c>
      <c r="N21" s="664" t="s">
        <v>1102</v>
      </c>
      <c r="P21" s="663" t="s">
        <v>1103</v>
      </c>
      <c r="S21" s="287" t="str">
        <f ca="1"/>
        <v>Bradford</v>
      </c>
      <c r="T21" s="129">
        <f ca="1">IFERROR(SEARCH('Saisie de données'!$J$20,S21),)</f>
        <v>1</v>
      </c>
      <c r="U21" s="129">
        <f ca="1">IF(T21=0,"",COUNTIF($T$2:T21,1))</f>
        <v>20</v>
      </c>
      <c r="V21" s="129" t="str">
        <f t="shared" ca="1" si="0"/>
        <v>Bradford</v>
      </c>
      <c r="W21" s="129" t="str">
        <f ca="1"/>
        <v>Bradford</v>
      </c>
      <c r="X21" s="720" t="str">
        <f ca="1"/>
        <v>Bradford</v>
      </c>
      <c r="Z21" s="822"/>
      <c r="AA21" s="129"/>
      <c r="AB21" s="20"/>
      <c r="AC21" s="1632" t="s">
        <v>1104</v>
      </c>
      <c r="AD21" s="1632"/>
      <c r="AI21" s="179"/>
      <c r="AJ21" s="554" t="s">
        <v>30</v>
      </c>
      <c r="AK21" s="137" t="str">
        <f>""</f>
        <v/>
      </c>
      <c r="AL21" s="137" t="str">
        <f>""</f>
        <v/>
      </c>
      <c r="AM21" s="137" t="str">
        <f>""</f>
        <v/>
      </c>
      <c r="AN21" s="137" t="s">
        <v>860</v>
      </c>
      <c r="AO21" s="137" t="str">
        <f>""</f>
        <v/>
      </c>
      <c r="AP21" s="180" t="str">
        <f>""</f>
        <v/>
      </c>
      <c r="AQ21" t="str">
        <f>""</f>
        <v/>
      </c>
      <c r="AR21" s="20"/>
      <c r="AS21" s="20"/>
      <c r="AT21" s="20"/>
      <c r="AU21" s="20"/>
      <c r="AV21" s="20"/>
    </row>
    <row r="22" spans="2:48">
      <c r="E22" s="663" t="s">
        <v>1105</v>
      </c>
      <c r="F22" s="664" t="s">
        <v>1106</v>
      </c>
      <c r="H22" s="663" t="s">
        <v>1107</v>
      </c>
      <c r="J22" s="663" t="s">
        <v>1108</v>
      </c>
      <c r="L22" s="663" t="s">
        <v>1109</v>
      </c>
      <c r="M22" s="664" t="s">
        <v>1110</v>
      </c>
      <c r="N22" s="663" t="s">
        <v>1111</v>
      </c>
      <c r="S22" s="287" t="str">
        <f ca="1"/>
        <v>Brampton</v>
      </c>
      <c r="T22" s="129">
        <f ca="1">IFERROR(SEARCH('Saisie de données'!$J$20,S22),)</f>
        <v>1</v>
      </c>
      <c r="U22" s="129">
        <f ca="1">IF(T22=0,"",COUNTIF($T$2:T22,1))</f>
        <v>21</v>
      </c>
      <c r="V22" s="129" t="str">
        <f t="shared" ca="1" si="0"/>
        <v>Brampton</v>
      </c>
      <c r="W22" s="129" t="str">
        <f ca="1"/>
        <v>Brampton</v>
      </c>
      <c r="X22" s="720" t="str">
        <f ca="1"/>
        <v>Brampton</v>
      </c>
      <c r="Z22" s="822"/>
      <c r="AA22" s="129" t="s">
        <v>1112</v>
      </c>
      <c r="AB22" s="792" t="s">
        <v>1113</v>
      </c>
      <c r="AC22" s="129" t="s">
        <v>1114</v>
      </c>
      <c r="AD22" s="129" t="s">
        <v>1115</v>
      </c>
      <c r="AI22" s="179"/>
      <c r="AJ22" s="554" t="s">
        <v>878</v>
      </c>
      <c r="AK22" s="137" t="s">
        <v>1092</v>
      </c>
      <c r="AL22" s="137" t="s">
        <v>1093</v>
      </c>
      <c r="AM22" s="137" t="str">
        <f>""</f>
        <v/>
      </c>
      <c r="AN22" s="137" t="s">
        <v>881</v>
      </c>
      <c r="AO22" s="137" t="s">
        <v>1094</v>
      </c>
      <c r="AP22" s="180" t="s">
        <v>1095</v>
      </c>
      <c r="AQ22" t="str">
        <f>""</f>
        <v/>
      </c>
      <c r="AR22" s="20"/>
      <c r="AS22" s="20"/>
      <c r="AT22" s="20"/>
      <c r="AU22" s="20"/>
      <c r="AV22" s="20"/>
    </row>
    <row r="23" spans="2:48">
      <c r="E23" s="664" t="s">
        <v>1116</v>
      </c>
      <c r="F23" s="663" t="s">
        <v>1117</v>
      </c>
      <c r="H23" s="664" t="s">
        <v>1118</v>
      </c>
      <c r="J23" s="664" t="s">
        <v>1119</v>
      </c>
      <c r="L23" s="664" t="s">
        <v>1120</v>
      </c>
      <c r="M23" s="663" t="s">
        <v>1121</v>
      </c>
      <c r="N23" s="664" t="s">
        <v>1122</v>
      </c>
      <c r="S23" s="287" t="str">
        <f ca="1"/>
        <v>Brantford</v>
      </c>
      <c r="T23" s="129">
        <f ca="1">IFERROR(SEARCH('Saisie de données'!$J$20,S23),)</f>
        <v>1</v>
      </c>
      <c r="U23" s="129">
        <f ca="1">IF(T23=0,"",COUNTIF($T$2:T23,1))</f>
        <v>22</v>
      </c>
      <c r="V23" s="129" t="str">
        <f t="shared" ca="1" si="0"/>
        <v>Brantford</v>
      </c>
      <c r="W23" s="129" t="str">
        <f ca="1"/>
        <v>Brantford</v>
      </c>
      <c r="X23" s="720" t="str">
        <f ca="1"/>
        <v>Brantford</v>
      </c>
      <c r="Z23" s="822"/>
      <c r="AA23" s="129" t="s">
        <v>1081</v>
      </c>
      <c r="AB23" s="826" t="s">
        <v>1123</v>
      </c>
      <c r="AC23" s="133">
        <f>12*25.4/1000</f>
        <v>0.30479999999999996</v>
      </c>
      <c r="AD23">
        <v>1</v>
      </c>
      <c r="AE23" s="188">
        <f>1000/25.4/12</f>
        <v>3.2808398950131235</v>
      </c>
      <c r="AI23" s="179"/>
      <c r="AJ23" s="554" t="s">
        <v>900</v>
      </c>
      <c r="AK23" s="137" t="s">
        <v>1092</v>
      </c>
      <c r="AL23" s="137" t="s">
        <v>1093</v>
      </c>
      <c r="AM23" s="137" t="str">
        <f>""</f>
        <v/>
      </c>
      <c r="AN23" s="137" t="s">
        <v>418</v>
      </c>
      <c r="AO23" s="137" t="s">
        <v>1124</v>
      </c>
      <c r="AP23" s="180" t="s">
        <v>1125</v>
      </c>
      <c r="AQ23" t="str">
        <f>""</f>
        <v/>
      </c>
      <c r="AS23" s="20"/>
      <c r="AT23" s="20"/>
      <c r="AU23" s="20"/>
      <c r="AV23" s="20"/>
    </row>
    <row r="24" spans="2:48">
      <c r="E24" s="663" t="s">
        <v>1126</v>
      </c>
      <c r="F24" s="664" t="s">
        <v>1127</v>
      </c>
      <c r="H24" s="663" t="s">
        <v>1128</v>
      </c>
      <c r="J24" s="663" t="s">
        <v>1129</v>
      </c>
      <c r="L24" s="663" t="s">
        <v>1130</v>
      </c>
      <c r="M24" s="664" t="s">
        <v>1131</v>
      </c>
      <c r="N24" s="663" t="s">
        <v>1132</v>
      </c>
      <c r="S24" s="287" t="str">
        <f ca="1"/>
        <v>Brighton</v>
      </c>
      <c r="T24" s="129">
        <f ca="1">IFERROR(SEARCH('Saisie de données'!$J$20,S24),)</f>
        <v>1</v>
      </c>
      <c r="U24" s="129">
        <f ca="1">IF(T24=0,"",COUNTIF($T$2:T24,1))</f>
        <v>23</v>
      </c>
      <c r="V24" s="129" t="str">
        <f t="shared" ca="1" si="0"/>
        <v>Brighton</v>
      </c>
      <c r="W24" s="129" t="str">
        <f ca="1"/>
        <v>Brighton</v>
      </c>
      <c r="X24" s="720" t="str">
        <f ca="1"/>
        <v>Brighton</v>
      </c>
      <c r="Z24" s="822"/>
      <c r="AA24" s="129" t="s">
        <v>1065</v>
      </c>
      <c r="AB24" s="133" t="s">
        <v>1133</v>
      </c>
      <c r="AC24" s="133">
        <v>1</v>
      </c>
      <c r="AD24" s="129">
        <f>1/(1000/25.4/12)</f>
        <v>0.30480000000000002</v>
      </c>
      <c r="AE24">
        <v>3.2808398950131235</v>
      </c>
      <c r="AI24" s="179"/>
      <c r="AJ24" s="554" t="s">
        <v>36</v>
      </c>
      <c r="AK24" s="137" t="str">
        <f>""</f>
        <v/>
      </c>
      <c r="AL24" s="137" t="str">
        <f>""</f>
        <v/>
      </c>
      <c r="AM24" s="137" t="str">
        <f>""</f>
        <v/>
      </c>
      <c r="AN24" s="137" t="s">
        <v>918</v>
      </c>
      <c r="AO24" s="137" t="str">
        <f>""</f>
        <v/>
      </c>
      <c r="AP24" s="180" t="str">
        <f>""</f>
        <v/>
      </c>
    </row>
    <row r="25" spans="2:48">
      <c r="E25" s="664" t="s">
        <v>1134</v>
      </c>
      <c r="F25" s="663" t="s">
        <v>1135</v>
      </c>
      <c r="H25" s="664" t="s">
        <v>1136</v>
      </c>
      <c r="J25" s="664" t="s">
        <v>1137</v>
      </c>
      <c r="L25" s="664" t="s">
        <v>1138</v>
      </c>
      <c r="M25" s="663" t="s">
        <v>1139</v>
      </c>
      <c r="N25" s="664" t="s">
        <v>1140</v>
      </c>
      <c r="S25" s="287" t="str">
        <f ca="1"/>
        <v>Brockville</v>
      </c>
      <c r="T25" s="129">
        <f ca="1">IFERROR(SEARCH('Saisie de données'!$J$20,S25),)</f>
        <v>1</v>
      </c>
      <c r="U25" s="129">
        <f ca="1">IF(T25=0,"",COUNTIF($T$2:T25,1))</f>
        <v>24</v>
      </c>
      <c r="V25" s="129" t="str">
        <f t="shared" ca="1" si="0"/>
        <v>Brockville</v>
      </c>
      <c r="W25" s="129" t="str">
        <f ca="1"/>
        <v>Brockville</v>
      </c>
      <c r="X25" s="720" t="str">
        <f ca="1"/>
        <v>Brockville</v>
      </c>
      <c r="Z25" s="1783" t="s">
        <v>1141</v>
      </c>
      <c r="AA25" s="129" t="s">
        <v>1053</v>
      </c>
      <c r="AB25" s="133" t="s">
        <v>1142</v>
      </c>
      <c r="AC25" s="129" t="s">
        <v>1143</v>
      </c>
      <c r="AH25">
        <f>IF('Saisie de données'!K16='Menu déroulant'!AA55,60,60*AE23)</f>
        <v>196.85039370078741</v>
      </c>
      <c r="AI25" s="179"/>
      <c r="AJ25" s="554" t="s">
        <v>934</v>
      </c>
      <c r="AK25" s="137" t="s">
        <v>1144</v>
      </c>
      <c r="AL25" s="137" t="s">
        <v>1145</v>
      </c>
      <c r="AM25" s="137" t="str">
        <f>""</f>
        <v/>
      </c>
      <c r="AN25" s="137" t="s">
        <v>420</v>
      </c>
      <c r="AO25" s="137" t="s">
        <v>1124</v>
      </c>
      <c r="AP25" s="180" t="s">
        <v>1125</v>
      </c>
      <c r="AQ25" t="str">
        <f>""</f>
        <v/>
      </c>
    </row>
    <row r="26" spans="2:48">
      <c r="E26" s="663" t="s">
        <v>1146</v>
      </c>
      <c r="F26" s="664" t="s">
        <v>1147</v>
      </c>
      <c r="H26" s="663" t="s">
        <v>1148</v>
      </c>
      <c r="J26" s="663" t="s">
        <v>1149</v>
      </c>
      <c r="L26" s="663" t="s">
        <v>1150</v>
      </c>
      <c r="M26" s="663" t="s">
        <v>1151</v>
      </c>
      <c r="N26" s="663" t="s">
        <v>1152</v>
      </c>
      <c r="S26" s="287" t="str">
        <f ca="1"/>
        <v>Brooklin</v>
      </c>
      <c r="T26" s="129">
        <f ca="1">IFERROR(SEARCH('Saisie de données'!$J$20,S26),)</f>
        <v>1</v>
      </c>
      <c r="U26" s="129">
        <f ca="1">IF(T26=0,"",COUNTIF($T$2:T26,1))</f>
        <v>25</v>
      </c>
      <c r="V26" s="129" t="str">
        <f t="shared" ca="1" si="0"/>
        <v>Brooklin</v>
      </c>
      <c r="W26" s="129" t="str">
        <f ca="1"/>
        <v>Brooklin</v>
      </c>
      <c r="X26" s="720" t="str">
        <f ca="1"/>
        <v>Brooklin</v>
      </c>
      <c r="Z26" s="1783"/>
      <c r="AA26" s="132" t="s">
        <v>1068</v>
      </c>
      <c r="AB26" s="760" t="s">
        <v>834</v>
      </c>
      <c r="AC26" s="129" t="s">
        <v>835</v>
      </c>
      <c r="AI26" s="179"/>
      <c r="AJ26" s="554" t="s">
        <v>953</v>
      </c>
      <c r="AK26" s="137" t="s">
        <v>1153</v>
      </c>
      <c r="AL26" s="137" t="s">
        <v>1154</v>
      </c>
      <c r="AM26" s="137" t="str">
        <f>""</f>
        <v/>
      </c>
      <c r="AN26" s="137" t="s">
        <v>39</v>
      </c>
      <c r="AO26" s="137" t="str">
        <f>""</f>
        <v/>
      </c>
      <c r="AP26" s="180" t="str">
        <f>""</f>
        <v/>
      </c>
    </row>
    <row r="27" spans="2:48">
      <c r="E27" s="664" t="s">
        <v>1155</v>
      </c>
      <c r="F27" s="663" t="s">
        <v>1156</v>
      </c>
      <c r="H27" s="664" t="s">
        <v>1157</v>
      </c>
      <c r="J27" s="664" t="s">
        <v>1158</v>
      </c>
      <c r="L27" s="664" t="s">
        <v>1159</v>
      </c>
      <c r="M27" s="664" t="s">
        <v>1160</v>
      </c>
      <c r="N27" s="664" t="s">
        <v>1161</v>
      </c>
      <c r="S27" s="287" t="str">
        <f ca="1"/>
        <v>Burk's Falls</v>
      </c>
      <c r="T27" s="129">
        <f ca="1">IFERROR(SEARCH('Saisie de données'!$J$20,S27),)</f>
        <v>1</v>
      </c>
      <c r="U27" s="129">
        <f ca="1">IF(T27=0,"",COUNTIF($T$2:T27,1))</f>
        <v>26</v>
      </c>
      <c r="V27" s="129" t="str">
        <f t="shared" ca="1" si="0"/>
        <v>Burk's Falls</v>
      </c>
      <c r="W27" s="129" t="str">
        <f ca="1"/>
        <v>Burk's Falls</v>
      </c>
      <c r="X27" s="720" t="str">
        <f ca="1"/>
        <v>Burk's Falls</v>
      </c>
      <c r="Z27" s="1783" t="s">
        <v>1162</v>
      </c>
      <c r="AA27" s="129" t="s">
        <v>70</v>
      </c>
      <c r="AB27" s="133" t="s">
        <v>1142</v>
      </c>
      <c r="AC27" s="129" t="s">
        <v>1143</v>
      </c>
      <c r="AI27" s="179"/>
      <c r="AJ27" s="554" t="s">
        <v>33</v>
      </c>
      <c r="AK27" s="137" t="str">
        <f>""</f>
        <v/>
      </c>
      <c r="AL27" s="137" t="str">
        <f>""</f>
        <v/>
      </c>
      <c r="AM27" s="137" t="str">
        <f>""</f>
        <v/>
      </c>
      <c r="AN27" s="137" t="s">
        <v>975</v>
      </c>
      <c r="AO27" s="137" t="s">
        <v>1163</v>
      </c>
      <c r="AP27" s="180" t="s">
        <v>1164</v>
      </c>
      <c r="AQ27" t="str">
        <f>""</f>
        <v/>
      </c>
    </row>
    <row r="28" spans="2:48">
      <c r="E28" s="663" t="s">
        <v>1165</v>
      </c>
      <c r="F28" s="664" t="s">
        <v>1166</v>
      </c>
      <c r="J28" s="663" t="s">
        <v>1167</v>
      </c>
      <c r="L28" s="663" t="s">
        <v>1168</v>
      </c>
      <c r="M28" s="663" t="s">
        <v>1169</v>
      </c>
      <c r="N28" s="663" t="s">
        <v>1170</v>
      </c>
      <c r="S28" s="287" t="str">
        <f ca="1"/>
        <v>Burlington</v>
      </c>
      <c r="T28" s="129">
        <f ca="1">IFERROR(SEARCH('Saisie de données'!$J$20,S28),)</f>
        <v>1</v>
      </c>
      <c r="U28" s="129">
        <f ca="1">IF(T28=0,"",COUNTIF($T$2:T28,1))</f>
        <v>27</v>
      </c>
      <c r="V28" s="129" t="str">
        <f t="shared" ca="1" si="0"/>
        <v>Burlington</v>
      </c>
      <c r="W28" s="129" t="str">
        <f ca="1"/>
        <v>Burlington</v>
      </c>
      <c r="X28" s="720" t="str">
        <f ca="1"/>
        <v>Burlington</v>
      </c>
      <c r="Z28" s="1783"/>
      <c r="AA28" s="132" t="s">
        <v>69</v>
      </c>
      <c r="AB28" s="760" t="s">
        <v>834</v>
      </c>
      <c r="AC28" s="129" t="s">
        <v>835</v>
      </c>
      <c r="AD28" s="827"/>
      <c r="AI28" s="179"/>
      <c r="AJ28" s="554" t="s">
        <v>995</v>
      </c>
      <c r="AK28" s="137" t="s">
        <v>1153</v>
      </c>
      <c r="AL28" s="137" t="s">
        <v>1154</v>
      </c>
      <c r="AM28" s="137" t="str">
        <f>""</f>
        <v/>
      </c>
      <c r="AN28" s="137"/>
      <c r="AO28" s="137"/>
      <c r="AP28" s="180"/>
    </row>
    <row r="29" spans="2:48">
      <c r="E29" s="664" t="s">
        <v>1171</v>
      </c>
      <c r="F29" s="663" t="s">
        <v>1172</v>
      </c>
      <c r="L29" s="663" t="s">
        <v>1173</v>
      </c>
      <c r="M29" s="663" t="s">
        <v>1174</v>
      </c>
      <c r="N29" s="664" t="s">
        <v>1175</v>
      </c>
      <c r="S29" s="287" t="str">
        <f ca="1"/>
        <v>Cambridge</v>
      </c>
      <c r="T29" s="129">
        <f ca="1">IFERROR(SEARCH('Saisie de données'!$J$20,S29),)</f>
        <v>1</v>
      </c>
      <c r="U29" s="129">
        <f ca="1">IF(T29=0,"",COUNTIF($T$2:T29,1))</f>
        <v>28</v>
      </c>
      <c r="V29" s="129" t="str">
        <f t="shared" ca="1" si="0"/>
        <v>Cambridge</v>
      </c>
      <c r="W29" s="129" t="str">
        <f ca="1"/>
        <v>Cambridge</v>
      </c>
      <c r="X29" s="720" t="str">
        <f ca="1"/>
        <v>Cambridge</v>
      </c>
      <c r="Z29" s="178"/>
      <c r="AA29" s="827"/>
      <c r="AB29" t="s">
        <v>1176</v>
      </c>
      <c r="AC29">
        <v>26</v>
      </c>
      <c r="AD29" s="827"/>
      <c r="AI29" s="179"/>
      <c r="AJ29" s="137" t="s">
        <v>39</v>
      </c>
      <c r="AK29" s="137" t="str">
        <f>""</f>
        <v/>
      </c>
      <c r="AL29" s="137" t="str">
        <f>""</f>
        <v/>
      </c>
      <c r="AM29" s="137"/>
      <c r="AN29" s="137"/>
      <c r="AO29" s="137"/>
      <c r="AP29" s="180"/>
    </row>
    <row r="30" spans="2:48" ht="15" thickBot="1">
      <c r="E30" s="663" t="s">
        <v>1177</v>
      </c>
      <c r="F30" s="664" t="s">
        <v>1178</v>
      </c>
      <c r="L30" s="664" t="s">
        <v>1179</v>
      </c>
      <c r="M30" s="664" t="s">
        <v>1180</v>
      </c>
      <c r="N30" s="663" t="s">
        <v>1181</v>
      </c>
      <c r="S30" s="287" t="str">
        <f ca="1"/>
        <v>Campbellford</v>
      </c>
      <c r="T30" s="129">
        <f ca="1">IFERROR(SEARCH('Saisie de données'!$J$20,S30),)</f>
        <v>1</v>
      </c>
      <c r="U30" s="129">
        <f ca="1">IF(T30=0,"",COUNTIF($T$2:T30,1))</f>
        <v>29</v>
      </c>
      <c r="V30" s="129" t="str">
        <f t="shared" ca="1" si="0"/>
        <v>Campbellford</v>
      </c>
      <c r="W30" s="129" t="str">
        <f ca="1"/>
        <v>Campbellford</v>
      </c>
      <c r="X30" s="720" t="str">
        <f ca="1"/>
        <v>Campbellford</v>
      </c>
      <c r="Z30" s="178"/>
      <c r="AB30" t="s">
        <v>50</v>
      </c>
      <c r="AC30">
        <v>24</v>
      </c>
      <c r="AI30" s="179"/>
      <c r="AJ30" s="399" t="s">
        <v>975</v>
      </c>
      <c r="AK30" s="399" t="s">
        <v>1182</v>
      </c>
      <c r="AL30" s="399" t="s">
        <v>1183</v>
      </c>
      <c r="AM30" s="399" t="str">
        <f>""</f>
        <v/>
      </c>
      <c r="AN30" s="399"/>
      <c r="AO30" s="399"/>
      <c r="AP30" s="741"/>
    </row>
    <row r="31" spans="2:48" ht="15" thickTop="1">
      <c r="E31" s="664" t="s">
        <v>1184</v>
      </c>
      <c r="F31" s="664" t="s">
        <v>1185</v>
      </c>
      <c r="L31" s="664" t="s">
        <v>890</v>
      </c>
      <c r="M31" s="663" t="s">
        <v>1186</v>
      </c>
      <c r="N31" s="664" t="s">
        <v>1187</v>
      </c>
      <c r="S31" s="287" t="str">
        <f ca="1"/>
        <v>Cannington</v>
      </c>
      <c r="T31" s="129">
        <f ca="1">IFERROR(SEARCH('Saisie de données'!$J$20,S31),)</f>
        <v>1</v>
      </c>
      <c r="U31" s="129">
        <f ca="1">IF(T31=0,"",COUNTIF($T$2:T31,1))</f>
        <v>30</v>
      </c>
      <c r="V31" s="129" t="str">
        <f t="shared" ca="1" si="0"/>
        <v>Cannington</v>
      </c>
      <c r="W31" s="129" t="str">
        <f ca="1"/>
        <v>Cannington</v>
      </c>
      <c r="X31" s="720" t="str">
        <f ca="1"/>
        <v>Cannington</v>
      </c>
      <c r="Z31" s="178" t="s">
        <v>1188</v>
      </c>
      <c r="AA31" t="s">
        <v>49</v>
      </c>
      <c r="AB31" t="s">
        <v>1189</v>
      </c>
      <c r="AC31">
        <v>22</v>
      </c>
      <c r="AE31" t="s">
        <v>49</v>
      </c>
      <c r="AF31" t="s">
        <v>56</v>
      </c>
      <c r="AG31" t="s">
        <v>1190</v>
      </c>
      <c r="AI31" s="179"/>
    </row>
    <row r="32" spans="2:48">
      <c r="E32" s="663" t="s">
        <v>1191</v>
      </c>
      <c r="F32" s="663" t="s">
        <v>1192</v>
      </c>
      <c r="L32" s="663" t="s">
        <v>1193</v>
      </c>
      <c r="M32" s="664" t="s">
        <v>1194</v>
      </c>
      <c r="N32" s="663" t="s">
        <v>1195</v>
      </c>
      <c r="S32" s="287" t="str">
        <f ca="1"/>
        <v>Carleton Place</v>
      </c>
      <c r="T32" s="129">
        <f ca="1">IFERROR(SEARCH('Saisie de données'!$J$20,S32),)</f>
        <v>1</v>
      </c>
      <c r="U32" s="129">
        <f ca="1">IF(T32=0,"",COUNTIF($T$2:T32,1))</f>
        <v>31</v>
      </c>
      <c r="V32" s="129" t="str">
        <f t="shared" ca="1" si="0"/>
        <v>Carleton Place</v>
      </c>
      <c r="W32" s="129" t="str">
        <f ca="1"/>
        <v>Carleton Place</v>
      </c>
      <c r="X32" s="720" t="str">
        <f ca="1"/>
        <v>Carleton Place</v>
      </c>
      <c r="Z32" s="178"/>
      <c r="AA32" s="327" t="str">
        <f>IF(OR('Saisie de données'!$D$13='Menu déroulant'!$AA$4,'Saisie de données'!$D$13='Menu déroulant'!$AA$3),"","Noroc")</f>
        <v>Noroc</v>
      </c>
      <c r="AE32" t="s">
        <v>1196</v>
      </c>
      <c r="AF32" t="s">
        <v>1196</v>
      </c>
      <c r="AG32" t="s">
        <v>1196</v>
      </c>
      <c r="AI32" s="179"/>
    </row>
    <row r="33" spans="5:35">
      <c r="E33" s="664" t="s">
        <v>1197</v>
      </c>
      <c r="F33" s="664" t="s">
        <v>1198</v>
      </c>
      <c r="L33" s="664" t="s">
        <v>1199</v>
      </c>
      <c r="M33" s="663" t="s">
        <v>1200</v>
      </c>
      <c r="N33" s="664" t="s">
        <v>1201</v>
      </c>
      <c r="S33" s="287" t="str">
        <f ca="1"/>
        <v>Cavan</v>
      </c>
      <c r="T33" s="129">
        <f ca="1">IFERROR(SEARCH('Saisie de données'!$J$20,S33),)</f>
        <v>1</v>
      </c>
      <c r="U33" s="129">
        <f ca="1">IF(T33=0,"",COUNTIF($T$2:T33,1))</f>
        <v>32</v>
      </c>
      <c r="V33" s="129" t="str">
        <f t="shared" ca="1" si="0"/>
        <v>Cavan</v>
      </c>
      <c r="W33" s="129" t="str">
        <f ca="1"/>
        <v>Cavan</v>
      </c>
      <c r="X33" s="720" t="str">
        <f ca="1"/>
        <v>Cavan</v>
      </c>
      <c r="Z33" s="178" t="s">
        <v>1202</v>
      </c>
      <c r="AA33" t="s">
        <v>52</v>
      </c>
      <c r="AE33" s="828">
        <f>VALUE(IF((OR('Saisie de données'!$D$13='Menu déroulant'!$AA$4,'Saisie de données'!$D$13='Menu déroulant'!$AA$3)),"","2"))</f>
        <v>2</v>
      </c>
      <c r="AF33" s="828">
        <f>VALUE(IF(OR('Saisie de données'!$D$13='Menu déroulant'!$AA$4,'Saisie de données'!$D$13='Menu déroulant'!$AA$3),"","4"))</f>
        <v>4</v>
      </c>
      <c r="AG33" s="828">
        <f>VALUE(IF(OR('Saisie de données'!$D$13='Menu déroulant'!$AA$4,'Saisie de données'!$D$13='Menu déroulant'!$AA$3),"","2"))</f>
        <v>2</v>
      </c>
      <c r="AI33" s="179"/>
    </row>
    <row r="34" spans="5:35">
      <c r="E34" s="663" t="s">
        <v>1203</v>
      </c>
      <c r="F34" s="663" t="s">
        <v>1204</v>
      </c>
      <c r="L34" s="663" t="s">
        <v>1205</v>
      </c>
      <c r="M34" s="664" t="s">
        <v>1206</v>
      </c>
      <c r="N34" s="663" t="s">
        <v>1207</v>
      </c>
      <c r="S34" s="287" t="str">
        <f ca="1"/>
        <v>Centralia</v>
      </c>
      <c r="T34" s="129">
        <f ca="1">IFERROR(SEARCH('Saisie de données'!$J$20,S34),)</f>
        <v>1</v>
      </c>
      <c r="U34" s="129">
        <f ca="1">IF(T34=0,"",COUNTIF($T$2:T34,1))</f>
        <v>33</v>
      </c>
      <c r="V34" s="129" t="str">
        <f t="shared" ca="1" si="0"/>
        <v>Centralia</v>
      </c>
      <c r="W34" s="129" t="str">
        <f ca="1"/>
        <v>Centralia</v>
      </c>
      <c r="X34" s="720" t="str">
        <f ca="1"/>
        <v>Centralia</v>
      </c>
      <c r="Z34" s="178"/>
      <c r="AA34" t="s">
        <v>992</v>
      </c>
      <c r="AE34" s="828">
        <f>VALUE(3)</f>
        <v>3</v>
      </c>
      <c r="AF34" s="828">
        <f>VALUE(IF(OR('Saisie de données'!$D$13='Menu déroulant'!$AA$4,'Saisie de données'!$D$13='Menu déroulant'!$AA$3),"","5"))</f>
        <v>5</v>
      </c>
      <c r="AG34" s="828">
        <f>VALUE(3)</f>
        <v>3</v>
      </c>
      <c r="AI34" s="179"/>
    </row>
    <row r="35" spans="5:35">
      <c r="E35" s="664" t="s">
        <v>1208</v>
      </c>
      <c r="F35" s="664" t="s">
        <v>1209</v>
      </c>
      <c r="L35" s="664" t="s">
        <v>1210</v>
      </c>
      <c r="M35" s="663" t="s">
        <v>1211</v>
      </c>
      <c r="S35" s="287" t="str">
        <f ca="1"/>
        <v>Chapleau</v>
      </c>
      <c r="T35" s="129">
        <f ca="1">IFERROR(SEARCH('Saisie de données'!$J$20,S35),)</f>
        <v>1</v>
      </c>
      <c r="U35" s="129">
        <f ca="1">IF(T35=0,"",COUNTIF($T$2:T35,1))</f>
        <v>34</v>
      </c>
      <c r="V35" s="129" t="str">
        <f t="shared" ca="1" si="0"/>
        <v>Chapleau</v>
      </c>
      <c r="W35" s="129" t="str">
        <f ca="1"/>
        <v>Chapleau</v>
      </c>
      <c r="X35" s="720" t="str">
        <f ca="1"/>
        <v>Chapleau</v>
      </c>
      <c r="Z35" s="178"/>
      <c r="AE35" s="828">
        <f>VALUE(4)</f>
        <v>4</v>
      </c>
      <c r="AF35" s="828">
        <f>VALUE(IF(OR('Saisie de données'!$D$13='Menu déroulant'!$AA$4,'Saisie de données'!$D$13='Menu déroulant'!$AA$3),"","6"))</f>
        <v>6</v>
      </c>
      <c r="AG35" s="828">
        <f>VALUE(4)</f>
        <v>4</v>
      </c>
      <c r="AI35" s="179"/>
    </row>
    <row r="36" spans="5:35">
      <c r="E36" s="663" t="s">
        <v>1212</v>
      </c>
      <c r="F36" s="663" t="s">
        <v>1213</v>
      </c>
      <c r="L36" s="663" t="s">
        <v>1214</v>
      </c>
      <c r="M36" s="664" t="s">
        <v>1215</v>
      </c>
      <c r="S36" s="287" t="str">
        <f ca="1"/>
        <v>Chatham</v>
      </c>
      <c r="T36" s="129">
        <f ca="1">IFERROR(SEARCH('Saisie de données'!$J$20,S36),)</f>
        <v>1</v>
      </c>
      <c r="U36" s="129">
        <f ca="1">IF(T36=0,"",COUNTIF($T$2:T36,1))</f>
        <v>35</v>
      </c>
      <c r="V36" s="129" t="str">
        <f t="shared" ca="1" si="0"/>
        <v>Chatham</v>
      </c>
      <c r="W36" s="129" t="str">
        <f ca="1"/>
        <v>Chatham</v>
      </c>
      <c r="X36" s="720" t="str">
        <f ca="1"/>
        <v>Chatham</v>
      </c>
      <c r="Z36" s="178"/>
      <c r="AE36" s="828">
        <f>VALUE(5)</f>
        <v>5</v>
      </c>
      <c r="AF36" s="828">
        <f>VALUE(IF(OR('Saisie de données'!$D$13='Menu déroulant'!$AA$4,'Saisie de données'!$D$13='Menu déroulant'!$AA$3),"","8"))</f>
        <v>8</v>
      </c>
      <c r="AG36" s="120" t="s">
        <v>1216</v>
      </c>
      <c r="AI36" s="179"/>
    </row>
    <row r="37" spans="5:35">
      <c r="E37" s="664" t="s">
        <v>1217</v>
      </c>
      <c r="F37" s="664" t="s">
        <v>1218</v>
      </c>
      <c r="L37" s="664" t="s">
        <v>1219</v>
      </c>
      <c r="M37" s="663" t="s">
        <v>1220</v>
      </c>
      <c r="S37" s="287" t="str">
        <f ca="1"/>
        <v>Chesley</v>
      </c>
      <c r="T37" s="129">
        <f ca="1">IFERROR(SEARCH('Saisie de données'!$J$20,S37),)</f>
        <v>1</v>
      </c>
      <c r="U37" s="129">
        <f ca="1">IF(T37=0,"",COUNTIF($T$2:T37,1))</f>
        <v>36</v>
      </c>
      <c r="V37" s="129" t="str">
        <f t="shared" ca="1" si="0"/>
        <v>Chesley</v>
      </c>
      <c r="W37" s="129" t="str">
        <f ca="1"/>
        <v>Chesley</v>
      </c>
      <c r="X37" s="720" t="str">
        <f ca="1"/>
        <v>Chesley</v>
      </c>
      <c r="Z37" s="178"/>
      <c r="AE37" s="828">
        <f>VALUE(6)</f>
        <v>6</v>
      </c>
      <c r="AF37" s="120" t="s">
        <v>1221</v>
      </c>
      <c r="AG37" s="828">
        <f>VALUE(IF(OR('Saisie de données'!$D$13='Menu déroulant'!$AA$4,'Saisie de données'!$D$13='Menu déroulant'!$AA$3),"","24"))</f>
        <v>24</v>
      </c>
      <c r="AI37" s="179"/>
    </row>
    <row r="38" spans="5:35">
      <c r="E38" s="663" t="s">
        <v>1222</v>
      </c>
      <c r="F38" s="663" t="s">
        <v>943</v>
      </c>
      <c r="L38" s="663" t="s">
        <v>1223</v>
      </c>
      <c r="M38" s="664" t="s">
        <v>1224</v>
      </c>
      <c r="S38" s="287" t="str">
        <f ca="1"/>
        <v>Clinton</v>
      </c>
      <c r="T38" s="129">
        <f ca="1">IFERROR(SEARCH('Saisie de données'!$J$20,S38),)</f>
        <v>1</v>
      </c>
      <c r="U38" s="129">
        <f ca="1">IF(T38=0,"",COUNTIF($T$2:T38,1))</f>
        <v>37</v>
      </c>
      <c r="V38" s="129" t="str">
        <f t="shared" ca="1" si="0"/>
        <v>Clinton</v>
      </c>
      <c r="W38" s="129" t="str">
        <f ca="1"/>
        <v>Clinton</v>
      </c>
      <c r="X38" s="720" t="str">
        <f ca="1"/>
        <v>Clinton</v>
      </c>
      <c r="Z38" s="178"/>
      <c r="AE38" s="828">
        <f>VALUE(IF(OR('Saisie de données'!$D$13='Menu déroulant'!$AA$4,'Saisie de données'!$D$13='Menu déroulant'!$AA$3),"","8"))</f>
        <v>8</v>
      </c>
      <c r="AF38" s="42">
        <v>42.5</v>
      </c>
      <c r="AG38" s="828">
        <f>VALUE(IF(OR('Saisie de données'!$D$13='Menu déroulant'!$AA$4,'Saisie de données'!$D$13='Menu déroulant'!$AA$3),"","30"))</f>
        <v>30</v>
      </c>
      <c r="AI38" s="179"/>
    </row>
    <row r="39" spans="5:35">
      <c r="E39" s="664" t="s">
        <v>1225</v>
      </c>
      <c r="F39" s="664" t="s">
        <v>1226</v>
      </c>
      <c r="L39" s="664" t="s">
        <v>1227</v>
      </c>
      <c r="M39" s="663" t="s">
        <v>1228</v>
      </c>
      <c r="S39" s="287" t="str">
        <f ca="1"/>
        <v>Coboconk</v>
      </c>
      <c r="T39" s="129">
        <f ca="1">IFERROR(SEARCH('Saisie de données'!$J$20,S39),)</f>
        <v>1</v>
      </c>
      <c r="U39" s="129">
        <f ca="1">IF(T39=0,"",COUNTIF($T$2:T39,1))</f>
        <v>38</v>
      </c>
      <c r="V39" s="129" t="str">
        <f t="shared" ca="1" si="0"/>
        <v>Coboconk</v>
      </c>
      <c r="W39" s="129" t="str">
        <f ca="1"/>
        <v>Coboconk</v>
      </c>
      <c r="X39" s="720" t="str">
        <f ca="1"/>
        <v>Coboconk</v>
      </c>
      <c r="Z39" s="178"/>
      <c r="AE39" s="120" t="s">
        <v>1216</v>
      </c>
      <c r="AF39" s="120"/>
      <c r="AG39" s="120">
        <f>VALUE(36)</f>
        <v>36</v>
      </c>
      <c r="AI39" s="179"/>
    </row>
    <row r="40" spans="5:35">
      <c r="E40" s="663" t="s">
        <v>1229</v>
      </c>
      <c r="F40" s="664" t="s">
        <v>1230</v>
      </c>
      <c r="L40" s="663" t="s">
        <v>1231</v>
      </c>
      <c r="M40" s="663" t="s">
        <v>1232</v>
      </c>
      <c r="S40" s="287" t="str">
        <f ca="1"/>
        <v>Cobourg</v>
      </c>
      <c r="T40" s="129">
        <f ca="1">IFERROR(SEARCH('Saisie de données'!$J$20,S40),)</f>
        <v>1</v>
      </c>
      <c r="U40" s="129">
        <f ca="1">IF(T40=0,"",COUNTIF($T$2:T40,1))</f>
        <v>39</v>
      </c>
      <c r="V40" s="129" t="str">
        <f t="shared" ca="1" si="0"/>
        <v>Cobourg</v>
      </c>
      <c r="W40" s="129" t="str">
        <f ca="1"/>
        <v>Cobourg</v>
      </c>
      <c r="X40" s="720" t="str">
        <f ca="1"/>
        <v>Cobourg</v>
      </c>
      <c r="Z40" s="178"/>
      <c r="AE40" s="828">
        <f>VALUE(IF(OR('Saisie de données'!$D$13='Menu déroulant'!$AA$4,'Saisie de données'!$D$13='Menu déroulant'!$AA$3),"","24"))</f>
        <v>24</v>
      </c>
      <c r="AF40" s="120"/>
      <c r="AG40" s="42">
        <f>VALUE(41.5)</f>
        <v>41.5</v>
      </c>
      <c r="AI40" s="179"/>
    </row>
    <row r="41" spans="5:35">
      <c r="E41" s="664" t="s">
        <v>1233</v>
      </c>
      <c r="F41" s="663" t="s">
        <v>1234</v>
      </c>
      <c r="L41" s="664" t="s">
        <v>1235</v>
      </c>
      <c r="M41" s="664" t="s">
        <v>1236</v>
      </c>
      <c r="S41" s="287" t="str">
        <f ca="1"/>
        <v>Cochrane</v>
      </c>
      <c r="T41" s="129">
        <f ca="1">IFERROR(SEARCH('Saisie de données'!$J$20,S41),)</f>
        <v>1</v>
      </c>
      <c r="U41" s="129">
        <f ca="1">IF(T41=0,"",COUNTIF($T$2:T41,1))</f>
        <v>40</v>
      </c>
      <c r="V41" s="129" t="str">
        <f t="shared" ca="1" si="0"/>
        <v>Cochrane</v>
      </c>
      <c r="W41" s="129" t="str">
        <f ca="1"/>
        <v>Cochrane</v>
      </c>
      <c r="X41" s="720" t="str">
        <f ca="1"/>
        <v>Cochrane</v>
      </c>
      <c r="Z41" s="178" t="s">
        <v>1237</v>
      </c>
      <c r="AA41" t="s">
        <v>1142</v>
      </c>
      <c r="AE41" s="828">
        <f>VALUE(IF(OR('Saisie de données'!$D$13='Menu déroulant'!$AA$4,'Saisie de données'!$D$13='Menu déroulant'!$AA$3),"","30"))</f>
        <v>30</v>
      </c>
      <c r="AF41" s="120"/>
      <c r="AG41" s="120"/>
      <c r="AI41" s="179"/>
    </row>
    <row r="42" spans="5:35">
      <c r="E42" s="663" t="s">
        <v>1238</v>
      </c>
      <c r="F42" s="664" t="s">
        <v>1239</v>
      </c>
      <c r="L42" s="663" t="s">
        <v>1240</v>
      </c>
      <c r="M42" s="664" t="s">
        <v>1241</v>
      </c>
      <c r="S42" s="287" t="str">
        <f ca="1"/>
        <v>Colborne</v>
      </c>
      <c r="T42" s="129">
        <f ca="1">IFERROR(SEARCH('Saisie de données'!$J$20,S42),)</f>
        <v>1</v>
      </c>
      <c r="U42" s="129">
        <f ca="1">IF(T42=0,"",COUNTIF($T$2:T42,1))</f>
        <v>41</v>
      </c>
      <c r="V42" s="129" t="str">
        <f t="shared" ca="1" si="0"/>
        <v>Colborne</v>
      </c>
      <c r="W42" s="129" t="str">
        <f ca="1"/>
        <v>Colborne</v>
      </c>
      <c r="X42" s="720" t="str">
        <f ca="1"/>
        <v>Colborne</v>
      </c>
      <c r="Z42" s="178"/>
      <c r="AA42" t="s">
        <v>834</v>
      </c>
      <c r="AE42" s="120">
        <f>VALUE(36)</f>
        <v>36</v>
      </c>
      <c r="AF42" s="120"/>
      <c r="AG42" s="120"/>
      <c r="AI42" s="179"/>
    </row>
    <row r="43" spans="5:35">
      <c r="E43" s="664" t="s">
        <v>1242</v>
      </c>
      <c r="F43" s="663" t="s">
        <v>1243</v>
      </c>
      <c r="L43" s="664" t="s">
        <v>1244</v>
      </c>
      <c r="M43" s="664" t="s">
        <v>1245</v>
      </c>
      <c r="S43" s="287" t="str">
        <f ca="1"/>
        <v>Collingwood</v>
      </c>
      <c r="T43" s="129">
        <f ca="1">IFERROR(SEARCH('Saisie de données'!$J$20,S43),)</f>
        <v>1</v>
      </c>
      <c r="U43" s="129">
        <f ca="1">IF(T43=0,"",COUNTIF($T$2:T43,1))</f>
        <v>42</v>
      </c>
      <c r="V43" s="129" t="str">
        <f t="shared" ca="1" si="0"/>
        <v>Collingwood</v>
      </c>
      <c r="W43" s="129" t="str">
        <f ca="1"/>
        <v>Collingwood</v>
      </c>
      <c r="X43" s="720" t="str">
        <f ca="1"/>
        <v>Collingwood</v>
      </c>
      <c r="Z43" s="178"/>
      <c r="AE43" s="42">
        <f>VALUE(42.5)</f>
        <v>42.5</v>
      </c>
      <c r="AF43" s="120"/>
      <c r="AG43" s="120"/>
      <c r="AI43" s="179"/>
    </row>
    <row r="44" spans="5:35">
      <c r="E44" s="663" t="s">
        <v>1246</v>
      </c>
      <c r="F44" s="664" t="s">
        <v>1247</v>
      </c>
      <c r="L44" s="663" t="s">
        <v>1248</v>
      </c>
      <c r="M44" s="663" t="s">
        <v>1249</v>
      </c>
      <c r="S44" s="287" t="str">
        <f ca="1"/>
        <v>Cornwall</v>
      </c>
      <c r="T44" s="129">
        <f ca="1">IFERROR(SEARCH('Saisie de données'!$J$20,S44),)</f>
        <v>1</v>
      </c>
      <c r="U44" s="129">
        <f ca="1">IF(T44=0,"",COUNTIF($T$2:T44,1))</f>
        <v>43</v>
      </c>
      <c r="V44" s="129" t="str">
        <f t="shared" ca="1" si="0"/>
        <v>Cornwall</v>
      </c>
      <c r="W44" s="129" t="str">
        <f ca="1"/>
        <v>Cornwall</v>
      </c>
      <c r="X44" s="720" t="str">
        <f ca="1"/>
        <v>Cornwall</v>
      </c>
      <c r="Z44" s="1785" t="s">
        <v>1250</v>
      </c>
      <c r="AA44" t="s">
        <v>839</v>
      </c>
      <c r="AB44">
        <v>0</v>
      </c>
      <c r="AC44">
        <v>0</v>
      </c>
      <c r="AD44" t="s">
        <v>1251</v>
      </c>
      <c r="AE44" s="120"/>
      <c r="AF44" s="120"/>
      <c r="AG44" s="120"/>
      <c r="AI44" s="179"/>
    </row>
    <row r="45" spans="5:35">
      <c r="E45" s="664" t="s">
        <v>1252</v>
      </c>
      <c r="F45" s="663" t="s">
        <v>1253</v>
      </c>
      <c r="L45" s="664" t="s">
        <v>1254</v>
      </c>
      <c r="M45" s="664" t="s">
        <v>1255</v>
      </c>
      <c r="S45" s="287" t="str">
        <f ca="1"/>
        <v>Corunna</v>
      </c>
      <c r="T45" s="129">
        <f ca="1">IFERROR(SEARCH('Saisie de données'!$J$20,S45),)</f>
        <v>1</v>
      </c>
      <c r="U45" s="129">
        <f ca="1">IF(T45=0,"",COUNTIF($T$2:T45,1))</f>
        <v>44</v>
      </c>
      <c r="V45" s="129" t="str">
        <f t="shared" ca="1" si="0"/>
        <v>Corunna</v>
      </c>
      <c r="W45" s="129" t="str">
        <f ca="1"/>
        <v>Corunna</v>
      </c>
      <c r="X45" s="720" t="str">
        <f ca="1"/>
        <v>Corunna</v>
      </c>
      <c r="Z45" s="1785"/>
      <c r="AA45" t="s">
        <v>860</v>
      </c>
      <c r="AB45">
        <v>-0.18</v>
      </c>
      <c r="AC45">
        <v>0.18</v>
      </c>
      <c r="AD45" t="s">
        <v>1256</v>
      </c>
      <c r="AI45" s="179"/>
    </row>
    <row r="46" spans="5:35">
      <c r="E46" s="663" t="s">
        <v>1257</v>
      </c>
      <c r="F46" s="664" t="s">
        <v>1258</v>
      </c>
      <c r="L46" s="663" t="s">
        <v>1259</v>
      </c>
      <c r="M46" s="663" t="s">
        <v>1260</v>
      </c>
      <c r="S46" s="287" t="str">
        <f ca="1"/>
        <v>Deep River</v>
      </c>
      <c r="T46" s="129">
        <f ca="1">IFERROR(SEARCH('Saisie de données'!$J$20,S46),)</f>
        <v>1</v>
      </c>
      <c r="U46" s="129">
        <f ca="1">IF(T46=0,"",COUNTIF($T$2:T46,1))</f>
        <v>45</v>
      </c>
      <c r="V46" s="129" t="str">
        <f t="shared" ca="1" si="0"/>
        <v>Deep River</v>
      </c>
      <c r="W46" s="129" t="str">
        <f ca="1"/>
        <v>Deep River</v>
      </c>
      <c r="X46" s="720" t="str">
        <f ca="1"/>
        <v>Deep River</v>
      </c>
      <c r="Z46" s="1785"/>
      <c r="AA46" t="s">
        <v>881</v>
      </c>
      <c r="AB46">
        <v>-0.55000000000000004</v>
      </c>
      <c r="AC46">
        <v>0.55000000000000004</v>
      </c>
      <c r="AD46" t="s">
        <v>1261</v>
      </c>
      <c r="AI46" s="179"/>
    </row>
    <row r="47" spans="5:35">
      <c r="E47" s="664" t="s">
        <v>1262</v>
      </c>
      <c r="F47" s="664" t="s">
        <v>1263</v>
      </c>
      <c r="L47" s="664" t="s">
        <v>1264</v>
      </c>
      <c r="M47" s="663" t="s">
        <v>1265</v>
      </c>
      <c r="S47" s="287" t="str">
        <f ca="1"/>
        <v>Deseronto</v>
      </c>
      <c r="T47" s="129">
        <f ca="1">IFERROR(SEARCH('Saisie de données'!$J$20,S47),)</f>
        <v>1</v>
      </c>
      <c r="U47" s="129">
        <f ca="1">IF(T47=0,"",COUNTIF($T$2:T47,1))</f>
        <v>46</v>
      </c>
      <c r="V47" s="129" t="str">
        <f t="shared" ca="1" si="0"/>
        <v>Deseronto</v>
      </c>
      <c r="W47" s="129" t="str">
        <f ca="1"/>
        <v>Deseronto</v>
      </c>
      <c r="X47" s="720" t="str">
        <f ca="1"/>
        <v>Deseronto</v>
      </c>
      <c r="Z47" s="178"/>
      <c r="AI47" s="179"/>
    </row>
    <row r="48" spans="5:35" ht="15" thickBot="1">
      <c r="E48" s="663" t="s">
        <v>1266</v>
      </c>
      <c r="F48" s="663" t="s">
        <v>1267</v>
      </c>
      <c r="L48" s="663" t="s">
        <v>1268</v>
      </c>
      <c r="M48" s="664" t="s">
        <v>1269</v>
      </c>
      <c r="S48" s="287" t="str">
        <f ca="1"/>
        <v>Dorchester</v>
      </c>
      <c r="T48" s="129">
        <f ca="1">IFERROR(SEARCH('Saisie de données'!$J$20,S48),)</f>
        <v>1</v>
      </c>
      <c r="U48" s="129">
        <f ca="1">IF(T48=0,"",COUNTIF($T$2:T48,1))</f>
        <v>47</v>
      </c>
      <c r="V48" s="129" t="str">
        <f t="shared" ca="1" si="0"/>
        <v>Dorchester</v>
      </c>
      <c r="W48" s="129" t="str">
        <f ca="1"/>
        <v>Dorchester</v>
      </c>
      <c r="X48" s="720" t="str">
        <f ca="1"/>
        <v>Dorchester</v>
      </c>
      <c r="Z48" s="178"/>
      <c r="AI48" s="179"/>
    </row>
    <row r="49" spans="5:37" ht="16.149999999999999" thickTop="1">
      <c r="E49" s="664" t="s">
        <v>1270</v>
      </c>
      <c r="F49" s="663" t="s">
        <v>1271</v>
      </c>
      <c r="L49" s="664" t="s">
        <v>1272</v>
      </c>
      <c r="M49" s="664" t="s">
        <v>1273</v>
      </c>
      <c r="S49" s="287" t="str">
        <f ca="1"/>
        <v>Dorion</v>
      </c>
      <c r="T49" s="129">
        <f ca="1">IFERROR(SEARCH('Saisie de données'!$J$20,S49),)</f>
        <v>1</v>
      </c>
      <c r="U49" s="129">
        <f ca="1">IF(T49=0,"",COUNTIF($T$2:T49,1))</f>
        <v>48</v>
      </c>
      <c r="V49" s="129" t="str">
        <f t="shared" ca="1" si="0"/>
        <v>Dorion</v>
      </c>
      <c r="W49" s="129" t="str">
        <f ca="1"/>
        <v>Dorion</v>
      </c>
      <c r="X49" s="720" t="str">
        <f ca="1"/>
        <v>Dorion</v>
      </c>
      <c r="Z49" s="178" t="s">
        <v>1274</v>
      </c>
      <c r="AA49" t="s">
        <v>418</v>
      </c>
      <c r="AC49" t="s">
        <v>1275</v>
      </c>
      <c r="AD49">
        <v>1</v>
      </c>
      <c r="AF49" t="s">
        <v>1276</v>
      </c>
      <c r="AG49" t="s">
        <v>69</v>
      </c>
      <c r="AJ49" s="177" t="s">
        <v>418</v>
      </c>
      <c r="AK49" s="283"/>
    </row>
    <row r="50" spans="5:37">
      <c r="E50" s="663" t="s">
        <v>1277</v>
      </c>
      <c r="F50" s="664" t="s">
        <v>1278</v>
      </c>
      <c r="L50" s="663" t="s">
        <v>1279</v>
      </c>
      <c r="M50" s="664" t="s">
        <v>1280</v>
      </c>
      <c r="S50" s="287" t="str">
        <f ca="1"/>
        <v>Dresden</v>
      </c>
      <c r="T50" s="129">
        <f ca="1">IFERROR(SEARCH('Saisie de données'!$J$20,S50),)</f>
        <v>1</v>
      </c>
      <c r="U50" s="129">
        <f ca="1">IF(T50=0,"",COUNTIF($T$2:T50,1))</f>
        <v>49</v>
      </c>
      <c r="V50" s="129" t="str">
        <f t="shared" ca="1" si="0"/>
        <v>Dresden</v>
      </c>
      <c r="W50" s="129" t="str">
        <f ca="1"/>
        <v>Dresden</v>
      </c>
      <c r="X50" s="720" t="str">
        <f ca="1"/>
        <v>Dresden</v>
      </c>
      <c r="Z50" s="178"/>
      <c r="AA50" t="s">
        <v>918</v>
      </c>
      <c r="AD50">
        <v>2</v>
      </c>
      <c r="AG50" t="s">
        <v>1281</v>
      </c>
      <c r="AJ50" s="179" t="s">
        <v>918</v>
      </c>
    </row>
    <row r="51" spans="5:37" ht="16.149999999999999" thickBot="1">
      <c r="E51" s="664" t="s">
        <v>1282</v>
      </c>
      <c r="F51" s="664" t="s">
        <v>1283</v>
      </c>
      <c r="L51" s="664" t="s">
        <v>1284</v>
      </c>
      <c r="M51" s="663" t="s">
        <v>1285</v>
      </c>
      <c r="S51" s="287" t="str">
        <f ca="1"/>
        <v>Dryden</v>
      </c>
      <c r="T51" s="129">
        <f ca="1">IFERROR(SEARCH('Saisie de données'!$J$20,S51),)</f>
        <v>1</v>
      </c>
      <c r="U51" s="129">
        <f ca="1">IF(T51=0,"",COUNTIF($T$2:T51,1))</f>
        <v>50</v>
      </c>
      <c r="V51" s="129" t="str">
        <f t="shared" ca="1" si="0"/>
        <v>Dryden</v>
      </c>
      <c r="W51" s="129" t="str">
        <f ca="1"/>
        <v>Dryden</v>
      </c>
      <c r="X51" s="720" t="str">
        <f ca="1"/>
        <v>Dryden</v>
      </c>
      <c r="Z51" s="178"/>
      <c r="AA51" t="s">
        <v>420</v>
      </c>
      <c r="AD51">
        <v>3</v>
      </c>
      <c r="AG51" t="s">
        <v>1286</v>
      </c>
      <c r="AJ51" s="216" t="s">
        <v>420</v>
      </c>
      <c r="AK51" s="283"/>
    </row>
    <row r="52" spans="5:37" ht="15" thickTop="1">
      <c r="E52" s="663" t="s">
        <v>1287</v>
      </c>
      <c r="F52" s="663" t="s">
        <v>1288</v>
      </c>
      <c r="L52" s="663" t="s">
        <v>1289</v>
      </c>
      <c r="M52" s="664" t="s">
        <v>1290</v>
      </c>
      <c r="S52" s="287" t="str">
        <f ca="1"/>
        <v>Dundalk</v>
      </c>
      <c r="T52" s="129">
        <f ca="1">IFERROR(SEARCH('Saisie de données'!$J$20,S52),)</f>
        <v>1</v>
      </c>
      <c r="U52" s="129">
        <f ca="1">IF(T52=0,"",COUNTIF($T$2:T52,1))</f>
        <v>51</v>
      </c>
      <c r="V52" s="129" t="str">
        <f t="shared" ca="1" si="0"/>
        <v>Dundalk</v>
      </c>
      <c r="W52" s="129" t="str">
        <f ca="1"/>
        <v>Dundalk</v>
      </c>
      <c r="X52" s="720" t="str">
        <f ca="1"/>
        <v>Dundalk</v>
      </c>
      <c r="Z52" s="178"/>
      <c r="AD52">
        <v>4</v>
      </c>
      <c r="AI52" s="179"/>
      <c r="AJ52" t="str">
        <f>""</f>
        <v/>
      </c>
      <c r="AK52" t="str">
        <f>""</f>
        <v/>
      </c>
    </row>
    <row r="53" spans="5:37">
      <c r="E53" s="664" t="s">
        <v>1291</v>
      </c>
      <c r="F53" s="664" t="s">
        <v>1292</v>
      </c>
      <c r="L53" s="664" t="s">
        <v>1293</v>
      </c>
      <c r="M53" s="663" t="s">
        <v>1294</v>
      </c>
      <c r="S53" s="287" t="str">
        <f ca="1"/>
        <v>Dunnville</v>
      </c>
      <c r="T53" s="129">
        <f ca="1">IFERROR(SEARCH('Saisie de données'!$J$20,S53),)</f>
        <v>1</v>
      </c>
      <c r="U53" s="129">
        <f ca="1">IF(T53=0,"",COUNTIF($T$2:T53,1))</f>
        <v>52</v>
      </c>
      <c r="V53" s="129" t="str">
        <f t="shared" ca="1" si="0"/>
        <v>Dunnville</v>
      </c>
      <c r="W53" s="129" t="str">
        <f ca="1"/>
        <v>Dunnville</v>
      </c>
      <c r="X53" s="720" t="str">
        <f ca="1"/>
        <v>Dunnville</v>
      </c>
      <c r="Z53" s="178" t="s">
        <v>1295</v>
      </c>
      <c r="AA53" t="s">
        <v>1296</v>
      </c>
      <c r="AI53" s="179"/>
    </row>
    <row r="54" spans="5:37">
      <c r="E54" s="663" t="s">
        <v>1297</v>
      </c>
      <c r="F54" s="663" t="s">
        <v>1298</v>
      </c>
      <c r="L54" s="663" t="s">
        <v>1299</v>
      </c>
      <c r="M54" s="664" t="s">
        <v>1300</v>
      </c>
      <c r="S54" s="287" t="str">
        <f ca="1"/>
        <v>Durham</v>
      </c>
      <c r="T54" s="129">
        <f ca="1">IFERROR(SEARCH('Saisie de données'!$J$20,S54),)</f>
        <v>1</v>
      </c>
      <c r="U54" s="129">
        <f ca="1">IF(T54=0,"",COUNTIF($T$2:T54,1))</f>
        <v>53</v>
      </c>
      <c r="V54" s="129" t="str">
        <f t="shared" ca="1" si="0"/>
        <v>Durham</v>
      </c>
      <c r="W54" s="129" t="str">
        <f ca="1"/>
        <v>Durham</v>
      </c>
      <c r="X54" s="720" t="str">
        <f ca="1"/>
        <v>Durham</v>
      </c>
      <c r="Z54" s="178"/>
      <c r="AA54" t="s">
        <v>1301</v>
      </c>
      <c r="AI54" s="179"/>
    </row>
    <row r="55" spans="5:37">
      <c r="E55" s="664" t="s">
        <v>1302</v>
      </c>
      <c r="F55" s="664" t="s">
        <v>1303</v>
      </c>
      <c r="L55" s="664" t="s">
        <v>1304</v>
      </c>
      <c r="M55" s="663" t="s">
        <v>1305</v>
      </c>
      <c r="S55" s="287" t="str">
        <f ca="1"/>
        <v>Dutton</v>
      </c>
      <c r="T55" s="129">
        <f ca="1">IFERROR(SEARCH('Saisie de données'!$J$20,S55),)</f>
        <v>1</v>
      </c>
      <c r="U55" s="129">
        <f ca="1">IF(T55=0,"",COUNTIF($T$2:T55,1))</f>
        <v>54</v>
      </c>
      <c r="V55" s="129" t="str">
        <f t="shared" ca="1" si="0"/>
        <v>Dutton</v>
      </c>
      <c r="W55" s="129" t="str">
        <f ca="1"/>
        <v>Dutton</v>
      </c>
      <c r="X55" s="720" t="str">
        <f ca="1"/>
        <v>Dutton</v>
      </c>
      <c r="Z55" s="178" t="s">
        <v>1306</v>
      </c>
      <c r="AA55" t="s">
        <v>1307</v>
      </c>
      <c r="AI55" s="179"/>
    </row>
    <row r="56" spans="5:37">
      <c r="E56" s="663" t="s">
        <v>1308</v>
      </c>
      <c r="F56" s="663" t="s">
        <v>1309</v>
      </c>
      <c r="L56" s="663" t="s">
        <v>1310</v>
      </c>
      <c r="M56" s="664" t="s">
        <v>1311</v>
      </c>
      <c r="S56" s="287" t="str">
        <f ca="1"/>
        <v>Earlton</v>
      </c>
      <c r="T56" s="129">
        <f ca="1">IFERROR(SEARCH('Saisie de données'!$J$20,S56),)</f>
        <v>1</v>
      </c>
      <c r="U56" s="129">
        <f ca="1">IF(T56=0,"",COUNTIF($T$2:T56,1))</f>
        <v>55</v>
      </c>
      <c r="V56" s="129" t="str">
        <f t="shared" ca="1" si="0"/>
        <v>Earlton</v>
      </c>
      <c r="W56" s="129" t="str">
        <f ca="1"/>
        <v>Earlton</v>
      </c>
      <c r="X56" s="720" t="str">
        <f ca="1"/>
        <v>Earlton</v>
      </c>
      <c r="Z56" s="178"/>
      <c r="AA56" t="s">
        <v>13</v>
      </c>
      <c r="AD56" t="s">
        <v>1312</v>
      </c>
      <c r="AE56" t="s">
        <v>39</v>
      </c>
      <c r="AF56" t="s">
        <v>1313</v>
      </c>
      <c r="AG56" t="s">
        <v>1314</v>
      </c>
      <c r="AI56" s="179"/>
    </row>
    <row r="57" spans="5:37" ht="15" thickBot="1">
      <c r="E57" s="664" t="s">
        <v>1315</v>
      </c>
      <c r="F57" s="664" t="s">
        <v>1316</v>
      </c>
      <c r="L57" s="664" t="s">
        <v>1317</v>
      </c>
      <c r="M57" s="663" t="s">
        <v>1318</v>
      </c>
      <c r="S57" s="287" t="str">
        <f ca="1"/>
        <v>Edison</v>
      </c>
      <c r="T57" s="129">
        <f ca="1">IFERROR(SEARCH('Saisie de données'!$J$20,S57),)</f>
        <v>1</v>
      </c>
      <c r="U57" s="129">
        <f ca="1">IF(T57=0,"",COUNTIF($T$2:T57,1))</f>
        <v>56</v>
      </c>
      <c r="V57" s="129" t="str">
        <f t="shared" ca="1" si="0"/>
        <v>Edison</v>
      </c>
      <c r="W57" s="129" t="str">
        <f ca="1"/>
        <v>Edison</v>
      </c>
      <c r="X57" s="720" t="str">
        <f ca="1"/>
        <v>Edison</v>
      </c>
      <c r="Z57" s="181"/>
      <c r="AA57" s="35"/>
      <c r="AB57" s="35"/>
      <c r="AC57" s="35"/>
      <c r="AD57" s="35"/>
      <c r="AE57" s="35" t="s">
        <v>975</v>
      </c>
      <c r="AF57" s="35" t="s">
        <v>1319</v>
      </c>
      <c r="AG57" s="35" t="s">
        <v>1320</v>
      </c>
      <c r="AH57" s="35"/>
      <c r="AI57" s="216"/>
    </row>
    <row r="58" spans="5:37" ht="15" thickTop="1">
      <c r="E58" s="663" t="s">
        <v>1321</v>
      </c>
      <c r="F58" s="663" t="s">
        <v>1322</v>
      </c>
      <c r="L58" s="663" t="s">
        <v>1323</v>
      </c>
      <c r="M58" s="664" t="s">
        <v>1324</v>
      </c>
      <c r="S58" s="287" t="str">
        <f ca="1"/>
        <v>Elliot Lake</v>
      </c>
      <c r="T58" s="129">
        <f ca="1">IFERROR(SEARCH('Saisie de données'!$J$20,S58),)</f>
        <v>1</v>
      </c>
      <c r="U58" s="129">
        <f ca="1">IF(T58=0,"",COUNTIF($T$2:T58,1))</f>
        <v>57</v>
      </c>
      <c r="V58" s="129" t="str">
        <f t="shared" ca="1" si="0"/>
        <v>Elliot Lake</v>
      </c>
      <c r="W58" s="129" t="str">
        <f ca="1"/>
        <v>Elliot Lake</v>
      </c>
      <c r="X58" s="720" t="str">
        <f ca="1"/>
        <v>Elliot Lake</v>
      </c>
    </row>
    <row r="59" spans="5:37">
      <c r="F59" s="664" t="s">
        <v>1325</v>
      </c>
      <c r="L59" s="664" t="s">
        <v>1326</v>
      </c>
      <c r="M59" s="663" t="s">
        <v>1327</v>
      </c>
      <c r="S59" s="287" t="str">
        <f ca="1"/>
        <v>Elmvale</v>
      </c>
      <c r="T59" s="129">
        <f ca="1">IFERROR(SEARCH('Saisie de données'!$J$20,S59),)</f>
        <v>1</v>
      </c>
      <c r="U59" s="129">
        <f ca="1">IF(T59=0,"",COUNTIF($T$2:T59,1))</f>
        <v>58</v>
      </c>
      <c r="V59" s="129" t="str">
        <f t="shared" ca="1" si="0"/>
        <v>Elmvale</v>
      </c>
      <c r="W59" s="129" t="str">
        <f ca="1"/>
        <v>Elmvale</v>
      </c>
      <c r="X59" s="720" t="str">
        <f ca="1"/>
        <v>Elmvale</v>
      </c>
    </row>
    <row r="60" spans="5:37">
      <c r="F60" s="663" t="s">
        <v>1328</v>
      </c>
      <c r="L60" s="663" t="s">
        <v>1329</v>
      </c>
      <c r="M60" s="664" t="s">
        <v>1330</v>
      </c>
      <c r="S60" s="287" t="str">
        <f ca="1"/>
        <v>Embro</v>
      </c>
      <c r="T60" s="129">
        <f ca="1">IFERROR(SEARCH('Saisie de données'!$J$20,S60),)</f>
        <v>1</v>
      </c>
      <c r="U60" s="129">
        <f ca="1">IF(T60=0,"",COUNTIF($T$2:T60,1))</f>
        <v>59</v>
      </c>
      <c r="V60" s="129" t="str">
        <f t="shared" ca="1" si="0"/>
        <v>Embro</v>
      </c>
      <c r="W60" s="129" t="str">
        <f ca="1"/>
        <v>Embro</v>
      </c>
      <c r="X60" s="720" t="str">
        <f ca="1"/>
        <v>Embro</v>
      </c>
    </row>
    <row r="61" spans="5:37">
      <c r="F61" s="664" t="s">
        <v>1331</v>
      </c>
      <c r="L61" s="664" t="s">
        <v>1332</v>
      </c>
      <c r="M61" s="663" t="s">
        <v>1333</v>
      </c>
      <c r="S61" s="287" t="str">
        <f ca="1"/>
        <v>Englehart</v>
      </c>
      <c r="T61" s="129">
        <f ca="1">IFERROR(SEARCH('Saisie de données'!$J$20,S61),)</f>
        <v>1</v>
      </c>
      <c r="U61" s="129">
        <f ca="1">IF(T61=0,"",COUNTIF($T$2:T61,1))</f>
        <v>60</v>
      </c>
      <c r="V61" s="129" t="str">
        <f t="shared" ca="1" si="0"/>
        <v>Englehart</v>
      </c>
      <c r="W61" s="129" t="str">
        <f ca="1"/>
        <v>Englehart</v>
      </c>
      <c r="X61" s="720" t="str">
        <f ca="1"/>
        <v>Englehart</v>
      </c>
    </row>
    <row r="62" spans="5:37">
      <c r="F62" s="663" t="s">
        <v>1334</v>
      </c>
      <c r="L62" s="663" t="s">
        <v>1335</v>
      </c>
      <c r="M62" s="663" t="s">
        <v>1336</v>
      </c>
      <c r="S62" s="287" t="str">
        <f ca="1"/>
        <v>Espanola</v>
      </c>
      <c r="T62" s="129">
        <f ca="1">IFERROR(SEARCH('Saisie de données'!$J$20,S62),)</f>
        <v>1</v>
      </c>
      <c r="U62" s="129">
        <f ca="1">IF(T62=0,"",COUNTIF($T$2:T62,1))</f>
        <v>61</v>
      </c>
      <c r="V62" s="129" t="str">
        <f t="shared" ca="1" si="0"/>
        <v>Espanola</v>
      </c>
      <c r="W62" s="129" t="str">
        <f ca="1"/>
        <v>Espanola</v>
      </c>
      <c r="X62" s="720" t="str">
        <f ca="1"/>
        <v>Espanola</v>
      </c>
    </row>
    <row r="63" spans="5:37">
      <c r="F63" s="664" t="s">
        <v>1337</v>
      </c>
      <c r="L63" s="664" t="s">
        <v>1338</v>
      </c>
      <c r="M63" s="664" t="s">
        <v>1339</v>
      </c>
      <c r="S63" s="287" t="str">
        <f ca="1"/>
        <v>Etobicoke</v>
      </c>
      <c r="T63" s="129">
        <f ca="1">IFERROR(SEARCH('Saisie de données'!$J$20,S63),)</f>
        <v>1</v>
      </c>
      <c r="U63" s="129">
        <f ca="1">IF(T63=0,"",COUNTIF($T$2:T63,1))</f>
        <v>62</v>
      </c>
      <c r="V63" s="129" t="str">
        <f t="shared" ca="1" si="0"/>
        <v>Etobicoke</v>
      </c>
      <c r="W63" s="129" t="str">
        <f ca="1"/>
        <v>Etobicoke</v>
      </c>
      <c r="X63" s="720" t="str">
        <f ca="1"/>
        <v>Etobicoke</v>
      </c>
    </row>
    <row r="64" spans="5:37" ht="18">
      <c r="F64" s="663" t="s">
        <v>1340</v>
      </c>
      <c r="L64" s="663" t="s">
        <v>1341</v>
      </c>
      <c r="M64" s="664" t="s">
        <v>1342</v>
      </c>
      <c r="S64" s="287" t="str">
        <f ca="1"/>
        <v>Exeter</v>
      </c>
      <c r="T64" s="129">
        <f ca="1">IFERROR(SEARCH('Saisie de données'!$J$20,S64),)</f>
        <v>1</v>
      </c>
      <c r="U64" s="129">
        <f ca="1">IF(T64=0,"",COUNTIF($T$2:T64,1))</f>
        <v>63</v>
      </c>
      <c r="V64" s="129" t="str">
        <f t="shared" ca="1" si="0"/>
        <v>Exeter</v>
      </c>
      <c r="W64" s="129" t="str">
        <f ca="1"/>
        <v>Exeter</v>
      </c>
      <c r="X64" s="720" t="str">
        <f ca="1"/>
        <v>Exeter</v>
      </c>
      <c r="Z64" s="12"/>
    </row>
    <row r="65" spans="6:28">
      <c r="F65" s="664" t="s">
        <v>1343</v>
      </c>
      <c r="L65" s="664" t="s">
        <v>1344</v>
      </c>
      <c r="M65" s="663" t="s">
        <v>1345</v>
      </c>
      <c r="S65" s="287" t="str">
        <f ca="1"/>
        <v>Fenelon Falls</v>
      </c>
      <c r="T65" s="129">
        <f ca="1">IFERROR(SEARCH('Saisie de données'!$J$20,S65),)</f>
        <v>1</v>
      </c>
      <c r="U65" s="129">
        <f ca="1">IF(T65=0,"",COUNTIF($T$2:T65,1))</f>
        <v>64</v>
      </c>
      <c r="V65" s="129" t="str">
        <f t="shared" ca="1" si="0"/>
        <v>Fenelon Falls</v>
      </c>
      <c r="W65" s="129" t="str">
        <f ca="1"/>
        <v>Fenelon Falls</v>
      </c>
      <c r="X65" s="720" t="str">
        <f ca="1"/>
        <v>Fenelon Falls</v>
      </c>
      <c r="Z65" s="30"/>
    </row>
    <row r="66" spans="6:28">
      <c r="F66" s="663" t="s">
        <v>1346</v>
      </c>
      <c r="L66" s="664" t="s">
        <v>1347</v>
      </c>
      <c r="M66" s="664" t="s">
        <v>1348</v>
      </c>
      <c r="S66" s="287" t="str">
        <f ca="1"/>
        <v>Fergus</v>
      </c>
      <c r="T66" s="129">
        <f ca="1">IFERROR(SEARCH('Saisie de données'!$J$20,S66),)</f>
        <v>1</v>
      </c>
      <c r="U66" s="129">
        <f ca="1">IF(T66=0,"",COUNTIF($T$2:T66,1))</f>
        <v>65</v>
      </c>
      <c r="V66" s="129" t="str">
        <f t="shared" ca="1" si="0"/>
        <v>Fergus</v>
      </c>
      <c r="W66" s="129" t="str">
        <f ca="1"/>
        <v>Fergus</v>
      </c>
      <c r="X66" s="720" t="str">
        <f ca="1"/>
        <v>Fergus</v>
      </c>
      <c r="Z66" s="30"/>
    </row>
    <row r="67" spans="6:28">
      <c r="F67" s="664" t="s">
        <v>1349</v>
      </c>
      <c r="L67" s="663" t="s">
        <v>1350</v>
      </c>
      <c r="M67" s="663" t="s">
        <v>1351</v>
      </c>
      <c r="S67" s="287" t="str">
        <f ca="1"/>
        <v>Forest</v>
      </c>
      <c r="T67" s="129">
        <f ca="1">IFERROR(SEARCH('Saisie de données'!$J$20,S67),)</f>
        <v>1</v>
      </c>
      <c r="U67" s="129">
        <f ca="1">IF(T67=0,"",COUNTIF($T$2:T67,1))</f>
        <v>66</v>
      </c>
      <c r="V67" s="129" t="str">
        <f t="shared" ref="V67:V130" ca="1" si="1">IFERROR(INDEX(S:S,MATCH(ROW(U66),U:U,0)),"")</f>
        <v>Forest</v>
      </c>
      <c r="W67" s="129" t="str">
        <f ca="1"/>
        <v>Forest</v>
      </c>
      <c r="X67" s="720" t="str">
        <f ca="1"/>
        <v>Forest</v>
      </c>
      <c r="Z67" s="20"/>
    </row>
    <row r="68" spans="6:28">
      <c r="F68" s="663" t="s">
        <v>1352</v>
      </c>
      <c r="L68" s="664" t="s">
        <v>1353</v>
      </c>
      <c r="M68" s="663" t="s">
        <v>1354</v>
      </c>
      <c r="S68" s="287" t="str">
        <f ca="1"/>
        <v>Fort Erie</v>
      </c>
      <c r="T68" s="129">
        <f ca="1">IFERROR(SEARCH('Saisie de données'!$J$20,S68),)</f>
        <v>1</v>
      </c>
      <c r="U68" s="129">
        <f ca="1">IF(T68=0,"",COUNTIF($T$2:T68,1))</f>
        <v>67</v>
      </c>
      <c r="V68" s="129" t="str">
        <f t="shared" ca="1" si="1"/>
        <v>Fort Erie</v>
      </c>
      <c r="W68" s="129" t="str">
        <f ca="1"/>
        <v>Fort Erie</v>
      </c>
      <c r="X68" s="720" t="str">
        <f ca="1"/>
        <v>Fort Erie</v>
      </c>
      <c r="Z68" s="98"/>
    </row>
    <row r="69" spans="6:28">
      <c r="F69" s="664" t="s">
        <v>1355</v>
      </c>
      <c r="L69" s="663" t="s">
        <v>1356</v>
      </c>
      <c r="M69" s="664" t="s">
        <v>1357</v>
      </c>
      <c r="S69" s="287" t="str">
        <f ca="1"/>
        <v>Fort Frances</v>
      </c>
      <c r="T69" s="129">
        <f ca="1">IFERROR(SEARCH('Saisie de données'!$J$20,S69),)</f>
        <v>1</v>
      </c>
      <c r="U69" s="129">
        <f ca="1">IF(T69=0,"",COUNTIF($T$2:T69,1))</f>
        <v>68</v>
      </c>
      <c r="V69" s="129" t="str">
        <f t="shared" ca="1" si="1"/>
        <v>Fort Frances</v>
      </c>
      <c r="W69" s="129" t="str">
        <f ca="1"/>
        <v>Fort Frances</v>
      </c>
      <c r="X69" s="720" t="str">
        <f ca="1"/>
        <v>Fort Frances</v>
      </c>
      <c r="Z69" s="31"/>
    </row>
    <row r="70" spans="6:28">
      <c r="F70" s="663" t="s">
        <v>1358</v>
      </c>
      <c r="L70" s="664" t="s">
        <v>1359</v>
      </c>
      <c r="M70" s="664" t="s">
        <v>1360</v>
      </c>
      <c r="S70" s="287" t="str">
        <f ca="1"/>
        <v>Gananoque</v>
      </c>
      <c r="T70" s="129">
        <f ca="1">IFERROR(SEARCH('Saisie de données'!$J$20,S70),)</f>
        <v>1</v>
      </c>
      <c r="U70" s="129">
        <f ca="1">IF(T70=0,"",COUNTIF($T$2:T70,1))</f>
        <v>69</v>
      </c>
      <c r="V70" s="129" t="str">
        <f t="shared" ca="1" si="1"/>
        <v>Gananoque</v>
      </c>
      <c r="W70" s="129" t="str">
        <f ca="1"/>
        <v>Gananoque</v>
      </c>
      <c r="X70" s="720" t="str">
        <f ca="1"/>
        <v>Gananoque</v>
      </c>
      <c r="Z70" s="14"/>
      <c r="AA70" s="13"/>
    </row>
    <row r="71" spans="6:28">
      <c r="F71" s="664" t="s">
        <v>1361</v>
      </c>
      <c r="L71" s="664" t="s">
        <v>1362</v>
      </c>
      <c r="M71" s="663" t="s">
        <v>1363</v>
      </c>
      <c r="S71" s="287" t="str">
        <f ca="1"/>
        <v>Geraldton</v>
      </c>
      <c r="T71" s="129">
        <f ca="1">IFERROR(SEARCH('Saisie de données'!$J$20,S71),)</f>
        <v>1</v>
      </c>
      <c r="U71" s="129">
        <f ca="1">IF(T71=0,"",COUNTIF($T$2:T71,1))</f>
        <v>70</v>
      </c>
      <c r="V71" s="129" t="str">
        <f t="shared" ca="1" si="1"/>
        <v>Geraldton</v>
      </c>
      <c r="W71" s="129" t="str">
        <f ca="1"/>
        <v>Geraldton</v>
      </c>
      <c r="X71" s="720" t="str">
        <f ca="1"/>
        <v>Geraldton</v>
      </c>
      <c r="Z71" s="97"/>
      <c r="AA71" s="13"/>
    </row>
    <row r="72" spans="6:28">
      <c r="F72" s="663" t="s">
        <v>1364</v>
      </c>
      <c r="L72" s="663" t="s">
        <v>1365</v>
      </c>
      <c r="M72" s="664" t="s">
        <v>1366</v>
      </c>
      <c r="S72" s="287" t="str">
        <f ca="1"/>
        <v>Glencoe</v>
      </c>
      <c r="T72" s="129">
        <f ca="1">IFERROR(SEARCH('Saisie de données'!$J$20,S72),)</f>
        <v>1</v>
      </c>
      <c r="U72" s="129">
        <f ca="1">IF(T72=0,"",COUNTIF($T$2:T72,1))</f>
        <v>71</v>
      </c>
      <c r="V72" s="129" t="str">
        <f t="shared" ca="1" si="1"/>
        <v>Glencoe</v>
      </c>
      <c r="W72" s="129" t="str">
        <f ca="1"/>
        <v>Glencoe</v>
      </c>
      <c r="X72" s="720" t="str">
        <f ca="1"/>
        <v>Glencoe</v>
      </c>
      <c r="Z72" s="100"/>
      <c r="AB72" s="132"/>
    </row>
    <row r="73" spans="6:28">
      <c r="F73" s="664" t="s">
        <v>1367</v>
      </c>
      <c r="L73" s="664" t="s">
        <v>1368</v>
      </c>
      <c r="M73" s="663" t="s">
        <v>1369</v>
      </c>
      <c r="S73" s="287" t="str">
        <f ca="1"/>
        <v>Goderich</v>
      </c>
      <c r="T73" s="129">
        <f ca="1">IFERROR(SEARCH('Saisie de données'!$J$20,S73),)</f>
        <v>1</v>
      </c>
      <c r="U73" s="129">
        <f ca="1">IF(T73=0,"",COUNTIF($T$2:T73,1))</f>
        <v>72</v>
      </c>
      <c r="V73" s="129" t="str">
        <f t="shared" ca="1" si="1"/>
        <v>Goderich</v>
      </c>
      <c r="W73" s="129" t="str">
        <f ca="1"/>
        <v>Goderich</v>
      </c>
      <c r="X73" s="720" t="str">
        <f ca="1"/>
        <v>Goderich</v>
      </c>
      <c r="Z73" s="32"/>
    </row>
    <row r="74" spans="6:28">
      <c r="F74" s="663" t="s">
        <v>1370</v>
      </c>
      <c r="L74" s="663" t="s">
        <v>1371</v>
      </c>
      <c r="M74" s="663" t="s">
        <v>956</v>
      </c>
      <c r="S74" s="287" t="str">
        <f ca="1"/>
        <v>Gore Bay</v>
      </c>
      <c r="T74" s="129">
        <f ca="1">IFERROR(SEARCH('Saisie de données'!$J$20,S74),)</f>
        <v>1</v>
      </c>
      <c r="U74" s="129">
        <f ca="1">IF(T74=0,"",COUNTIF($T$2:T74,1))</f>
        <v>73</v>
      </c>
      <c r="V74" s="129" t="str">
        <f t="shared" ca="1" si="1"/>
        <v>Gore Bay</v>
      </c>
      <c r="W74" s="129" t="str">
        <f ca="1"/>
        <v>Gore Bay</v>
      </c>
      <c r="X74" s="720" t="str">
        <f ca="1"/>
        <v>Gore Bay</v>
      </c>
      <c r="Z74" s="32"/>
    </row>
    <row r="75" spans="6:28">
      <c r="F75" s="664" t="s">
        <v>1372</v>
      </c>
      <c r="L75" s="664" t="s">
        <v>1373</v>
      </c>
      <c r="M75" s="664" t="s">
        <v>1374</v>
      </c>
      <c r="S75" s="287" t="str">
        <f ca="1"/>
        <v>Graham</v>
      </c>
      <c r="T75" s="129">
        <f ca="1">IFERROR(SEARCH('Saisie de données'!$J$20,S75),)</f>
        <v>1</v>
      </c>
      <c r="U75" s="129">
        <f ca="1">IF(T75=0,"",COUNTIF($T$2:T75,1))</f>
        <v>74</v>
      </c>
      <c r="V75" s="129" t="str">
        <f t="shared" ca="1" si="1"/>
        <v>Graham</v>
      </c>
      <c r="W75" s="129" t="str">
        <f ca="1"/>
        <v>Graham</v>
      </c>
      <c r="X75" s="720" t="str">
        <f ca="1"/>
        <v>Graham</v>
      </c>
      <c r="Z75" s="32"/>
    </row>
    <row r="76" spans="6:28">
      <c r="F76" s="663" t="s">
        <v>1375</v>
      </c>
      <c r="L76" s="663" t="s">
        <v>1376</v>
      </c>
      <c r="M76" s="663" t="s">
        <v>1377</v>
      </c>
      <c r="S76" s="287" t="str">
        <f ca="1"/>
        <v>Gravenhurst</v>
      </c>
      <c r="T76" s="129">
        <f ca="1">IFERROR(SEARCH('Saisie de données'!$J$20,S76),)</f>
        <v>1</v>
      </c>
      <c r="U76" s="129">
        <f ca="1">IF(T76=0,"",COUNTIF($T$2:T76,1))</f>
        <v>75</v>
      </c>
      <c r="V76" s="129" t="str">
        <f t="shared" ca="1" si="1"/>
        <v>Gravenhurst</v>
      </c>
      <c r="W76" s="129" t="str">
        <f ca="1"/>
        <v>Gravenhurst</v>
      </c>
      <c r="X76" s="720" t="str">
        <f ca="1"/>
        <v>Gravenhurst</v>
      </c>
    </row>
    <row r="77" spans="6:28">
      <c r="F77" s="664" t="s">
        <v>1378</v>
      </c>
      <c r="L77" s="664" t="s">
        <v>1379</v>
      </c>
      <c r="M77" s="664" t="s">
        <v>1380</v>
      </c>
      <c r="S77" s="287" t="str">
        <f ca="1"/>
        <v>Grimsby</v>
      </c>
      <c r="T77" s="129">
        <f ca="1">IFERROR(SEARCH('Saisie de données'!$J$20,S77),)</f>
        <v>1</v>
      </c>
      <c r="U77" s="129">
        <f ca="1">IF(T77=0,"",COUNTIF($T$2:T77,1))</f>
        <v>76</v>
      </c>
      <c r="V77" s="129" t="str">
        <f t="shared" ca="1" si="1"/>
        <v>Grimsby</v>
      </c>
      <c r="W77" s="129" t="str">
        <f ca="1"/>
        <v>Grimsby</v>
      </c>
      <c r="X77" s="720" t="str">
        <f ca="1"/>
        <v>Grimsby</v>
      </c>
    </row>
    <row r="78" spans="6:28">
      <c r="F78" s="663" t="s">
        <v>1381</v>
      </c>
      <c r="L78" s="681" t="s">
        <v>1382</v>
      </c>
      <c r="M78" s="663" t="s">
        <v>1383</v>
      </c>
      <c r="S78" s="287" t="str">
        <f ca="1"/>
        <v>Guelph</v>
      </c>
      <c r="T78" s="129">
        <f ca="1">IFERROR(SEARCH('Saisie de données'!$J$20,S78),)</f>
        <v>1</v>
      </c>
      <c r="U78" s="129">
        <f ca="1">IF(T78=0,"",COUNTIF($T$2:T78,1))</f>
        <v>77</v>
      </c>
      <c r="V78" s="129" t="str">
        <f t="shared" ca="1" si="1"/>
        <v>Guelph</v>
      </c>
      <c r="W78" s="129" t="str">
        <f ca="1"/>
        <v>Guelph</v>
      </c>
      <c r="X78" s="720" t="str">
        <f ca="1"/>
        <v>Guelph</v>
      </c>
    </row>
    <row r="79" spans="6:28">
      <c r="F79" s="664" t="s">
        <v>1384</v>
      </c>
      <c r="L79" s="664" t="s">
        <v>1385</v>
      </c>
      <c r="M79" s="663" t="s">
        <v>1386</v>
      </c>
      <c r="S79" s="287" t="str">
        <f ca="1"/>
        <v>Guthrie</v>
      </c>
      <c r="T79" s="129">
        <f ca="1">IFERROR(SEARCH('Saisie de données'!$J$20,S79),)</f>
        <v>1</v>
      </c>
      <c r="U79" s="129">
        <f ca="1">IF(T79=0,"",COUNTIF($T$2:T79,1))</f>
        <v>78</v>
      </c>
      <c r="V79" s="129" t="str">
        <f t="shared" ca="1" si="1"/>
        <v>Guthrie</v>
      </c>
      <c r="W79" s="129" t="str">
        <f ca="1"/>
        <v>Guthrie</v>
      </c>
      <c r="X79" s="720" t="str">
        <f ca="1"/>
        <v>Guthrie</v>
      </c>
    </row>
    <row r="80" spans="6:28">
      <c r="F80" s="663" t="s">
        <v>1387</v>
      </c>
      <c r="L80" s="663" t="s">
        <v>1388</v>
      </c>
      <c r="M80" s="664" t="s">
        <v>1389</v>
      </c>
      <c r="S80" s="287" t="str">
        <f ca="1"/>
        <v>Haileybury</v>
      </c>
      <c r="T80" s="129">
        <f ca="1">IFERROR(SEARCH('Saisie de données'!$J$20,S80),)</f>
        <v>1</v>
      </c>
      <c r="U80" s="129">
        <f ca="1">IF(T80=0,"",COUNTIF($T$2:T80,1))</f>
        <v>79</v>
      </c>
      <c r="V80" s="129" t="str">
        <f t="shared" ca="1" si="1"/>
        <v>Haileybury</v>
      </c>
      <c r="W80" s="129" t="str">
        <f ca="1"/>
        <v>Haileybury</v>
      </c>
      <c r="X80" s="720" t="str">
        <f ca="1"/>
        <v>Haileybury</v>
      </c>
    </row>
    <row r="81" spans="6:29">
      <c r="F81" s="664" t="s">
        <v>1390</v>
      </c>
      <c r="L81" s="664" t="s">
        <v>1391</v>
      </c>
      <c r="M81" s="663" t="s">
        <v>1392</v>
      </c>
      <c r="S81" s="287" t="str">
        <f ca="1"/>
        <v>Haldimand</v>
      </c>
      <c r="T81" s="129">
        <f ca="1">IFERROR(SEARCH('Saisie de données'!$J$20,S81),)</f>
        <v>1</v>
      </c>
      <c r="U81" s="129">
        <f ca="1">IF(T81=0,"",COUNTIF($T$2:T81,1))</f>
        <v>80</v>
      </c>
      <c r="V81" s="129" t="str">
        <f t="shared" ca="1" si="1"/>
        <v>Haldimand</v>
      </c>
      <c r="W81" s="129" t="str">
        <f ca="1"/>
        <v>Haldimand</v>
      </c>
      <c r="X81" s="720" t="str">
        <f ca="1"/>
        <v>Haldimand</v>
      </c>
    </row>
    <row r="82" spans="6:29">
      <c r="F82" s="663" t="s">
        <v>1393</v>
      </c>
      <c r="L82" s="663" t="s">
        <v>1394</v>
      </c>
      <c r="M82" s="664" t="s">
        <v>1392</v>
      </c>
      <c r="S82" s="287" t="str">
        <f ca="1"/>
        <v>Haldimand</v>
      </c>
      <c r="T82" s="129">
        <f ca="1">IFERROR(SEARCH('Saisie de données'!$J$20,S82),)</f>
        <v>1</v>
      </c>
      <c r="U82" s="129">
        <f ca="1">IF(T82=0,"",COUNTIF($T$2:T82,1))</f>
        <v>81</v>
      </c>
      <c r="V82" s="129" t="str">
        <f t="shared" ca="1" si="1"/>
        <v>Haldimand</v>
      </c>
      <c r="W82" s="129" t="str">
        <f ca="1"/>
        <v>Haldimand</v>
      </c>
      <c r="X82" s="720" t="str">
        <f ca="1"/>
        <v>Haldimand</v>
      </c>
    </row>
    <row r="83" spans="6:29">
      <c r="F83" s="663" t="s">
        <v>1374</v>
      </c>
      <c r="L83" s="664" t="s">
        <v>1395</v>
      </c>
      <c r="M83" s="664" t="s">
        <v>1392</v>
      </c>
      <c r="S83" s="287" t="str">
        <f ca="1"/>
        <v>Haliburton</v>
      </c>
      <c r="T83" s="129">
        <f ca="1">IFERROR(SEARCH('Saisie de données'!$J$20,S83),)</f>
        <v>1</v>
      </c>
      <c r="U83" s="129">
        <f ca="1">IF(T83=0,"",COUNTIF($T$2:T83,1))</f>
        <v>82</v>
      </c>
      <c r="V83" s="129" t="str">
        <f t="shared" ca="1" si="1"/>
        <v>Haliburton</v>
      </c>
      <c r="W83" s="129" t="str">
        <f ca="1"/>
        <v>Haliburton</v>
      </c>
      <c r="X83" s="720" t="str">
        <f ca="1"/>
        <v>Haliburton</v>
      </c>
      <c r="Z83" s="15"/>
      <c r="AA83" s="15"/>
      <c r="AB83" s="15"/>
      <c r="AC83" s="15"/>
    </row>
    <row r="84" spans="6:29">
      <c r="F84" s="664" t="s">
        <v>1396</v>
      </c>
      <c r="L84" s="663" t="s">
        <v>1395</v>
      </c>
      <c r="M84" s="664" t="s">
        <v>1392</v>
      </c>
      <c r="S84" s="287" t="str">
        <f ca="1"/>
        <v>Halton Hills</v>
      </c>
      <c r="T84" s="129">
        <f ca="1">IFERROR(SEARCH('Saisie de données'!$J$20,S84),)</f>
        <v>1</v>
      </c>
      <c r="U84" s="129">
        <f ca="1">IF(T84=0,"",COUNTIF($T$2:T84,1))</f>
        <v>83</v>
      </c>
      <c r="V84" s="129" t="str">
        <f t="shared" ca="1" si="1"/>
        <v>Halton Hills</v>
      </c>
      <c r="W84" s="129" t="str">
        <f ca="1"/>
        <v>Halton Hills</v>
      </c>
      <c r="X84" s="720" t="str">
        <f ca="1"/>
        <v>Halton Hills</v>
      </c>
      <c r="Z84" s="15"/>
      <c r="AA84" s="132"/>
      <c r="AB84" s="132"/>
      <c r="AC84" s="15"/>
    </row>
    <row r="85" spans="6:29">
      <c r="F85" s="663" t="s">
        <v>1397</v>
      </c>
      <c r="L85" s="664" t="s">
        <v>1398</v>
      </c>
      <c r="M85" s="664" t="s">
        <v>1399</v>
      </c>
      <c r="S85" s="287" t="str">
        <f ca="1"/>
        <v>Hamilton</v>
      </c>
      <c r="T85" s="129">
        <f ca="1">IFERROR(SEARCH('Saisie de données'!$J$20,S85),)</f>
        <v>1</v>
      </c>
      <c r="U85" s="129">
        <f ca="1">IF(T85=0,"",COUNTIF($T$2:T85,1))</f>
        <v>84</v>
      </c>
      <c r="V85" s="129" t="str">
        <f t="shared" ca="1" si="1"/>
        <v>Hamilton</v>
      </c>
      <c r="W85" s="129" t="str">
        <f ca="1"/>
        <v>Hamilton</v>
      </c>
      <c r="X85" s="720" t="str">
        <f ca="1"/>
        <v>Hamilton</v>
      </c>
      <c r="Z85" s="15"/>
      <c r="AA85" s="132"/>
      <c r="AB85" s="132"/>
      <c r="AC85" s="15"/>
    </row>
    <row r="86" spans="6:29">
      <c r="F86" s="664" t="s">
        <v>1400</v>
      </c>
      <c r="L86" s="681" t="s">
        <v>1401</v>
      </c>
      <c r="M86" s="663" t="s">
        <v>1402</v>
      </c>
      <c r="S86" s="287" t="str">
        <f ca="1"/>
        <v>Hanover</v>
      </c>
      <c r="T86" s="129">
        <f ca="1">IFERROR(SEARCH('Saisie de données'!$J$20,S86),)</f>
        <v>1</v>
      </c>
      <c r="U86" s="129">
        <f ca="1">IF(T86=0,"",COUNTIF($T$2:T86,1))</f>
        <v>85</v>
      </c>
      <c r="V86" s="129" t="str">
        <f t="shared" ca="1" si="1"/>
        <v>Hanover</v>
      </c>
      <c r="W86" s="129" t="str">
        <f ca="1"/>
        <v>Hanover</v>
      </c>
      <c r="X86" s="720" t="str">
        <f ca="1"/>
        <v>Hanover</v>
      </c>
      <c r="Z86" s="15"/>
      <c r="AA86" s="132"/>
      <c r="AB86" s="132"/>
      <c r="AC86" s="15"/>
    </row>
    <row r="87" spans="6:29">
      <c r="F87" s="663" t="s">
        <v>1403</v>
      </c>
      <c r="L87" s="664" t="s">
        <v>1404</v>
      </c>
      <c r="M87" s="663" t="s">
        <v>1405</v>
      </c>
      <c r="S87" s="287" t="str">
        <f ca="1"/>
        <v>Hastings</v>
      </c>
      <c r="T87" s="129">
        <f ca="1">IFERROR(SEARCH('Saisie de données'!$J$20,S87),)</f>
        <v>1</v>
      </c>
      <c r="U87" s="129">
        <f ca="1">IF(T87=0,"",COUNTIF($T$2:T87,1))</f>
        <v>86</v>
      </c>
      <c r="V87" s="129" t="str">
        <f t="shared" ca="1" si="1"/>
        <v>Hastings</v>
      </c>
      <c r="W87" s="129" t="str">
        <f ca="1"/>
        <v>Hastings</v>
      </c>
      <c r="X87" s="720" t="str">
        <f ca="1"/>
        <v>Hastings</v>
      </c>
      <c r="Z87" s="15"/>
      <c r="AA87" s="132"/>
      <c r="AB87" s="132"/>
      <c r="AC87" s="15"/>
    </row>
    <row r="88" spans="6:29">
      <c r="F88" s="664" t="s">
        <v>1406</v>
      </c>
      <c r="L88" s="663" t="s">
        <v>1407</v>
      </c>
      <c r="M88" s="663" t="s">
        <v>1408</v>
      </c>
      <c r="S88" s="287" t="str">
        <f ca="1"/>
        <v>Hawkesbury</v>
      </c>
      <c r="T88" s="129">
        <f ca="1">IFERROR(SEARCH('Saisie de données'!$J$20,S88),)</f>
        <v>1</v>
      </c>
      <c r="U88" s="129">
        <f ca="1">IF(T88=0,"",COUNTIF($T$2:T88,1))</f>
        <v>87</v>
      </c>
      <c r="V88" s="129" t="str">
        <f t="shared" ca="1" si="1"/>
        <v>Hawkesbury</v>
      </c>
      <c r="W88" s="129" t="str">
        <f ca="1"/>
        <v>Hawkesbury</v>
      </c>
      <c r="X88" s="720" t="str">
        <f ca="1"/>
        <v>Hawkesbury</v>
      </c>
      <c r="Z88" s="15"/>
      <c r="AA88" s="132"/>
      <c r="AB88" s="132"/>
      <c r="AC88" s="15"/>
    </row>
    <row r="89" spans="6:29">
      <c r="F89" s="663" t="s">
        <v>1409</v>
      </c>
      <c r="L89" s="664" t="s">
        <v>1410</v>
      </c>
      <c r="M89" s="664" t="s">
        <v>1411</v>
      </c>
      <c r="S89" s="287" t="str">
        <f ca="1"/>
        <v>Hearst</v>
      </c>
      <c r="T89" s="129">
        <f ca="1">IFERROR(SEARCH('Saisie de données'!$J$20,S89),)</f>
        <v>1</v>
      </c>
      <c r="U89" s="129">
        <f ca="1">IF(T89=0,"",COUNTIF($T$2:T89,1))</f>
        <v>88</v>
      </c>
      <c r="V89" s="129" t="str">
        <f t="shared" ca="1" si="1"/>
        <v>Hearst</v>
      </c>
      <c r="W89" s="129" t="str">
        <f ca="1"/>
        <v>Hearst</v>
      </c>
      <c r="X89" s="720" t="str">
        <f ca="1"/>
        <v>Hearst</v>
      </c>
      <c r="Z89" s="15"/>
      <c r="AA89" s="15"/>
      <c r="AB89" s="15"/>
      <c r="AC89" s="15"/>
    </row>
    <row r="90" spans="6:29">
      <c r="F90" s="664" t="s">
        <v>1412</v>
      </c>
      <c r="L90" s="663" t="s">
        <v>1413</v>
      </c>
      <c r="M90" s="663" t="s">
        <v>1414</v>
      </c>
      <c r="S90" s="287" t="str">
        <f ca="1"/>
        <v>Honey Harbour</v>
      </c>
      <c r="T90" s="129">
        <f ca="1">IFERROR(SEARCH('Saisie de données'!$J$20,S90),)</f>
        <v>1</v>
      </c>
      <c r="U90" s="129">
        <f ca="1">IF(T90=0,"",COUNTIF($T$2:T90,1))</f>
        <v>89</v>
      </c>
      <c r="V90" s="129" t="str">
        <f t="shared" ca="1" si="1"/>
        <v>Honey Harbour</v>
      </c>
      <c r="W90" s="129" t="str">
        <f ca="1"/>
        <v>Honey Harbour</v>
      </c>
      <c r="X90" s="720" t="str">
        <f ca="1"/>
        <v>Honey Harbour</v>
      </c>
      <c r="Z90" s="1788"/>
      <c r="AA90" s="15"/>
      <c r="AB90" s="1332"/>
      <c r="AC90" s="15"/>
    </row>
    <row r="91" spans="6:29">
      <c r="F91" s="663" t="s">
        <v>1415</v>
      </c>
      <c r="L91" s="664" t="s">
        <v>1416</v>
      </c>
      <c r="M91" s="664" t="s">
        <v>1417</v>
      </c>
      <c r="S91" s="287" t="str">
        <f ca="1"/>
        <v>Hornepayne</v>
      </c>
      <c r="T91" s="129">
        <f ca="1">IFERROR(SEARCH('Saisie de données'!$J$20,S91),)</f>
        <v>1</v>
      </c>
      <c r="U91" s="129">
        <f ca="1">IF(T91=0,"",COUNTIF($T$2:T91,1))</f>
        <v>90</v>
      </c>
      <c r="V91" s="129" t="str">
        <f t="shared" ca="1" si="1"/>
        <v>Hornepayne</v>
      </c>
      <c r="W91" s="129" t="str">
        <f ca="1"/>
        <v>Hornepayne</v>
      </c>
      <c r="X91" s="720" t="str">
        <f ca="1"/>
        <v>Hornepayne</v>
      </c>
      <c r="Z91" s="1788"/>
      <c r="AA91" s="15"/>
      <c r="AB91" s="1332"/>
      <c r="AC91" s="15"/>
    </row>
    <row r="92" spans="6:29">
      <c r="F92" s="664" t="s">
        <v>1418</v>
      </c>
      <c r="L92" s="663" t="s">
        <v>1419</v>
      </c>
      <c r="M92" s="663" t="s">
        <v>1420</v>
      </c>
      <c r="S92" s="287" t="str">
        <f ca="1"/>
        <v>Huntsville</v>
      </c>
      <c r="T92" s="129">
        <f ca="1">IFERROR(SEARCH('Saisie de données'!$J$20,S92),)</f>
        <v>1</v>
      </c>
      <c r="U92" s="129">
        <f ca="1">IF(T92=0,"",COUNTIF($T$2:T92,1))</f>
        <v>91</v>
      </c>
      <c r="V92" s="129" t="str">
        <f t="shared" ca="1" si="1"/>
        <v>Huntsville</v>
      </c>
      <c r="W92" s="129" t="str">
        <f ca="1"/>
        <v>Huntsville</v>
      </c>
      <c r="X92" s="720" t="str">
        <f ca="1"/>
        <v>Huntsville</v>
      </c>
      <c r="Z92" s="1789"/>
      <c r="AA92" s="15"/>
      <c r="AB92" s="1332"/>
      <c r="AC92" s="15"/>
    </row>
    <row r="93" spans="6:29">
      <c r="F93" s="664" t="s">
        <v>1421</v>
      </c>
      <c r="L93" s="664" t="s">
        <v>1422</v>
      </c>
      <c r="M93" s="664" t="s">
        <v>1423</v>
      </c>
      <c r="S93" s="287" t="str">
        <f ca="1"/>
        <v>Iroquois Falls</v>
      </c>
      <c r="T93" s="129">
        <f ca="1">IFERROR(SEARCH('Saisie de données'!$J$20,S93),)</f>
        <v>1</v>
      </c>
      <c r="U93" s="129">
        <f ca="1">IF(T93=0,"",COUNTIF($T$2:T93,1))</f>
        <v>92</v>
      </c>
      <c r="V93" s="129" t="str">
        <f t="shared" ca="1" si="1"/>
        <v>Iroquois Falls</v>
      </c>
      <c r="W93" s="129" t="str">
        <f ca="1"/>
        <v>Iroquois Falls</v>
      </c>
      <c r="X93" s="720" t="str">
        <f ca="1"/>
        <v>Iroquois Falls</v>
      </c>
      <c r="Z93" s="1789"/>
      <c r="AA93" s="15"/>
      <c r="AB93" s="1332"/>
      <c r="AC93" s="15"/>
    </row>
    <row r="94" spans="6:29">
      <c r="F94" s="663" t="s">
        <v>1424</v>
      </c>
      <c r="L94" s="663" t="s">
        <v>1425</v>
      </c>
      <c r="M94" s="664" t="s">
        <v>1426</v>
      </c>
      <c r="S94" s="287" t="str">
        <f ca="1"/>
        <v>Jarvis</v>
      </c>
      <c r="T94" s="129">
        <f ca="1">IFERROR(SEARCH('Saisie de données'!$J$20,S94),)</f>
        <v>1</v>
      </c>
      <c r="U94" s="129">
        <f ca="1">IF(T94=0,"",COUNTIF($T$2:T94,1))</f>
        <v>93</v>
      </c>
      <c r="V94" s="129" t="str">
        <f t="shared" ca="1" si="1"/>
        <v>Jarvis</v>
      </c>
      <c r="W94" s="129" t="str">
        <f ca="1"/>
        <v>Jarvis</v>
      </c>
      <c r="X94" s="720" t="str">
        <f ca="1"/>
        <v>Jarvis</v>
      </c>
      <c r="Z94" s="25"/>
      <c r="AA94" s="15"/>
      <c r="AB94" s="132"/>
      <c r="AC94" s="15"/>
    </row>
    <row r="95" spans="6:29">
      <c r="F95" s="664" t="s">
        <v>1427</v>
      </c>
      <c r="L95" s="663" t="s">
        <v>1428</v>
      </c>
      <c r="M95" s="663" t="s">
        <v>1429</v>
      </c>
      <c r="S95" s="287" t="str">
        <f ca="1"/>
        <v>Jellicoe</v>
      </c>
      <c r="T95" s="129">
        <f ca="1">IFERROR(SEARCH('Saisie de données'!$J$20,S95),)</f>
        <v>1</v>
      </c>
      <c r="U95" s="129">
        <f ca="1">IF(T95=0,"",COUNTIF($T$2:T95,1))</f>
        <v>94</v>
      </c>
      <c r="V95" s="129" t="str">
        <f t="shared" ca="1" si="1"/>
        <v>Jellicoe</v>
      </c>
      <c r="W95" s="129" t="str">
        <f ca="1"/>
        <v>Jellicoe</v>
      </c>
      <c r="X95" s="720" t="str">
        <f ca="1"/>
        <v>Jellicoe</v>
      </c>
      <c r="Z95" s="30"/>
      <c r="AB95" s="129"/>
    </row>
    <row r="96" spans="6:29">
      <c r="F96" s="663" t="s">
        <v>1430</v>
      </c>
      <c r="L96" s="664" t="s">
        <v>1431</v>
      </c>
      <c r="M96" s="664" t="s">
        <v>1432</v>
      </c>
      <c r="S96" s="287" t="str">
        <f ca="1"/>
        <v>Kapuskasing</v>
      </c>
      <c r="T96" s="129">
        <f ca="1">IFERROR(SEARCH('Saisie de données'!$J$20,S96),)</f>
        <v>1</v>
      </c>
      <c r="U96" s="129">
        <f ca="1">IF(T96=0,"",COUNTIF($T$2:T96,1))</f>
        <v>95</v>
      </c>
      <c r="V96" s="129" t="str">
        <f t="shared" ca="1" si="1"/>
        <v>Kapuskasing</v>
      </c>
      <c r="W96" s="129" t="str">
        <f ca="1"/>
        <v>Kapuskasing</v>
      </c>
      <c r="X96" s="720" t="str">
        <f ca="1"/>
        <v>Kapuskasing</v>
      </c>
    </row>
    <row r="97" spans="6:24">
      <c r="F97" s="664" t="s">
        <v>1433</v>
      </c>
      <c r="L97" s="664" t="s">
        <v>1434</v>
      </c>
      <c r="M97" s="663" t="s">
        <v>1435</v>
      </c>
      <c r="S97" s="287" t="str">
        <f ca="1"/>
        <v>Kemptville</v>
      </c>
      <c r="T97" s="129">
        <f ca="1">IFERROR(SEARCH('Saisie de données'!$J$20,S97),)</f>
        <v>1</v>
      </c>
      <c r="U97" s="129">
        <f ca="1">IF(T97=0,"",COUNTIF($T$2:T97,1))</f>
        <v>96</v>
      </c>
      <c r="V97" s="129" t="str">
        <f t="shared" ca="1" si="1"/>
        <v>Kemptville</v>
      </c>
      <c r="W97" s="129" t="str">
        <f ca="1"/>
        <v>Kemptville</v>
      </c>
      <c r="X97" s="720" t="str">
        <f ca="1"/>
        <v>Kemptville</v>
      </c>
    </row>
    <row r="98" spans="6:24">
      <c r="F98" s="663" t="s">
        <v>1436</v>
      </c>
      <c r="L98" s="663" t="s">
        <v>1437</v>
      </c>
      <c r="M98" s="663" t="s">
        <v>1438</v>
      </c>
      <c r="S98" s="287" t="str">
        <f ca="1"/>
        <v>Kenora</v>
      </c>
      <c r="T98" s="129">
        <f ca="1">IFERROR(SEARCH('Saisie de données'!$J$20,S98),)</f>
        <v>1</v>
      </c>
      <c r="U98" s="129">
        <f ca="1">IF(T98=0,"",COUNTIF($T$2:T98,1))</f>
        <v>97</v>
      </c>
      <c r="V98" s="129" t="str">
        <f t="shared" ca="1" si="1"/>
        <v>Kenora</v>
      </c>
      <c r="W98" s="129" t="str">
        <f ca="1"/>
        <v>Kenora</v>
      </c>
      <c r="X98" s="720" t="str">
        <f ca="1"/>
        <v>Kenora</v>
      </c>
    </row>
    <row r="99" spans="6:24">
      <c r="F99" s="664" t="s">
        <v>1439</v>
      </c>
      <c r="L99" s="664" t="s">
        <v>1440</v>
      </c>
      <c r="M99" s="663" t="s">
        <v>1441</v>
      </c>
      <c r="S99" s="287" t="str">
        <f ca="1"/>
        <v>Killaloe</v>
      </c>
      <c r="T99" s="129">
        <f ca="1">IFERROR(SEARCH('Saisie de données'!$J$20,S99),)</f>
        <v>1</v>
      </c>
      <c r="U99" s="129">
        <f ca="1">IF(T99=0,"",COUNTIF($T$2:T99,1))</f>
        <v>98</v>
      </c>
      <c r="V99" s="129" t="str">
        <f t="shared" ca="1" si="1"/>
        <v>Killaloe</v>
      </c>
      <c r="W99" s="129" t="str">
        <f ca="1"/>
        <v>Killaloe</v>
      </c>
      <c r="X99" s="720" t="str">
        <f ca="1"/>
        <v>Killaloe</v>
      </c>
    </row>
    <row r="100" spans="6:24">
      <c r="F100" s="664" t="s">
        <v>1442</v>
      </c>
      <c r="L100" s="663" t="s">
        <v>1443</v>
      </c>
      <c r="M100" s="664" t="s">
        <v>1444</v>
      </c>
      <c r="S100" s="287" t="str">
        <f ca="1"/>
        <v>Kincardine</v>
      </c>
      <c r="T100" s="129">
        <f ca="1">IFERROR(SEARCH('Saisie de données'!$J$20,S100),)</f>
        <v>1</v>
      </c>
      <c r="U100" s="129">
        <f ca="1">IF(T100=0,"",COUNTIF($T$2:T100,1))</f>
        <v>99</v>
      </c>
      <c r="V100" s="129" t="str">
        <f t="shared" ca="1" si="1"/>
        <v>Kincardine</v>
      </c>
      <c r="W100" s="129" t="str">
        <f ca="1"/>
        <v>Kincardine</v>
      </c>
      <c r="X100" s="720" t="str">
        <f ca="1"/>
        <v>Kincardine</v>
      </c>
    </row>
    <row r="101" spans="6:24">
      <c r="F101" s="664" t="s">
        <v>1442</v>
      </c>
      <c r="L101" s="664" t="s">
        <v>1445</v>
      </c>
      <c r="M101" s="663" t="s">
        <v>1446</v>
      </c>
      <c r="S101" s="287" t="str">
        <f ca="1"/>
        <v>Kingston</v>
      </c>
      <c r="T101" s="129">
        <f ca="1">IFERROR(SEARCH('Saisie de données'!$J$20,S101),)</f>
        <v>1</v>
      </c>
      <c r="U101" s="129">
        <f ca="1">IF(T101=0,"",COUNTIF($T$2:T101,1))</f>
        <v>100</v>
      </c>
      <c r="V101" s="129" t="str">
        <f t="shared" ca="1" si="1"/>
        <v>Kingston</v>
      </c>
      <c r="W101" s="129" t="str">
        <f ca="1"/>
        <v>Kingston</v>
      </c>
      <c r="X101" s="720" t="str">
        <f ca="1"/>
        <v>Kingston</v>
      </c>
    </row>
    <row r="102" spans="6:24">
      <c r="F102" s="664" t="s">
        <v>1447</v>
      </c>
      <c r="L102" s="663" t="s">
        <v>1448</v>
      </c>
      <c r="M102" s="663" t="s">
        <v>1449</v>
      </c>
      <c r="S102" s="287" t="str">
        <f ca="1"/>
        <v>Kinmount</v>
      </c>
      <c r="T102" s="129">
        <f ca="1">IFERROR(SEARCH('Saisie de données'!$J$20,S102),)</f>
        <v>1</v>
      </c>
      <c r="U102" s="129">
        <f ca="1">IF(T102=0,"",COUNTIF($T$2:T102,1))</f>
        <v>101</v>
      </c>
      <c r="V102" s="129" t="str">
        <f t="shared" ca="1" si="1"/>
        <v>Kinmount</v>
      </c>
      <c r="W102" s="129" t="str">
        <f ca="1"/>
        <v>Kinmount</v>
      </c>
      <c r="X102" s="720" t="str">
        <f ca="1"/>
        <v>Kinmount</v>
      </c>
    </row>
    <row r="103" spans="6:24">
      <c r="F103" s="664" t="s">
        <v>1450</v>
      </c>
      <c r="L103" s="664" t="s">
        <v>1451</v>
      </c>
      <c r="M103" s="664" t="s">
        <v>1452</v>
      </c>
      <c r="S103" s="287" t="str">
        <f ca="1"/>
        <v>Kirkland Lake</v>
      </c>
      <c r="T103" s="129">
        <f ca="1">IFERROR(SEARCH('Saisie de données'!$J$20,S103),)</f>
        <v>1</v>
      </c>
      <c r="U103" s="129">
        <f ca="1">IF(T103=0,"",COUNTIF($T$2:T103,1))</f>
        <v>102</v>
      </c>
      <c r="V103" s="129" t="str">
        <f t="shared" ca="1" si="1"/>
        <v>Kirkland Lake</v>
      </c>
      <c r="W103" s="129" t="str">
        <f ca="1"/>
        <v>Kirkland Lake</v>
      </c>
      <c r="X103" s="720" t="str">
        <f ca="1"/>
        <v>Kirkland Lake</v>
      </c>
    </row>
    <row r="104" spans="6:24">
      <c r="F104" s="663" t="s">
        <v>1453</v>
      </c>
      <c r="L104" s="663" t="s">
        <v>1454</v>
      </c>
      <c r="M104" s="664" t="s">
        <v>1455</v>
      </c>
      <c r="S104" s="287" t="str">
        <f ca="1"/>
        <v>Kitchener</v>
      </c>
      <c r="T104" s="129">
        <f ca="1">IFERROR(SEARCH('Saisie de données'!$J$20,S104),)</f>
        <v>1</v>
      </c>
      <c r="U104" s="129">
        <f ca="1">IF(T104=0,"",COUNTIF($T$2:T104,1))</f>
        <v>103</v>
      </c>
      <c r="V104" s="129" t="str">
        <f t="shared" ca="1" si="1"/>
        <v>Kitchener</v>
      </c>
      <c r="W104" s="129" t="str">
        <f ca="1"/>
        <v>Kitchener</v>
      </c>
      <c r="X104" s="720" t="str">
        <f ca="1"/>
        <v>Kitchener</v>
      </c>
    </row>
    <row r="105" spans="6:24">
      <c r="F105" s="663" t="s">
        <v>1456</v>
      </c>
      <c r="L105" s="664" t="s">
        <v>1457</v>
      </c>
      <c r="M105" s="663" t="s">
        <v>1458</v>
      </c>
      <c r="S105" s="287" t="str">
        <f ca="1"/>
        <v>Lakefield</v>
      </c>
      <c r="T105" s="129">
        <f ca="1">IFERROR(SEARCH('Saisie de données'!$J$20,S105),)</f>
        <v>1</v>
      </c>
      <c r="U105" s="129">
        <f ca="1">IF(T105=0,"",COUNTIF($T$2:T105,1))</f>
        <v>104</v>
      </c>
      <c r="V105" s="129" t="str">
        <f t="shared" ca="1" si="1"/>
        <v>Lakefield</v>
      </c>
      <c r="W105" s="129" t="str">
        <f ca="1"/>
        <v>Lakefield</v>
      </c>
      <c r="X105" s="720" t="str">
        <f ca="1"/>
        <v>Lakefield</v>
      </c>
    </row>
    <row r="106" spans="6:24">
      <c r="F106" s="664" t="s">
        <v>1459</v>
      </c>
      <c r="L106" s="663" t="s">
        <v>1460</v>
      </c>
      <c r="M106" s="664" t="s">
        <v>1461</v>
      </c>
      <c r="S106" s="287" t="str">
        <f ca="1"/>
        <v>Lansdowne House</v>
      </c>
      <c r="T106" s="129">
        <f ca="1">IFERROR(SEARCH('Saisie de données'!$J$20,S106),)</f>
        <v>1</v>
      </c>
      <c r="U106" s="129">
        <f ca="1">IF(T106=0,"",COUNTIF($T$2:T106,1))</f>
        <v>105</v>
      </c>
      <c r="V106" s="129" t="str">
        <f t="shared" ca="1" si="1"/>
        <v>Lansdowne House</v>
      </c>
      <c r="W106" s="129" t="str">
        <f ca="1"/>
        <v>Lansdowne House</v>
      </c>
      <c r="X106" s="720" t="str">
        <f ca="1"/>
        <v>Lansdowne House</v>
      </c>
    </row>
    <row r="107" spans="6:24">
      <c r="F107" s="663" t="s">
        <v>1462</v>
      </c>
      <c r="L107" s="664" t="s">
        <v>1463</v>
      </c>
      <c r="M107" s="663" t="s">
        <v>1464</v>
      </c>
      <c r="S107" s="287" t="str">
        <f ca="1"/>
        <v>Leamington</v>
      </c>
      <c r="T107" s="129">
        <f ca="1">IFERROR(SEARCH('Saisie de données'!$J$20,S107),)</f>
        <v>1</v>
      </c>
      <c r="U107" s="129">
        <f ca="1">IF(T107=0,"",COUNTIF($T$2:T107,1))</f>
        <v>106</v>
      </c>
      <c r="V107" s="129" t="str">
        <f t="shared" ca="1" si="1"/>
        <v>Leamington</v>
      </c>
      <c r="W107" s="129" t="str">
        <f ca="1"/>
        <v>Leamington</v>
      </c>
      <c r="X107" s="720" t="str">
        <f ca="1"/>
        <v>Leamington</v>
      </c>
    </row>
    <row r="108" spans="6:24">
      <c r="F108" s="664" t="s">
        <v>1465</v>
      </c>
      <c r="L108" s="663" t="s">
        <v>1466</v>
      </c>
      <c r="M108" s="664" t="s">
        <v>1467</v>
      </c>
      <c r="S108" s="287" t="str">
        <f ca="1"/>
        <v>Lindsay</v>
      </c>
      <c r="T108" s="129">
        <f ca="1">IFERROR(SEARCH('Saisie de données'!$J$20,S108),)</f>
        <v>1</v>
      </c>
      <c r="U108" s="129">
        <f ca="1">IF(T108=0,"",COUNTIF($T$2:T108,1))</f>
        <v>107</v>
      </c>
      <c r="V108" s="129" t="str">
        <f t="shared" ca="1" si="1"/>
        <v>Lindsay</v>
      </c>
      <c r="W108" s="129" t="str">
        <f ca="1"/>
        <v>Lindsay</v>
      </c>
      <c r="X108" s="720" t="str">
        <f ca="1"/>
        <v>Lindsay</v>
      </c>
    </row>
    <row r="109" spans="6:24">
      <c r="F109" s="105"/>
      <c r="L109" s="664" t="s">
        <v>1468</v>
      </c>
      <c r="M109" s="663" t="s">
        <v>1469</v>
      </c>
      <c r="S109" s="287" t="str">
        <f ca="1"/>
        <v>Lion's Head</v>
      </c>
      <c r="T109" s="129">
        <f ca="1">IFERROR(SEARCH('Saisie de données'!$J$20,S109),)</f>
        <v>1</v>
      </c>
      <c r="U109" s="129">
        <f ca="1">IF(T109=0,"",COUNTIF($T$2:T109,1))</f>
        <v>108</v>
      </c>
      <c r="V109" s="129" t="str">
        <f t="shared" ca="1" si="1"/>
        <v>Lion's Head</v>
      </c>
      <c r="W109" s="129" t="str">
        <f ca="1"/>
        <v>Lion's Head</v>
      </c>
      <c r="X109" s="720" t="str">
        <f ca="1"/>
        <v>Lion's Head</v>
      </c>
    </row>
    <row r="110" spans="6:24">
      <c r="F110" s="104"/>
      <c r="L110" s="663" t="s">
        <v>1470</v>
      </c>
      <c r="M110" s="664" t="s">
        <v>1471</v>
      </c>
      <c r="S110" s="287" t="str">
        <f ca="1"/>
        <v>Listowel</v>
      </c>
      <c r="T110" s="129">
        <f ca="1">IFERROR(SEARCH('Saisie de données'!$J$20,S110),)</f>
        <v>1</v>
      </c>
      <c r="U110" s="129">
        <f ca="1">IF(T110=0,"",COUNTIF($T$2:T110,1))</f>
        <v>109</v>
      </c>
      <c r="V110" s="129" t="str">
        <f t="shared" ca="1" si="1"/>
        <v>Listowel</v>
      </c>
      <c r="W110" s="129" t="str">
        <f ca="1"/>
        <v>Listowel</v>
      </c>
      <c r="X110" s="720" t="str">
        <f ca="1"/>
        <v>Listowel</v>
      </c>
    </row>
    <row r="111" spans="6:24">
      <c r="F111" s="105"/>
      <c r="L111" s="664" t="s">
        <v>1472</v>
      </c>
      <c r="M111" s="663" t="s">
        <v>1473</v>
      </c>
      <c r="S111" s="287" t="str">
        <f ca="1"/>
        <v>lngersoll</v>
      </c>
      <c r="T111" s="129">
        <f ca="1">IFERROR(SEARCH('Saisie de données'!$J$20,S111),)</f>
        <v>1</v>
      </c>
      <c r="U111" s="129">
        <f ca="1">IF(T111=0,"",COUNTIF($T$2:T111,1))</f>
        <v>110</v>
      </c>
      <c r="V111" s="129" t="str">
        <f t="shared" ca="1" si="1"/>
        <v>lngersoll</v>
      </c>
      <c r="W111" s="129" t="str">
        <f ca="1"/>
        <v>lngersoll</v>
      </c>
      <c r="X111" s="720" t="str">
        <f ca="1"/>
        <v>lngersoll</v>
      </c>
    </row>
    <row r="112" spans="6:24">
      <c r="L112" s="663" t="s">
        <v>1474</v>
      </c>
      <c r="M112" s="664" t="s">
        <v>1475</v>
      </c>
      <c r="S112" s="287" t="str">
        <f ca="1"/>
        <v>London</v>
      </c>
      <c r="T112" s="129">
        <f ca="1">IFERROR(SEARCH('Saisie de données'!$J$20,S112),)</f>
        <v>1</v>
      </c>
      <c r="U112" s="129">
        <f ca="1">IF(T112=0,"",COUNTIF($T$2:T112,1))</f>
        <v>111</v>
      </c>
      <c r="V112" s="129" t="str">
        <f t="shared" ca="1" si="1"/>
        <v>London</v>
      </c>
      <c r="W112" s="129" t="str">
        <f ca="1"/>
        <v>London</v>
      </c>
      <c r="X112" s="720" t="str">
        <f ca="1"/>
        <v>London</v>
      </c>
    </row>
    <row r="113" spans="12:24">
      <c r="L113" s="664" t="s">
        <v>1476</v>
      </c>
      <c r="M113" s="663" t="s">
        <v>1477</v>
      </c>
      <c r="S113" s="287" t="str">
        <f ca="1"/>
        <v>Lucan</v>
      </c>
      <c r="T113" s="129">
        <f ca="1">IFERROR(SEARCH('Saisie de données'!$J$20,S113),)</f>
        <v>1</v>
      </c>
      <c r="U113" s="129">
        <f ca="1">IF(T113=0,"",COUNTIF($T$2:T113,1))</f>
        <v>112</v>
      </c>
      <c r="V113" s="129" t="str">
        <f t="shared" ca="1" si="1"/>
        <v>Lucan</v>
      </c>
      <c r="W113" s="129" t="str">
        <f ca="1"/>
        <v>Lucan</v>
      </c>
      <c r="X113" s="720" t="str">
        <f ca="1"/>
        <v>Lucan</v>
      </c>
    </row>
    <row r="114" spans="12:24">
      <c r="L114" s="663" t="s">
        <v>1478</v>
      </c>
      <c r="M114" s="664" t="s">
        <v>1479</v>
      </c>
      <c r="S114" s="287" t="str">
        <f ca="1"/>
        <v>Maitland</v>
      </c>
      <c r="T114" s="129">
        <f ca="1">IFERROR(SEARCH('Saisie de données'!$J$20,S114),)</f>
        <v>1</v>
      </c>
      <c r="U114" s="129">
        <f ca="1">IF(T114=0,"",COUNTIF($T$2:T114,1))</f>
        <v>113</v>
      </c>
      <c r="V114" s="129" t="str">
        <f t="shared" ca="1" si="1"/>
        <v>Maitland</v>
      </c>
      <c r="W114" s="129" t="str">
        <f ca="1"/>
        <v>Maitland</v>
      </c>
      <c r="X114" s="720" t="str">
        <f ca="1"/>
        <v>Maitland</v>
      </c>
    </row>
    <row r="115" spans="12:24">
      <c r="L115" s="664" t="s">
        <v>1480</v>
      </c>
      <c r="M115" s="663" t="s">
        <v>1481</v>
      </c>
      <c r="S115" s="287" t="str">
        <f ca="1"/>
        <v>Markdale</v>
      </c>
      <c r="T115" s="129">
        <f ca="1">IFERROR(SEARCH('Saisie de données'!$J$20,S115),)</f>
        <v>1</v>
      </c>
      <c r="U115" s="129">
        <f ca="1">IF(T115=0,"",COUNTIF($T$2:T115,1))</f>
        <v>114</v>
      </c>
      <c r="V115" s="129" t="str">
        <f t="shared" ca="1" si="1"/>
        <v>Markdale</v>
      </c>
      <c r="W115" s="129" t="str">
        <f ca="1"/>
        <v>Markdale</v>
      </c>
      <c r="X115" s="720" t="str">
        <f ca="1"/>
        <v>Markdale</v>
      </c>
    </row>
    <row r="116" spans="12:24">
      <c r="L116" s="663" t="s">
        <v>1482</v>
      </c>
      <c r="M116" s="664" t="s">
        <v>1483</v>
      </c>
      <c r="S116" s="287" t="str">
        <f ca="1"/>
        <v>Markham</v>
      </c>
      <c r="T116" s="129">
        <f ca="1">IFERROR(SEARCH('Saisie de données'!$J$20,S116),)</f>
        <v>1</v>
      </c>
      <c r="U116" s="129">
        <f ca="1">IF(T116=0,"",COUNTIF($T$2:T116,1))</f>
        <v>115</v>
      </c>
      <c r="V116" s="129" t="str">
        <f t="shared" ca="1" si="1"/>
        <v>Markham</v>
      </c>
      <c r="W116" s="129" t="str">
        <f ca="1"/>
        <v>Markham</v>
      </c>
      <c r="X116" s="720" t="str">
        <f ca="1"/>
        <v>Markham</v>
      </c>
    </row>
    <row r="117" spans="12:24">
      <c r="L117" s="664" t="s">
        <v>1484</v>
      </c>
      <c r="M117" s="663" t="s">
        <v>1485</v>
      </c>
      <c r="S117" s="287" t="str">
        <f ca="1"/>
        <v>Martin</v>
      </c>
      <c r="T117" s="129">
        <f ca="1">IFERROR(SEARCH('Saisie de données'!$J$20,S117),)</f>
        <v>1</v>
      </c>
      <c r="U117" s="129">
        <f ca="1">IF(T117=0,"",COUNTIF($T$2:T117,1))</f>
        <v>116</v>
      </c>
      <c r="V117" s="129" t="str">
        <f t="shared" ca="1" si="1"/>
        <v>Martin</v>
      </c>
      <c r="W117" s="129" t="str">
        <f ca="1"/>
        <v>Martin</v>
      </c>
      <c r="X117" s="720" t="str">
        <f ca="1"/>
        <v>Martin</v>
      </c>
    </row>
    <row r="118" spans="12:24">
      <c r="L118" s="663" t="s">
        <v>1486</v>
      </c>
      <c r="M118" s="664" t="s">
        <v>1487</v>
      </c>
      <c r="S118" s="287" t="str">
        <f ca="1"/>
        <v>Matheson</v>
      </c>
      <c r="T118" s="129">
        <f ca="1">IFERROR(SEARCH('Saisie de données'!$J$20,S118),)</f>
        <v>1</v>
      </c>
      <c r="U118" s="129">
        <f ca="1">IF(T118=0,"",COUNTIF($T$2:T118,1))</f>
        <v>117</v>
      </c>
      <c r="V118" s="129" t="str">
        <f t="shared" ca="1" si="1"/>
        <v>Matheson</v>
      </c>
      <c r="W118" s="129" t="str">
        <f ca="1"/>
        <v>Matheson</v>
      </c>
      <c r="X118" s="720" t="str">
        <f ca="1"/>
        <v>Matheson</v>
      </c>
    </row>
    <row r="119" spans="12:24">
      <c r="L119" s="664" t="s">
        <v>1488</v>
      </c>
      <c r="M119" s="664" t="s">
        <v>1489</v>
      </c>
      <c r="S119" s="287" t="str">
        <f ca="1"/>
        <v>Mattawa</v>
      </c>
      <c r="T119" s="129">
        <f ca="1">IFERROR(SEARCH('Saisie de données'!$J$20,S119),)</f>
        <v>1</v>
      </c>
      <c r="U119" s="129">
        <f ca="1">IF(T119=0,"",COUNTIF($T$2:T119,1))</f>
        <v>118</v>
      </c>
      <c r="V119" s="129" t="str">
        <f t="shared" ca="1" si="1"/>
        <v>Mattawa</v>
      </c>
      <c r="W119" s="129" t="str">
        <f ca="1"/>
        <v>Mattawa</v>
      </c>
      <c r="X119" s="720" t="str">
        <f ca="1"/>
        <v>Mattawa</v>
      </c>
    </row>
    <row r="120" spans="12:24">
      <c r="L120" s="663" t="s">
        <v>1490</v>
      </c>
      <c r="M120" s="663" t="s">
        <v>1491</v>
      </c>
      <c r="S120" s="287" t="str">
        <f ca="1"/>
        <v>Midland</v>
      </c>
      <c r="T120" s="129">
        <f ca="1">IFERROR(SEARCH('Saisie de données'!$J$20,S120),)</f>
        <v>1</v>
      </c>
      <c r="U120" s="129">
        <f ca="1">IF(T120=0,"",COUNTIF($T$2:T120,1))</f>
        <v>119</v>
      </c>
      <c r="V120" s="129" t="str">
        <f t="shared" ca="1" si="1"/>
        <v>Midland</v>
      </c>
      <c r="W120" s="129" t="str">
        <f ca="1"/>
        <v>Midland</v>
      </c>
      <c r="X120" s="720" t="str">
        <f ca="1"/>
        <v>Midland</v>
      </c>
    </row>
    <row r="121" spans="12:24">
      <c r="L121" s="664" t="s">
        <v>1492</v>
      </c>
      <c r="M121" s="664" t="s">
        <v>1493</v>
      </c>
      <c r="S121" s="287" t="str">
        <f ca="1"/>
        <v>Milton</v>
      </c>
      <c r="T121" s="129">
        <f ca="1">IFERROR(SEARCH('Saisie de données'!$J$20,S121),)</f>
        <v>1</v>
      </c>
      <c r="U121" s="129">
        <f ca="1">IF(T121=0,"",COUNTIF($T$2:T121,1))</f>
        <v>120</v>
      </c>
      <c r="V121" s="129" t="str">
        <f t="shared" ca="1" si="1"/>
        <v>Milton</v>
      </c>
      <c r="W121" s="129" t="str">
        <f ca="1"/>
        <v>Milton</v>
      </c>
      <c r="X121" s="720" t="str">
        <f ca="1"/>
        <v>Milton</v>
      </c>
    </row>
    <row r="122" spans="12:24">
      <c r="L122" s="663" t="s">
        <v>1494</v>
      </c>
      <c r="M122" s="663" t="s">
        <v>1495</v>
      </c>
      <c r="S122" s="287" t="str">
        <f ca="1"/>
        <v>Milverton</v>
      </c>
      <c r="T122" s="129">
        <f ca="1">IFERROR(SEARCH('Saisie de données'!$J$20,S122),)</f>
        <v>1</v>
      </c>
      <c r="U122" s="129">
        <f ca="1">IF(T122=0,"",COUNTIF($T$2:T122,1))</f>
        <v>121</v>
      </c>
      <c r="V122" s="129" t="str">
        <f t="shared" ca="1" si="1"/>
        <v>Milverton</v>
      </c>
      <c r="W122" s="129" t="str">
        <f ca="1"/>
        <v>Milverton</v>
      </c>
      <c r="X122" s="720" t="str">
        <f ca="1"/>
        <v>Milverton</v>
      </c>
    </row>
    <row r="123" spans="12:24">
      <c r="L123" s="664" t="s">
        <v>1496</v>
      </c>
      <c r="M123" s="663" t="s">
        <v>1497</v>
      </c>
      <c r="S123" s="287" t="str">
        <f ca="1"/>
        <v>Minden</v>
      </c>
      <c r="T123" s="129">
        <f ca="1">IFERROR(SEARCH('Saisie de données'!$J$20,S123),)</f>
        <v>1</v>
      </c>
      <c r="U123" s="129">
        <f ca="1">IF(T123=0,"",COUNTIF($T$2:T123,1))</f>
        <v>122</v>
      </c>
      <c r="V123" s="129" t="str">
        <f t="shared" ca="1" si="1"/>
        <v>Minden</v>
      </c>
      <c r="W123" s="129" t="str">
        <f ca="1"/>
        <v>Minden</v>
      </c>
      <c r="X123" s="720" t="str">
        <f ca="1"/>
        <v>Minden</v>
      </c>
    </row>
    <row r="124" spans="12:24">
      <c r="L124" s="663" t="s">
        <v>1498</v>
      </c>
      <c r="M124" s="664" t="s">
        <v>1499</v>
      </c>
      <c r="S124" s="287" t="str">
        <f ca="1"/>
        <v>Mississauga</v>
      </c>
      <c r="T124" s="129">
        <f ca="1">IFERROR(SEARCH('Saisie de données'!$J$20,S124),)</f>
        <v>1</v>
      </c>
      <c r="U124" s="129">
        <f ca="1">IF(T124=0,"",COUNTIF($T$2:T124,1))</f>
        <v>123</v>
      </c>
      <c r="V124" s="129" t="str">
        <f t="shared" ca="1" si="1"/>
        <v>Mississauga</v>
      </c>
      <c r="W124" s="129" t="str">
        <f ca="1"/>
        <v>Mississauga</v>
      </c>
      <c r="X124" s="720" t="str">
        <f ca="1"/>
        <v>Mississauga</v>
      </c>
    </row>
    <row r="125" spans="12:24">
      <c r="L125" s="664" t="s">
        <v>1500</v>
      </c>
      <c r="M125" s="663" t="s">
        <v>1501</v>
      </c>
      <c r="S125" s="287" t="str">
        <f ca="1"/>
        <v>Mitchell</v>
      </c>
      <c r="T125" s="129">
        <f ca="1">IFERROR(SEARCH('Saisie de données'!$J$20,S125),)</f>
        <v>1</v>
      </c>
      <c r="U125" s="129">
        <f ca="1">IF(T125=0,"",COUNTIF($T$2:T125,1))</f>
        <v>124</v>
      </c>
      <c r="V125" s="129" t="str">
        <f t="shared" ca="1" si="1"/>
        <v>Mitchell</v>
      </c>
      <c r="W125" s="129" t="str">
        <f ca="1"/>
        <v>Mitchell</v>
      </c>
      <c r="X125" s="720" t="str">
        <f ca="1"/>
        <v>Mitchell</v>
      </c>
    </row>
    <row r="126" spans="12:24">
      <c r="L126" s="663" t="s">
        <v>1502</v>
      </c>
      <c r="M126" s="664" t="s">
        <v>1503</v>
      </c>
      <c r="S126" s="287" t="str">
        <f ca="1"/>
        <v>Moosonee</v>
      </c>
      <c r="T126" s="129">
        <f ca="1">IFERROR(SEARCH('Saisie de données'!$J$20,S126),)</f>
        <v>1</v>
      </c>
      <c r="U126" s="129">
        <f ca="1">IF(T126=0,"",COUNTIF($T$2:T126,1))</f>
        <v>125</v>
      </c>
      <c r="V126" s="129" t="str">
        <f t="shared" ca="1" si="1"/>
        <v>Moosonee</v>
      </c>
      <c r="W126" s="129" t="str">
        <f ca="1"/>
        <v>Moosonee</v>
      </c>
      <c r="X126" s="720" t="str">
        <f ca="1"/>
        <v>Moosonee</v>
      </c>
    </row>
    <row r="127" spans="12:24">
      <c r="L127" s="663" t="s">
        <v>1504</v>
      </c>
      <c r="M127" s="663" t="s">
        <v>1505</v>
      </c>
      <c r="S127" s="287" t="str">
        <f ca="1"/>
        <v>Morrisburg</v>
      </c>
      <c r="T127" s="129">
        <f ca="1">IFERROR(SEARCH('Saisie de données'!$J$20,S127),)</f>
        <v>1</v>
      </c>
      <c r="U127" s="129">
        <f ca="1">IF(T127=0,"",COUNTIF($T$2:T127,1))</f>
        <v>126</v>
      </c>
      <c r="V127" s="129" t="str">
        <f t="shared" ca="1" si="1"/>
        <v>Morrisburg</v>
      </c>
      <c r="W127" s="129" t="str">
        <f ca="1"/>
        <v>Morrisburg</v>
      </c>
      <c r="X127" s="720" t="str">
        <f ca="1"/>
        <v>Morrisburg</v>
      </c>
    </row>
    <row r="128" spans="12:24">
      <c r="L128" s="664" t="s">
        <v>1506</v>
      </c>
      <c r="M128" s="104"/>
      <c r="S128" s="287" t="str">
        <f ca="1"/>
        <v>Mount Forest</v>
      </c>
      <c r="T128" s="129">
        <f ca="1">IFERROR(SEARCH('Saisie de données'!$J$20,S128),)</f>
        <v>1</v>
      </c>
      <c r="U128" s="129">
        <f ca="1">IF(T128=0,"",COUNTIF($T$2:T128,1))</f>
        <v>127</v>
      </c>
      <c r="V128" s="129" t="str">
        <f t="shared" ca="1" si="1"/>
        <v>Mount Forest</v>
      </c>
      <c r="W128" s="129" t="str">
        <f ca="1"/>
        <v>Mount Forest</v>
      </c>
      <c r="X128" s="720" t="str">
        <f ca="1"/>
        <v>Mount Forest</v>
      </c>
    </row>
    <row r="129" spans="12:24">
      <c r="L129" s="663" t="s">
        <v>1507</v>
      </c>
      <c r="S129" s="287" t="str">
        <f ca="1"/>
        <v>Nakina</v>
      </c>
      <c r="T129" s="129">
        <f ca="1">IFERROR(SEARCH('Saisie de données'!$J$20,S129),)</f>
        <v>1</v>
      </c>
      <c r="U129" s="129">
        <f ca="1">IF(T129=0,"",COUNTIF($T$2:T129,1))</f>
        <v>128</v>
      </c>
      <c r="V129" s="129" t="str">
        <f t="shared" ca="1" si="1"/>
        <v>Nakina</v>
      </c>
      <c r="W129" s="129" t="str">
        <f ca="1"/>
        <v>Nakina</v>
      </c>
      <c r="X129" s="720" t="str">
        <f ca="1"/>
        <v>Nakina</v>
      </c>
    </row>
    <row r="130" spans="12:24">
      <c r="L130" s="664" t="s">
        <v>1508</v>
      </c>
      <c r="S130" s="287" t="str">
        <f ca="1"/>
        <v>Nanticoke</v>
      </c>
      <c r="T130" s="129">
        <f ca="1">IFERROR(SEARCH('Saisie de données'!$J$20,S130),)</f>
        <v>1</v>
      </c>
      <c r="U130" s="129">
        <f ca="1">IF(T130=0,"",COUNTIF($T$2:T130,1))</f>
        <v>129</v>
      </c>
      <c r="V130" s="129" t="str">
        <f t="shared" ca="1" si="1"/>
        <v>Nanticoke</v>
      </c>
      <c r="W130" s="129" t="str">
        <f ca="1"/>
        <v>Nanticoke</v>
      </c>
      <c r="X130" s="720" t="str">
        <f ca="1"/>
        <v>Nanticoke</v>
      </c>
    </row>
    <row r="131" spans="12:24">
      <c r="L131" s="663" t="s">
        <v>1509</v>
      </c>
      <c r="S131" s="287" t="str">
        <f ca="1"/>
        <v>Napanee</v>
      </c>
      <c r="T131" s="129">
        <f ca="1">IFERROR(SEARCH('Saisie de données'!$J$20,S131),)</f>
        <v>1</v>
      </c>
      <c r="U131" s="129">
        <f ca="1">IF(T131=0,"",COUNTIF($T$2:T131,1))</f>
        <v>130</v>
      </c>
      <c r="V131" s="129" t="str">
        <f t="shared" ref="V131:V194" ca="1" si="2">IFERROR(INDEX(S:S,MATCH(ROW(U130),U:U,0)),"")</f>
        <v>Napanee</v>
      </c>
      <c r="W131" s="129" t="str">
        <f ca="1"/>
        <v>Napanee</v>
      </c>
      <c r="X131" s="720" t="str">
        <f ca="1"/>
        <v>Napanee</v>
      </c>
    </row>
    <row r="132" spans="12:24">
      <c r="L132" s="663" t="s">
        <v>1510</v>
      </c>
      <c r="S132" s="287" t="str">
        <f ca="1"/>
        <v>New Liskeard</v>
      </c>
      <c r="T132" s="129">
        <f ca="1">IFERROR(SEARCH('Saisie de données'!$J$20,S132),)</f>
        <v>1</v>
      </c>
      <c r="U132" s="129">
        <f ca="1">IF(T132=0,"",COUNTIF($T$2:T132,1))</f>
        <v>131</v>
      </c>
      <c r="V132" s="129" t="str">
        <f t="shared" ca="1" si="2"/>
        <v>New Liskeard</v>
      </c>
      <c r="W132" s="129" t="str">
        <f ca="1"/>
        <v>New Liskeard</v>
      </c>
      <c r="X132" s="720" t="str">
        <f ca="1"/>
        <v>New Liskeard</v>
      </c>
    </row>
    <row r="133" spans="12:24">
      <c r="L133" s="663" t="s">
        <v>1511</v>
      </c>
      <c r="S133" s="287" t="str">
        <f ca="1"/>
        <v>Newcastle</v>
      </c>
      <c r="T133" s="129">
        <f ca="1">IFERROR(SEARCH('Saisie de données'!$J$20,S133),)</f>
        <v>1</v>
      </c>
      <c r="U133" s="129">
        <f ca="1">IF(T133=0,"",COUNTIF($T$2:T133,1))</f>
        <v>132</v>
      </c>
      <c r="V133" s="129" t="str">
        <f t="shared" ca="1" si="2"/>
        <v>Newcastle</v>
      </c>
      <c r="W133" s="129" t="str">
        <f ca="1"/>
        <v>Newcastle</v>
      </c>
      <c r="X133" s="720" t="str">
        <f ca="1"/>
        <v>Newcastle</v>
      </c>
    </row>
    <row r="134" spans="12:24">
      <c r="L134" s="664" t="s">
        <v>1512</v>
      </c>
      <c r="S134" s="287" t="str">
        <f ca="1"/>
        <v>Newmarket</v>
      </c>
      <c r="T134" s="129">
        <f ca="1">IFERROR(SEARCH('Saisie de données'!$J$20,S134),)</f>
        <v>1</v>
      </c>
      <c r="U134" s="129">
        <f ca="1">IF(T134=0,"",COUNTIF($T$2:T134,1))</f>
        <v>133</v>
      </c>
      <c r="V134" s="129" t="str">
        <f t="shared" ca="1" si="2"/>
        <v>Newmarket</v>
      </c>
      <c r="W134" s="129" t="str">
        <f ca="1"/>
        <v>Newmarket</v>
      </c>
      <c r="X134" s="720" t="str">
        <f ca="1"/>
        <v>Newmarket</v>
      </c>
    </row>
    <row r="135" spans="12:24">
      <c r="L135" s="663" t="s">
        <v>1513</v>
      </c>
      <c r="S135" s="287" t="str">
        <f ca="1"/>
        <v>Niagara Falls</v>
      </c>
      <c r="T135" s="129">
        <f ca="1">IFERROR(SEARCH('Saisie de données'!$J$20,S135),)</f>
        <v>1</v>
      </c>
      <c r="U135" s="129">
        <f ca="1">IF(T135=0,"",COUNTIF($T$2:T135,1))</f>
        <v>134</v>
      </c>
      <c r="V135" s="129" t="str">
        <f t="shared" ca="1" si="2"/>
        <v>Niagara Falls</v>
      </c>
      <c r="W135" s="129" t="str">
        <f ca="1"/>
        <v>Niagara Falls</v>
      </c>
      <c r="X135" s="720" t="str">
        <f ca="1"/>
        <v>Niagara Falls</v>
      </c>
    </row>
    <row r="136" spans="12:24">
      <c r="L136" s="664" t="s">
        <v>1514</v>
      </c>
      <c r="S136" s="287" t="str">
        <f ca="1"/>
        <v>North Bay</v>
      </c>
      <c r="T136" s="129">
        <f ca="1">IFERROR(SEARCH('Saisie de données'!$J$20,S136),)</f>
        <v>1</v>
      </c>
      <c r="U136" s="129">
        <f ca="1">IF(T136=0,"",COUNTIF($T$2:T136,1))</f>
        <v>135</v>
      </c>
      <c r="V136" s="129" t="str">
        <f t="shared" ca="1" si="2"/>
        <v>North Bay</v>
      </c>
      <c r="W136" s="129" t="str">
        <f ca="1"/>
        <v>North Bay</v>
      </c>
      <c r="X136" s="720" t="str">
        <f ca="1"/>
        <v>North Bay</v>
      </c>
    </row>
    <row r="137" spans="12:24">
      <c r="L137" s="663" t="s">
        <v>1515</v>
      </c>
      <c r="S137" s="287" t="str">
        <f ca="1"/>
        <v>North York</v>
      </c>
      <c r="T137" s="129">
        <f ca="1">IFERROR(SEARCH('Saisie de données'!$J$20,S137),)</f>
        <v>1</v>
      </c>
      <c r="U137" s="129">
        <f ca="1">IF(T137=0,"",COUNTIF($T$2:T137,1))</f>
        <v>136</v>
      </c>
      <c r="V137" s="129" t="str">
        <f t="shared" ca="1" si="2"/>
        <v>North York</v>
      </c>
      <c r="W137" s="129" t="str">
        <f ca="1"/>
        <v>North York</v>
      </c>
      <c r="X137" s="720" t="str">
        <f ca="1"/>
        <v>North York</v>
      </c>
    </row>
    <row r="138" spans="12:24">
      <c r="L138" s="664" t="s">
        <v>1516</v>
      </c>
      <c r="S138" s="287" t="str">
        <f ca="1"/>
        <v>Norwood</v>
      </c>
      <c r="T138" s="129">
        <f ca="1">IFERROR(SEARCH('Saisie de données'!$J$20,S138),)</f>
        <v>1</v>
      </c>
      <c r="U138" s="129">
        <f ca="1">IF(T138=0,"",COUNTIF($T$2:T138,1))</f>
        <v>137</v>
      </c>
      <c r="V138" s="129" t="str">
        <f t="shared" ca="1" si="2"/>
        <v>Norwood</v>
      </c>
      <c r="W138" s="129" t="str">
        <f ca="1"/>
        <v>Norwood</v>
      </c>
      <c r="X138" s="720" t="str">
        <f ca="1"/>
        <v>Norwood</v>
      </c>
    </row>
    <row r="139" spans="12:24">
      <c r="L139" s="663" t="s">
        <v>1517</v>
      </c>
      <c r="S139" s="287" t="str">
        <f ca="1"/>
        <v>Oakville</v>
      </c>
      <c r="T139" s="129">
        <f ca="1">IFERROR(SEARCH('Saisie de données'!$J$20,S139),)</f>
        <v>1</v>
      </c>
      <c r="U139" s="129">
        <f ca="1">IF(T139=0,"",COUNTIF($T$2:T139,1))</f>
        <v>138</v>
      </c>
      <c r="V139" s="129" t="str">
        <f t="shared" ca="1" si="2"/>
        <v>Oakville</v>
      </c>
      <c r="W139" s="129" t="str">
        <f ca="1"/>
        <v>Oakville</v>
      </c>
      <c r="X139" s="720" t="str">
        <f ca="1"/>
        <v>Oakville</v>
      </c>
    </row>
    <row r="140" spans="12:24">
      <c r="L140" s="663" t="s">
        <v>1518</v>
      </c>
      <c r="S140" s="287" t="str">
        <f ca="1"/>
        <v>Orangeville</v>
      </c>
      <c r="T140" s="129">
        <f ca="1">IFERROR(SEARCH('Saisie de données'!$J$20,S140),)</f>
        <v>1</v>
      </c>
      <c r="U140" s="129">
        <f ca="1">IF(T140=0,"",COUNTIF($T$2:T140,1))</f>
        <v>139</v>
      </c>
      <c r="V140" s="129" t="str">
        <f t="shared" ca="1" si="2"/>
        <v>Orangeville</v>
      </c>
      <c r="W140" s="129" t="str">
        <f ca="1"/>
        <v>Orangeville</v>
      </c>
      <c r="X140" s="720" t="str">
        <f ca="1"/>
        <v>Orangeville</v>
      </c>
    </row>
    <row r="141" spans="12:24">
      <c r="L141" s="664" t="s">
        <v>1519</v>
      </c>
      <c r="S141" s="287" t="str">
        <f ca="1"/>
        <v>Orillia</v>
      </c>
      <c r="T141" s="129">
        <f ca="1">IFERROR(SEARCH('Saisie de données'!$J$20,S141),)</f>
        <v>1</v>
      </c>
      <c r="U141" s="129">
        <f ca="1">IF(T141=0,"",COUNTIF($T$2:T141,1))</f>
        <v>140</v>
      </c>
      <c r="V141" s="129" t="str">
        <f t="shared" ca="1" si="2"/>
        <v>Orillia</v>
      </c>
      <c r="W141" s="129" t="str">
        <f ca="1"/>
        <v>Orillia</v>
      </c>
      <c r="X141" s="720" t="str">
        <f ca="1"/>
        <v>Orillia</v>
      </c>
    </row>
    <row r="142" spans="12:24">
      <c r="L142" s="663" t="s">
        <v>1520</v>
      </c>
      <c r="S142" s="287" t="str">
        <f ca="1"/>
        <v>Oshawa</v>
      </c>
      <c r="T142" s="129">
        <f ca="1">IFERROR(SEARCH('Saisie de données'!$J$20,S142),)</f>
        <v>1</v>
      </c>
      <c r="U142" s="129">
        <f ca="1">IF(T142=0,"",COUNTIF($T$2:T142,1))</f>
        <v>141</v>
      </c>
      <c r="V142" s="129" t="str">
        <f t="shared" ca="1" si="2"/>
        <v>Oshawa</v>
      </c>
      <c r="W142" s="129" t="str">
        <f ca="1"/>
        <v>Oshawa</v>
      </c>
      <c r="X142" s="720" t="str">
        <f ca="1"/>
        <v>Oshawa</v>
      </c>
    </row>
    <row r="143" spans="12:24">
      <c r="L143" s="664" t="s">
        <v>1521</v>
      </c>
      <c r="S143" s="287" t="str">
        <f ca="1"/>
        <v>Ottawa</v>
      </c>
      <c r="T143" s="129">
        <f ca="1">IFERROR(SEARCH('Saisie de données'!$J$20,S143),)</f>
        <v>1</v>
      </c>
      <c r="U143" s="129">
        <f ca="1">IF(T143=0,"",COUNTIF($T$2:T143,1))</f>
        <v>142</v>
      </c>
      <c r="V143" s="129" t="str">
        <f t="shared" ca="1" si="2"/>
        <v>Ottawa</v>
      </c>
      <c r="W143" s="129" t="str">
        <f ca="1"/>
        <v>Ottawa</v>
      </c>
      <c r="X143" s="720" t="str">
        <f ca="1"/>
        <v>Ottawa</v>
      </c>
    </row>
    <row r="144" spans="12:24">
      <c r="L144" s="663" t="s">
        <v>1522</v>
      </c>
      <c r="S144" s="287" t="str">
        <f ca="1"/>
        <v>Owen Sound</v>
      </c>
      <c r="T144" s="129">
        <f ca="1">IFERROR(SEARCH('Saisie de données'!$J$20,S144),)</f>
        <v>1</v>
      </c>
      <c r="U144" s="129">
        <f ca="1">IF(T144=0,"",COUNTIF($T$2:T144,1))</f>
        <v>143</v>
      </c>
      <c r="V144" s="129" t="str">
        <f t="shared" ca="1" si="2"/>
        <v>Owen Sound</v>
      </c>
      <c r="W144" s="129" t="str">
        <f ca="1"/>
        <v>Owen Sound</v>
      </c>
      <c r="X144" s="720" t="str">
        <f ca="1"/>
        <v>Owen Sound</v>
      </c>
    </row>
    <row r="145" spans="12:24">
      <c r="L145" s="664" t="s">
        <v>1523</v>
      </c>
      <c r="S145" s="287" t="str">
        <f ca="1"/>
        <v>Pagwa River</v>
      </c>
      <c r="T145" s="129">
        <f ca="1">IFERROR(SEARCH('Saisie de données'!$J$20,S145),)</f>
        <v>1</v>
      </c>
      <c r="U145" s="129">
        <f ca="1">IF(T145=0,"",COUNTIF($T$2:T145,1))</f>
        <v>144</v>
      </c>
      <c r="V145" s="129" t="str">
        <f t="shared" ca="1" si="2"/>
        <v>Pagwa River</v>
      </c>
      <c r="W145" s="129" t="str">
        <f ca="1"/>
        <v>Pagwa River</v>
      </c>
      <c r="X145" s="720" t="str">
        <f ca="1"/>
        <v>Pagwa River</v>
      </c>
    </row>
    <row r="146" spans="12:24">
      <c r="L146" s="663" t="s">
        <v>1524</v>
      </c>
      <c r="S146" s="287" t="str">
        <f ca="1"/>
        <v>Paris</v>
      </c>
      <c r="T146" s="129">
        <f ca="1">IFERROR(SEARCH('Saisie de données'!$J$20,S146),)</f>
        <v>1</v>
      </c>
      <c r="U146" s="129">
        <f ca="1">IF(T146=0,"",COUNTIF($T$2:T146,1))</f>
        <v>145</v>
      </c>
      <c r="V146" s="129" t="str">
        <f t="shared" ca="1" si="2"/>
        <v>Paris</v>
      </c>
      <c r="W146" s="129" t="str">
        <f ca="1"/>
        <v>Paris</v>
      </c>
      <c r="X146" s="720" t="str">
        <f ca="1"/>
        <v>Paris</v>
      </c>
    </row>
    <row r="147" spans="12:24">
      <c r="L147" s="664" t="s">
        <v>1525</v>
      </c>
      <c r="S147" s="287" t="str">
        <f ca="1"/>
        <v>Parkhill</v>
      </c>
      <c r="T147" s="129">
        <f ca="1">IFERROR(SEARCH('Saisie de données'!$J$20,S147),)</f>
        <v>1</v>
      </c>
      <c r="U147" s="129">
        <f ca="1">IF(T147=0,"",COUNTIF($T$2:T147,1))</f>
        <v>146</v>
      </c>
      <c r="V147" s="129" t="str">
        <f t="shared" ca="1" si="2"/>
        <v>Parkhill</v>
      </c>
      <c r="W147" s="129" t="str">
        <f ca="1"/>
        <v>Parkhill</v>
      </c>
      <c r="X147" s="720" t="str">
        <f ca="1"/>
        <v>Parkhill</v>
      </c>
    </row>
    <row r="148" spans="12:24">
      <c r="L148" s="663" t="s">
        <v>1526</v>
      </c>
      <c r="S148" s="287" t="str">
        <f ca="1"/>
        <v>Parry Sound</v>
      </c>
      <c r="T148" s="129">
        <f ca="1">IFERROR(SEARCH('Saisie de données'!$J$20,S148),)</f>
        <v>1</v>
      </c>
      <c r="U148" s="129">
        <f ca="1">IF(T148=0,"",COUNTIF($T$2:T148,1))</f>
        <v>147</v>
      </c>
      <c r="V148" s="129" t="str">
        <f t="shared" ca="1" si="2"/>
        <v>Parry Sound</v>
      </c>
      <c r="W148" s="129" t="str">
        <f ca="1"/>
        <v>Parry Sound</v>
      </c>
      <c r="X148" s="720" t="str">
        <f ca="1"/>
        <v>Parry Sound</v>
      </c>
    </row>
    <row r="149" spans="12:24">
      <c r="L149" s="664" t="s">
        <v>1527</v>
      </c>
      <c r="S149" s="287" t="str">
        <f ca="1"/>
        <v>Pelham (Fonthill)</v>
      </c>
      <c r="T149" s="129">
        <f ca="1">IFERROR(SEARCH('Saisie de données'!$J$20,S149),)</f>
        <v>1</v>
      </c>
      <c r="U149" s="129">
        <f ca="1">IF(T149=0,"",COUNTIF($T$2:T149,1))</f>
        <v>148</v>
      </c>
      <c r="V149" s="129" t="str">
        <f t="shared" ca="1" si="2"/>
        <v>Pelham (Fonthill)</v>
      </c>
      <c r="W149" s="129" t="str">
        <f ca="1"/>
        <v>Pelham (Fonthill)</v>
      </c>
      <c r="X149" s="720" t="str">
        <f ca="1"/>
        <v>Pelham (Fonthill)</v>
      </c>
    </row>
    <row r="150" spans="12:24">
      <c r="L150" s="663" t="s">
        <v>1528</v>
      </c>
      <c r="S150" s="287" t="str">
        <f ca="1"/>
        <v>Pembroke</v>
      </c>
      <c r="T150" s="129">
        <f ca="1">IFERROR(SEARCH('Saisie de données'!$J$20,S150),)</f>
        <v>1</v>
      </c>
      <c r="U150" s="129">
        <f ca="1">IF(T150=0,"",COUNTIF($T$2:T150,1))</f>
        <v>149</v>
      </c>
      <c r="V150" s="129" t="str">
        <f t="shared" ca="1" si="2"/>
        <v>Pembroke</v>
      </c>
      <c r="W150" s="129" t="str">
        <f ca="1"/>
        <v>Pembroke</v>
      </c>
      <c r="X150" s="720" t="str">
        <f ca="1"/>
        <v>Pembroke</v>
      </c>
    </row>
    <row r="151" spans="12:24">
      <c r="L151" s="664" t="s">
        <v>1529</v>
      </c>
      <c r="S151" s="287" t="str">
        <f ca="1"/>
        <v>Penetanguishene</v>
      </c>
      <c r="T151" s="129">
        <f ca="1">IFERROR(SEARCH('Saisie de données'!$J$20,S151),)</f>
        <v>1</v>
      </c>
      <c r="U151" s="129">
        <f ca="1">IF(T151=0,"",COUNTIF($T$2:T151,1))</f>
        <v>150</v>
      </c>
      <c r="V151" s="129" t="str">
        <f t="shared" ca="1" si="2"/>
        <v>Penetanguishene</v>
      </c>
      <c r="W151" s="129" t="str">
        <f ca="1"/>
        <v>Penetanguishene</v>
      </c>
      <c r="X151" s="720" t="str">
        <f ca="1"/>
        <v>Penetanguishene</v>
      </c>
    </row>
    <row r="152" spans="12:24">
      <c r="L152" s="663" t="s">
        <v>1530</v>
      </c>
      <c r="S152" s="287" t="str">
        <f ca="1"/>
        <v>Perth</v>
      </c>
      <c r="T152" s="129">
        <f ca="1">IFERROR(SEARCH('Saisie de données'!$J$20,S152),)</f>
        <v>1</v>
      </c>
      <c r="U152" s="129">
        <f ca="1">IF(T152=0,"",COUNTIF($T$2:T152,1))</f>
        <v>151</v>
      </c>
      <c r="V152" s="129" t="str">
        <f t="shared" ca="1" si="2"/>
        <v>Perth</v>
      </c>
      <c r="W152" s="129" t="str">
        <f ca="1"/>
        <v>Perth</v>
      </c>
      <c r="X152" s="720" t="str">
        <f ca="1"/>
        <v>Perth</v>
      </c>
    </row>
    <row r="153" spans="12:24">
      <c r="L153" s="664" t="s">
        <v>1531</v>
      </c>
      <c r="S153" s="287" t="str">
        <f ca="1"/>
        <v>Petawawa</v>
      </c>
      <c r="T153" s="129">
        <f ca="1">IFERROR(SEARCH('Saisie de données'!$J$20,S153),)</f>
        <v>1</v>
      </c>
      <c r="U153" s="129">
        <f ca="1">IF(T153=0,"",COUNTIF($T$2:T153,1))</f>
        <v>152</v>
      </c>
      <c r="V153" s="129" t="str">
        <f t="shared" ca="1" si="2"/>
        <v>Petawawa</v>
      </c>
      <c r="W153" s="129" t="str">
        <f ca="1"/>
        <v>Petawawa</v>
      </c>
      <c r="X153" s="720" t="str">
        <f ca="1"/>
        <v>Petawawa</v>
      </c>
    </row>
    <row r="154" spans="12:24">
      <c r="L154" s="663" t="s">
        <v>1532</v>
      </c>
      <c r="S154" s="287" t="str">
        <f ca="1"/>
        <v>Peterborough</v>
      </c>
      <c r="T154" s="129">
        <f ca="1">IFERROR(SEARCH('Saisie de données'!$J$20,S154),)</f>
        <v>1</v>
      </c>
      <c r="U154" s="129">
        <f ca="1">IF(T154=0,"",COUNTIF($T$2:T154,1))</f>
        <v>153</v>
      </c>
      <c r="V154" s="129" t="str">
        <f t="shared" ca="1" si="2"/>
        <v>Peterborough</v>
      </c>
      <c r="W154" s="129" t="str">
        <f ca="1"/>
        <v>Peterborough</v>
      </c>
      <c r="X154" s="720" t="str">
        <f ca="1"/>
        <v>Peterborough</v>
      </c>
    </row>
    <row r="155" spans="12:24">
      <c r="L155" s="664" t="s">
        <v>1533</v>
      </c>
      <c r="S155" s="287" t="str">
        <f ca="1"/>
        <v>Petrolia</v>
      </c>
      <c r="T155" s="129">
        <f ca="1">IFERROR(SEARCH('Saisie de données'!$J$20,S155),)</f>
        <v>1</v>
      </c>
      <c r="U155" s="129">
        <f ca="1">IF(T155=0,"",COUNTIF($T$2:T155,1))</f>
        <v>154</v>
      </c>
      <c r="V155" s="129" t="str">
        <f t="shared" ca="1" si="2"/>
        <v>Petrolia</v>
      </c>
      <c r="W155" s="129" t="str">
        <f ca="1"/>
        <v>Petrolia</v>
      </c>
      <c r="X155" s="720" t="str">
        <f ca="1"/>
        <v>Petrolia</v>
      </c>
    </row>
    <row r="156" spans="12:24">
      <c r="L156" s="663" t="s">
        <v>1534</v>
      </c>
      <c r="S156" s="287" t="str">
        <f ca="1"/>
        <v>Pickering</v>
      </c>
      <c r="T156" s="129">
        <f ca="1">IFERROR(SEARCH('Saisie de données'!$J$20,S156),)</f>
        <v>1</v>
      </c>
      <c r="U156" s="129">
        <f ca="1">IF(T156=0,"",COUNTIF($T$2:T156,1))</f>
        <v>155</v>
      </c>
      <c r="V156" s="129" t="str">
        <f t="shared" ca="1" si="2"/>
        <v>Pickering</v>
      </c>
      <c r="W156" s="129" t="str">
        <f ca="1"/>
        <v>Pickering</v>
      </c>
      <c r="X156" s="720" t="str">
        <f ca="1"/>
        <v>Pickering</v>
      </c>
    </row>
    <row r="157" spans="12:24">
      <c r="L157" s="664" t="s">
        <v>1535</v>
      </c>
      <c r="S157" s="287" t="str">
        <f ca="1"/>
        <v>Picton</v>
      </c>
      <c r="T157" s="129">
        <f ca="1">IFERROR(SEARCH('Saisie de données'!$J$20,S157),)</f>
        <v>1</v>
      </c>
      <c r="U157" s="129">
        <f ca="1">IF(T157=0,"",COUNTIF($T$2:T157,1))</f>
        <v>156</v>
      </c>
      <c r="V157" s="129" t="str">
        <f t="shared" ca="1" si="2"/>
        <v>Picton</v>
      </c>
      <c r="W157" s="129" t="str">
        <f ca="1"/>
        <v>Picton</v>
      </c>
      <c r="X157" s="720" t="str">
        <f ca="1"/>
        <v>Picton</v>
      </c>
    </row>
    <row r="158" spans="12:24">
      <c r="L158" s="663" t="s">
        <v>1536</v>
      </c>
      <c r="S158" s="287" t="str">
        <f ca="1"/>
        <v>Plattsville</v>
      </c>
      <c r="T158" s="129">
        <f ca="1">IFERROR(SEARCH('Saisie de données'!$J$20,S158),)</f>
        <v>1</v>
      </c>
      <c r="U158" s="129">
        <f ca="1">IF(T158=0,"",COUNTIF($T$2:T158,1))</f>
        <v>157</v>
      </c>
      <c r="V158" s="129" t="str">
        <f t="shared" ca="1" si="2"/>
        <v>Plattsville</v>
      </c>
      <c r="W158" s="129" t="str">
        <f ca="1"/>
        <v>Plattsville</v>
      </c>
      <c r="X158" s="720" t="str">
        <f ca="1"/>
        <v>Plattsville</v>
      </c>
    </row>
    <row r="159" spans="12:24">
      <c r="L159" s="663" t="s">
        <v>1537</v>
      </c>
      <c r="S159" s="287" t="str">
        <f ca="1"/>
        <v>Point Alexander</v>
      </c>
      <c r="T159" s="129">
        <f ca="1">IFERROR(SEARCH('Saisie de données'!$J$20,S159),)</f>
        <v>1</v>
      </c>
      <c r="U159" s="129">
        <f ca="1">IF(T159=0,"",COUNTIF($T$2:T159,1))</f>
        <v>158</v>
      </c>
      <c r="V159" s="129" t="str">
        <f t="shared" ca="1" si="2"/>
        <v>Point Alexander</v>
      </c>
      <c r="W159" s="129" t="str">
        <f ca="1"/>
        <v>Point Alexander</v>
      </c>
      <c r="X159" s="720" t="str">
        <f ca="1"/>
        <v>Point Alexander</v>
      </c>
    </row>
    <row r="160" spans="12:24">
      <c r="L160" s="664" t="s">
        <v>1538</v>
      </c>
      <c r="S160" s="287" t="str">
        <f ca="1"/>
        <v>Porcupine</v>
      </c>
      <c r="T160" s="129">
        <f ca="1">IFERROR(SEARCH('Saisie de données'!$J$20,S160),)</f>
        <v>1</v>
      </c>
      <c r="U160" s="129">
        <f ca="1">IF(T160=0,"",COUNTIF($T$2:T160,1))</f>
        <v>159</v>
      </c>
      <c r="V160" s="129" t="str">
        <f t="shared" ca="1" si="2"/>
        <v>Porcupine</v>
      </c>
      <c r="W160" s="129" t="str">
        <f ca="1"/>
        <v>Porcupine</v>
      </c>
      <c r="X160" s="720" t="str">
        <f ca="1"/>
        <v>Porcupine</v>
      </c>
    </row>
    <row r="161" spans="12:24">
      <c r="L161" s="663" t="s">
        <v>1539</v>
      </c>
      <c r="S161" s="287" t="str">
        <f ca="1"/>
        <v>Port Burwell</v>
      </c>
      <c r="T161" s="129">
        <f ca="1">IFERROR(SEARCH('Saisie de données'!$J$20,S161),)</f>
        <v>1</v>
      </c>
      <c r="U161" s="129">
        <f ca="1">IF(T161=0,"",COUNTIF($T$2:T161,1))</f>
        <v>160</v>
      </c>
      <c r="V161" s="129" t="str">
        <f t="shared" ca="1" si="2"/>
        <v>Port Burwell</v>
      </c>
      <c r="W161" s="129" t="str">
        <f ca="1"/>
        <v>Port Burwell</v>
      </c>
      <c r="X161" s="720" t="str">
        <f ca="1"/>
        <v>Port Burwell</v>
      </c>
    </row>
    <row r="162" spans="12:24">
      <c r="L162" s="663" t="s">
        <v>1540</v>
      </c>
      <c r="S162" s="287" t="str">
        <f ca="1"/>
        <v>Port Colborne</v>
      </c>
      <c r="T162" s="129">
        <f ca="1">IFERROR(SEARCH('Saisie de données'!$J$20,S162),)</f>
        <v>1</v>
      </c>
      <c r="U162" s="129">
        <f ca="1">IF(T162=0,"",COUNTIF($T$2:T162,1))</f>
        <v>161</v>
      </c>
      <c r="V162" s="129" t="str">
        <f t="shared" ca="1" si="2"/>
        <v>Port Colborne</v>
      </c>
      <c r="W162" s="129" t="str">
        <f ca="1"/>
        <v>Port Colborne</v>
      </c>
      <c r="X162" s="720" t="str">
        <f ca="1"/>
        <v>Port Colborne</v>
      </c>
    </row>
    <row r="163" spans="12:24">
      <c r="L163" s="664" t="s">
        <v>1541</v>
      </c>
      <c r="S163" s="287" t="str">
        <f ca="1"/>
        <v>Port Elgin</v>
      </c>
      <c r="T163" s="129">
        <f ca="1">IFERROR(SEARCH('Saisie de données'!$J$20,S163),)</f>
        <v>1</v>
      </c>
      <c r="U163" s="129">
        <f ca="1">IF(T163=0,"",COUNTIF($T$2:T163,1))</f>
        <v>162</v>
      </c>
      <c r="V163" s="129" t="str">
        <f t="shared" ca="1" si="2"/>
        <v>Port Elgin</v>
      </c>
      <c r="W163" s="129" t="str">
        <f ca="1"/>
        <v>Port Elgin</v>
      </c>
      <c r="X163" s="720" t="str">
        <f ca="1"/>
        <v>Port Elgin</v>
      </c>
    </row>
    <row r="164" spans="12:24">
      <c r="L164" s="663" t="s">
        <v>1542</v>
      </c>
      <c r="S164" s="287" t="str">
        <f ca="1"/>
        <v>Port Hope</v>
      </c>
      <c r="T164" s="129">
        <f ca="1">IFERROR(SEARCH('Saisie de données'!$J$20,S164),)</f>
        <v>1</v>
      </c>
      <c r="U164" s="129">
        <f ca="1">IF(T164=0,"",COUNTIF($T$2:T164,1))</f>
        <v>163</v>
      </c>
      <c r="V164" s="129" t="str">
        <f t="shared" ca="1" si="2"/>
        <v>Port Hope</v>
      </c>
      <c r="W164" s="129" t="str">
        <f ca="1"/>
        <v>Port Hope</v>
      </c>
      <c r="X164" s="720" t="str">
        <f ca="1"/>
        <v>Port Hope</v>
      </c>
    </row>
    <row r="165" spans="12:24">
      <c r="L165" s="664" t="s">
        <v>1543</v>
      </c>
      <c r="S165" s="287" t="str">
        <f ca="1"/>
        <v>Port Perry</v>
      </c>
      <c r="T165" s="129">
        <f ca="1">IFERROR(SEARCH('Saisie de données'!$J$20,S165),)</f>
        <v>1</v>
      </c>
      <c r="U165" s="129">
        <f ca="1">IF(T165=0,"",COUNTIF($T$2:T165,1))</f>
        <v>164</v>
      </c>
      <c r="V165" s="129" t="str">
        <f t="shared" ca="1" si="2"/>
        <v>Port Perry</v>
      </c>
      <c r="W165" s="129" t="str">
        <f ca="1"/>
        <v>Port Perry</v>
      </c>
      <c r="X165" s="720" t="str">
        <f ca="1"/>
        <v>Port Perry</v>
      </c>
    </row>
    <row r="166" spans="12:24">
      <c r="L166" s="663" t="s">
        <v>1544</v>
      </c>
      <c r="S166" s="287" t="str">
        <f ca="1"/>
        <v>Port Stanley</v>
      </c>
      <c r="T166" s="129">
        <f ca="1">IFERROR(SEARCH('Saisie de données'!$J$20,S166),)</f>
        <v>1</v>
      </c>
      <c r="U166" s="129">
        <f ca="1">IF(T166=0,"",COUNTIF($T$2:T166,1))</f>
        <v>165</v>
      </c>
      <c r="V166" s="129" t="str">
        <f t="shared" ca="1" si="2"/>
        <v>Port Stanley</v>
      </c>
      <c r="W166" s="129" t="str">
        <f ca="1"/>
        <v>Port Stanley</v>
      </c>
      <c r="X166" s="720" t="str">
        <f ca="1"/>
        <v>Port Stanley</v>
      </c>
    </row>
    <row r="167" spans="12:24">
      <c r="L167" s="664" t="s">
        <v>1545</v>
      </c>
      <c r="S167" s="287" t="str">
        <f ca="1"/>
        <v>Prescott</v>
      </c>
      <c r="T167" s="129">
        <f ca="1">IFERROR(SEARCH('Saisie de données'!$J$20,S167),)</f>
        <v>1</v>
      </c>
      <c r="U167" s="129">
        <f ca="1">IF(T167=0,"",COUNTIF($T$2:T167,1))</f>
        <v>166</v>
      </c>
      <c r="V167" s="129" t="str">
        <f t="shared" ca="1" si="2"/>
        <v>Prescott</v>
      </c>
      <c r="W167" s="129" t="str">
        <f ca="1"/>
        <v>Prescott</v>
      </c>
      <c r="X167" s="720" t="str">
        <f ca="1"/>
        <v>Prescott</v>
      </c>
    </row>
    <row r="168" spans="12:24">
      <c r="L168" s="663" t="s">
        <v>1546</v>
      </c>
      <c r="S168" s="287" t="str">
        <f ca="1"/>
        <v>Princeton</v>
      </c>
      <c r="T168" s="129">
        <f ca="1">IFERROR(SEARCH('Saisie de données'!$J$20,S168),)</f>
        <v>1</v>
      </c>
      <c r="U168" s="129">
        <f ca="1">IF(T168=0,"",COUNTIF($T$2:T168,1))</f>
        <v>167</v>
      </c>
      <c r="V168" s="129" t="str">
        <f t="shared" ca="1" si="2"/>
        <v>Princeton</v>
      </c>
      <c r="W168" s="129" t="str">
        <f ca="1"/>
        <v>Princeton</v>
      </c>
      <c r="X168" s="720" t="str">
        <f ca="1"/>
        <v>Princeton</v>
      </c>
    </row>
    <row r="169" spans="12:24">
      <c r="L169" s="664" t="s">
        <v>1547</v>
      </c>
      <c r="S169" s="287" t="str">
        <f ca="1"/>
        <v>Raith</v>
      </c>
      <c r="T169" s="129">
        <f ca="1">IFERROR(SEARCH('Saisie de données'!$J$20,S169),)</f>
        <v>1</v>
      </c>
      <c r="U169" s="129">
        <f ca="1">IF(T169=0,"",COUNTIF($T$2:T169,1))</f>
        <v>168</v>
      </c>
      <c r="V169" s="129" t="str">
        <f t="shared" ca="1" si="2"/>
        <v>Raith</v>
      </c>
      <c r="W169" s="129" t="str">
        <f ca="1"/>
        <v>Raith</v>
      </c>
      <c r="X169" s="720" t="str">
        <f ca="1"/>
        <v>Raith</v>
      </c>
    </row>
    <row r="170" spans="12:24">
      <c r="L170" s="663" t="s">
        <v>1381</v>
      </c>
      <c r="S170" s="287" t="str">
        <f ca="1"/>
        <v>Rayside-Balfour</v>
      </c>
      <c r="T170" s="129">
        <f ca="1">IFERROR(SEARCH('Saisie de données'!$J$20,S170),)</f>
        <v>1</v>
      </c>
      <c r="U170" s="129">
        <f ca="1">IF(T170=0,"",COUNTIF($T$2:T170,1))</f>
        <v>169</v>
      </c>
      <c r="V170" s="129" t="str">
        <f t="shared" ca="1" si="2"/>
        <v>Rayside-Balfour</v>
      </c>
      <c r="W170" s="129" t="str">
        <f ca="1"/>
        <v>Rayside-Balfour</v>
      </c>
      <c r="X170" s="720" t="str">
        <f ca="1"/>
        <v>Rayside-Balfour</v>
      </c>
    </row>
    <row r="171" spans="12:24">
      <c r="L171" s="664" t="s">
        <v>1548</v>
      </c>
      <c r="S171" s="287" t="str">
        <f ca="1"/>
        <v>Red Lake</v>
      </c>
      <c r="T171" s="129">
        <f ca="1">IFERROR(SEARCH('Saisie de données'!$J$20,S171),)</f>
        <v>1</v>
      </c>
      <c r="U171" s="129">
        <f ca="1">IF(T171=0,"",COUNTIF($T$2:T171,1))</f>
        <v>170</v>
      </c>
      <c r="V171" s="129" t="str">
        <f t="shared" ca="1" si="2"/>
        <v>Red Lake</v>
      </c>
      <c r="W171" s="129" t="str">
        <f ca="1"/>
        <v>Red Lake</v>
      </c>
      <c r="X171" s="720" t="str">
        <f ca="1"/>
        <v>Red Lake</v>
      </c>
    </row>
    <row r="172" spans="12:24">
      <c r="L172" s="663" t="s">
        <v>1549</v>
      </c>
      <c r="S172" s="287" t="str">
        <f ca="1"/>
        <v>Renfrew</v>
      </c>
      <c r="T172" s="129">
        <f ca="1">IFERROR(SEARCH('Saisie de données'!$J$20,S172),)</f>
        <v>1</v>
      </c>
      <c r="U172" s="129">
        <f ca="1">IF(T172=0,"",COUNTIF($T$2:T172,1))</f>
        <v>171</v>
      </c>
      <c r="V172" s="129" t="str">
        <f t="shared" ca="1" si="2"/>
        <v>Renfrew</v>
      </c>
      <c r="W172" s="129" t="str">
        <f ca="1"/>
        <v>Renfrew</v>
      </c>
      <c r="X172" s="720" t="str">
        <f ca="1"/>
        <v>Renfrew</v>
      </c>
    </row>
    <row r="173" spans="12:24">
      <c r="L173" s="663" t="s">
        <v>1550</v>
      </c>
      <c r="S173" s="287" t="str">
        <f ca="1"/>
        <v>Richmond Hill</v>
      </c>
      <c r="T173" s="129">
        <f ca="1">IFERROR(SEARCH('Saisie de données'!$J$20,S173),)</f>
        <v>1</v>
      </c>
      <c r="U173" s="129">
        <f ca="1">IF(T173=0,"",COUNTIF($T$2:T173,1))</f>
        <v>172</v>
      </c>
      <c r="V173" s="129" t="str">
        <f t="shared" ca="1" si="2"/>
        <v>Richmond Hill</v>
      </c>
      <c r="W173" s="129" t="str">
        <f ca="1"/>
        <v>Richmond Hill</v>
      </c>
      <c r="X173" s="720" t="str">
        <f ca="1"/>
        <v>Richmond Hill</v>
      </c>
    </row>
    <row r="174" spans="12:24">
      <c r="L174" s="664" t="s">
        <v>1551</v>
      </c>
      <c r="S174" s="287" t="str">
        <f ca="1"/>
        <v>Ridgeway</v>
      </c>
      <c r="T174" s="129">
        <f ca="1">IFERROR(SEARCH('Saisie de données'!$J$20,S174),)</f>
        <v>1</v>
      </c>
      <c r="U174" s="129">
        <f ca="1">IF(T174=0,"",COUNTIF($T$2:T174,1))</f>
        <v>173</v>
      </c>
      <c r="V174" s="129" t="str">
        <f t="shared" ca="1" si="2"/>
        <v>Ridgeway</v>
      </c>
      <c r="W174" s="129" t="str">
        <f ca="1"/>
        <v>Ridgeway</v>
      </c>
      <c r="X174" s="720" t="str">
        <f ca="1"/>
        <v>Ridgeway</v>
      </c>
    </row>
    <row r="175" spans="12:24">
      <c r="L175" s="663" t="s">
        <v>1552</v>
      </c>
      <c r="S175" s="287" t="str">
        <f ca="1"/>
        <v>Rockland</v>
      </c>
      <c r="T175" s="129">
        <f ca="1">IFERROR(SEARCH('Saisie de données'!$J$20,S175),)</f>
        <v>1</v>
      </c>
      <c r="U175" s="129">
        <f ca="1">IF(T175=0,"",COUNTIF($T$2:T175,1))</f>
        <v>174</v>
      </c>
      <c r="V175" s="129" t="str">
        <f t="shared" ca="1" si="2"/>
        <v>Rockland</v>
      </c>
      <c r="W175" s="129" t="str">
        <f ca="1"/>
        <v>Rockland</v>
      </c>
      <c r="X175" s="720" t="str">
        <f ca="1"/>
        <v>Rockland</v>
      </c>
    </row>
    <row r="176" spans="12:24">
      <c r="L176" s="663" t="s">
        <v>1553</v>
      </c>
      <c r="S176" s="287" t="str">
        <f ca="1"/>
        <v>Sarnia</v>
      </c>
      <c r="T176" s="129">
        <f ca="1">IFERROR(SEARCH('Saisie de données'!$J$20,S176),)</f>
        <v>1</v>
      </c>
      <c r="U176" s="129">
        <f ca="1">IF(T176=0,"",COUNTIF($T$2:T176,1))</f>
        <v>175</v>
      </c>
      <c r="V176" s="129" t="str">
        <f t="shared" ca="1" si="2"/>
        <v>Sarnia</v>
      </c>
      <c r="W176" s="129" t="str">
        <f ca="1"/>
        <v>Sarnia</v>
      </c>
      <c r="X176" s="720" t="str">
        <f ca="1"/>
        <v>Sarnia</v>
      </c>
    </row>
    <row r="177" spans="12:24">
      <c r="L177" s="664" t="s">
        <v>1554</v>
      </c>
      <c r="S177" s="287" t="str">
        <f ca="1"/>
        <v>Sault-Sainte-Marie</v>
      </c>
      <c r="T177" s="129">
        <f ca="1">IFERROR(SEARCH('Saisie de données'!$J$20,S177),)</f>
        <v>1</v>
      </c>
      <c r="U177" s="129">
        <f ca="1">IF(T177=0,"",COUNTIF($T$2:T177,1))</f>
        <v>176</v>
      </c>
      <c r="V177" s="129" t="str">
        <f t="shared" ca="1" si="2"/>
        <v>Sault-Sainte-Marie</v>
      </c>
      <c r="W177" s="129" t="str">
        <f ca="1"/>
        <v>Sault-Sainte-Marie</v>
      </c>
      <c r="X177" s="720" t="str">
        <f ca="1"/>
        <v>Sault-Sainte-Marie</v>
      </c>
    </row>
    <row r="178" spans="12:24">
      <c r="L178" s="663" t="s">
        <v>1555</v>
      </c>
      <c r="S178" s="287" t="str">
        <f ca="1"/>
        <v>Scarborough</v>
      </c>
      <c r="T178" s="129">
        <f ca="1">IFERROR(SEARCH('Saisie de données'!$J$20,S178),)</f>
        <v>1</v>
      </c>
      <c r="U178" s="129">
        <f ca="1">IF(T178=0,"",COUNTIF($T$2:T178,1))</f>
        <v>177</v>
      </c>
      <c r="V178" s="129" t="str">
        <f t="shared" ca="1" si="2"/>
        <v>Scarborough</v>
      </c>
      <c r="W178" s="129" t="str">
        <f ca="1"/>
        <v>Scarborough</v>
      </c>
      <c r="X178" s="720" t="str">
        <f ca="1"/>
        <v>Scarborough</v>
      </c>
    </row>
    <row r="179" spans="12:24">
      <c r="L179" s="664" t="s">
        <v>1556</v>
      </c>
      <c r="S179" s="287" t="str">
        <f ca="1"/>
        <v>Schreiber</v>
      </c>
      <c r="T179" s="129">
        <f ca="1">IFERROR(SEARCH('Saisie de données'!$J$20,S179),)</f>
        <v>1</v>
      </c>
      <c r="U179" s="129">
        <f ca="1">IF(T179=0,"",COUNTIF($T$2:T179,1))</f>
        <v>178</v>
      </c>
      <c r="V179" s="129" t="str">
        <f t="shared" ca="1" si="2"/>
        <v>Schreiber</v>
      </c>
      <c r="W179" s="129" t="str">
        <f ca="1"/>
        <v>Schreiber</v>
      </c>
      <c r="X179" s="720" t="str">
        <f ca="1"/>
        <v>Schreiber</v>
      </c>
    </row>
    <row r="180" spans="12:24">
      <c r="L180" s="664" t="s">
        <v>1557</v>
      </c>
      <c r="S180" s="287" t="str">
        <f ca="1"/>
        <v>Seaforth</v>
      </c>
      <c r="T180" s="129">
        <f ca="1">IFERROR(SEARCH('Saisie de données'!$J$20,S180),)</f>
        <v>1</v>
      </c>
      <c r="U180" s="129">
        <f ca="1">IF(T180=0,"",COUNTIF($T$2:T180,1))</f>
        <v>179</v>
      </c>
      <c r="V180" s="129" t="str">
        <f t="shared" ca="1" si="2"/>
        <v>Seaforth</v>
      </c>
      <c r="W180" s="129" t="str">
        <f ca="1"/>
        <v>Seaforth</v>
      </c>
      <c r="X180" s="720" t="str">
        <f ca="1"/>
        <v>Seaforth</v>
      </c>
    </row>
    <row r="181" spans="12:24">
      <c r="L181" s="663" t="s">
        <v>1558</v>
      </c>
      <c r="S181" s="287" t="str">
        <f ca="1"/>
        <v>Shelburne</v>
      </c>
      <c r="T181" s="129">
        <f ca="1">IFERROR(SEARCH('Saisie de données'!$J$20,S181),)</f>
        <v>1</v>
      </c>
      <c r="U181" s="129">
        <f ca="1">IF(T181=0,"",COUNTIF($T$2:T181,1))</f>
        <v>180</v>
      </c>
      <c r="V181" s="129" t="str">
        <f t="shared" ca="1" si="2"/>
        <v>Shelburne</v>
      </c>
      <c r="W181" s="129" t="str">
        <f ca="1"/>
        <v>Shelburne</v>
      </c>
      <c r="X181" s="720" t="str">
        <f ca="1"/>
        <v>Shelburne</v>
      </c>
    </row>
    <row r="182" spans="12:24">
      <c r="L182" s="664" t="s">
        <v>1559</v>
      </c>
      <c r="S182" s="287" t="str">
        <f ca="1"/>
        <v>Simcoe</v>
      </c>
      <c r="T182" s="129">
        <f ca="1">IFERROR(SEARCH('Saisie de données'!$J$20,S182),)</f>
        <v>1</v>
      </c>
      <c r="U182" s="129">
        <f ca="1">IF(T182=0,"",COUNTIF($T$2:T182,1))</f>
        <v>181</v>
      </c>
      <c r="V182" s="129" t="str">
        <f t="shared" ca="1" si="2"/>
        <v>Simcoe</v>
      </c>
      <c r="W182" s="129" t="str">
        <f ca="1"/>
        <v>Simcoe</v>
      </c>
      <c r="X182" s="720" t="str">
        <f ca="1"/>
        <v>Simcoe</v>
      </c>
    </row>
    <row r="183" spans="12:24">
      <c r="L183" s="663" t="s">
        <v>1560</v>
      </c>
      <c r="S183" s="287" t="str">
        <f ca="1"/>
        <v>Sioux Lookout</v>
      </c>
      <c r="T183" s="129">
        <f ca="1">IFERROR(SEARCH('Saisie de données'!$J$20,S183),)</f>
        <v>1</v>
      </c>
      <c r="U183" s="129">
        <f ca="1">IF(T183=0,"",COUNTIF($T$2:T183,1))</f>
        <v>182</v>
      </c>
      <c r="V183" s="129" t="str">
        <f t="shared" ca="1" si="2"/>
        <v>Sioux Lookout</v>
      </c>
      <c r="W183" s="129" t="str">
        <f ca="1"/>
        <v>Sioux Lookout</v>
      </c>
      <c r="X183" s="720" t="str">
        <f ca="1"/>
        <v>Sioux Lookout</v>
      </c>
    </row>
    <row r="184" spans="12:24">
      <c r="L184" s="664" t="s">
        <v>1561</v>
      </c>
      <c r="S184" s="287" t="str">
        <f ca="1"/>
        <v>Smiths Falls</v>
      </c>
      <c r="T184" s="129">
        <f ca="1">IFERROR(SEARCH('Saisie de données'!$J$20,S184),)</f>
        <v>1</v>
      </c>
      <c r="U184" s="129">
        <f ca="1">IF(T184=0,"",COUNTIF($T$2:T184,1))</f>
        <v>183</v>
      </c>
      <c r="V184" s="129" t="str">
        <f t="shared" ca="1" si="2"/>
        <v>Smiths Falls</v>
      </c>
      <c r="W184" s="129" t="str">
        <f ca="1"/>
        <v>Smiths Falls</v>
      </c>
      <c r="X184" s="720" t="str">
        <f ca="1"/>
        <v>Smiths Falls</v>
      </c>
    </row>
    <row r="185" spans="12:24">
      <c r="L185" s="663" t="s">
        <v>1562</v>
      </c>
      <c r="S185" s="287" t="str">
        <f ca="1"/>
        <v>Smithville</v>
      </c>
      <c r="T185" s="129">
        <f ca="1">IFERROR(SEARCH('Saisie de données'!$J$20,S185),)</f>
        <v>1</v>
      </c>
      <c r="U185" s="129">
        <f ca="1">IF(T185=0,"",COUNTIF($T$2:T185,1))</f>
        <v>184</v>
      </c>
      <c r="V185" s="129" t="str">
        <f t="shared" ca="1" si="2"/>
        <v>Smithville</v>
      </c>
      <c r="W185" s="129" t="str">
        <f ca="1"/>
        <v>Smithville</v>
      </c>
      <c r="X185" s="720" t="str">
        <f ca="1"/>
        <v>Smithville</v>
      </c>
    </row>
    <row r="186" spans="12:24">
      <c r="L186" s="664" t="s">
        <v>1563</v>
      </c>
      <c r="S186" s="287" t="str">
        <f ca="1"/>
        <v>Smooth Rock Falls</v>
      </c>
      <c r="T186" s="129">
        <f ca="1">IFERROR(SEARCH('Saisie de données'!$J$20,S186),)</f>
        <v>1</v>
      </c>
      <c r="U186" s="129">
        <f ca="1">IF(T186=0,"",COUNTIF($T$2:T186,1))</f>
        <v>185</v>
      </c>
      <c r="V186" s="129" t="str">
        <f t="shared" ca="1" si="2"/>
        <v>Smooth Rock Falls</v>
      </c>
      <c r="W186" s="129" t="str">
        <f ca="1"/>
        <v>Smooth Rock Falls</v>
      </c>
      <c r="X186" s="720" t="str">
        <f ca="1"/>
        <v>Smooth Rock Falls</v>
      </c>
    </row>
    <row r="187" spans="12:24">
      <c r="L187" s="663" t="s">
        <v>1564</v>
      </c>
      <c r="S187" s="287" t="str">
        <f ca="1"/>
        <v>South River</v>
      </c>
      <c r="T187" s="129">
        <f ca="1">IFERROR(SEARCH('Saisie de données'!$J$20,S187),)</f>
        <v>1</v>
      </c>
      <c r="U187" s="129">
        <f ca="1">IF(T187=0,"",COUNTIF($T$2:T187,1))</f>
        <v>186</v>
      </c>
      <c r="V187" s="129" t="str">
        <f t="shared" ca="1" si="2"/>
        <v>South River</v>
      </c>
      <c r="W187" s="129" t="str">
        <f ca="1"/>
        <v>South River</v>
      </c>
      <c r="X187" s="720" t="str">
        <f ca="1"/>
        <v>South River</v>
      </c>
    </row>
    <row r="188" spans="12:24">
      <c r="L188" s="664" t="s">
        <v>1565</v>
      </c>
      <c r="S188" s="287" t="str">
        <f ca="1"/>
        <v>Southampton</v>
      </c>
      <c r="T188" s="129">
        <f ca="1">IFERROR(SEARCH('Saisie de données'!$J$20,S188),)</f>
        <v>1</v>
      </c>
      <c r="U188" s="129">
        <f ca="1">IF(T188=0,"",COUNTIF($T$2:T188,1))</f>
        <v>187</v>
      </c>
      <c r="V188" s="129" t="str">
        <f t="shared" ca="1" si="2"/>
        <v>Southampton</v>
      </c>
      <c r="W188" s="129" t="str">
        <f ca="1"/>
        <v>Southampton</v>
      </c>
      <c r="X188" s="720" t="str">
        <f ca="1"/>
        <v>Southampton</v>
      </c>
    </row>
    <row r="189" spans="12:24">
      <c r="L189" s="663" t="s">
        <v>1566</v>
      </c>
      <c r="S189" s="287" t="str">
        <f ca="1"/>
        <v>St. Catharines</v>
      </c>
      <c r="T189" s="129">
        <f ca="1">IFERROR(SEARCH('Saisie de données'!$J$20,S189),)</f>
        <v>1</v>
      </c>
      <c r="U189" s="129">
        <f ca="1">IF(T189=0,"",COUNTIF($T$2:T189,1))</f>
        <v>188</v>
      </c>
      <c r="V189" s="129" t="str">
        <f t="shared" ca="1" si="2"/>
        <v>St. Catharines</v>
      </c>
      <c r="W189" s="129" t="str">
        <f ca="1"/>
        <v>St. Catharines</v>
      </c>
      <c r="X189" s="720" t="str">
        <f ca="1"/>
        <v>St. Catharines</v>
      </c>
    </row>
    <row r="190" spans="12:24">
      <c r="L190" s="664" t="s">
        <v>1567</v>
      </c>
      <c r="S190" s="287" t="str">
        <f ca="1"/>
        <v>St. Mary's</v>
      </c>
      <c r="T190" s="129">
        <f ca="1">IFERROR(SEARCH('Saisie de données'!$J$20,S190),)</f>
        <v>1</v>
      </c>
      <c r="U190" s="129">
        <f ca="1">IF(T190=0,"",COUNTIF($T$2:T190,1))</f>
        <v>189</v>
      </c>
      <c r="V190" s="129" t="str">
        <f t="shared" ca="1" si="2"/>
        <v>St. Mary's</v>
      </c>
      <c r="W190" s="129" t="str">
        <f ca="1"/>
        <v>St. Mary's</v>
      </c>
      <c r="X190" s="720" t="str">
        <f ca="1"/>
        <v>St. Mary's</v>
      </c>
    </row>
    <row r="191" spans="12:24">
      <c r="L191" s="663" t="s">
        <v>1568</v>
      </c>
      <c r="S191" s="287" t="str">
        <f ca="1"/>
        <v>St. Thomas</v>
      </c>
      <c r="T191" s="129">
        <f ca="1">IFERROR(SEARCH('Saisie de données'!$J$20,S191),)</f>
        <v>1</v>
      </c>
      <c r="U191" s="129">
        <f ca="1">IF(T191=0,"",COUNTIF($T$2:T191,1))</f>
        <v>190</v>
      </c>
      <c r="V191" s="129" t="str">
        <f t="shared" ca="1" si="2"/>
        <v>St. Thomas</v>
      </c>
      <c r="W191" s="129" t="str">
        <f ca="1"/>
        <v>St. Thomas</v>
      </c>
      <c r="X191" s="720" t="str">
        <f ca="1"/>
        <v>St. Thomas</v>
      </c>
    </row>
    <row r="192" spans="12:24">
      <c r="L192" s="664" t="s">
        <v>1569</v>
      </c>
      <c r="S192" s="287" t="str">
        <f ca="1"/>
        <v>Stirling</v>
      </c>
      <c r="T192" s="129">
        <f ca="1">IFERROR(SEARCH('Saisie de données'!$J$20,S192),)</f>
        <v>1</v>
      </c>
      <c r="U192" s="129">
        <f ca="1">IF(T192=0,"",COUNTIF($T$2:T192,1))</f>
        <v>191</v>
      </c>
      <c r="V192" s="129" t="str">
        <f t="shared" ca="1" si="2"/>
        <v>Stirling</v>
      </c>
      <c r="W192" s="129" t="str">
        <f ca="1"/>
        <v>Stirling</v>
      </c>
      <c r="X192" s="720" t="str">
        <f ca="1"/>
        <v>Stirling</v>
      </c>
    </row>
    <row r="193" spans="12:24">
      <c r="L193" s="663" t="s">
        <v>1570</v>
      </c>
      <c r="S193" s="287" t="str">
        <f ca="1"/>
        <v>Stratford</v>
      </c>
      <c r="T193" s="129">
        <f ca="1">IFERROR(SEARCH('Saisie de données'!$J$20,S193),)</f>
        <v>1</v>
      </c>
      <c r="U193" s="129">
        <f ca="1">IF(T193=0,"",COUNTIF($T$2:T193,1))</f>
        <v>192</v>
      </c>
      <c r="V193" s="129" t="str">
        <f t="shared" ca="1" si="2"/>
        <v>Stratford</v>
      </c>
      <c r="W193" s="129" t="str">
        <f ca="1"/>
        <v>Stratford</v>
      </c>
      <c r="X193" s="720" t="str">
        <f ca="1"/>
        <v>Stratford</v>
      </c>
    </row>
    <row r="194" spans="12:24">
      <c r="L194" s="664" t="s">
        <v>1571</v>
      </c>
      <c r="S194" s="287" t="str">
        <f ca="1"/>
        <v>Strathroy</v>
      </c>
      <c r="T194" s="129">
        <f ca="1">IFERROR(SEARCH('Saisie de données'!$J$20,S194),)</f>
        <v>1</v>
      </c>
      <c r="U194" s="129">
        <f ca="1">IF(T194=0,"",COUNTIF($T$2:T194,1))</f>
        <v>193</v>
      </c>
      <c r="V194" s="129" t="str">
        <f t="shared" ca="1" si="2"/>
        <v>Strathroy</v>
      </c>
      <c r="W194" s="129" t="str">
        <f ca="1"/>
        <v>Strathroy</v>
      </c>
      <c r="X194" s="720" t="str">
        <f ca="1"/>
        <v>Strathroy</v>
      </c>
    </row>
    <row r="195" spans="12:24">
      <c r="L195" s="663" t="s">
        <v>1572</v>
      </c>
      <c r="S195" s="287" t="str">
        <f ca="1"/>
        <v>Sturgeon Falls</v>
      </c>
      <c r="T195" s="129">
        <f ca="1">IFERROR(SEARCH('Saisie de données'!$J$20,S195),)</f>
        <v>1</v>
      </c>
      <c r="U195" s="129">
        <f ca="1">IF(T195=0,"",COUNTIF($T$2:T195,1))</f>
        <v>194</v>
      </c>
      <c r="V195" s="129" t="str">
        <f t="shared" ref="V195:V224" ca="1" si="3">IFERROR(INDEX(S:S,MATCH(ROW(U194),U:U,0)),"")</f>
        <v>Sturgeon Falls</v>
      </c>
      <c r="W195" s="129" t="str">
        <f ca="1"/>
        <v>Sturgeon Falls</v>
      </c>
      <c r="X195" s="720" t="str">
        <f ca="1"/>
        <v>Sturgeon Falls</v>
      </c>
    </row>
    <row r="196" spans="12:24">
      <c r="L196" s="664" t="s">
        <v>1573</v>
      </c>
      <c r="S196" s="287" t="str">
        <f ca="1"/>
        <v>Sudbury</v>
      </c>
      <c r="T196" s="129">
        <f ca="1">IFERROR(SEARCH('Saisie de données'!$J$20,S196),)</f>
        <v>1</v>
      </c>
      <c r="U196" s="129">
        <f ca="1">IF(T196=0,"",COUNTIF($T$2:T196,1))</f>
        <v>195</v>
      </c>
      <c r="V196" s="129" t="str">
        <f t="shared" ca="1" si="3"/>
        <v>Sudbury</v>
      </c>
      <c r="W196" s="129" t="str">
        <f ca="1"/>
        <v>Sudbury</v>
      </c>
      <c r="X196" s="720" t="str">
        <f ca="1"/>
        <v>Sudbury</v>
      </c>
    </row>
    <row r="197" spans="12:24">
      <c r="L197" s="663" t="s">
        <v>1574</v>
      </c>
      <c r="S197" s="287" t="str">
        <f ca="1"/>
        <v>Sundridge</v>
      </c>
      <c r="T197" s="129">
        <f ca="1">IFERROR(SEARCH('Saisie de données'!$J$20,S197),)</f>
        <v>1</v>
      </c>
      <c r="U197" s="129">
        <f ca="1">IF(T197=0,"",COUNTIF($T$2:T197,1))</f>
        <v>196</v>
      </c>
      <c r="V197" s="129" t="str">
        <f t="shared" ca="1" si="3"/>
        <v>Sundridge</v>
      </c>
      <c r="W197" s="129" t="str">
        <f ca="1"/>
        <v>Sundridge</v>
      </c>
      <c r="X197" s="720" t="str">
        <f ca="1"/>
        <v>Sundridge</v>
      </c>
    </row>
    <row r="198" spans="12:24">
      <c r="L198" s="664" t="s">
        <v>1575</v>
      </c>
      <c r="S198" s="287" t="str">
        <f ca="1"/>
        <v>Tavistock</v>
      </c>
      <c r="T198" s="129">
        <f ca="1">IFERROR(SEARCH('Saisie de données'!$J$20,S198),)</f>
        <v>1</v>
      </c>
      <c r="U198" s="129">
        <f ca="1">IF(T198=0,"",COUNTIF($T$2:T198,1))</f>
        <v>197</v>
      </c>
      <c r="V198" s="129" t="str">
        <f t="shared" ca="1" si="3"/>
        <v>Tavistock</v>
      </c>
      <c r="W198" s="129" t="str">
        <f ca="1"/>
        <v>Tavistock</v>
      </c>
      <c r="X198" s="720" t="str">
        <f ca="1"/>
        <v>Tavistock</v>
      </c>
    </row>
    <row r="199" spans="12:24">
      <c r="L199" s="663" t="s">
        <v>1576</v>
      </c>
      <c r="S199" s="287" t="str">
        <f ca="1"/>
        <v>Temagami</v>
      </c>
      <c r="T199" s="129">
        <f ca="1">IFERROR(SEARCH('Saisie de données'!$J$20,S199),)</f>
        <v>1</v>
      </c>
      <c r="U199" s="129">
        <f ca="1">IF(T199=0,"",COUNTIF($T$2:T199,1))</f>
        <v>198</v>
      </c>
      <c r="V199" s="129" t="str">
        <f t="shared" ca="1" si="3"/>
        <v>Temagami</v>
      </c>
      <c r="W199" s="129" t="str">
        <f ca="1"/>
        <v>Temagami</v>
      </c>
      <c r="X199" s="720" t="str">
        <f ca="1"/>
        <v>Temagami</v>
      </c>
    </row>
    <row r="200" spans="12:24">
      <c r="L200" s="664" t="s">
        <v>1577</v>
      </c>
      <c r="S200" s="287" t="str">
        <f ca="1"/>
        <v>Thamesford</v>
      </c>
      <c r="T200" s="129">
        <f ca="1">IFERROR(SEARCH('Saisie de données'!$J$20,S200),)</f>
        <v>1</v>
      </c>
      <c r="U200" s="129">
        <f ca="1">IF(T200=0,"",COUNTIF($T$2:T200,1))</f>
        <v>199</v>
      </c>
      <c r="V200" s="129" t="str">
        <f t="shared" ca="1" si="3"/>
        <v>Thamesford</v>
      </c>
      <c r="W200" s="129" t="str">
        <f ca="1"/>
        <v>Thamesford</v>
      </c>
      <c r="X200" s="720" t="str">
        <f ca="1"/>
        <v>Thamesford</v>
      </c>
    </row>
    <row r="201" spans="12:24">
      <c r="L201" s="663" t="s">
        <v>1578</v>
      </c>
      <c r="S201" s="287" t="str">
        <f ca="1"/>
        <v>Thedford</v>
      </c>
      <c r="T201" s="129">
        <f ca="1">IFERROR(SEARCH('Saisie de données'!$J$20,S201),)</f>
        <v>1</v>
      </c>
      <c r="U201" s="129">
        <f ca="1">IF(T201=0,"",COUNTIF($T$2:T201,1))</f>
        <v>200</v>
      </c>
      <c r="V201" s="129" t="str">
        <f t="shared" ca="1" si="3"/>
        <v>Thedford</v>
      </c>
      <c r="W201" s="129" t="str">
        <f ca="1"/>
        <v>Thedford</v>
      </c>
      <c r="X201" s="720" t="str">
        <f ca="1"/>
        <v>Thedford</v>
      </c>
    </row>
    <row r="202" spans="12:24">
      <c r="L202" s="664" t="s">
        <v>1579</v>
      </c>
      <c r="S202" s="287" t="str">
        <f ca="1"/>
        <v>Thunder Bay</v>
      </c>
      <c r="T202" s="129">
        <f ca="1">IFERROR(SEARCH('Saisie de données'!$J$20,S202),)</f>
        <v>1</v>
      </c>
      <c r="U202" s="129">
        <f ca="1">IF(T202=0,"",COUNTIF($T$2:T202,1))</f>
        <v>201</v>
      </c>
      <c r="V202" s="129" t="str">
        <f t="shared" ca="1" si="3"/>
        <v>Thunder Bay</v>
      </c>
      <c r="W202" s="129" t="str">
        <f ca="1"/>
        <v>Thunder Bay</v>
      </c>
      <c r="X202" s="720" t="str">
        <f ca="1"/>
        <v>Thunder Bay</v>
      </c>
    </row>
    <row r="203" spans="12:24">
      <c r="L203" s="663" t="s">
        <v>1580</v>
      </c>
      <c r="S203" s="287" t="str">
        <f ca="1"/>
        <v>Tillsonburg</v>
      </c>
      <c r="T203" s="129">
        <f ca="1">IFERROR(SEARCH('Saisie de données'!$J$20,S203),)</f>
        <v>1</v>
      </c>
      <c r="U203" s="129">
        <f ca="1">IF(T203=0,"",COUNTIF($T$2:T203,1))</f>
        <v>202</v>
      </c>
      <c r="V203" s="129" t="str">
        <f t="shared" ca="1" si="3"/>
        <v>Tillsonburg</v>
      </c>
      <c r="W203" s="129" t="str">
        <f ca="1"/>
        <v>Tillsonburg</v>
      </c>
      <c r="X203" s="720" t="str">
        <f ca="1"/>
        <v>Tillsonburg</v>
      </c>
    </row>
    <row r="204" spans="12:24">
      <c r="L204" s="664" t="s">
        <v>1581</v>
      </c>
      <c r="S204" s="287" t="str">
        <f ca="1"/>
        <v>Timmins</v>
      </c>
      <c r="T204" s="129">
        <f ca="1">IFERROR(SEARCH('Saisie de données'!$J$20,S204),)</f>
        <v>1</v>
      </c>
      <c r="U204" s="129">
        <f ca="1">IF(T204=0,"",COUNTIF($T$2:T204,1))</f>
        <v>203</v>
      </c>
      <c r="V204" s="129" t="str">
        <f t="shared" ca="1" si="3"/>
        <v>Timmins</v>
      </c>
      <c r="W204" s="129" t="str">
        <f ca="1"/>
        <v>Timmins</v>
      </c>
      <c r="X204" s="720" t="str">
        <f ca="1"/>
        <v>Timmins</v>
      </c>
    </row>
    <row r="205" spans="12:24">
      <c r="L205" s="663" t="s">
        <v>1582</v>
      </c>
      <c r="S205" s="287" t="str">
        <f ca="1"/>
        <v>Toronto</v>
      </c>
      <c r="T205" s="129">
        <f ca="1">IFERROR(SEARCH('Saisie de données'!$J$20,S205),)</f>
        <v>1</v>
      </c>
      <c r="U205" s="129">
        <f ca="1">IF(T205=0,"",COUNTIF($T$2:T205,1))</f>
        <v>204</v>
      </c>
      <c r="V205" s="129" t="str">
        <f t="shared" ca="1" si="3"/>
        <v>Toronto</v>
      </c>
      <c r="W205" s="129" t="str">
        <f ca="1"/>
        <v>Toronto</v>
      </c>
      <c r="X205" s="720" t="str">
        <f ca="1"/>
        <v>Toronto</v>
      </c>
    </row>
    <row r="206" spans="12:24">
      <c r="L206" s="664" t="s">
        <v>1583</v>
      </c>
      <c r="S206" s="287" t="str">
        <f ca="1"/>
        <v>Trenton</v>
      </c>
      <c r="T206" s="129">
        <f ca="1">IFERROR(SEARCH('Saisie de données'!$J$20,S206),)</f>
        <v>1</v>
      </c>
      <c r="U206" s="129">
        <f ca="1">IF(T206=0,"",COUNTIF($T$2:T206,1))</f>
        <v>205</v>
      </c>
      <c r="V206" s="129" t="str">
        <f t="shared" ca="1" si="3"/>
        <v>Trenton</v>
      </c>
      <c r="W206" s="129" t="str">
        <f ca="1"/>
        <v>Trenton</v>
      </c>
      <c r="X206" s="720" t="str">
        <f ca="1"/>
        <v>Trenton</v>
      </c>
    </row>
    <row r="207" spans="12:24">
      <c r="L207" s="663" t="s">
        <v>1584</v>
      </c>
      <c r="S207" s="287" t="str">
        <f ca="1"/>
        <v>Trout Creek</v>
      </c>
      <c r="T207" s="129">
        <f ca="1">IFERROR(SEARCH('Saisie de données'!$J$20,S207),)</f>
        <v>1</v>
      </c>
      <c r="U207" s="129">
        <f ca="1">IF(T207=0,"",COUNTIF($T$2:T207,1))</f>
        <v>206</v>
      </c>
      <c r="V207" s="129" t="str">
        <f t="shared" ca="1" si="3"/>
        <v>Trout Creek</v>
      </c>
      <c r="W207" s="129" t="str">
        <f ca="1"/>
        <v>Trout Creek</v>
      </c>
      <c r="X207" s="720" t="str">
        <f ca="1"/>
        <v>Trout Creek</v>
      </c>
    </row>
    <row r="208" spans="12:24">
      <c r="L208" s="663" t="s">
        <v>1585</v>
      </c>
      <c r="S208" s="287" t="str">
        <f ca="1"/>
        <v>Uxbridge</v>
      </c>
      <c r="T208" s="129">
        <f ca="1">IFERROR(SEARCH('Saisie de données'!$J$20,S208),)</f>
        <v>1</v>
      </c>
      <c r="U208" s="129">
        <f ca="1">IF(T208=0,"",COUNTIF($T$2:T208,1))</f>
        <v>207</v>
      </c>
      <c r="V208" s="129" t="str">
        <f t="shared" ca="1" si="3"/>
        <v>Uxbridge</v>
      </c>
      <c r="W208" s="129" t="str">
        <f ca="1"/>
        <v>Uxbridge</v>
      </c>
      <c r="X208" s="720" t="str">
        <f ca="1"/>
        <v>Uxbridge</v>
      </c>
    </row>
    <row r="209" spans="12:24">
      <c r="L209" s="664" t="s">
        <v>1586</v>
      </c>
      <c r="S209" s="287" t="str">
        <f ca="1"/>
        <v>Vaughan</v>
      </c>
      <c r="T209" s="129">
        <f ca="1">IFERROR(SEARCH('Saisie de données'!$J$20,S209),)</f>
        <v>1</v>
      </c>
      <c r="U209" s="129">
        <f ca="1">IF(T209=0,"",COUNTIF($T$2:T209,1))</f>
        <v>208</v>
      </c>
      <c r="V209" s="129" t="str">
        <f t="shared" ca="1" si="3"/>
        <v>Vaughan</v>
      </c>
      <c r="W209" s="129" t="str">
        <f ca="1"/>
        <v>Vaughan</v>
      </c>
      <c r="X209" s="720" t="str">
        <f ca="1"/>
        <v>Vaughan</v>
      </c>
    </row>
    <row r="210" spans="12:24">
      <c r="L210" s="663" t="s">
        <v>1587</v>
      </c>
      <c r="S210" s="287" t="str">
        <f ca="1"/>
        <v>Vittoria</v>
      </c>
      <c r="T210" s="129">
        <f ca="1">IFERROR(SEARCH('Saisie de données'!$J$20,S210),)</f>
        <v>1</v>
      </c>
      <c r="U210" s="129">
        <f ca="1">IF(T210=0,"",COUNTIF($T$2:T210,1))</f>
        <v>209</v>
      </c>
      <c r="V210" s="129" t="str">
        <f t="shared" ca="1" si="3"/>
        <v>Vittoria</v>
      </c>
      <c r="W210" s="129" t="str">
        <f ca="1"/>
        <v>Vittoria</v>
      </c>
      <c r="X210" s="720" t="str">
        <f ca="1"/>
        <v>Vittoria</v>
      </c>
    </row>
    <row r="211" spans="12:24">
      <c r="L211" s="664" t="s">
        <v>1588</v>
      </c>
      <c r="S211" s="287" t="str">
        <f ca="1"/>
        <v>Walkerton</v>
      </c>
      <c r="T211" s="129">
        <f ca="1">IFERROR(SEARCH('Saisie de données'!$J$20,S211),)</f>
        <v>1</v>
      </c>
      <c r="U211" s="129">
        <f ca="1">IF(T211=0,"",COUNTIF($T$2:T211,1))</f>
        <v>210</v>
      </c>
      <c r="V211" s="129" t="str">
        <f t="shared" ca="1" si="3"/>
        <v>Walkerton</v>
      </c>
      <c r="W211" s="129" t="str">
        <f ca="1"/>
        <v>Walkerton</v>
      </c>
      <c r="X211" s="720" t="str">
        <f ca="1"/>
        <v>Walkerton</v>
      </c>
    </row>
    <row r="212" spans="12:24">
      <c r="L212" s="664" t="s">
        <v>1589</v>
      </c>
      <c r="S212" s="287" t="str">
        <f ca="1"/>
        <v>Wallaceburg</v>
      </c>
      <c r="T212" s="129">
        <f ca="1">IFERROR(SEARCH('Saisie de données'!$J$20,S212),)</f>
        <v>1</v>
      </c>
      <c r="U212" s="129">
        <f ca="1">IF(T212=0,"",COUNTIF($T$2:T212,1))</f>
        <v>211</v>
      </c>
      <c r="V212" s="129" t="str">
        <f t="shared" ca="1" si="3"/>
        <v>Wallaceburg</v>
      </c>
      <c r="W212" s="129" t="str">
        <f ca="1"/>
        <v>Wallaceburg</v>
      </c>
      <c r="X212" s="720" t="str">
        <f ca="1"/>
        <v>Wallaceburg</v>
      </c>
    </row>
    <row r="213" spans="12:24">
      <c r="L213" s="663" t="s">
        <v>1590</v>
      </c>
      <c r="S213" s="287" t="str">
        <f ca="1"/>
        <v>Waterloo</v>
      </c>
      <c r="T213" s="129">
        <f ca="1">IFERROR(SEARCH('Saisie de données'!$J$20,S213),)</f>
        <v>1</v>
      </c>
      <c r="U213" s="129">
        <f ca="1">IF(T213=0,"",COUNTIF($T$2:T213,1))</f>
        <v>212</v>
      </c>
      <c r="V213" s="129" t="str">
        <f t="shared" ca="1" si="3"/>
        <v>Waterloo</v>
      </c>
      <c r="W213" s="129" t="str">
        <f ca="1"/>
        <v>Waterloo</v>
      </c>
      <c r="X213" s="720" t="str">
        <f ca="1"/>
        <v>Waterloo</v>
      </c>
    </row>
    <row r="214" spans="12:24">
      <c r="L214" s="664" t="s">
        <v>1591</v>
      </c>
      <c r="S214" s="287" t="str">
        <f ca="1"/>
        <v>Watford</v>
      </c>
      <c r="T214" s="129">
        <f ca="1">IFERROR(SEARCH('Saisie de données'!$J$20,S214),)</f>
        <v>1</v>
      </c>
      <c r="U214" s="129">
        <f ca="1">IF(T214=0,"",COUNTIF($T$2:T214,1))</f>
        <v>213</v>
      </c>
      <c r="V214" s="129" t="str">
        <f t="shared" ca="1" si="3"/>
        <v>Watford</v>
      </c>
      <c r="W214" s="129" t="str">
        <f ca="1"/>
        <v>Watford</v>
      </c>
      <c r="X214" s="720" t="str">
        <f ca="1"/>
        <v>Watford</v>
      </c>
    </row>
    <row r="215" spans="12:24">
      <c r="L215" s="663" t="s">
        <v>1503</v>
      </c>
      <c r="S215" s="287" t="str">
        <f ca="1"/>
        <v>Wawa</v>
      </c>
      <c r="T215" s="129">
        <f ca="1">IFERROR(SEARCH('Saisie de données'!$J$20,S215),)</f>
        <v>1</v>
      </c>
      <c r="U215" s="129">
        <f ca="1">IF(T215=0,"",COUNTIF($T$2:T215,1))</f>
        <v>214</v>
      </c>
      <c r="V215" s="129" t="str">
        <f t="shared" ca="1" si="3"/>
        <v>Wawa</v>
      </c>
      <c r="W215" s="129" t="str">
        <f ca="1"/>
        <v>Wawa</v>
      </c>
      <c r="X215" s="720" t="str">
        <f ca="1"/>
        <v>Wawa</v>
      </c>
    </row>
    <row r="216" spans="12:24">
      <c r="L216" s="664" t="s">
        <v>1592</v>
      </c>
      <c r="S216" s="287" t="str">
        <f ca="1"/>
        <v>Welland</v>
      </c>
      <c r="T216" s="129">
        <f ca="1">IFERROR(SEARCH('Saisie de données'!$J$20,S216),)</f>
        <v>1</v>
      </c>
      <c r="U216" s="129">
        <f ca="1">IF(T216=0,"",COUNTIF($T$2:T216,1))</f>
        <v>215</v>
      </c>
      <c r="V216" s="129" t="str">
        <f t="shared" ca="1" si="3"/>
        <v>Welland</v>
      </c>
      <c r="W216" s="129" t="str">
        <f ca="1"/>
        <v>Welland</v>
      </c>
      <c r="X216" s="720" t="str">
        <f ca="1"/>
        <v>Welland</v>
      </c>
    </row>
    <row r="217" spans="12:24">
      <c r="L217" s="663" t="s">
        <v>1593</v>
      </c>
      <c r="S217" s="287" t="str">
        <f ca="1"/>
        <v>West Lorne</v>
      </c>
      <c r="T217" s="129">
        <f ca="1">IFERROR(SEARCH('Saisie de données'!$J$20,S217),)</f>
        <v>1</v>
      </c>
      <c r="U217" s="129">
        <f ca="1">IF(T217=0,"",COUNTIF($T$2:T217,1))</f>
        <v>216</v>
      </c>
      <c r="V217" s="129" t="str">
        <f t="shared" ca="1" si="3"/>
        <v>West Lorne</v>
      </c>
      <c r="W217" s="129" t="str">
        <f ca="1"/>
        <v>West Lorne</v>
      </c>
      <c r="X217" s="720" t="str">
        <f ca="1"/>
        <v>West Lorne</v>
      </c>
    </row>
    <row r="218" spans="12:24">
      <c r="L218" s="664" t="s">
        <v>1594</v>
      </c>
      <c r="S218" s="287" t="str">
        <f ca="1"/>
        <v>Whitby</v>
      </c>
      <c r="T218" s="129">
        <f ca="1">IFERROR(SEARCH('Saisie de données'!$J$20,S218),)</f>
        <v>1</v>
      </c>
      <c r="U218" s="129">
        <f ca="1">IF(T218=0,"",COUNTIF($T$2:T218,1))</f>
        <v>217</v>
      </c>
      <c r="V218" s="129" t="str">
        <f t="shared" ca="1" si="3"/>
        <v>Whitby</v>
      </c>
      <c r="W218" s="129" t="str">
        <f ca="1"/>
        <v>Whitby</v>
      </c>
      <c r="X218" s="720" t="str">
        <f ca="1"/>
        <v>Whitby</v>
      </c>
    </row>
    <row r="219" spans="12:24">
      <c r="L219" s="663" t="s">
        <v>1595</v>
      </c>
      <c r="S219" s="287" t="str">
        <f ca="1"/>
        <v>White River</v>
      </c>
      <c r="T219" s="129">
        <f ca="1">IFERROR(SEARCH('Saisie de données'!$J$20,S219),)</f>
        <v>1</v>
      </c>
      <c r="U219" s="129">
        <f ca="1">IF(T219=0,"",COUNTIF($T$2:T219,1))</f>
        <v>218</v>
      </c>
      <c r="V219" s="129" t="str">
        <f t="shared" ca="1" si="3"/>
        <v>White River</v>
      </c>
      <c r="W219" s="129" t="str">
        <f ca="1"/>
        <v>White River</v>
      </c>
      <c r="X219" s="720" t="str">
        <f ca="1"/>
        <v>White River</v>
      </c>
    </row>
    <row r="220" spans="12:24">
      <c r="L220" s="664" t="s">
        <v>1596</v>
      </c>
      <c r="S220" s="287" t="str">
        <f ca="1"/>
        <v>Wiarton</v>
      </c>
      <c r="T220" s="129">
        <f ca="1">IFERROR(SEARCH('Saisie de données'!$J$20,S220),)</f>
        <v>1</v>
      </c>
      <c r="U220" s="129">
        <f ca="1">IF(T220=0,"",COUNTIF($T$2:T220,1))</f>
        <v>219</v>
      </c>
      <c r="V220" s="129" t="str">
        <f t="shared" ca="1" si="3"/>
        <v>Wiarton</v>
      </c>
      <c r="W220" s="129" t="str">
        <f ca="1"/>
        <v>Wiarton</v>
      </c>
      <c r="X220" s="720" t="str">
        <f ca="1"/>
        <v>Wiarton</v>
      </c>
    </row>
    <row r="221" spans="12:24">
      <c r="L221" s="664" t="s">
        <v>1597</v>
      </c>
      <c r="S221" s="287" t="str">
        <f ca="1"/>
        <v>Windsor</v>
      </c>
      <c r="T221" s="129">
        <f ca="1">IFERROR(SEARCH('Saisie de données'!$J$20,S221),)</f>
        <v>1</v>
      </c>
      <c r="U221" s="129">
        <f ca="1">IF(T221=0,"",COUNTIF($T$2:T221,1))</f>
        <v>220</v>
      </c>
      <c r="V221" s="129" t="str">
        <f t="shared" ca="1" si="3"/>
        <v>Windsor</v>
      </c>
      <c r="W221" s="129" t="str">
        <f ca="1"/>
        <v>Windsor</v>
      </c>
      <c r="X221" s="720" t="str">
        <f ca="1"/>
        <v>Windsor</v>
      </c>
    </row>
    <row r="222" spans="12:24">
      <c r="L222" s="663" t="s">
        <v>1598</v>
      </c>
      <c r="S222" s="287" t="str">
        <f ca="1"/>
        <v>Wingham</v>
      </c>
      <c r="T222" s="129">
        <f ca="1">IFERROR(SEARCH('Saisie de données'!$J$20,S222),)</f>
        <v>1</v>
      </c>
      <c r="U222" s="129">
        <f ca="1">IF(T222=0,"",COUNTIF($T$2:T222,1))</f>
        <v>221</v>
      </c>
      <c r="V222" s="129" t="str">
        <f t="shared" ca="1" si="3"/>
        <v>Wingham</v>
      </c>
      <c r="W222" s="129" t="str">
        <f ca="1"/>
        <v>Wingham</v>
      </c>
      <c r="X222" s="720" t="str">
        <f ca="1"/>
        <v>Wingham</v>
      </c>
    </row>
    <row r="223" spans="12:24">
      <c r="L223" s="664" t="s">
        <v>1505</v>
      </c>
      <c r="S223" s="287" t="str">
        <f ca="1"/>
        <v>Woodstock</v>
      </c>
      <c r="T223" s="129">
        <f ca="1">IFERROR(SEARCH('Saisie de données'!$J$20,S223),)</f>
        <v>1</v>
      </c>
      <c r="U223" s="129">
        <f ca="1">IF(T223=0,"",COUNTIF($T$2:T223,1))</f>
        <v>222</v>
      </c>
      <c r="V223" s="129" t="str">
        <f t="shared" ca="1" si="3"/>
        <v>Woodstock</v>
      </c>
      <c r="W223" s="129" t="str">
        <f ca="1"/>
        <v>Woodstock</v>
      </c>
      <c r="X223" s="720" t="str">
        <f ca="1"/>
        <v>Woodstock</v>
      </c>
    </row>
    <row r="224" spans="12:24" ht="15" thickBot="1">
      <c r="L224" s="663" t="s">
        <v>1599</v>
      </c>
      <c r="S224" s="820" t="str">
        <f ca="1"/>
        <v>Wyoming</v>
      </c>
      <c r="T224" s="553">
        <f ca="1">IFERROR(SEARCH('Saisie de données'!$J$20,S224),)</f>
        <v>1</v>
      </c>
      <c r="U224" s="553">
        <f ca="1">IF(T224=0,"",COUNTIF($T$2:T224,1))</f>
        <v>223</v>
      </c>
      <c r="V224" s="553" t="str">
        <f t="shared" ca="1" si="3"/>
        <v>Wyoming</v>
      </c>
      <c r="W224" s="553" t="str">
        <f ca="1"/>
        <v>Wyoming</v>
      </c>
      <c r="X224" s="821" t="str">
        <f ca="1"/>
        <v>Wyoming</v>
      </c>
    </row>
    <row r="225" spans="12:12" ht="15" thickTop="1">
      <c r="L225" s="664" t="s">
        <v>1086</v>
      </c>
    </row>
    <row r="226" spans="12:12">
      <c r="L226" s="663" t="s">
        <v>1600</v>
      </c>
    </row>
    <row r="228" spans="12:12">
      <c r="L228" s="105"/>
    </row>
    <row r="229" spans="12:12">
      <c r="L229" s="104"/>
    </row>
    <row r="230" spans="12:12">
      <c r="L230" s="105"/>
    </row>
    <row r="231" spans="12:12">
      <c r="L231" s="104"/>
    </row>
    <row r="232" spans="12:12">
      <c r="L232" s="105"/>
    </row>
    <row r="233" spans="12:12">
      <c r="L233" s="104"/>
    </row>
  </sheetData>
  <sheetProtection algorithmName="SHA-512" hashValue="nauU/Ib/YJwgQqyQNu1bbBViQNotyC+xJmS913W8J4DsjYrAWXgnvaE2gRz7er4H43BZj1I3yVslUH4vk70PpA==" saltValue="9NWcrWaVdv+4BAjkT5ue8A==" spinCount="100000" sheet="1" objects="1" scenarios="1"/>
  <mergeCells count="15">
    <mergeCell ref="Z90:Z91"/>
    <mergeCell ref="AB90:AB91"/>
    <mergeCell ref="Z92:Z93"/>
    <mergeCell ref="AB92:AB93"/>
    <mergeCell ref="Z27:Z28"/>
    <mergeCell ref="Z44:Z46"/>
    <mergeCell ref="Z1:AA1"/>
    <mergeCell ref="E1:Q2"/>
    <mergeCell ref="Z25:Z26"/>
    <mergeCell ref="AC21:AD21"/>
    <mergeCell ref="Z4:Z5"/>
    <mergeCell ref="Z6:Z7"/>
    <mergeCell ref="Z15:Z17"/>
    <mergeCell ref="Z8:Z11"/>
    <mergeCell ref="Z12:Z13"/>
  </mergeCells>
  <conditionalFormatting sqref="AD27:AE27 AE28 AE33:AE38 Z3:AA3 AE3 AB2:AD2 Z4:AE12 Z15:AE26 AD14:AE14 AA13:AE13 Z14">
    <cfRule type="containsText" dxfId="144" priority="37" operator="containsText" text="incompatible">
      <formula>NOT(ISERROR(SEARCH("incompatible",Z2)))</formula>
    </cfRule>
  </conditionalFormatting>
  <conditionalFormatting sqref="AD27:AE27 AE28 AE33:AE38 Z3:AA3 AE3 AB2:AD2 Z4:AE12 Z15:AE26 AD14:AE14 AA13:AE13 Z14">
    <cfRule type="containsText" dxfId="143" priority="36" operator="containsText" text="Bâtiment compatible">
      <formula>NOT(ISERROR(SEARCH("Bâtiment compatible",Z2)))</formula>
    </cfRule>
  </conditionalFormatting>
  <conditionalFormatting sqref="Z27:AC28">
    <cfRule type="containsText" dxfId="142" priority="35" operator="containsText" text="incompatible">
      <formula>NOT(ISERROR(SEARCH("incompatible",Z27)))</formula>
    </cfRule>
  </conditionalFormatting>
  <conditionalFormatting sqref="Z27:AC28">
    <cfRule type="containsText" dxfId="141" priority="34" operator="containsText" text="Bâtiment compatible">
      <formula>NOT(ISERROR(SEARCH("Bâtiment compatible",Z27)))</formula>
    </cfRule>
  </conditionalFormatting>
  <conditionalFormatting sqref="AG3:AI3 AG4:AG7">
    <cfRule type="containsText" dxfId="140" priority="33" operator="containsText" text="incompatible">
      <formula>NOT(ISERROR(SEARCH("incompatible",AG3)))</formula>
    </cfRule>
  </conditionalFormatting>
  <conditionalFormatting sqref="AG3:AI3 AG4:AG7">
    <cfRule type="containsText" dxfId="139" priority="32" operator="containsText" text="Bâtiment compatible">
      <formula>NOT(ISERROR(SEARCH("Bâtiment compatible",AG3)))</formula>
    </cfRule>
  </conditionalFormatting>
  <conditionalFormatting sqref="Z83 Z95:AC95 Z66:AC71 Z82:AC82 Z73:AC76 Z72:AB72">
    <cfRule type="containsText" dxfId="138" priority="31" operator="containsText" text="incompatible">
      <formula>NOT(ISERROR(SEARCH("incompatible",Z66)))</formula>
    </cfRule>
  </conditionalFormatting>
  <conditionalFormatting sqref="Z95:AC95 Z83 Z64:AC71 Z82:AC82 Z73:AC76 Z72:AB72">
    <cfRule type="containsText" dxfId="137" priority="30" operator="containsText" text="Bâtiment compatible">
      <formula>NOT(ISERROR(SEARCH("Bâtiment compatible",Z64)))</formula>
    </cfRule>
  </conditionalFormatting>
  <conditionalFormatting sqref="Z90:Z91">
    <cfRule type="containsText" dxfId="136" priority="29" operator="containsText" text="incompatible">
      <formula>NOT(ISERROR(SEARCH("incompatible",Z90)))</formula>
    </cfRule>
  </conditionalFormatting>
  <conditionalFormatting sqref="Z90:Z91">
    <cfRule type="containsText" dxfId="135" priority="28" operator="containsText" text="Bâtiment compatible">
      <formula>NOT(ISERROR(SEARCH("Bâtiment compatible",Z90)))</formula>
    </cfRule>
  </conditionalFormatting>
  <conditionalFormatting sqref="Z29">
    <cfRule type="containsText" dxfId="134" priority="27" operator="containsText" text="Bâtiment compatible">
      <formula>NOT(ISERROR(SEARCH("Bâtiment compatible",Z29)))</formula>
    </cfRule>
  </conditionalFormatting>
  <conditionalFormatting sqref="AF33:AF36">
    <cfRule type="containsText" dxfId="133" priority="24" operator="containsText" text="incompatible">
      <formula>NOT(ISERROR(SEARCH("incompatible",AF33)))</formula>
    </cfRule>
  </conditionalFormatting>
  <conditionalFormatting sqref="AF33:AF36">
    <cfRule type="containsText" dxfId="132" priority="23" operator="containsText" text="Bâtiment compatible">
      <formula>NOT(ISERROR(SEARCH("Bâtiment compatible",AF33)))</formula>
    </cfRule>
  </conditionalFormatting>
  <conditionalFormatting sqref="AE40:AE41">
    <cfRule type="containsText" dxfId="131" priority="22" operator="containsText" text="incompatible">
      <formula>NOT(ISERROR(SEARCH("incompatible",AE40)))</formula>
    </cfRule>
  </conditionalFormatting>
  <conditionalFormatting sqref="AE40:AE41">
    <cfRule type="containsText" dxfId="130" priority="21" operator="containsText" text="Bâtiment compatible">
      <formula>NOT(ISERROR(SEARCH("Bâtiment compatible",AE40)))</formula>
    </cfRule>
  </conditionalFormatting>
  <conditionalFormatting sqref="AG37:AG38">
    <cfRule type="containsText" dxfId="129" priority="20" operator="containsText" text="incompatible">
      <formula>NOT(ISERROR(SEARCH("incompatible",AG37)))</formula>
    </cfRule>
  </conditionalFormatting>
  <conditionalFormatting sqref="AG37:AG38">
    <cfRule type="containsText" dxfId="128" priority="19" operator="containsText" text="Bâtiment compatible">
      <formula>NOT(ISERROR(SEARCH("Bâtiment compatible",AG37)))</formula>
    </cfRule>
  </conditionalFormatting>
  <conditionalFormatting sqref="AG33">
    <cfRule type="containsText" dxfId="127" priority="18" operator="containsText" text="incompatible">
      <formula>NOT(ISERROR(SEARCH("incompatible",AG33)))</formula>
    </cfRule>
  </conditionalFormatting>
  <conditionalFormatting sqref="AG33">
    <cfRule type="containsText" dxfId="126" priority="17" operator="containsText" text="Bâtiment compatible">
      <formula>NOT(ISERROR(SEARCH("Bâtiment compatible",AG33)))</formula>
    </cfRule>
  </conditionalFormatting>
  <conditionalFormatting sqref="AA32">
    <cfRule type="containsText" dxfId="125" priority="16" operator="containsText" text="incompatible">
      <formula>NOT(ISERROR(SEARCH("incompatible",AA32)))</formula>
    </cfRule>
  </conditionalFormatting>
  <conditionalFormatting sqref="AA32">
    <cfRule type="containsText" dxfId="124" priority="15" operator="containsText" text="Bâtiment compatible">
      <formula>NOT(ISERROR(SEARCH("Bâtiment compatible",AA32)))</formula>
    </cfRule>
  </conditionalFormatting>
  <conditionalFormatting sqref="AG34">
    <cfRule type="containsText" dxfId="123" priority="14" operator="containsText" text="incompatible">
      <formula>NOT(ISERROR(SEARCH("incompatible",AG34)))</formula>
    </cfRule>
  </conditionalFormatting>
  <conditionalFormatting sqref="AG34">
    <cfRule type="containsText" dxfId="122" priority="13" operator="containsText" text="Bâtiment compatible">
      <formula>NOT(ISERROR(SEARCH("Bâtiment compatible",AG34)))</formula>
    </cfRule>
  </conditionalFormatting>
  <conditionalFormatting sqref="AG35">
    <cfRule type="containsText" dxfId="121" priority="12" operator="containsText" text="incompatible">
      <formula>NOT(ISERROR(SEARCH("incompatible",AG35)))</formula>
    </cfRule>
  </conditionalFormatting>
  <conditionalFormatting sqref="AG35">
    <cfRule type="containsText" dxfId="120" priority="11" operator="containsText" text="Bâtiment compatible">
      <formula>NOT(ISERROR(SEARCH("Bâtiment compatible",AG35)))</formula>
    </cfRule>
  </conditionalFormatting>
  <conditionalFormatting sqref="Z44:Z46">
    <cfRule type="containsText" dxfId="119" priority="10" operator="containsText" text="incompatible">
      <formula>NOT(ISERROR(SEARCH("incompatible",Z44)))</formula>
    </cfRule>
  </conditionalFormatting>
  <conditionalFormatting sqref="Z44:Z46">
    <cfRule type="containsText" dxfId="118" priority="9" operator="containsText" text="Bâtiment compatible">
      <formula>NOT(ISERROR(SEARCH("Bâtiment compatible",Z44)))</formula>
    </cfRule>
  </conditionalFormatting>
  <conditionalFormatting sqref="AN3">
    <cfRule type="containsText" dxfId="117" priority="8" operator="containsText" text="incompatible">
      <formula>NOT(ISERROR(SEARCH("incompatible",AN3)))</formula>
    </cfRule>
  </conditionalFormatting>
  <conditionalFormatting sqref="AN3">
    <cfRule type="containsText" dxfId="116" priority="7" operator="containsText" text="Bâtiment compatible">
      <formula>NOT(ISERROR(SEARCH("Bâtiment compatible",AN3)))</formula>
    </cfRule>
  </conditionalFormatting>
  <conditionalFormatting sqref="AJ5:AJ13">
    <cfRule type="containsText" dxfId="115" priority="6" operator="containsText" text="incompatible">
      <formula>NOT(ISERROR(SEARCH("incompatible",AJ5)))</formula>
    </cfRule>
  </conditionalFormatting>
  <conditionalFormatting sqref="AJ5:AJ13">
    <cfRule type="containsText" dxfId="114" priority="5" operator="containsText" text="Bâtiment compatible">
      <formula>NOT(ISERROR(SEARCH("Bâtiment compatible",AJ5)))</formula>
    </cfRule>
  </conditionalFormatting>
  <conditionalFormatting sqref="AJ20:AJ28">
    <cfRule type="containsText" dxfId="113" priority="4" operator="containsText" text="incompatible">
      <formula>NOT(ISERROR(SEARCH("incompatible",AJ20)))</formula>
    </cfRule>
  </conditionalFormatting>
  <conditionalFormatting sqref="AJ20:AJ28">
    <cfRule type="containsText" dxfId="112" priority="3" operator="containsText" text="Bâtiment compatible">
      <formula>NOT(ISERROR(SEARCH("Bâtiment compatible",AJ20)))</formula>
    </cfRule>
  </conditionalFormatting>
  <conditionalFormatting sqref="AJ3">
    <cfRule type="containsText" dxfId="111" priority="2" operator="containsText" text="incompatible">
      <formula>NOT(ISERROR(SEARCH("incompatible",AJ3)))</formula>
    </cfRule>
  </conditionalFormatting>
  <conditionalFormatting sqref="AJ3">
    <cfRule type="containsText" dxfId="110" priority="1" operator="containsText" text="Bâtiment compatible">
      <formula>NOT(ISERROR(SEARCH("Bâtiment compatible",AJ3)))</formula>
    </cfRule>
  </conditionalFormatting>
  <hyperlinks>
    <hyperlink ref="C4" r:id="rId1" xr:uid="{C95ED0F2-E4F6-4C89-9B8C-C05C20950C08}"/>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CF2A5-91FD-45C5-8F63-C5432B007B2B}">
  <sheetPr published="0" codeName="Feuil11"/>
  <dimension ref="B1:AB686"/>
  <sheetViews>
    <sheetView workbookViewId="0"/>
  </sheetViews>
  <sheetFormatPr defaultColWidth="11.42578125" defaultRowHeight="14.45"/>
  <cols>
    <col min="2" max="2" width="19.28515625" style="129" customWidth="1"/>
    <col min="3" max="3" width="20.140625" style="129" customWidth="1"/>
    <col min="4" max="7" width="11" style="129"/>
    <col min="8" max="9" width="12.140625" style="129" customWidth="1"/>
    <col min="10" max="10" width="12" style="129" customWidth="1"/>
    <col min="11" max="11" width="11" style="129"/>
    <col min="12" max="12" width="16.42578125" style="129" customWidth="1"/>
    <col min="13" max="20" width="11" style="129"/>
  </cols>
  <sheetData>
    <row r="1" spans="2:20">
      <c r="D1" s="583"/>
      <c r="F1" s="583"/>
      <c r="L1" s="583"/>
      <c r="M1" s="583"/>
      <c r="N1" s="583"/>
      <c r="O1" s="583"/>
    </row>
    <row r="2" spans="2:20" ht="14.45" customHeight="1">
      <c r="D2" s="106" t="s">
        <v>1601</v>
      </c>
      <c r="E2" s="1791" t="s">
        <v>1602</v>
      </c>
      <c r="F2" s="1791"/>
      <c r="G2" s="1791" t="s">
        <v>1603</v>
      </c>
      <c r="H2" s="1791"/>
      <c r="I2" s="1792" t="s">
        <v>1604</v>
      </c>
      <c r="J2" s="1792" t="s">
        <v>1605</v>
      </c>
      <c r="K2" s="1795" t="s">
        <v>1606</v>
      </c>
      <c r="L2" s="1632" t="s">
        <v>1607</v>
      </c>
      <c r="M2" s="1798" t="s">
        <v>1608</v>
      </c>
      <c r="N2" s="1632" t="s">
        <v>1609</v>
      </c>
      <c r="O2" s="1799" t="s">
        <v>1610</v>
      </c>
      <c r="P2" s="1792" t="s">
        <v>1611</v>
      </c>
      <c r="Q2" s="1792"/>
      <c r="R2" s="1792" t="s">
        <v>1612</v>
      </c>
      <c r="S2" s="1792"/>
      <c r="T2" s="1632" t="s">
        <v>1613</v>
      </c>
    </row>
    <row r="3" spans="2:20">
      <c r="D3" s="583"/>
      <c r="E3" s="583" t="s">
        <v>1614</v>
      </c>
      <c r="F3" s="583" t="s">
        <v>1615</v>
      </c>
      <c r="G3" s="583" t="s">
        <v>1616</v>
      </c>
      <c r="H3" s="583" t="s">
        <v>1617</v>
      </c>
      <c r="I3" s="1793"/>
      <c r="J3" s="1793"/>
      <c r="K3" s="1796"/>
      <c r="L3" s="1632"/>
      <c r="M3" s="1632"/>
      <c r="N3" s="1632"/>
      <c r="O3" s="1800"/>
      <c r="P3" s="1794"/>
      <c r="Q3" s="1794"/>
      <c r="R3" s="1794"/>
      <c r="S3" s="1794"/>
      <c r="T3" s="1632"/>
    </row>
    <row r="4" spans="2:20" ht="15.95" customHeight="1">
      <c r="D4" s="106"/>
      <c r="E4" s="106" t="s">
        <v>1618</v>
      </c>
      <c r="F4" s="106" t="s">
        <v>1618</v>
      </c>
      <c r="G4" s="106" t="s">
        <v>1619</v>
      </c>
      <c r="H4" s="106" t="s">
        <v>1618</v>
      </c>
      <c r="I4" s="1794"/>
      <c r="J4" s="1794"/>
      <c r="K4" s="1797"/>
      <c r="L4" s="1790"/>
      <c r="M4" s="1790"/>
      <c r="N4" s="1790"/>
      <c r="O4" s="1801"/>
      <c r="P4" s="106" t="s">
        <v>1620</v>
      </c>
      <c r="Q4" s="106" t="s">
        <v>1621</v>
      </c>
      <c r="R4" s="106" t="s">
        <v>1622</v>
      </c>
      <c r="S4" s="662" t="s">
        <v>1623</v>
      </c>
      <c r="T4" s="1632"/>
    </row>
    <row r="5" spans="2:20">
      <c r="B5" s="663" t="s">
        <v>1624</v>
      </c>
      <c r="C5" s="664" t="s">
        <v>805</v>
      </c>
      <c r="D5" s="583">
        <v>1040</v>
      </c>
      <c r="E5" s="583">
        <v>-30</v>
      </c>
      <c r="F5" s="583">
        <v>-32</v>
      </c>
      <c r="G5" s="583">
        <v>29</v>
      </c>
      <c r="H5" s="583">
        <v>17</v>
      </c>
      <c r="I5" s="583">
        <v>5030</v>
      </c>
      <c r="J5" s="583">
        <v>10</v>
      </c>
      <c r="K5" s="583">
        <v>48</v>
      </c>
      <c r="L5" s="583">
        <v>300</v>
      </c>
      <c r="M5" s="583">
        <v>0.44</v>
      </c>
      <c r="N5" s="583">
        <v>425</v>
      </c>
      <c r="O5" s="583">
        <v>60</v>
      </c>
      <c r="P5" s="583">
        <v>2.6</v>
      </c>
      <c r="Q5" s="583">
        <v>0.3</v>
      </c>
      <c r="R5" s="583">
        <v>0.27</v>
      </c>
      <c r="S5" s="665">
        <v>0.35</v>
      </c>
      <c r="T5" s="665">
        <v>83</v>
      </c>
    </row>
    <row r="6" spans="2:20">
      <c r="B6" s="663" t="s">
        <v>1624</v>
      </c>
      <c r="C6" s="663" t="s">
        <v>823</v>
      </c>
      <c r="D6" s="106">
        <v>10</v>
      </c>
      <c r="E6" s="106">
        <v>-8</v>
      </c>
      <c r="F6" s="106">
        <v>-10</v>
      </c>
      <c r="G6" s="106">
        <v>29</v>
      </c>
      <c r="H6" s="106">
        <v>20</v>
      </c>
      <c r="I6" s="106">
        <v>2860</v>
      </c>
      <c r="J6" s="106">
        <v>12</v>
      </c>
      <c r="K6" s="106">
        <v>112</v>
      </c>
      <c r="L6" s="106">
        <v>1525</v>
      </c>
      <c r="M6" s="106">
        <v>1.59</v>
      </c>
      <c r="N6" s="106">
        <v>1600</v>
      </c>
      <c r="O6" s="106">
        <v>160</v>
      </c>
      <c r="P6" s="106">
        <v>2</v>
      </c>
      <c r="Q6" s="106">
        <v>0.3</v>
      </c>
      <c r="R6" s="106">
        <v>0.34</v>
      </c>
      <c r="S6" s="662">
        <v>0.44</v>
      </c>
      <c r="T6" s="662">
        <v>103</v>
      </c>
    </row>
    <row r="7" spans="2:20">
      <c r="B7" s="663" t="s">
        <v>1624</v>
      </c>
      <c r="C7" s="664" t="s">
        <v>844</v>
      </c>
      <c r="D7" s="583">
        <v>15</v>
      </c>
      <c r="E7" s="583">
        <v>-9</v>
      </c>
      <c r="F7" s="583">
        <v>-11</v>
      </c>
      <c r="G7" s="583">
        <v>31</v>
      </c>
      <c r="H7" s="583">
        <v>21</v>
      </c>
      <c r="I7" s="583">
        <v>2750</v>
      </c>
      <c r="J7" s="583">
        <v>8</v>
      </c>
      <c r="K7" s="583">
        <v>128</v>
      </c>
      <c r="L7" s="583">
        <v>1650</v>
      </c>
      <c r="M7" s="583">
        <v>1.71</v>
      </c>
      <c r="N7" s="583">
        <v>1700</v>
      </c>
      <c r="O7" s="583">
        <v>160</v>
      </c>
      <c r="P7" s="583">
        <v>2.4</v>
      </c>
      <c r="Q7" s="583">
        <v>0.7</v>
      </c>
      <c r="R7" s="583">
        <v>0.36</v>
      </c>
      <c r="S7" s="665">
        <v>0.47</v>
      </c>
      <c r="T7" s="665">
        <v>115</v>
      </c>
    </row>
    <row r="8" spans="2:20">
      <c r="B8" s="663" t="s">
        <v>1624</v>
      </c>
      <c r="C8" s="663" t="s">
        <v>863</v>
      </c>
      <c r="D8" s="106">
        <v>12</v>
      </c>
      <c r="E8" s="106">
        <v>-5</v>
      </c>
      <c r="F8" s="106">
        <v>-8</v>
      </c>
      <c r="G8" s="106">
        <v>31</v>
      </c>
      <c r="H8" s="106">
        <v>19</v>
      </c>
      <c r="I8" s="106">
        <v>3100</v>
      </c>
      <c r="J8" s="106">
        <v>10</v>
      </c>
      <c r="K8" s="106">
        <v>144</v>
      </c>
      <c r="L8" s="106">
        <v>1900</v>
      </c>
      <c r="M8" s="106">
        <v>2</v>
      </c>
      <c r="N8" s="106">
        <v>2000</v>
      </c>
      <c r="O8" s="106">
        <v>220</v>
      </c>
      <c r="P8" s="106">
        <v>2.6</v>
      </c>
      <c r="Q8" s="106">
        <v>0.4</v>
      </c>
      <c r="R8" s="106">
        <v>0.25</v>
      </c>
      <c r="S8" s="662">
        <v>0.32</v>
      </c>
      <c r="T8" s="662">
        <v>105</v>
      </c>
    </row>
    <row r="9" spans="2:20">
      <c r="B9" s="663" t="s">
        <v>1624</v>
      </c>
      <c r="C9" s="664" t="s">
        <v>886</v>
      </c>
      <c r="D9" s="583">
        <v>305</v>
      </c>
      <c r="E9" s="583">
        <v>-24</v>
      </c>
      <c r="F9" s="583">
        <v>-27</v>
      </c>
      <c r="G9" s="583">
        <v>34</v>
      </c>
      <c r="H9" s="583">
        <v>20</v>
      </c>
      <c r="I9" s="583">
        <v>3700</v>
      </c>
      <c r="J9" s="583">
        <v>10</v>
      </c>
      <c r="K9" s="583">
        <v>37</v>
      </c>
      <c r="L9" s="583">
        <v>250</v>
      </c>
      <c r="M9" s="583">
        <v>0.25</v>
      </c>
      <c r="N9" s="583">
        <v>300</v>
      </c>
      <c r="O9" s="583">
        <v>80</v>
      </c>
      <c r="P9" s="583">
        <v>1.7</v>
      </c>
      <c r="Q9" s="583">
        <v>0.1</v>
      </c>
      <c r="R9" s="583">
        <v>0.28999999999999998</v>
      </c>
      <c r="S9" s="665">
        <v>0.38</v>
      </c>
      <c r="T9" s="665">
        <v>82</v>
      </c>
    </row>
    <row r="10" spans="2:20">
      <c r="B10" s="663" t="s">
        <v>1624</v>
      </c>
      <c r="C10" s="663" t="s">
        <v>907</v>
      </c>
      <c r="D10" s="106">
        <v>20</v>
      </c>
      <c r="E10" s="106">
        <v>-2</v>
      </c>
      <c r="F10" s="106">
        <v>-4</v>
      </c>
      <c r="G10" s="106">
        <v>23</v>
      </c>
      <c r="H10" s="106">
        <v>17</v>
      </c>
      <c r="I10" s="106">
        <v>3080</v>
      </c>
      <c r="J10" s="106">
        <v>13</v>
      </c>
      <c r="K10" s="106">
        <v>170</v>
      </c>
      <c r="L10" s="106">
        <v>2870</v>
      </c>
      <c r="M10" s="106">
        <v>2.96</v>
      </c>
      <c r="N10" s="106">
        <v>2890</v>
      </c>
      <c r="O10" s="106">
        <v>280</v>
      </c>
      <c r="P10" s="106">
        <v>1</v>
      </c>
      <c r="Q10" s="106">
        <v>0.4</v>
      </c>
      <c r="R10" s="106">
        <v>0.39</v>
      </c>
      <c r="S10" s="662">
        <v>0.5</v>
      </c>
      <c r="T10" s="662">
        <v>105</v>
      </c>
    </row>
    <row r="11" spans="2:20">
      <c r="B11" s="663" t="s">
        <v>1624</v>
      </c>
      <c r="C11" s="664" t="s">
        <v>921</v>
      </c>
      <c r="D11" s="583">
        <v>840</v>
      </c>
      <c r="E11" s="583">
        <v>-37</v>
      </c>
      <c r="F11" s="583">
        <v>-39</v>
      </c>
      <c r="G11" s="583">
        <v>26</v>
      </c>
      <c r="H11" s="583">
        <v>18</v>
      </c>
      <c r="I11" s="583">
        <v>6300</v>
      </c>
      <c r="J11" s="583">
        <v>15</v>
      </c>
      <c r="K11" s="583">
        <v>64</v>
      </c>
      <c r="L11" s="583">
        <v>330</v>
      </c>
      <c r="M11" s="583">
        <v>0.53</v>
      </c>
      <c r="N11" s="583">
        <v>450</v>
      </c>
      <c r="O11" s="583">
        <v>80</v>
      </c>
      <c r="P11" s="583">
        <v>3.3</v>
      </c>
      <c r="Q11" s="583">
        <v>0.1</v>
      </c>
      <c r="R11" s="583">
        <v>0.23</v>
      </c>
      <c r="S11" s="665">
        <v>0.3</v>
      </c>
      <c r="T11" s="665">
        <v>83</v>
      </c>
    </row>
    <row r="12" spans="2:20">
      <c r="B12" s="663" t="s">
        <v>1624</v>
      </c>
      <c r="C12" s="663" t="s">
        <v>940</v>
      </c>
      <c r="D12" s="106">
        <v>25</v>
      </c>
      <c r="E12" s="106">
        <v>-5</v>
      </c>
      <c r="F12" s="106">
        <v>-7</v>
      </c>
      <c r="G12" s="106">
        <v>23</v>
      </c>
      <c r="H12" s="106">
        <v>18</v>
      </c>
      <c r="I12" s="106">
        <v>3180</v>
      </c>
      <c r="J12" s="106">
        <v>13</v>
      </c>
      <c r="K12" s="106">
        <v>145</v>
      </c>
      <c r="L12" s="106">
        <v>2715</v>
      </c>
      <c r="M12" s="106">
        <v>2.82</v>
      </c>
      <c r="N12" s="106">
        <v>2800</v>
      </c>
      <c r="O12" s="106">
        <v>350</v>
      </c>
      <c r="P12" s="106">
        <v>2.6</v>
      </c>
      <c r="Q12" s="106">
        <v>0.8</v>
      </c>
      <c r="R12" s="106">
        <v>0.39</v>
      </c>
      <c r="S12" s="662">
        <v>0.5</v>
      </c>
      <c r="T12" s="662">
        <v>100</v>
      </c>
    </row>
    <row r="13" spans="2:20">
      <c r="B13" s="663" t="s">
        <v>1624</v>
      </c>
      <c r="C13" s="664" t="s">
        <v>958</v>
      </c>
      <c r="D13" s="583">
        <v>40</v>
      </c>
      <c r="E13" s="583">
        <v>-14</v>
      </c>
      <c r="F13" s="583">
        <v>-18</v>
      </c>
      <c r="G13" s="583">
        <v>27</v>
      </c>
      <c r="H13" s="583">
        <v>19</v>
      </c>
      <c r="I13" s="583">
        <v>3560</v>
      </c>
      <c r="J13" s="583">
        <v>10</v>
      </c>
      <c r="K13" s="583">
        <v>140</v>
      </c>
      <c r="L13" s="583">
        <v>1500</v>
      </c>
      <c r="M13" s="583">
        <v>1.85</v>
      </c>
      <c r="N13" s="583">
        <v>1700</v>
      </c>
      <c r="O13" s="583">
        <v>350</v>
      </c>
      <c r="P13" s="583">
        <v>4.5</v>
      </c>
      <c r="Q13" s="583">
        <v>0.8</v>
      </c>
      <c r="R13" s="583">
        <v>0.3</v>
      </c>
      <c r="S13" s="665">
        <v>0.39</v>
      </c>
      <c r="T13" s="665">
        <v>89</v>
      </c>
    </row>
    <row r="14" spans="2:20">
      <c r="B14" s="663" t="s">
        <v>1624</v>
      </c>
      <c r="C14" s="664" t="s">
        <v>980</v>
      </c>
      <c r="D14" s="583">
        <v>110</v>
      </c>
      <c r="E14" s="583">
        <v>-7</v>
      </c>
      <c r="F14" s="583">
        <v>-9</v>
      </c>
      <c r="G14" s="583">
        <v>25</v>
      </c>
      <c r="H14" s="583">
        <v>17</v>
      </c>
      <c r="I14" s="583">
        <v>3100</v>
      </c>
      <c r="J14" s="583">
        <v>10</v>
      </c>
      <c r="K14" s="583">
        <v>150</v>
      </c>
      <c r="L14" s="583">
        <v>1850</v>
      </c>
      <c r="M14" s="583">
        <v>1.93</v>
      </c>
      <c r="N14" s="583">
        <v>1950</v>
      </c>
      <c r="O14" s="583">
        <v>160</v>
      </c>
      <c r="P14" s="583">
        <v>2.9</v>
      </c>
      <c r="Q14" s="583">
        <v>0.7</v>
      </c>
      <c r="R14" s="583">
        <v>0.36</v>
      </c>
      <c r="S14" s="665">
        <v>0.47</v>
      </c>
      <c r="T14" s="665">
        <v>92</v>
      </c>
    </row>
    <row r="15" spans="2:20">
      <c r="B15" s="663" t="s">
        <v>1624</v>
      </c>
      <c r="C15" s="663" t="s">
        <v>1000</v>
      </c>
      <c r="D15" s="106">
        <v>755</v>
      </c>
      <c r="E15" s="106">
        <v>-31</v>
      </c>
      <c r="F15" s="106">
        <v>-34</v>
      </c>
      <c r="G15" s="106">
        <v>26</v>
      </c>
      <c r="H15" s="106">
        <v>17</v>
      </c>
      <c r="I15" s="106">
        <v>5450</v>
      </c>
      <c r="J15" s="106">
        <v>12</v>
      </c>
      <c r="K15" s="106">
        <v>54</v>
      </c>
      <c r="L15" s="106">
        <v>300</v>
      </c>
      <c r="M15" s="106">
        <v>0.56000000000000005</v>
      </c>
      <c r="N15" s="106">
        <v>450</v>
      </c>
      <c r="O15" s="106">
        <v>100</v>
      </c>
      <c r="P15" s="106">
        <v>3.4</v>
      </c>
      <c r="Q15" s="106">
        <v>0.2</v>
      </c>
      <c r="R15" s="106">
        <v>0.3</v>
      </c>
      <c r="S15" s="662">
        <v>0.39</v>
      </c>
      <c r="T15" s="662">
        <v>83</v>
      </c>
    </row>
    <row r="16" spans="2:20">
      <c r="B16" s="663" t="s">
        <v>1624</v>
      </c>
      <c r="C16" s="664" t="s">
        <v>1012</v>
      </c>
      <c r="D16" s="583">
        <v>455</v>
      </c>
      <c r="E16" s="583">
        <v>-24</v>
      </c>
      <c r="F16" s="583">
        <v>-27</v>
      </c>
      <c r="G16" s="583">
        <v>34</v>
      </c>
      <c r="H16" s="583">
        <v>20</v>
      </c>
      <c r="I16" s="583">
        <v>3700</v>
      </c>
      <c r="J16" s="583">
        <v>10</v>
      </c>
      <c r="K16" s="583">
        <v>37</v>
      </c>
      <c r="L16" s="583">
        <v>250</v>
      </c>
      <c r="M16" s="583">
        <v>0.25</v>
      </c>
      <c r="N16" s="583">
        <v>300</v>
      </c>
      <c r="O16" s="583">
        <v>80</v>
      </c>
      <c r="P16" s="583">
        <v>1.7</v>
      </c>
      <c r="Q16" s="583">
        <v>0.2</v>
      </c>
      <c r="R16" s="583">
        <v>0.3</v>
      </c>
      <c r="S16" s="665">
        <v>0.39</v>
      </c>
      <c r="T16" s="665">
        <v>82</v>
      </c>
    </row>
    <row r="17" spans="2:20">
      <c r="B17" s="663" t="s">
        <v>1624</v>
      </c>
      <c r="C17" s="663" t="s">
        <v>1027</v>
      </c>
      <c r="D17" s="106">
        <v>20</v>
      </c>
      <c r="E17" s="106">
        <v>-5</v>
      </c>
      <c r="F17" s="106">
        <v>-7</v>
      </c>
      <c r="G17" s="106">
        <v>26</v>
      </c>
      <c r="H17" s="106">
        <v>18</v>
      </c>
      <c r="I17" s="106">
        <v>3000</v>
      </c>
      <c r="J17" s="106">
        <v>10</v>
      </c>
      <c r="K17" s="106">
        <v>116</v>
      </c>
      <c r="L17" s="106">
        <v>1500</v>
      </c>
      <c r="M17" s="106">
        <v>1.59</v>
      </c>
      <c r="N17" s="106">
        <v>1600</v>
      </c>
      <c r="O17" s="106">
        <v>260</v>
      </c>
      <c r="P17" s="106">
        <v>2.8</v>
      </c>
      <c r="Q17" s="106">
        <v>0.4</v>
      </c>
      <c r="R17" s="106">
        <v>0.4</v>
      </c>
      <c r="S17" s="662">
        <v>0.52</v>
      </c>
      <c r="T17" s="662">
        <v>105</v>
      </c>
    </row>
    <row r="18" spans="2:20">
      <c r="B18" s="663" t="s">
        <v>1624</v>
      </c>
      <c r="C18" s="664" t="s">
        <v>1041</v>
      </c>
      <c r="D18" s="583">
        <v>845</v>
      </c>
      <c r="E18" s="583">
        <v>-24</v>
      </c>
      <c r="F18" s="583">
        <v>-26</v>
      </c>
      <c r="G18" s="583">
        <v>31</v>
      </c>
      <c r="H18" s="583">
        <v>19</v>
      </c>
      <c r="I18" s="583">
        <v>4750</v>
      </c>
      <c r="J18" s="583">
        <v>10</v>
      </c>
      <c r="K18" s="583">
        <v>64</v>
      </c>
      <c r="L18" s="583">
        <v>325</v>
      </c>
      <c r="M18" s="583">
        <v>0.38</v>
      </c>
      <c r="N18" s="583">
        <v>550</v>
      </c>
      <c r="O18" s="583">
        <v>60</v>
      </c>
      <c r="P18" s="583">
        <v>3.6</v>
      </c>
      <c r="Q18" s="583">
        <v>0.2</v>
      </c>
      <c r="R18" s="583">
        <v>0.28999999999999998</v>
      </c>
      <c r="S18" s="665">
        <v>0.38</v>
      </c>
      <c r="T18" s="665">
        <v>79</v>
      </c>
    </row>
    <row r="19" spans="2:20">
      <c r="B19" s="663" t="s">
        <v>1624</v>
      </c>
      <c r="C19" s="663" t="s">
        <v>1055</v>
      </c>
      <c r="D19" s="106">
        <v>430</v>
      </c>
      <c r="E19" s="106">
        <v>-18</v>
      </c>
      <c r="F19" s="106">
        <v>-20</v>
      </c>
      <c r="G19" s="106">
        <v>32</v>
      </c>
      <c r="H19" s="106">
        <v>20</v>
      </c>
      <c r="I19" s="106">
        <v>3580</v>
      </c>
      <c r="J19" s="106">
        <v>10</v>
      </c>
      <c r="K19" s="106">
        <v>54</v>
      </c>
      <c r="L19" s="106">
        <v>560</v>
      </c>
      <c r="M19" s="106">
        <v>0.64</v>
      </c>
      <c r="N19" s="106">
        <v>700</v>
      </c>
      <c r="O19" s="106">
        <v>60</v>
      </c>
      <c r="P19" s="106">
        <v>4.2</v>
      </c>
      <c r="Q19" s="106">
        <v>0.1</v>
      </c>
      <c r="R19" s="106">
        <v>0.27</v>
      </c>
      <c r="S19" s="662">
        <v>0.34</v>
      </c>
      <c r="T19" s="662">
        <v>76</v>
      </c>
    </row>
    <row r="20" spans="2:20">
      <c r="B20" s="663" t="s">
        <v>1624</v>
      </c>
      <c r="C20" s="664" t="s">
        <v>1071</v>
      </c>
      <c r="D20" s="583">
        <v>605</v>
      </c>
      <c r="E20" s="583">
        <v>-35</v>
      </c>
      <c r="F20" s="583">
        <v>-38</v>
      </c>
      <c r="G20" s="583">
        <v>27</v>
      </c>
      <c r="H20" s="583">
        <v>18</v>
      </c>
      <c r="I20" s="583">
        <v>5500</v>
      </c>
      <c r="J20" s="583">
        <v>15</v>
      </c>
      <c r="K20" s="583">
        <v>70</v>
      </c>
      <c r="L20" s="583">
        <v>400</v>
      </c>
      <c r="M20" s="583">
        <v>0.57999999999999996</v>
      </c>
      <c r="N20" s="583">
        <v>625</v>
      </c>
      <c r="O20" s="583">
        <v>60</v>
      </c>
      <c r="P20" s="583">
        <v>2.4</v>
      </c>
      <c r="Q20" s="583">
        <v>0.2</v>
      </c>
      <c r="R20" s="583">
        <v>0.31</v>
      </c>
      <c r="S20" s="665">
        <v>0.4</v>
      </c>
      <c r="T20" s="665">
        <v>84</v>
      </c>
    </row>
    <row r="21" spans="2:20">
      <c r="B21" s="663" t="s">
        <v>1624</v>
      </c>
      <c r="C21" s="663" t="s">
        <v>1084</v>
      </c>
      <c r="D21" s="106">
        <v>10</v>
      </c>
      <c r="E21" s="106">
        <v>-9</v>
      </c>
      <c r="F21" s="106">
        <v>-11</v>
      </c>
      <c r="G21" s="106">
        <v>30</v>
      </c>
      <c r="H21" s="106">
        <v>20</v>
      </c>
      <c r="I21" s="106">
        <v>2780</v>
      </c>
      <c r="J21" s="106">
        <v>8</v>
      </c>
      <c r="K21" s="106">
        <v>139</v>
      </c>
      <c r="L21" s="106">
        <v>1625</v>
      </c>
      <c r="M21" s="106">
        <v>1.68</v>
      </c>
      <c r="N21" s="106">
        <v>1700</v>
      </c>
      <c r="O21" s="106">
        <v>160</v>
      </c>
      <c r="P21" s="106">
        <v>2.2000000000000002</v>
      </c>
      <c r="Q21" s="106">
        <v>0.3</v>
      </c>
      <c r="R21" s="106">
        <v>0.36</v>
      </c>
      <c r="S21" s="662">
        <v>0.47</v>
      </c>
      <c r="T21" s="662">
        <v>110</v>
      </c>
    </row>
    <row r="22" spans="2:20">
      <c r="B22" s="663" t="s">
        <v>1624</v>
      </c>
      <c r="C22" s="663" t="s">
        <v>1097</v>
      </c>
      <c r="D22" s="106">
        <v>10</v>
      </c>
      <c r="E22" s="106">
        <v>-8</v>
      </c>
      <c r="F22" s="106">
        <v>-10</v>
      </c>
      <c r="G22" s="106">
        <v>29</v>
      </c>
      <c r="H22" s="106">
        <v>20</v>
      </c>
      <c r="I22" s="106">
        <v>2700</v>
      </c>
      <c r="J22" s="106">
        <v>10</v>
      </c>
      <c r="K22" s="106">
        <v>112</v>
      </c>
      <c r="L22" s="106">
        <v>1350</v>
      </c>
      <c r="M22" s="106">
        <v>1.44</v>
      </c>
      <c r="N22" s="106">
        <v>1400</v>
      </c>
      <c r="O22" s="106">
        <v>160</v>
      </c>
      <c r="P22" s="106">
        <v>2.5</v>
      </c>
      <c r="Q22" s="106">
        <v>0.2</v>
      </c>
      <c r="R22" s="106">
        <v>0.34</v>
      </c>
      <c r="S22" s="662">
        <v>0.44</v>
      </c>
      <c r="T22" s="662">
        <v>91</v>
      </c>
    </row>
    <row r="23" spans="2:20">
      <c r="B23" s="663" t="s">
        <v>1624</v>
      </c>
      <c r="C23" s="664" t="s">
        <v>1106</v>
      </c>
      <c r="D23" s="583">
        <v>15</v>
      </c>
      <c r="E23" s="583">
        <v>-7</v>
      </c>
      <c r="F23" s="583">
        <v>-9</v>
      </c>
      <c r="G23" s="583">
        <v>27</v>
      </c>
      <c r="H23" s="583">
        <v>18</v>
      </c>
      <c r="I23" s="583">
        <v>3100</v>
      </c>
      <c r="J23" s="583">
        <v>10</v>
      </c>
      <c r="K23" s="583">
        <v>106</v>
      </c>
      <c r="L23" s="583">
        <v>1175</v>
      </c>
      <c r="M23" s="583">
        <v>1.28</v>
      </c>
      <c r="N23" s="583">
        <v>1200</v>
      </c>
      <c r="O23" s="583">
        <v>260</v>
      </c>
      <c r="P23" s="583">
        <v>2.4</v>
      </c>
      <c r="Q23" s="583">
        <v>0.4</v>
      </c>
      <c r="R23" s="583">
        <v>0.4</v>
      </c>
      <c r="S23" s="665">
        <v>0.52</v>
      </c>
      <c r="T23" s="665">
        <v>105</v>
      </c>
    </row>
    <row r="24" spans="2:20">
      <c r="B24" s="663" t="s">
        <v>1624</v>
      </c>
      <c r="C24" s="663" t="s">
        <v>1117</v>
      </c>
      <c r="D24" s="106">
        <v>10</v>
      </c>
      <c r="E24" s="106">
        <v>-7</v>
      </c>
      <c r="F24" s="106">
        <v>-9</v>
      </c>
      <c r="G24" s="106">
        <v>28</v>
      </c>
      <c r="H24" s="106">
        <v>18</v>
      </c>
      <c r="I24" s="106">
        <v>3100</v>
      </c>
      <c r="J24" s="106">
        <v>10</v>
      </c>
      <c r="K24" s="106">
        <v>106</v>
      </c>
      <c r="L24" s="106">
        <v>1400</v>
      </c>
      <c r="M24" s="106">
        <v>1.49</v>
      </c>
      <c r="N24" s="106">
        <v>1450</v>
      </c>
      <c r="O24" s="106">
        <v>260</v>
      </c>
      <c r="P24" s="106">
        <v>2.4</v>
      </c>
      <c r="Q24" s="106">
        <v>0.4</v>
      </c>
      <c r="R24" s="106">
        <v>0.4</v>
      </c>
      <c r="S24" s="662">
        <v>0.52</v>
      </c>
      <c r="T24" s="662">
        <v>105</v>
      </c>
    </row>
    <row r="25" spans="2:20">
      <c r="B25" s="663" t="s">
        <v>1624</v>
      </c>
      <c r="C25" s="664" t="s">
        <v>1127</v>
      </c>
      <c r="D25" s="583">
        <v>910</v>
      </c>
      <c r="E25" s="583">
        <v>-26</v>
      </c>
      <c r="F25" s="583">
        <v>-28</v>
      </c>
      <c r="G25" s="583">
        <v>32</v>
      </c>
      <c r="H25" s="583">
        <v>18</v>
      </c>
      <c r="I25" s="583">
        <v>4400</v>
      </c>
      <c r="J25" s="583">
        <v>12</v>
      </c>
      <c r="K25" s="583">
        <v>59</v>
      </c>
      <c r="L25" s="583">
        <v>275</v>
      </c>
      <c r="M25" s="583">
        <v>0.3</v>
      </c>
      <c r="N25" s="583">
        <v>400</v>
      </c>
      <c r="O25" s="583">
        <v>100</v>
      </c>
      <c r="P25" s="583">
        <v>3</v>
      </c>
      <c r="Q25" s="583">
        <v>0.2</v>
      </c>
      <c r="R25" s="583">
        <v>0.25</v>
      </c>
      <c r="S25" s="665">
        <v>0.33</v>
      </c>
      <c r="T25" s="665">
        <v>74</v>
      </c>
    </row>
    <row r="26" spans="2:20">
      <c r="B26" s="663" t="s">
        <v>1624</v>
      </c>
      <c r="C26" s="663" t="s">
        <v>1135</v>
      </c>
      <c r="D26" s="106">
        <v>585</v>
      </c>
      <c r="E26" s="106">
        <v>-18</v>
      </c>
      <c r="F26" s="106">
        <v>-20</v>
      </c>
      <c r="G26" s="106">
        <v>31</v>
      </c>
      <c r="H26" s="106">
        <v>20</v>
      </c>
      <c r="I26" s="106">
        <v>3650</v>
      </c>
      <c r="J26" s="106">
        <v>10</v>
      </c>
      <c r="K26" s="106">
        <v>54</v>
      </c>
      <c r="L26" s="106">
        <v>675</v>
      </c>
      <c r="M26" s="106">
        <v>0.75</v>
      </c>
      <c r="N26" s="106">
        <v>850</v>
      </c>
      <c r="O26" s="583">
        <v>80</v>
      </c>
      <c r="P26" s="106">
        <v>4.2</v>
      </c>
      <c r="Q26" s="106">
        <v>0.1</v>
      </c>
      <c r="R26" s="106">
        <v>0.25</v>
      </c>
      <c r="S26" s="662">
        <v>0.33</v>
      </c>
      <c r="T26" s="662">
        <v>74</v>
      </c>
    </row>
    <row r="27" spans="2:20">
      <c r="B27" s="663" t="s">
        <v>1624</v>
      </c>
      <c r="C27" s="664" t="s">
        <v>1147</v>
      </c>
      <c r="D27" s="583">
        <v>5</v>
      </c>
      <c r="E27" s="583">
        <v>-4</v>
      </c>
      <c r="F27" s="583">
        <v>-6</v>
      </c>
      <c r="G27" s="583">
        <v>28</v>
      </c>
      <c r="H27" s="583">
        <v>19</v>
      </c>
      <c r="I27" s="583">
        <v>2880</v>
      </c>
      <c r="J27" s="583">
        <v>8</v>
      </c>
      <c r="K27" s="583">
        <v>86</v>
      </c>
      <c r="L27" s="583">
        <v>925</v>
      </c>
      <c r="M27" s="583">
        <v>1.06</v>
      </c>
      <c r="N27" s="583">
        <v>950</v>
      </c>
      <c r="O27" s="583">
        <v>160</v>
      </c>
      <c r="P27" s="583">
        <v>1.8</v>
      </c>
      <c r="Q27" s="583">
        <v>0.2</v>
      </c>
      <c r="R27" s="583">
        <v>0.31</v>
      </c>
      <c r="S27" s="665">
        <v>0.4</v>
      </c>
      <c r="T27" s="665">
        <v>105</v>
      </c>
    </row>
    <row r="28" spans="2:20">
      <c r="B28" s="663" t="s">
        <v>1624</v>
      </c>
      <c r="C28" s="663" t="s">
        <v>1156</v>
      </c>
      <c r="D28" s="106">
        <v>665</v>
      </c>
      <c r="E28" s="106">
        <v>-38</v>
      </c>
      <c r="F28" s="106">
        <v>-40</v>
      </c>
      <c r="G28" s="106">
        <v>27</v>
      </c>
      <c r="H28" s="106">
        <v>18</v>
      </c>
      <c r="I28" s="106">
        <v>5900</v>
      </c>
      <c r="J28" s="106">
        <v>18</v>
      </c>
      <c r="K28" s="106">
        <v>75</v>
      </c>
      <c r="L28" s="106">
        <v>325</v>
      </c>
      <c r="M28" s="106">
        <v>0.49</v>
      </c>
      <c r="N28" s="106">
        <v>475</v>
      </c>
      <c r="O28" s="106">
        <v>100</v>
      </c>
      <c r="P28" s="106">
        <v>2.5</v>
      </c>
      <c r="Q28" s="106">
        <v>0.2</v>
      </c>
      <c r="R28" s="106">
        <v>0.31</v>
      </c>
      <c r="S28" s="662">
        <v>0.4</v>
      </c>
      <c r="T28" s="662">
        <v>84</v>
      </c>
    </row>
    <row r="29" spans="2:20">
      <c r="B29" s="663" t="s">
        <v>1624</v>
      </c>
      <c r="C29" s="664" t="s">
        <v>1166</v>
      </c>
      <c r="D29" s="583">
        <v>800</v>
      </c>
      <c r="E29" s="583">
        <v>-37</v>
      </c>
      <c r="F29" s="583">
        <v>-40</v>
      </c>
      <c r="G29" s="583">
        <v>24</v>
      </c>
      <c r="H29" s="583">
        <v>15</v>
      </c>
      <c r="I29" s="583">
        <v>6730</v>
      </c>
      <c r="J29" s="583">
        <v>10</v>
      </c>
      <c r="K29" s="583">
        <v>45</v>
      </c>
      <c r="L29" s="583">
        <v>265</v>
      </c>
      <c r="M29" s="583">
        <v>0.55000000000000004</v>
      </c>
      <c r="N29" s="583">
        <v>425</v>
      </c>
      <c r="O29" s="583">
        <v>380</v>
      </c>
      <c r="P29" s="583">
        <v>2.8</v>
      </c>
      <c r="Q29" s="583">
        <v>0.1</v>
      </c>
      <c r="R29" s="583">
        <v>0.23</v>
      </c>
      <c r="S29" s="665">
        <v>0.3</v>
      </c>
      <c r="T29" s="665">
        <v>77</v>
      </c>
    </row>
    <row r="30" spans="2:20">
      <c r="B30" s="663" t="s">
        <v>1624</v>
      </c>
      <c r="C30" s="663" t="s">
        <v>1172</v>
      </c>
      <c r="D30" s="106">
        <v>450</v>
      </c>
      <c r="E30" s="106">
        <v>-28</v>
      </c>
      <c r="F30" s="106">
        <v>-30</v>
      </c>
      <c r="G30" s="106">
        <v>29</v>
      </c>
      <c r="H30" s="106">
        <v>17</v>
      </c>
      <c r="I30" s="106">
        <v>4800</v>
      </c>
      <c r="J30" s="106">
        <v>10</v>
      </c>
      <c r="K30" s="106">
        <v>48</v>
      </c>
      <c r="L30" s="106">
        <v>275</v>
      </c>
      <c r="M30" s="106">
        <v>0.41</v>
      </c>
      <c r="N30" s="106">
        <v>375</v>
      </c>
      <c r="O30" s="106">
        <v>100</v>
      </c>
      <c r="P30" s="106">
        <v>1.8</v>
      </c>
      <c r="Q30" s="106">
        <v>0.2</v>
      </c>
      <c r="R30" s="106">
        <v>0.27</v>
      </c>
      <c r="S30" s="662">
        <v>0.35</v>
      </c>
      <c r="T30" s="662">
        <v>84</v>
      </c>
    </row>
    <row r="31" spans="2:20">
      <c r="B31" s="663" t="s">
        <v>1624</v>
      </c>
      <c r="C31" s="664" t="s">
        <v>1178</v>
      </c>
      <c r="D31" s="583">
        <v>10</v>
      </c>
      <c r="E31" s="583">
        <v>-6</v>
      </c>
      <c r="F31" s="583">
        <v>-8</v>
      </c>
      <c r="G31" s="583">
        <v>28</v>
      </c>
      <c r="H31" s="583">
        <v>19</v>
      </c>
      <c r="I31" s="583">
        <v>2980</v>
      </c>
      <c r="J31" s="583">
        <v>8</v>
      </c>
      <c r="K31" s="583">
        <v>103</v>
      </c>
      <c r="L31" s="583">
        <v>1000</v>
      </c>
      <c r="M31" s="583">
        <v>1.1299999999999999</v>
      </c>
      <c r="N31" s="583">
        <v>1050</v>
      </c>
      <c r="O31" s="583">
        <v>180</v>
      </c>
      <c r="P31" s="583">
        <v>1.8</v>
      </c>
      <c r="Q31" s="583">
        <v>0.4</v>
      </c>
      <c r="R31" s="583">
        <v>0.3</v>
      </c>
      <c r="S31" s="665">
        <v>0.39</v>
      </c>
      <c r="T31" s="665">
        <v>105</v>
      </c>
    </row>
    <row r="32" spans="2:20">
      <c r="B32" s="663" t="s">
        <v>1624</v>
      </c>
      <c r="C32" s="663" t="s">
        <v>1625</v>
      </c>
      <c r="D32" s="106">
        <v>1065</v>
      </c>
      <c r="E32" s="106">
        <v>-28</v>
      </c>
      <c r="F32" s="106">
        <v>-31</v>
      </c>
      <c r="G32" s="106">
        <v>30</v>
      </c>
      <c r="H32" s="106">
        <v>19</v>
      </c>
      <c r="I32" s="106">
        <v>4600</v>
      </c>
      <c r="J32" s="106">
        <v>13</v>
      </c>
      <c r="K32" s="106">
        <v>64</v>
      </c>
      <c r="L32" s="106">
        <v>440</v>
      </c>
      <c r="M32" s="106">
        <v>0.48</v>
      </c>
      <c r="N32" s="106">
        <v>650</v>
      </c>
      <c r="O32" s="106">
        <v>100</v>
      </c>
      <c r="P32" s="106">
        <v>3.6</v>
      </c>
      <c r="Q32" s="106">
        <v>0.2</v>
      </c>
      <c r="R32" s="106">
        <v>0.31</v>
      </c>
      <c r="S32" s="662">
        <v>0.4</v>
      </c>
      <c r="T32" s="662">
        <v>90</v>
      </c>
    </row>
    <row r="33" spans="2:20">
      <c r="B33" s="663" t="s">
        <v>1624</v>
      </c>
      <c r="C33" s="664" t="s">
        <v>1185</v>
      </c>
      <c r="D33" s="583">
        <v>1010</v>
      </c>
      <c r="E33" s="583">
        <v>-27</v>
      </c>
      <c r="F33" s="583">
        <v>-30</v>
      </c>
      <c r="G33" s="583">
        <v>30</v>
      </c>
      <c r="H33" s="583">
        <v>19</v>
      </c>
      <c r="I33" s="583">
        <v>4750</v>
      </c>
      <c r="J33" s="583">
        <v>13</v>
      </c>
      <c r="K33" s="583">
        <v>118</v>
      </c>
      <c r="L33" s="583">
        <v>860</v>
      </c>
      <c r="M33" s="583">
        <v>0.88</v>
      </c>
      <c r="N33" s="583">
        <v>1175</v>
      </c>
      <c r="O33" s="583">
        <v>100</v>
      </c>
      <c r="P33" s="583">
        <v>4.5</v>
      </c>
      <c r="Q33" s="583">
        <v>0.2</v>
      </c>
      <c r="R33" s="583">
        <v>0.31</v>
      </c>
      <c r="S33" s="665">
        <v>0.4</v>
      </c>
      <c r="T33" s="665">
        <v>91</v>
      </c>
    </row>
    <row r="34" spans="2:20">
      <c r="B34" s="663" t="s">
        <v>1624</v>
      </c>
      <c r="C34" s="663" t="s">
        <v>1192</v>
      </c>
      <c r="D34" s="106">
        <v>465</v>
      </c>
      <c r="E34" s="106">
        <v>-39</v>
      </c>
      <c r="F34" s="106">
        <v>-42</v>
      </c>
      <c r="G34" s="106">
        <v>28</v>
      </c>
      <c r="H34" s="106">
        <v>18</v>
      </c>
      <c r="I34" s="106">
        <v>6710</v>
      </c>
      <c r="J34" s="106">
        <v>15</v>
      </c>
      <c r="K34" s="106">
        <v>70</v>
      </c>
      <c r="L34" s="106">
        <v>325</v>
      </c>
      <c r="M34" s="106">
        <v>0.56000000000000005</v>
      </c>
      <c r="N34" s="106">
        <v>450</v>
      </c>
      <c r="O34" s="583">
        <v>80</v>
      </c>
      <c r="P34" s="106">
        <v>2.4</v>
      </c>
      <c r="Q34" s="106">
        <v>0.1</v>
      </c>
      <c r="R34" s="106">
        <v>0.23</v>
      </c>
      <c r="S34" s="662">
        <v>0.3</v>
      </c>
      <c r="T34" s="662">
        <v>70</v>
      </c>
    </row>
    <row r="35" spans="2:20">
      <c r="B35" s="663" t="s">
        <v>1624</v>
      </c>
      <c r="C35" s="664" t="s">
        <v>1198</v>
      </c>
      <c r="D35" s="583">
        <v>685</v>
      </c>
      <c r="E35" s="583">
        <v>-35</v>
      </c>
      <c r="F35" s="583">
        <v>-37</v>
      </c>
      <c r="G35" s="583">
        <v>26</v>
      </c>
      <c r="H35" s="583">
        <v>18</v>
      </c>
      <c r="I35" s="583">
        <v>5750</v>
      </c>
      <c r="J35" s="583">
        <v>15</v>
      </c>
      <c r="K35" s="583">
        <v>72</v>
      </c>
      <c r="L35" s="583">
        <v>320</v>
      </c>
      <c r="M35" s="583">
        <v>0.5</v>
      </c>
      <c r="N35" s="583">
        <v>475</v>
      </c>
      <c r="O35" s="583">
        <v>100</v>
      </c>
      <c r="P35" s="583">
        <v>2.8</v>
      </c>
      <c r="Q35" s="583">
        <v>0.1</v>
      </c>
      <c r="R35" s="583">
        <v>0.3</v>
      </c>
      <c r="S35" s="665">
        <v>0.39</v>
      </c>
      <c r="T35" s="665">
        <v>83</v>
      </c>
    </row>
    <row r="36" spans="2:20">
      <c r="B36" s="663" t="s">
        <v>1624</v>
      </c>
      <c r="C36" s="663" t="s">
        <v>1204</v>
      </c>
      <c r="D36" s="106">
        <v>1145</v>
      </c>
      <c r="E36" s="106">
        <v>-27</v>
      </c>
      <c r="F36" s="106">
        <v>-30</v>
      </c>
      <c r="G36" s="106">
        <v>27</v>
      </c>
      <c r="H36" s="106">
        <v>17</v>
      </c>
      <c r="I36" s="106">
        <v>5800</v>
      </c>
      <c r="J36" s="106">
        <v>10</v>
      </c>
      <c r="K36" s="106">
        <v>70</v>
      </c>
      <c r="L36" s="106">
        <v>625</v>
      </c>
      <c r="M36" s="106">
        <v>0.83</v>
      </c>
      <c r="N36" s="106">
        <v>1500</v>
      </c>
      <c r="O36" s="106">
        <v>80</v>
      </c>
      <c r="P36" s="106">
        <v>9.4</v>
      </c>
      <c r="Q36" s="106">
        <v>0.2</v>
      </c>
      <c r="R36" s="106">
        <v>0.25</v>
      </c>
      <c r="S36" s="662">
        <v>0.32</v>
      </c>
      <c r="T36" s="662">
        <v>74</v>
      </c>
    </row>
    <row r="37" spans="2:20">
      <c r="B37" s="663" t="s">
        <v>1624</v>
      </c>
      <c r="C37" s="664" t="s">
        <v>1209</v>
      </c>
      <c r="D37" s="583">
        <v>120</v>
      </c>
      <c r="E37" s="583">
        <v>-8</v>
      </c>
      <c r="F37" s="583">
        <v>-11</v>
      </c>
      <c r="G37" s="583">
        <v>31</v>
      </c>
      <c r="H37" s="583">
        <v>18</v>
      </c>
      <c r="I37" s="583">
        <v>3230</v>
      </c>
      <c r="J37" s="583">
        <v>13</v>
      </c>
      <c r="K37" s="583">
        <v>200</v>
      </c>
      <c r="L37" s="583">
        <v>2730</v>
      </c>
      <c r="M37" s="583">
        <v>2.8</v>
      </c>
      <c r="N37" s="583">
        <v>2850</v>
      </c>
      <c r="O37" s="583">
        <v>250</v>
      </c>
      <c r="P37" s="583">
        <v>2.8</v>
      </c>
      <c r="Q37" s="583">
        <v>0.6</v>
      </c>
      <c r="R37" s="583">
        <v>0.25</v>
      </c>
      <c r="S37" s="665">
        <v>0.32</v>
      </c>
      <c r="T37" s="665">
        <v>80</v>
      </c>
    </row>
    <row r="38" spans="2:20">
      <c r="B38" s="663" t="s">
        <v>1624</v>
      </c>
      <c r="C38" s="663" t="s">
        <v>1213</v>
      </c>
      <c r="D38" s="106">
        <v>790</v>
      </c>
      <c r="E38" s="106">
        <v>-27</v>
      </c>
      <c r="F38" s="106">
        <v>-30</v>
      </c>
      <c r="G38" s="106">
        <v>30</v>
      </c>
      <c r="H38" s="106">
        <v>17</v>
      </c>
      <c r="I38" s="106">
        <v>4750</v>
      </c>
      <c r="J38" s="106">
        <v>10</v>
      </c>
      <c r="K38" s="106">
        <v>55</v>
      </c>
      <c r="L38" s="106">
        <v>325</v>
      </c>
      <c r="M38" s="106">
        <v>0.56999999999999995</v>
      </c>
      <c r="N38" s="106">
        <v>500</v>
      </c>
      <c r="O38" s="106">
        <v>100</v>
      </c>
      <c r="P38" s="106">
        <v>3.7</v>
      </c>
      <c r="Q38" s="106">
        <v>0.2</v>
      </c>
      <c r="R38" s="106">
        <v>0.27</v>
      </c>
      <c r="S38" s="662">
        <v>0.35</v>
      </c>
      <c r="T38" s="662">
        <v>78</v>
      </c>
    </row>
    <row r="39" spans="2:20">
      <c r="B39" s="663" t="s">
        <v>1624</v>
      </c>
      <c r="C39" s="664" t="s">
        <v>1218</v>
      </c>
      <c r="D39" s="583">
        <v>565</v>
      </c>
      <c r="E39" s="583">
        <v>-19</v>
      </c>
      <c r="F39" s="583">
        <v>-22</v>
      </c>
      <c r="G39" s="583">
        <v>34</v>
      </c>
      <c r="H39" s="583">
        <v>20</v>
      </c>
      <c r="I39" s="583">
        <v>3820</v>
      </c>
      <c r="J39" s="583">
        <v>10</v>
      </c>
      <c r="K39" s="583">
        <v>48</v>
      </c>
      <c r="L39" s="583">
        <v>390</v>
      </c>
      <c r="M39" s="583">
        <v>0.47</v>
      </c>
      <c r="N39" s="583">
        <v>475</v>
      </c>
      <c r="O39" s="583">
        <v>80</v>
      </c>
      <c r="P39" s="583">
        <v>2.8</v>
      </c>
      <c r="Q39" s="583">
        <v>0.1</v>
      </c>
      <c r="R39" s="583">
        <v>0.31</v>
      </c>
      <c r="S39" s="665">
        <v>0.4</v>
      </c>
      <c r="T39" s="665">
        <v>83</v>
      </c>
    </row>
    <row r="40" spans="2:20">
      <c r="B40" s="663" t="s">
        <v>1624</v>
      </c>
      <c r="C40" s="663" t="s">
        <v>943</v>
      </c>
      <c r="D40" s="106">
        <v>745</v>
      </c>
      <c r="E40" s="106">
        <v>-20</v>
      </c>
      <c r="F40" s="106">
        <v>-23</v>
      </c>
      <c r="G40" s="106">
        <v>34</v>
      </c>
      <c r="H40" s="106">
        <v>20</v>
      </c>
      <c r="I40" s="106">
        <v>4100</v>
      </c>
      <c r="J40" s="106">
        <v>10</v>
      </c>
      <c r="K40" s="106">
        <v>64</v>
      </c>
      <c r="L40" s="106">
        <v>430</v>
      </c>
      <c r="M40" s="106">
        <v>0.51</v>
      </c>
      <c r="N40" s="106">
        <v>550</v>
      </c>
      <c r="O40" s="583">
        <v>80</v>
      </c>
      <c r="P40" s="106">
        <v>3.6</v>
      </c>
      <c r="Q40" s="106">
        <v>0.1</v>
      </c>
      <c r="R40" s="106">
        <v>0.31</v>
      </c>
      <c r="S40" s="662">
        <v>0.4</v>
      </c>
      <c r="T40" s="662">
        <v>86</v>
      </c>
    </row>
    <row r="41" spans="2:20">
      <c r="B41" s="663" t="s">
        <v>1624</v>
      </c>
      <c r="C41" s="664" t="s">
        <v>1226</v>
      </c>
      <c r="D41" s="583">
        <v>10</v>
      </c>
      <c r="E41" s="583">
        <v>-9</v>
      </c>
      <c r="F41" s="583">
        <v>-11</v>
      </c>
      <c r="G41" s="583">
        <v>30</v>
      </c>
      <c r="H41" s="583">
        <v>20</v>
      </c>
      <c r="I41" s="583">
        <v>2840</v>
      </c>
      <c r="J41" s="583">
        <v>10</v>
      </c>
      <c r="K41" s="583">
        <v>134</v>
      </c>
      <c r="L41" s="583">
        <v>1800</v>
      </c>
      <c r="M41" s="583">
        <v>1.86</v>
      </c>
      <c r="N41" s="583">
        <v>1950</v>
      </c>
      <c r="O41" s="583">
        <v>160</v>
      </c>
      <c r="P41" s="583">
        <v>2.4</v>
      </c>
      <c r="Q41" s="583">
        <v>0.2</v>
      </c>
      <c r="R41" s="583">
        <v>0.34</v>
      </c>
      <c r="S41" s="665">
        <v>0.44</v>
      </c>
      <c r="T41" s="665">
        <v>91</v>
      </c>
    </row>
    <row r="42" spans="2:20">
      <c r="B42" s="663" t="s">
        <v>1624</v>
      </c>
      <c r="C42" s="664" t="s">
        <v>1230</v>
      </c>
      <c r="D42" s="583">
        <v>40</v>
      </c>
      <c r="E42" s="583">
        <v>-13</v>
      </c>
      <c r="F42" s="583">
        <v>-15</v>
      </c>
      <c r="G42" s="583">
        <v>31</v>
      </c>
      <c r="H42" s="583">
        <v>20</v>
      </c>
      <c r="I42" s="583">
        <v>3000</v>
      </c>
      <c r="J42" s="583">
        <v>8</v>
      </c>
      <c r="K42" s="583">
        <v>139</v>
      </c>
      <c r="L42" s="583">
        <v>1825</v>
      </c>
      <c r="M42" s="583">
        <v>1.88</v>
      </c>
      <c r="N42" s="583">
        <v>1900</v>
      </c>
      <c r="O42" s="583">
        <v>140</v>
      </c>
      <c r="P42" s="583">
        <v>2.8</v>
      </c>
      <c r="Q42" s="583">
        <v>0.7</v>
      </c>
      <c r="R42" s="583">
        <v>0.48</v>
      </c>
      <c r="S42" s="665">
        <v>0.63</v>
      </c>
      <c r="T42" s="665">
        <v>103</v>
      </c>
    </row>
    <row r="43" spans="2:20">
      <c r="B43" s="663" t="s">
        <v>1624</v>
      </c>
      <c r="C43" s="663" t="s">
        <v>1234</v>
      </c>
      <c r="D43" s="106">
        <v>20</v>
      </c>
      <c r="E43" s="106">
        <v>-1</v>
      </c>
      <c r="F43" s="106">
        <v>-3</v>
      </c>
      <c r="G43" s="106">
        <v>22</v>
      </c>
      <c r="H43" s="106">
        <v>17</v>
      </c>
      <c r="I43" s="106">
        <v>2900</v>
      </c>
      <c r="J43" s="106">
        <v>12</v>
      </c>
      <c r="K43" s="106">
        <v>170</v>
      </c>
      <c r="L43" s="106">
        <v>2300</v>
      </c>
      <c r="M43" s="106">
        <v>2.37</v>
      </c>
      <c r="N43" s="106">
        <v>2370</v>
      </c>
      <c r="O43" s="106">
        <v>250</v>
      </c>
      <c r="P43" s="106">
        <v>1.2</v>
      </c>
      <c r="Q43" s="106">
        <v>0.4</v>
      </c>
      <c r="R43" s="106">
        <v>0.43</v>
      </c>
      <c r="S43" s="662">
        <v>0.55000000000000004</v>
      </c>
      <c r="T43" s="662">
        <v>105</v>
      </c>
    </row>
    <row r="44" spans="2:20">
      <c r="B44" s="663" t="s">
        <v>1624</v>
      </c>
      <c r="C44" s="664" t="s">
        <v>1239</v>
      </c>
      <c r="D44" s="583">
        <v>355</v>
      </c>
      <c r="E44" s="583">
        <v>-23</v>
      </c>
      <c r="F44" s="583">
        <v>-25</v>
      </c>
      <c r="G44" s="583">
        <v>34</v>
      </c>
      <c r="H44" s="583">
        <v>20</v>
      </c>
      <c r="I44" s="583">
        <v>3450</v>
      </c>
      <c r="J44" s="583">
        <v>13</v>
      </c>
      <c r="K44" s="583">
        <v>42</v>
      </c>
      <c r="L44" s="583">
        <v>225</v>
      </c>
      <c r="M44" s="583">
        <v>0.23</v>
      </c>
      <c r="N44" s="583">
        <v>275</v>
      </c>
      <c r="O44" s="583">
        <v>80</v>
      </c>
      <c r="P44" s="583">
        <v>1.8</v>
      </c>
      <c r="Q44" s="583">
        <v>0.2</v>
      </c>
      <c r="R44" s="583">
        <v>0.31</v>
      </c>
      <c r="S44" s="665">
        <v>0.4</v>
      </c>
      <c r="T44" s="665">
        <v>84</v>
      </c>
    </row>
    <row r="45" spans="2:20">
      <c r="B45" s="663" t="s">
        <v>1624</v>
      </c>
      <c r="C45" s="663" t="s">
        <v>1243</v>
      </c>
      <c r="D45" s="106">
        <v>545</v>
      </c>
      <c r="E45" s="106">
        <v>-17</v>
      </c>
      <c r="F45" s="106">
        <v>-20</v>
      </c>
      <c r="G45" s="106">
        <v>30</v>
      </c>
      <c r="H45" s="106">
        <v>19</v>
      </c>
      <c r="I45" s="106">
        <v>3830</v>
      </c>
      <c r="J45" s="106">
        <v>10</v>
      </c>
      <c r="K45" s="106">
        <v>55</v>
      </c>
      <c r="L45" s="106">
        <v>660</v>
      </c>
      <c r="M45" s="106">
        <v>0.82</v>
      </c>
      <c r="N45" s="106">
        <v>850</v>
      </c>
      <c r="O45" s="106">
        <v>80</v>
      </c>
      <c r="P45" s="106">
        <v>2.8</v>
      </c>
      <c r="Q45" s="106">
        <v>0.1</v>
      </c>
      <c r="R45" s="106">
        <v>0.24</v>
      </c>
      <c r="S45" s="662">
        <v>0.31</v>
      </c>
      <c r="T45" s="662">
        <v>73</v>
      </c>
    </row>
    <row r="46" spans="2:20">
      <c r="B46" s="663" t="s">
        <v>1624</v>
      </c>
      <c r="C46" s="664" t="s">
        <v>1247</v>
      </c>
      <c r="D46" s="583">
        <v>350</v>
      </c>
      <c r="E46" s="583">
        <v>-17</v>
      </c>
      <c r="F46" s="583">
        <v>-20</v>
      </c>
      <c r="G46" s="583">
        <v>33</v>
      </c>
      <c r="H46" s="583">
        <v>20</v>
      </c>
      <c r="I46" s="583">
        <v>3400</v>
      </c>
      <c r="J46" s="583">
        <v>12</v>
      </c>
      <c r="K46" s="583">
        <v>43</v>
      </c>
      <c r="L46" s="583">
        <v>260</v>
      </c>
      <c r="M46" s="583">
        <v>0.28999999999999998</v>
      </c>
      <c r="N46" s="583">
        <v>325</v>
      </c>
      <c r="O46" s="583">
        <v>80</v>
      </c>
      <c r="P46" s="583">
        <v>1.7</v>
      </c>
      <c r="Q46" s="583">
        <v>0.1</v>
      </c>
      <c r="R46" s="583">
        <v>0.31</v>
      </c>
      <c r="S46" s="665">
        <v>0.4</v>
      </c>
      <c r="T46" s="665">
        <v>91</v>
      </c>
    </row>
    <row r="47" spans="2:20">
      <c r="B47" s="663" t="s">
        <v>1624</v>
      </c>
      <c r="C47" s="663" t="s">
        <v>1253</v>
      </c>
      <c r="D47" s="106">
        <v>1090</v>
      </c>
      <c r="E47" s="106">
        <v>-25</v>
      </c>
      <c r="F47" s="106">
        <v>-27</v>
      </c>
      <c r="G47" s="106">
        <v>31</v>
      </c>
      <c r="H47" s="106">
        <v>18</v>
      </c>
      <c r="I47" s="106">
        <v>4650</v>
      </c>
      <c r="J47" s="106">
        <v>12</v>
      </c>
      <c r="K47" s="106">
        <v>59</v>
      </c>
      <c r="L47" s="106">
        <v>350</v>
      </c>
      <c r="M47" s="106">
        <v>0.38</v>
      </c>
      <c r="N47" s="106">
        <v>500</v>
      </c>
      <c r="O47" s="106">
        <v>100</v>
      </c>
      <c r="P47" s="106">
        <v>3</v>
      </c>
      <c r="Q47" s="106">
        <v>0.2</v>
      </c>
      <c r="R47" s="106">
        <v>0.25</v>
      </c>
      <c r="S47" s="662">
        <v>0.33</v>
      </c>
      <c r="T47" s="662">
        <v>74</v>
      </c>
    </row>
    <row r="48" spans="2:20">
      <c r="B48" s="663" t="s">
        <v>1624</v>
      </c>
      <c r="C48" s="664" t="s">
        <v>1258</v>
      </c>
      <c r="D48" s="583">
        <v>15</v>
      </c>
      <c r="E48" s="583">
        <v>-16</v>
      </c>
      <c r="F48" s="583">
        <v>-18</v>
      </c>
      <c r="G48" s="583">
        <v>25</v>
      </c>
      <c r="H48" s="583">
        <v>16</v>
      </c>
      <c r="I48" s="583">
        <v>3750</v>
      </c>
      <c r="J48" s="583">
        <v>13</v>
      </c>
      <c r="K48" s="583">
        <v>193</v>
      </c>
      <c r="L48" s="583">
        <v>2100</v>
      </c>
      <c r="M48" s="583">
        <v>2.19</v>
      </c>
      <c r="N48" s="583">
        <v>2500</v>
      </c>
      <c r="O48" s="583">
        <v>220</v>
      </c>
      <c r="P48" s="583">
        <v>5.5</v>
      </c>
      <c r="Q48" s="583">
        <v>0.8</v>
      </c>
      <c r="R48" s="583">
        <v>0.37</v>
      </c>
      <c r="S48" s="665">
        <v>0.48</v>
      </c>
      <c r="T48" s="665">
        <v>98</v>
      </c>
    </row>
    <row r="49" spans="2:28">
      <c r="B49" s="663" t="s">
        <v>1624</v>
      </c>
      <c r="C49" s="664" t="s">
        <v>1263</v>
      </c>
      <c r="D49" s="583">
        <v>130</v>
      </c>
      <c r="E49" s="583">
        <v>-16</v>
      </c>
      <c r="F49" s="583">
        <v>-18</v>
      </c>
      <c r="G49" s="583">
        <v>24</v>
      </c>
      <c r="H49" s="583">
        <v>16</v>
      </c>
      <c r="I49" s="583">
        <v>3900</v>
      </c>
      <c r="J49" s="583">
        <v>13</v>
      </c>
      <c r="K49" s="583">
        <v>171</v>
      </c>
      <c r="L49" s="583">
        <v>1900</v>
      </c>
      <c r="M49" s="583">
        <v>2</v>
      </c>
      <c r="N49" s="583">
        <v>2300</v>
      </c>
      <c r="O49" s="583">
        <v>220</v>
      </c>
      <c r="P49" s="583">
        <v>6.5</v>
      </c>
      <c r="Q49" s="583">
        <v>0.8</v>
      </c>
      <c r="R49" s="583">
        <v>0.37</v>
      </c>
      <c r="S49" s="665">
        <v>0.48</v>
      </c>
      <c r="T49" s="665">
        <v>98</v>
      </c>
      <c r="AA49" s="129">
        <v>0.35</v>
      </c>
      <c r="AB49" s="129">
        <v>83</v>
      </c>
    </row>
    <row r="50" spans="2:28">
      <c r="B50" s="663" t="s">
        <v>1624</v>
      </c>
      <c r="C50" s="663" t="s">
        <v>1267</v>
      </c>
      <c r="D50" s="106">
        <v>3</v>
      </c>
      <c r="E50" s="106">
        <v>-6</v>
      </c>
      <c r="F50" s="106">
        <v>-8</v>
      </c>
      <c r="G50" s="106">
        <v>27</v>
      </c>
      <c r="H50" s="106">
        <v>19</v>
      </c>
      <c r="I50" s="106">
        <v>2600</v>
      </c>
      <c r="J50" s="106">
        <v>10</v>
      </c>
      <c r="K50" s="106">
        <v>80</v>
      </c>
      <c r="L50" s="106">
        <v>1000</v>
      </c>
      <c r="M50" s="106">
        <v>1.1399999999999999</v>
      </c>
      <c r="N50" s="106">
        <v>1050</v>
      </c>
      <c r="O50" s="106">
        <v>160</v>
      </c>
      <c r="P50" s="106">
        <v>1.3</v>
      </c>
      <c r="Q50" s="106">
        <v>0.2</v>
      </c>
      <c r="R50" s="106">
        <v>0.36</v>
      </c>
      <c r="S50" s="662">
        <v>0.46</v>
      </c>
      <c r="T50" s="662">
        <v>93</v>
      </c>
    </row>
    <row r="51" spans="2:28">
      <c r="B51" s="663" t="s">
        <v>1624</v>
      </c>
      <c r="C51" s="663" t="s">
        <v>1271</v>
      </c>
      <c r="D51" s="106">
        <v>80</v>
      </c>
      <c r="E51" s="106">
        <v>-7</v>
      </c>
      <c r="F51" s="106">
        <v>-9</v>
      </c>
      <c r="G51" s="106">
        <v>27</v>
      </c>
      <c r="H51" s="106">
        <v>19</v>
      </c>
      <c r="I51" s="106">
        <v>3000</v>
      </c>
      <c r="J51" s="106">
        <v>8</v>
      </c>
      <c r="K51" s="106">
        <v>97</v>
      </c>
      <c r="L51" s="106">
        <v>1075</v>
      </c>
      <c r="M51" s="106">
        <v>1.2</v>
      </c>
      <c r="N51" s="106">
        <v>1160</v>
      </c>
      <c r="O51" s="106">
        <v>180</v>
      </c>
      <c r="P51" s="106">
        <v>2.4</v>
      </c>
      <c r="Q51" s="106">
        <v>0.4</v>
      </c>
      <c r="R51" s="106">
        <v>0.31</v>
      </c>
      <c r="S51" s="662">
        <v>0.4</v>
      </c>
      <c r="T51" s="662">
        <v>90</v>
      </c>
      <c r="AA51" s="129">
        <v>0.44</v>
      </c>
      <c r="AB51" s="129">
        <v>103</v>
      </c>
    </row>
    <row r="52" spans="2:28">
      <c r="B52" s="663" t="s">
        <v>1624</v>
      </c>
      <c r="C52" s="664" t="s">
        <v>1278</v>
      </c>
      <c r="D52" s="583">
        <v>80</v>
      </c>
      <c r="E52" s="583">
        <v>-4</v>
      </c>
      <c r="F52" s="583">
        <v>-6</v>
      </c>
      <c r="G52" s="583">
        <v>27</v>
      </c>
      <c r="H52" s="583">
        <v>19</v>
      </c>
      <c r="I52" s="583">
        <v>2750</v>
      </c>
      <c r="J52" s="583">
        <v>9</v>
      </c>
      <c r="K52" s="583">
        <v>135</v>
      </c>
      <c r="L52" s="583">
        <v>1095</v>
      </c>
      <c r="M52" s="583">
        <v>1.22</v>
      </c>
      <c r="N52" s="583">
        <v>1125</v>
      </c>
      <c r="O52" s="583">
        <v>220</v>
      </c>
      <c r="P52" s="583">
        <v>1.8</v>
      </c>
      <c r="Q52" s="583">
        <v>0.3</v>
      </c>
      <c r="R52" s="583">
        <v>0.31</v>
      </c>
      <c r="S52" s="665">
        <v>0.4</v>
      </c>
      <c r="T52" s="665">
        <v>90</v>
      </c>
      <c r="AA52" s="129">
        <v>0.47</v>
      </c>
      <c r="AB52" s="129">
        <v>115</v>
      </c>
    </row>
    <row r="53" spans="2:28">
      <c r="B53" s="663" t="s">
        <v>1624</v>
      </c>
      <c r="C53" s="664" t="s">
        <v>1283</v>
      </c>
      <c r="D53" s="583">
        <v>15</v>
      </c>
      <c r="E53" s="583">
        <v>-8</v>
      </c>
      <c r="F53" s="583">
        <v>-10</v>
      </c>
      <c r="G53" s="583">
        <v>29</v>
      </c>
      <c r="H53" s="583">
        <v>20</v>
      </c>
      <c r="I53" s="583">
        <v>2700</v>
      </c>
      <c r="J53" s="583">
        <v>10</v>
      </c>
      <c r="K53" s="583">
        <v>112</v>
      </c>
      <c r="L53" s="583">
        <v>1450</v>
      </c>
      <c r="M53" s="583">
        <v>1.53</v>
      </c>
      <c r="N53" s="583">
        <v>1500</v>
      </c>
      <c r="O53" s="583">
        <v>160</v>
      </c>
      <c r="P53" s="583">
        <v>2.4</v>
      </c>
      <c r="Q53" s="583">
        <v>0.2</v>
      </c>
      <c r="R53" s="583">
        <v>0.34</v>
      </c>
      <c r="S53" s="665">
        <v>0.44</v>
      </c>
      <c r="T53" s="665">
        <v>91</v>
      </c>
    </row>
    <row r="54" spans="2:28">
      <c r="B54" s="663" t="s">
        <v>1624</v>
      </c>
      <c r="C54" s="663" t="s">
        <v>1288</v>
      </c>
      <c r="D54" s="106">
        <v>245</v>
      </c>
      <c r="E54" s="106">
        <v>-21</v>
      </c>
      <c r="F54" s="106">
        <v>-23</v>
      </c>
      <c r="G54" s="106">
        <v>34</v>
      </c>
      <c r="H54" s="106">
        <v>20</v>
      </c>
      <c r="I54" s="106">
        <v>3400</v>
      </c>
      <c r="J54" s="106">
        <v>10</v>
      </c>
      <c r="K54" s="106">
        <v>70</v>
      </c>
      <c r="L54" s="106">
        <v>300</v>
      </c>
      <c r="M54" s="106">
        <v>0.31</v>
      </c>
      <c r="N54" s="106">
        <v>350</v>
      </c>
      <c r="O54" s="106">
        <v>100</v>
      </c>
      <c r="P54" s="106">
        <v>2.1</v>
      </c>
      <c r="Q54" s="106">
        <v>0.1</v>
      </c>
      <c r="R54" s="106">
        <v>0.34</v>
      </c>
      <c r="S54" s="662">
        <v>0.44</v>
      </c>
      <c r="T54" s="662">
        <v>86</v>
      </c>
      <c r="AA54" s="129">
        <v>0.32</v>
      </c>
      <c r="AB54" s="129">
        <v>105</v>
      </c>
    </row>
    <row r="55" spans="2:28">
      <c r="B55" s="663" t="s">
        <v>1624</v>
      </c>
      <c r="C55" s="664" t="s">
        <v>1292</v>
      </c>
      <c r="D55" s="583">
        <v>325</v>
      </c>
      <c r="E55" s="583">
        <v>-17</v>
      </c>
      <c r="F55" s="583">
        <v>-20</v>
      </c>
      <c r="G55" s="583">
        <v>35</v>
      </c>
      <c r="H55" s="583">
        <v>20</v>
      </c>
      <c r="I55" s="583">
        <v>3300</v>
      </c>
      <c r="J55" s="583">
        <v>10</v>
      </c>
      <c r="K55" s="583">
        <v>70</v>
      </c>
      <c r="L55" s="583">
        <v>330</v>
      </c>
      <c r="M55" s="583">
        <v>0.33</v>
      </c>
      <c r="N55" s="583">
        <v>425</v>
      </c>
      <c r="O55" s="583">
        <v>80</v>
      </c>
      <c r="P55" s="583">
        <v>2.8</v>
      </c>
      <c r="Q55" s="583">
        <v>0.3</v>
      </c>
      <c r="R55" s="583">
        <v>0.33</v>
      </c>
      <c r="S55" s="665">
        <v>0.43</v>
      </c>
      <c r="T55" s="665">
        <v>86</v>
      </c>
      <c r="AA55" s="129">
        <v>0.38</v>
      </c>
      <c r="AB55" s="129">
        <v>82</v>
      </c>
    </row>
    <row r="56" spans="2:28">
      <c r="B56" s="663" t="s">
        <v>1624</v>
      </c>
      <c r="C56" s="663" t="s">
        <v>1298</v>
      </c>
      <c r="D56" s="106">
        <v>765</v>
      </c>
      <c r="E56" s="106">
        <v>-34</v>
      </c>
      <c r="F56" s="106">
        <v>-38</v>
      </c>
      <c r="G56" s="106">
        <v>27</v>
      </c>
      <c r="H56" s="106">
        <v>17</v>
      </c>
      <c r="I56" s="106">
        <v>5550</v>
      </c>
      <c r="J56" s="106">
        <v>10</v>
      </c>
      <c r="K56" s="106">
        <v>50</v>
      </c>
      <c r="L56" s="106">
        <v>350</v>
      </c>
      <c r="M56" s="106">
        <v>0.54</v>
      </c>
      <c r="N56" s="106">
        <v>650</v>
      </c>
      <c r="O56" s="106">
        <v>60</v>
      </c>
      <c r="P56" s="106">
        <v>5.0999999999999996</v>
      </c>
      <c r="Q56" s="106">
        <v>0.2</v>
      </c>
      <c r="R56" s="106">
        <v>0.25</v>
      </c>
      <c r="S56" s="662">
        <v>0.32</v>
      </c>
      <c r="T56" s="662">
        <v>74</v>
      </c>
      <c r="AA56" s="129"/>
      <c r="AB56" s="129"/>
    </row>
    <row r="57" spans="2:28">
      <c r="B57" s="663" t="s">
        <v>1624</v>
      </c>
      <c r="C57" s="664" t="s">
        <v>1303</v>
      </c>
      <c r="D57" s="583">
        <v>10</v>
      </c>
      <c r="E57" s="583">
        <v>-5</v>
      </c>
      <c r="F57" s="583">
        <v>-7</v>
      </c>
      <c r="G57" s="583">
        <v>17</v>
      </c>
      <c r="H57" s="583">
        <v>15</v>
      </c>
      <c r="I57" s="583">
        <v>3700</v>
      </c>
      <c r="J57" s="583">
        <v>13</v>
      </c>
      <c r="K57" s="583">
        <v>80</v>
      </c>
      <c r="L57" s="583">
        <v>1350</v>
      </c>
      <c r="M57" s="583">
        <v>1.54</v>
      </c>
      <c r="N57" s="583">
        <v>1400</v>
      </c>
      <c r="O57" s="583">
        <v>400</v>
      </c>
      <c r="P57" s="583">
        <v>1.8</v>
      </c>
      <c r="Q57" s="583">
        <v>0.4</v>
      </c>
      <c r="R57" s="583">
        <v>0.48</v>
      </c>
      <c r="S57" s="665">
        <v>0.61</v>
      </c>
      <c r="T57" s="662">
        <v>105</v>
      </c>
      <c r="AA57" s="129"/>
      <c r="AB57" s="129"/>
    </row>
    <row r="58" spans="2:28">
      <c r="B58" s="663" t="s">
        <v>1624</v>
      </c>
      <c r="C58" s="663" t="s">
        <v>1309</v>
      </c>
      <c r="D58" s="106">
        <v>730</v>
      </c>
      <c r="E58" s="106">
        <v>-29</v>
      </c>
      <c r="F58" s="106">
        <v>-32</v>
      </c>
      <c r="G58" s="106">
        <v>29</v>
      </c>
      <c r="H58" s="106">
        <v>18</v>
      </c>
      <c r="I58" s="106">
        <v>4980</v>
      </c>
      <c r="J58" s="106">
        <v>13</v>
      </c>
      <c r="K58" s="106">
        <v>54</v>
      </c>
      <c r="L58" s="106">
        <v>475</v>
      </c>
      <c r="M58" s="106">
        <v>0.64</v>
      </c>
      <c r="N58" s="106">
        <v>650</v>
      </c>
      <c r="O58" s="106">
        <v>60</v>
      </c>
      <c r="P58" s="106">
        <v>4.3</v>
      </c>
      <c r="Q58" s="106">
        <v>0.2</v>
      </c>
      <c r="R58" s="106">
        <v>0.27</v>
      </c>
      <c r="S58" s="662">
        <v>0.35</v>
      </c>
      <c r="T58" s="662">
        <v>78</v>
      </c>
      <c r="AA58" s="129"/>
      <c r="AB58" s="129"/>
    </row>
    <row r="59" spans="2:28">
      <c r="B59" s="663" t="s">
        <v>1624</v>
      </c>
      <c r="C59" s="664" t="s">
        <v>1316</v>
      </c>
      <c r="D59" s="583">
        <v>695</v>
      </c>
      <c r="E59" s="583">
        <v>-35</v>
      </c>
      <c r="F59" s="583">
        <v>-37</v>
      </c>
      <c r="G59" s="583">
        <v>27</v>
      </c>
      <c r="H59" s="583">
        <v>17</v>
      </c>
      <c r="I59" s="583">
        <v>5450</v>
      </c>
      <c r="J59" s="583">
        <v>10</v>
      </c>
      <c r="K59" s="583">
        <v>50</v>
      </c>
      <c r="L59" s="583">
        <v>350</v>
      </c>
      <c r="M59" s="583">
        <v>0.54</v>
      </c>
      <c r="N59" s="583">
        <v>650</v>
      </c>
      <c r="O59" s="583">
        <v>60</v>
      </c>
      <c r="P59" s="583">
        <v>4.0999999999999996</v>
      </c>
      <c r="Q59" s="583">
        <v>0.2</v>
      </c>
      <c r="R59" s="583">
        <v>0.25</v>
      </c>
      <c r="S59" s="665">
        <v>0.32</v>
      </c>
      <c r="T59" s="665">
        <v>74</v>
      </c>
      <c r="AA59" s="129"/>
      <c r="AB59" s="129"/>
    </row>
    <row r="60" spans="2:28">
      <c r="B60" s="663" t="s">
        <v>1624</v>
      </c>
      <c r="C60" s="663" t="s">
        <v>1322</v>
      </c>
      <c r="D60" s="106">
        <v>570</v>
      </c>
      <c r="E60" s="106">
        <v>-24</v>
      </c>
      <c r="F60" s="106">
        <v>-27</v>
      </c>
      <c r="G60" s="106">
        <v>34</v>
      </c>
      <c r="H60" s="106">
        <v>20</v>
      </c>
      <c r="I60" s="106">
        <v>3900</v>
      </c>
      <c r="J60" s="106">
        <v>8</v>
      </c>
      <c r="K60" s="106">
        <v>54</v>
      </c>
      <c r="L60" s="106">
        <v>240</v>
      </c>
      <c r="M60" s="106">
        <v>0.24</v>
      </c>
      <c r="N60" s="106">
        <v>310</v>
      </c>
      <c r="O60" s="106">
        <v>80</v>
      </c>
      <c r="P60" s="106">
        <v>1.8</v>
      </c>
      <c r="Q60" s="106">
        <v>0.3</v>
      </c>
      <c r="R60" s="106">
        <v>0.34</v>
      </c>
      <c r="S60" s="662">
        <v>0.44</v>
      </c>
      <c r="T60" s="662">
        <v>86</v>
      </c>
      <c r="AA60" s="129"/>
      <c r="AB60" s="129"/>
    </row>
    <row r="61" spans="2:28">
      <c r="B61" s="663" t="s">
        <v>1624</v>
      </c>
      <c r="C61" s="664" t="s">
        <v>1325</v>
      </c>
      <c r="D61" s="583">
        <v>45</v>
      </c>
      <c r="E61" s="583">
        <v>-9</v>
      </c>
      <c r="F61" s="583">
        <v>-11</v>
      </c>
      <c r="G61" s="583">
        <v>30</v>
      </c>
      <c r="H61" s="583">
        <v>20</v>
      </c>
      <c r="I61" s="583">
        <v>2850</v>
      </c>
      <c r="J61" s="583">
        <v>13</v>
      </c>
      <c r="K61" s="583">
        <v>123</v>
      </c>
      <c r="L61" s="583">
        <v>1650</v>
      </c>
      <c r="M61" s="583">
        <v>1.71</v>
      </c>
      <c r="N61" s="583">
        <v>1700</v>
      </c>
      <c r="O61" s="583">
        <v>160</v>
      </c>
      <c r="P61" s="583">
        <v>2.4</v>
      </c>
      <c r="Q61" s="583">
        <v>0.3</v>
      </c>
      <c r="R61" s="583">
        <v>0.33</v>
      </c>
      <c r="S61" s="665">
        <v>0.43</v>
      </c>
      <c r="T61" s="665">
        <v>103</v>
      </c>
    </row>
    <row r="62" spans="2:28">
      <c r="B62" s="663" t="s">
        <v>1624</v>
      </c>
      <c r="C62" s="663" t="s">
        <v>1328</v>
      </c>
      <c r="D62" s="106">
        <v>615</v>
      </c>
      <c r="E62" s="106">
        <v>-16</v>
      </c>
      <c r="F62" s="106" t="s">
        <v>1626</v>
      </c>
      <c r="G62" s="106">
        <v>32</v>
      </c>
      <c r="H62" s="106">
        <v>20</v>
      </c>
      <c r="I62" s="106">
        <v>3600</v>
      </c>
      <c r="J62" s="106">
        <v>10</v>
      </c>
      <c r="K62" s="106">
        <v>54</v>
      </c>
      <c r="L62" s="106">
        <v>480</v>
      </c>
      <c r="M62" s="106">
        <v>0.56000000000000005</v>
      </c>
      <c r="N62" s="106">
        <v>700</v>
      </c>
      <c r="O62" s="106">
        <v>60</v>
      </c>
      <c r="P62" s="106">
        <v>4.0999999999999996</v>
      </c>
      <c r="Q62" s="106">
        <v>0.1</v>
      </c>
      <c r="R62" s="106">
        <v>0.27</v>
      </c>
      <c r="S62" s="662">
        <v>0.35</v>
      </c>
      <c r="T62" s="662">
        <v>76</v>
      </c>
    </row>
    <row r="63" spans="2:28">
      <c r="B63" s="663" t="s">
        <v>1624</v>
      </c>
      <c r="C63" s="664" t="s">
        <v>1331</v>
      </c>
      <c r="D63" s="583">
        <v>445</v>
      </c>
      <c r="E63" s="583">
        <v>-20</v>
      </c>
      <c r="F63" s="583">
        <v>-22</v>
      </c>
      <c r="G63" s="583">
        <v>31</v>
      </c>
      <c r="H63" s="583">
        <v>20</v>
      </c>
      <c r="I63" s="583">
        <v>3560</v>
      </c>
      <c r="J63" s="583">
        <v>10</v>
      </c>
      <c r="K63" s="583">
        <v>60</v>
      </c>
      <c r="L63" s="583">
        <v>650</v>
      </c>
      <c r="M63" s="583">
        <v>0.78</v>
      </c>
      <c r="N63" s="583">
        <v>850</v>
      </c>
      <c r="O63" s="583">
        <v>60</v>
      </c>
      <c r="P63" s="583">
        <v>4.4000000000000004</v>
      </c>
      <c r="Q63" s="583">
        <v>0.1</v>
      </c>
      <c r="R63" s="583">
        <v>0.25</v>
      </c>
      <c r="S63" s="665">
        <v>0.33</v>
      </c>
      <c r="T63" s="665">
        <v>76</v>
      </c>
    </row>
    <row r="64" spans="2:28">
      <c r="B64" s="663" t="s">
        <v>1624</v>
      </c>
      <c r="C64" s="663" t="s">
        <v>1334</v>
      </c>
      <c r="D64" s="106">
        <v>15</v>
      </c>
      <c r="E64" s="106">
        <v>-6</v>
      </c>
      <c r="F64" s="106">
        <v>-8</v>
      </c>
      <c r="G64" s="106">
        <v>27</v>
      </c>
      <c r="H64" s="106">
        <v>19</v>
      </c>
      <c r="I64" s="106">
        <v>3000</v>
      </c>
      <c r="J64" s="106">
        <v>10</v>
      </c>
      <c r="K64" s="106">
        <v>91</v>
      </c>
      <c r="L64" s="106">
        <v>1000</v>
      </c>
      <c r="M64" s="106">
        <v>1.1299999999999999</v>
      </c>
      <c r="N64" s="106">
        <v>1050</v>
      </c>
      <c r="O64" s="106">
        <v>200</v>
      </c>
      <c r="P64" s="106">
        <v>2.1</v>
      </c>
      <c r="Q64" s="106">
        <v>0.4</v>
      </c>
      <c r="R64" s="106">
        <v>0.39</v>
      </c>
      <c r="S64" s="662">
        <v>0.5</v>
      </c>
      <c r="T64" s="662">
        <v>105</v>
      </c>
    </row>
    <row r="65" spans="2:20">
      <c r="B65" s="663" t="s">
        <v>1624</v>
      </c>
      <c r="C65" s="664" t="s">
        <v>1337</v>
      </c>
      <c r="D65" s="583">
        <v>600</v>
      </c>
      <c r="E65" s="583">
        <v>-18</v>
      </c>
      <c r="F65" s="583">
        <v>-20</v>
      </c>
      <c r="G65" s="583">
        <v>31</v>
      </c>
      <c r="H65" s="583">
        <v>20</v>
      </c>
      <c r="I65" s="583">
        <v>3500</v>
      </c>
      <c r="J65" s="583">
        <v>10</v>
      </c>
      <c r="K65" s="583">
        <v>59</v>
      </c>
      <c r="L65" s="583">
        <v>460</v>
      </c>
      <c r="M65" s="583">
        <v>0.56999999999999995</v>
      </c>
      <c r="N65" s="583">
        <v>700</v>
      </c>
      <c r="O65" s="583">
        <v>60</v>
      </c>
      <c r="P65" s="583">
        <v>4.2</v>
      </c>
      <c r="Q65" s="583">
        <v>0.1</v>
      </c>
      <c r="R65" s="583">
        <v>0.25</v>
      </c>
      <c r="S65" s="665">
        <v>0.33</v>
      </c>
      <c r="T65" s="665">
        <v>74</v>
      </c>
    </row>
    <row r="66" spans="2:20">
      <c r="B66" s="663" t="s">
        <v>1624</v>
      </c>
      <c r="C66" s="663" t="s">
        <v>1340</v>
      </c>
      <c r="D66" s="106">
        <v>10</v>
      </c>
      <c r="E66" s="106">
        <v>-8</v>
      </c>
      <c r="F66" s="106">
        <v>-10</v>
      </c>
      <c r="G66" s="106">
        <v>29</v>
      </c>
      <c r="H66" s="106">
        <v>19</v>
      </c>
      <c r="I66" s="106">
        <v>2800</v>
      </c>
      <c r="J66" s="106">
        <v>10</v>
      </c>
      <c r="K66" s="106">
        <v>134</v>
      </c>
      <c r="L66" s="106">
        <v>1500</v>
      </c>
      <c r="M66" s="106">
        <v>1.59</v>
      </c>
      <c r="N66" s="106">
        <v>1575</v>
      </c>
      <c r="O66" s="106">
        <v>160</v>
      </c>
      <c r="P66" s="106">
        <v>2.2999999999999998</v>
      </c>
      <c r="Q66" s="106">
        <v>0.2</v>
      </c>
      <c r="R66" s="106">
        <v>0.34</v>
      </c>
      <c r="S66" s="662">
        <v>0.44</v>
      </c>
      <c r="T66" s="662">
        <v>91</v>
      </c>
    </row>
    <row r="67" spans="2:20">
      <c r="B67" s="663" t="s">
        <v>1624</v>
      </c>
      <c r="C67" s="664" t="s">
        <v>1343</v>
      </c>
      <c r="D67" s="583">
        <v>135</v>
      </c>
      <c r="E67" s="583">
        <v>-7</v>
      </c>
      <c r="F67" s="583">
        <v>-9</v>
      </c>
      <c r="G67" s="583">
        <v>26</v>
      </c>
      <c r="H67" s="583">
        <v>19</v>
      </c>
      <c r="I67" s="583">
        <v>2910</v>
      </c>
      <c r="J67" s="583">
        <v>12</v>
      </c>
      <c r="K67" s="583">
        <v>150</v>
      </c>
      <c r="L67" s="583">
        <v>2000</v>
      </c>
      <c r="M67" s="583">
        <v>2.0699999999999998</v>
      </c>
      <c r="N67" s="583">
        <v>2100</v>
      </c>
      <c r="O67" s="583">
        <v>160</v>
      </c>
      <c r="P67" s="583">
        <v>3</v>
      </c>
      <c r="Q67" s="583">
        <v>0.3</v>
      </c>
      <c r="R67" s="583">
        <v>0.35</v>
      </c>
      <c r="S67" s="665">
        <v>0.45</v>
      </c>
      <c r="T67" s="665">
        <v>92</v>
      </c>
    </row>
    <row r="68" spans="2:20">
      <c r="B68" s="663" t="s">
        <v>1624</v>
      </c>
      <c r="C68" s="663" t="s">
        <v>1346</v>
      </c>
      <c r="D68" s="106">
        <v>10</v>
      </c>
      <c r="E68" s="106">
        <v>-10</v>
      </c>
      <c r="F68" s="106">
        <v>-12</v>
      </c>
      <c r="G68" s="106">
        <v>23</v>
      </c>
      <c r="H68" s="106">
        <v>17</v>
      </c>
      <c r="I68" s="106">
        <v>3400</v>
      </c>
      <c r="J68" s="106">
        <v>13</v>
      </c>
      <c r="K68" s="106">
        <v>260</v>
      </c>
      <c r="L68" s="106">
        <v>4150</v>
      </c>
      <c r="M68" s="106">
        <v>4.21</v>
      </c>
      <c r="N68" s="106">
        <v>4300</v>
      </c>
      <c r="O68" s="106">
        <v>350</v>
      </c>
      <c r="P68" s="106">
        <v>3.9</v>
      </c>
      <c r="Q68" s="106">
        <v>0.8</v>
      </c>
      <c r="R68" s="106">
        <v>0.46</v>
      </c>
      <c r="S68" s="662">
        <v>0.59</v>
      </c>
      <c r="T68" s="662">
        <v>103</v>
      </c>
    </row>
    <row r="69" spans="2:20">
      <c r="B69" s="663" t="s">
        <v>1624</v>
      </c>
      <c r="C69" s="664" t="s">
        <v>1349</v>
      </c>
      <c r="D69" s="583">
        <v>285</v>
      </c>
      <c r="E69" s="583">
        <v>-14</v>
      </c>
      <c r="F69" s="583">
        <v>-17</v>
      </c>
      <c r="G69" s="583">
        <v>35</v>
      </c>
      <c r="H69" s="583">
        <v>21</v>
      </c>
      <c r="I69" s="583">
        <v>3100</v>
      </c>
      <c r="J69" s="583">
        <v>10</v>
      </c>
      <c r="K69" s="583">
        <v>48</v>
      </c>
      <c r="L69" s="583">
        <v>275</v>
      </c>
      <c r="M69" s="583">
        <v>0.28000000000000003</v>
      </c>
      <c r="N69" s="583">
        <v>310</v>
      </c>
      <c r="O69" s="583">
        <v>60</v>
      </c>
      <c r="P69" s="583">
        <v>1.1000000000000001</v>
      </c>
      <c r="Q69" s="583">
        <v>0.1</v>
      </c>
      <c r="R69" s="583">
        <v>0.31</v>
      </c>
      <c r="S69" s="665">
        <v>0.4</v>
      </c>
      <c r="T69" s="665">
        <v>91</v>
      </c>
    </row>
    <row r="70" spans="2:20">
      <c r="B70" s="663" t="s">
        <v>1624</v>
      </c>
      <c r="C70" s="663" t="s">
        <v>1352</v>
      </c>
      <c r="D70" s="106">
        <v>40</v>
      </c>
      <c r="E70" s="106">
        <v>-6</v>
      </c>
      <c r="F70" s="106">
        <v>-8</v>
      </c>
      <c r="G70" s="106">
        <v>26</v>
      </c>
      <c r="H70" s="106">
        <v>19</v>
      </c>
      <c r="I70" s="106">
        <v>3200</v>
      </c>
      <c r="J70" s="106">
        <v>10</v>
      </c>
      <c r="K70" s="106">
        <v>91</v>
      </c>
      <c r="L70" s="106" t="s">
        <v>1627</v>
      </c>
      <c r="M70" s="106">
        <v>1.31</v>
      </c>
      <c r="N70" s="106">
        <v>1250</v>
      </c>
      <c r="O70" s="106">
        <v>200</v>
      </c>
      <c r="P70" s="106">
        <v>2</v>
      </c>
      <c r="Q70" s="106">
        <v>0.4</v>
      </c>
      <c r="R70" s="106">
        <v>0.39</v>
      </c>
      <c r="S70" s="662">
        <v>0.5</v>
      </c>
      <c r="T70" s="662">
        <v>105</v>
      </c>
    </row>
    <row r="71" spans="2:20">
      <c r="B71" s="663" t="s">
        <v>1624</v>
      </c>
      <c r="C71" s="664" t="s">
        <v>1355</v>
      </c>
      <c r="D71" s="583">
        <v>350</v>
      </c>
      <c r="E71" s="583">
        <v>-15</v>
      </c>
      <c r="F71" s="583">
        <v>-17</v>
      </c>
      <c r="G71" s="583">
        <v>33</v>
      </c>
      <c r="H71" s="583">
        <v>20</v>
      </c>
      <c r="I71" s="583">
        <v>3350</v>
      </c>
      <c r="J71" s="583">
        <v>10</v>
      </c>
      <c r="K71" s="583">
        <v>48</v>
      </c>
      <c r="L71" s="583">
        <v>275</v>
      </c>
      <c r="M71" s="583">
        <v>0.28000000000000003</v>
      </c>
      <c r="N71" s="583">
        <v>300</v>
      </c>
      <c r="O71" s="583">
        <v>60</v>
      </c>
      <c r="P71" s="583">
        <v>1.3</v>
      </c>
      <c r="Q71" s="583">
        <v>0.1</v>
      </c>
      <c r="R71" s="583">
        <v>0.35</v>
      </c>
      <c r="S71" s="665">
        <v>0.45</v>
      </c>
      <c r="T71" s="665">
        <v>100</v>
      </c>
    </row>
    <row r="72" spans="2:20">
      <c r="B72" s="663" t="s">
        <v>1624</v>
      </c>
      <c r="C72" s="663" t="s">
        <v>1358</v>
      </c>
      <c r="D72" s="106">
        <v>15</v>
      </c>
      <c r="E72" s="106">
        <v>-5</v>
      </c>
      <c r="F72" s="106">
        <v>-8</v>
      </c>
      <c r="G72" s="106">
        <v>31</v>
      </c>
      <c r="H72" s="106">
        <v>19</v>
      </c>
      <c r="I72" s="106">
        <v>3100</v>
      </c>
      <c r="J72" s="106">
        <v>10</v>
      </c>
      <c r="K72" s="106">
        <v>161</v>
      </c>
      <c r="L72" s="106">
        <v>1900</v>
      </c>
      <c r="M72" s="106">
        <v>2</v>
      </c>
      <c r="N72" s="106">
        <v>2000</v>
      </c>
      <c r="O72" s="106">
        <v>240</v>
      </c>
      <c r="P72" s="106">
        <v>2.6</v>
      </c>
      <c r="Q72" s="106">
        <v>0.4</v>
      </c>
      <c r="R72" s="106">
        <v>0.25</v>
      </c>
      <c r="S72" s="662">
        <v>0.32</v>
      </c>
      <c r="T72" s="662">
        <v>105</v>
      </c>
    </row>
    <row r="73" spans="2:20">
      <c r="B73" s="663" t="s">
        <v>1624</v>
      </c>
      <c r="C73" s="664" t="s">
        <v>1361</v>
      </c>
      <c r="D73" s="583">
        <v>25</v>
      </c>
      <c r="E73" s="583">
        <v>-3</v>
      </c>
      <c r="F73" s="583">
        <v>-6</v>
      </c>
      <c r="G73" s="583">
        <v>26</v>
      </c>
      <c r="H73" s="583">
        <v>17</v>
      </c>
      <c r="I73" s="583">
        <v>3010</v>
      </c>
      <c r="J73" s="583">
        <v>13</v>
      </c>
      <c r="K73" s="583">
        <v>200</v>
      </c>
      <c r="L73" s="583">
        <v>3300</v>
      </c>
      <c r="M73" s="583">
        <v>3.38</v>
      </c>
      <c r="N73" s="583">
        <v>3340</v>
      </c>
      <c r="O73" s="583">
        <v>220</v>
      </c>
      <c r="P73" s="583">
        <v>1.1000000000000001</v>
      </c>
      <c r="Q73" s="583">
        <v>0.4</v>
      </c>
      <c r="R73" s="583">
        <v>0.25</v>
      </c>
      <c r="S73" s="665">
        <v>0.32</v>
      </c>
      <c r="T73" s="665">
        <v>105</v>
      </c>
    </row>
    <row r="74" spans="2:20">
      <c r="B74" s="663" t="s">
        <v>1624</v>
      </c>
      <c r="C74" s="663" t="s">
        <v>1364</v>
      </c>
      <c r="D74" s="106">
        <v>5</v>
      </c>
      <c r="E74" s="106">
        <v>-5</v>
      </c>
      <c r="F74" s="106">
        <v>-7</v>
      </c>
      <c r="G74" s="106">
        <v>20</v>
      </c>
      <c r="H74" s="106">
        <v>16</v>
      </c>
      <c r="I74" s="106">
        <v>3440</v>
      </c>
      <c r="J74" s="106">
        <v>13</v>
      </c>
      <c r="K74" s="106">
        <v>150</v>
      </c>
      <c r="L74" s="106">
        <v>1775</v>
      </c>
      <c r="M74" s="106">
        <v>1.92</v>
      </c>
      <c r="N74" s="106">
        <v>1850</v>
      </c>
      <c r="O74" s="106">
        <v>220</v>
      </c>
      <c r="P74" s="106">
        <v>0.9</v>
      </c>
      <c r="Q74" s="106">
        <v>0.4</v>
      </c>
      <c r="R74" s="106">
        <v>0.4</v>
      </c>
      <c r="S74" s="662">
        <v>0.52</v>
      </c>
      <c r="T74" s="662">
        <v>105</v>
      </c>
    </row>
    <row r="75" spans="2:20">
      <c r="B75" s="663" t="s">
        <v>1624</v>
      </c>
      <c r="C75" s="664" t="s">
        <v>1367</v>
      </c>
      <c r="D75" s="583">
        <v>5</v>
      </c>
      <c r="E75" s="583">
        <v>-5</v>
      </c>
      <c r="F75" s="583">
        <v>-7</v>
      </c>
      <c r="G75" s="583">
        <v>22</v>
      </c>
      <c r="H75" s="583">
        <v>17</v>
      </c>
      <c r="I75" s="583">
        <v>3410</v>
      </c>
      <c r="J75" s="583">
        <v>13</v>
      </c>
      <c r="K75" s="583">
        <v>128</v>
      </c>
      <c r="L75" s="583">
        <v>1750</v>
      </c>
      <c r="M75" s="583">
        <v>1.89</v>
      </c>
      <c r="N75" s="583">
        <v>1850</v>
      </c>
      <c r="O75" s="583">
        <v>260</v>
      </c>
      <c r="P75" s="583">
        <v>1.1000000000000001</v>
      </c>
      <c r="Q75" s="583">
        <v>0.4</v>
      </c>
      <c r="R75" s="583">
        <v>0.4</v>
      </c>
      <c r="S75" s="665">
        <v>0.52</v>
      </c>
      <c r="T75" s="665">
        <v>105</v>
      </c>
    </row>
    <row r="76" spans="2:20">
      <c r="B76" s="663" t="s">
        <v>1624</v>
      </c>
      <c r="C76" s="663" t="s">
        <v>1370</v>
      </c>
      <c r="D76" s="106">
        <v>20</v>
      </c>
      <c r="E76" s="106">
        <v>-3</v>
      </c>
      <c r="F76" s="106">
        <v>-5</v>
      </c>
      <c r="G76" s="106">
        <v>24</v>
      </c>
      <c r="H76" s="106">
        <v>17</v>
      </c>
      <c r="I76" s="106">
        <v>2900</v>
      </c>
      <c r="J76" s="106">
        <v>13</v>
      </c>
      <c r="K76" s="106">
        <v>200</v>
      </c>
      <c r="L76" s="106">
        <v>3600</v>
      </c>
      <c r="M76" s="106">
        <v>3.64</v>
      </c>
      <c r="N76" s="106">
        <v>3675</v>
      </c>
      <c r="O76" s="106">
        <v>270</v>
      </c>
      <c r="P76" s="106">
        <v>1.1000000000000001</v>
      </c>
      <c r="Q76" s="106">
        <v>0.4</v>
      </c>
      <c r="R76" s="106">
        <v>0.4</v>
      </c>
      <c r="S76" s="662">
        <v>0.52</v>
      </c>
      <c r="T76" s="662">
        <v>105</v>
      </c>
    </row>
    <row r="77" spans="2:20">
      <c r="B77" s="663" t="s">
        <v>1624</v>
      </c>
      <c r="C77" s="664" t="s">
        <v>1372</v>
      </c>
      <c r="D77" s="583">
        <v>10</v>
      </c>
      <c r="E77" s="583">
        <v>-7</v>
      </c>
      <c r="F77" s="583">
        <v>-9</v>
      </c>
      <c r="G77" s="583">
        <v>26</v>
      </c>
      <c r="H77" s="583">
        <v>18</v>
      </c>
      <c r="I77" s="583">
        <v>3100</v>
      </c>
      <c r="J77" s="583">
        <v>10</v>
      </c>
      <c r="K77" s="583">
        <v>80</v>
      </c>
      <c r="L77" s="583">
        <v>1150</v>
      </c>
      <c r="M77" s="583">
        <v>1.27</v>
      </c>
      <c r="N77" s="583">
        <v>1200</v>
      </c>
      <c r="O77" s="583">
        <v>220</v>
      </c>
      <c r="P77" s="583">
        <v>1.7</v>
      </c>
      <c r="Q77" s="583">
        <v>0.4</v>
      </c>
      <c r="R77" s="583">
        <v>0.39</v>
      </c>
      <c r="S77" s="665">
        <v>0.51</v>
      </c>
      <c r="T77" s="665">
        <v>103</v>
      </c>
    </row>
    <row r="78" spans="2:20">
      <c r="B78" s="663" t="s">
        <v>1624</v>
      </c>
      <c r="C78" s="663" t="s">
        <v>1375</v>
      </c>
      <c r="D78" s="106">
        <v>580</v>
      </c>
      <c r="E78" s="106">
        <v>-32</v>
      </c>
      <c r="F78" s="106">
        <v>-36</v>
      </c>
      <c r="G78" s="106">
        <v>28</v>
      </c>
      <c r="H78" s="106">
        <v>18</v>
      </c>
      <c r="I78" s="106">
        <v>4720</v>
      </c>
      <c r="J78" s="106">
        <v>15</v>
      </c>
      <c r="K78" s="106">
        <v>54</v>
      </c>
      <c r="L78" s="106">
        <v>425</v>
      </c>
      <c r="M78" s="106">
        <v>0.57999999999999996</v>
      </c>
      <c r="N78" s="106">
        <v>600</v>
      </c>
      <c r="O78" s="583">
        <v>80</v>
      </c>
      <c r="P78" s="106">
        <v>3.4</v>
      </c>
      <c r="Q78" s="106">
        <v>0.2</v>
      </c>
      <c r="R78" s="106">
        <v>0.28999999999999998</v>
      </c>
      <c r="S78" s="662">
        <v>0.37</v>
      </c>
      <c r="T78" s="662">
        <v>81</v>
      </c>
    </row>
    <row r="79" spans="2:20">
      <c r="B79" s="663" t="s">
        <v>1624</v>
      </c>
      <c r="C79" s="664" t="s">
        <v>1378</v>
      </c>
      <c r="D79" s="583">
        <v>20</v>
      </c>
      <c r="E79" s="583">
        <v>-13</v>
      </c>
      <c r="F79" s="583">
        <v>-15</v>
      </c>
      <c r="G79" s="583">
        <v>19</v>
      </c>
      <c r="H79" s="583">
        <v>15</v>
      </c>
      <c r="I79" s="583">
        <v>3900</v>
      </c>
      <c r="J79" s="583">
        <v>13</v>
      </c>
      <c r="K79" s="583">
        <v>160</v>
      </c>
      <c r="L79" s="583">
        <v>2750</v>
      </c>
      <c r="M79" s="583">
        <v>2.84</v>
      </c>
      <c r="N79" s="583">
        <v>2900</v>
      </c>
      <c r="O79" s="583">
        <v>240</v>
      </c>
      <c r="P79" s="583">
        <v>1.9</v>
      </c>
      <c r="Q79" s="583">
        <v>0.4</v>
      </c>
      <c r="R79" s="583">
        <v>0.42</v>
      </c>
      <c r="S79" s="665">
        <v>0.54</v>
      </c>
      <c r="T79" s="665">
        <v>98</v>
      </c>
    </row>
    <row r="80" spans="2:20">
      <c r="B80" s="663" t="s">
        <v>1624</v>
      </c>
      <c r="C80" s="663" t="s">
        <v>1381</v>
      </c>
      <c r="D80" s="106">
        <v>655</v>
      </c>
      <c r="E80" s="106">
        <v>-24</v>
      </c>
      <c r="F80" s="106">
        <v>-29</v>
      </c>
      <c r="G80" s="106">
        <v>33</v>
      </c>
      <c r="H80" s="106">
        <v>19</v>
      </c>
      <c r="I80" s="106">
        <v>4250</v>
      </c>
      <c r="J80" s="106">
        <v>10</v>
      </c>
      <c r="K80" s="106">
        <v>43</v>
      </c>
      <c r="L80" s="106">
        <v>235</v>
      </c>
      <c r="M80" s="106">
        <v>0.35</v>
      </c>
      <c r="N80" s="106">
        <v>350</v>
      </c>
      <c r="O80" s="106">
        <v>80</v>
      </c>
      <c r="P80" s="106">
        <v>2.9</v>
      </c>
      <c r="Q80" s="106">
        <v>0.6</v>
      </c>
      <c r="R80" s="106">
        <v>0.28000000000000003</v>
      </c>
      <c r="S80" s="662">
        <v>0.36</v>
      </c>
      <c r="T80" s="662">
        <v>78</v>
      </c>
    </row>
    <row r="81" spans="2:20">
      <c r="B81" s="663" t="s">
        <v>1624</v>
      </c>
      <c r="C81" s="664" t="s">
        <v>1384</v>
      </c>
      <c r="D81" s="583">
        <v>10</v>
      </c>
      <c r="E81" s="583">
        <v>-7</v>
      </c>
      <c r="F81" s="583">
        <v>-9</v>
      </c>
      <c r="G81" s="583">
        <v>27</v>
      </c>
      <c r="H81" s="583">
        <v>19</v>
      </c>
      <c r="I81" s="583">
        <v>3200</v>
      </c>
      <c r="J81" s="583">
        <v>10</v>
      </c>
      <c r="K81" s="583">
        <v>96</v>
      </c>
      <c r="L81" s="583">
        <v>1200</v>
      </c>
      <c r="M81" s="583">
        <v>1.31</v>
      </c>
      <c r="N81" s="583">
        <v>1250</v>
      </c>
      <c r="O81" s="583">
        <v>200</v>
      </c>
      <c r="P81" s="583">
        <v>2</v>
      </c>
      <c r="Q81" s="583">
        <v>0.4</v>
      </c>
      <c r="R81" s="583">
        <v>0.41</v>
      </c>
      <c r="S81" s="665">
        <v>0.53</v>
      </c>
      <c r="T81" s="665">
        <v>105</v>
      </c>
    </row>
    <row r="82" spans="2:20">
      <c r="B82" s="663" t="s">
        <v>1624</v>
      </c>
      <c r="C82" s="663" t="s">
        <v>1387</v>
      </c>
      <c r="D82" s="106">
        <v>35</v>
      </c>
      <c r="E82" s="106">
        <v>-6</v>
      </c>
      <c r="F82" s="106">
        <v>-8</v>
      </c>
      <c r="G82" s="106">
        <v>21</v>
      </c>
      <c r="H82" s="106">
        <v>16</v>
      </c>
      <c r="I82" s="106">
        <v>3520</v>
      </c>
      <c r="J82" s="106">
        <v>13</v>
      </c>
      <c r="K82" s="106">
        <v>110</v>
      </c>
      <c r="L82" s="106">
        <v>1300</v>
      </c>
      <c r="M82" s="106">
        <v>1.47</v>
      </c>
      <c r="N82" s="106">
        <v>1350</v>
      </c>
      <c r="O82" s="106">
        <v>360</v>
      </c>
      <c r="P82" s="106">
        <v>1.8</v>
      </c>
      <c r="Q82" s="106">
        <v>0.4</v>
      </c>
      <c r="R82" s="106">
        <v>0.48</v>
      </c>
      <c r="S82" s="662">
        <v>0.61</v>
      </c>
      <c r="T82" s="662">
        <v>105</v>
      </c>
    </row>
    <row r="83" spans="2:20">
      <c r="B83" s="663" t="s">
        <v>1624</v>
      </c>
      <c r="C83" s="664" t="s">
        <v>1390</v>
      </c>
      <c r="D83" s="583">
        <v>475</v>
      </c>
      <c r="E83" s="583">
        <v>-31</v>
      </c>
      <c r="F83" s="583">
        <v>-33</v>
      </c>
      <c r="G83" s="583">
        <v>30</v>
      </c>
      <c r="H83" s="583">
        <v>17</v>
      </c>
      <c r="I83" s="583">
        <v>4650</v>
      </c>
      <c r="J83" s="583">
        <v>10</v>
      </c>
      <c r="K83" s="583">
        <v>50</v>
      </c>
      <c r="L83" s="583">
        <v>380</v>
      </c>
      <c r="M83" s="583">
        <v>0.51</v>
      </c>
      <c r="N83" s="583">
        <v>525</v>
      </c>
      <c r="O83" s="583">
        <v>80</v>
      </c>
      <c r="P83" s="583">
        <v>3</v>
      </c>
      <c r="Q83" s="583">
        <v>0.1</v>
      </c>
      <c r="R83" s="583">
        <v>0.24</v>
      </c>
      <c r="S83" s="665">
        <v>0.31</v>
      </c>
      <c r="T83" s="665">
        <v>74</v>
      </c>
    </row>
    <row r="84" spans="2:20">
      <c r="B84" s="663" t="s">
        <v>1624</v>
      </c>
      <c r="C84" s="663" t="s">
        <v>1393</v>
      </c>
      <c r="D84" s="106">
        <v>440</v>
      </c>
      <c r="E84" s="106">
        <v>-20</v>
      </c>
      <c r="F84" s="106">
        <v>-23</v>
      </c>
      <c r="G84" s="106">
        <v>31</v>
      </c>
      <c r="H84" s="106">
        <v>19</v>
      </c>
      <c r="I84" s="106">
        <v>4000</v>
      </c>
      <c r="J84" s="106">
        <v>13</v>
      </c>
      <c r="K84" s="106">
        <v>55</v>
      </c>
      <c r="L84" s="106">
        <v>625</v>
      </c>
      <c r="M84" s="106">
        <v>0.8</v>
      </c>
      <c r="N84" s="106">
        <v>950</v>
      </c>
      <c r="O84" s="106">
        <v>80</v>
      </c>
      <c r="P84" s="106">
        <v>7.2</v>
      </c>
      <c r="Q84" s="106">
        <v>0.1</v>
      </c>
      <c r="R84" s="106">
        <v>0.25</v>
      </c>
      <c r="S84" s="662">
        <v>0.32</v>
      </c>
      <c r="T84" s="662">
        <v>74</v>
      </c>
    </row>
    <row r="85" spans="2:20">
      <c r="B85" s="663" t="s">
        <v>1624</v>
      </c>
      <c r="C85" s="663" t="s">
        <v>1374</v>
      </c>
      <c r="D85" s="106">
        <v>5</v>
      </c>
      <c r="E85" s="106">
        <v>-7</v>
      </c>
      <c r="F85" s="106">
        <v>-9</v>
      </c>
      <c r="G85" s="106">
        <v>27</v>
      </c>
      <c r="H85" s="106">
        <v>19</v>
      </c>
      <c r="I85" s="106">
        <v>2800</v>
      </c>
      <c r="J85" s="106">
        <v>10</v>
      </c>
      <c r="K85" s="106">
        <v>86</v>
      </c>
      <c r="L85" s="106">
        <v>1070</v>
      </c>
      <c r="M85" s="106">
        <v>1.2</v>
      </c>
      <c r="N85" s="106">
        <v>1100</v>
      </c>
      <c r="O85" s="106">
        <v>160</v>
      </c>
      <c r="P85" s="106">
        <v>1.5</v>
      </c>
      <c r="Q85" s="106">
        <v>0.2</v>
      </c>
      <c r="R85" s="106">
        <v>0.35</v>
      </c>
      <c r="S85" s="662">
        <v>0.45</v>
      </c>
      <c r="T85" s="662">
        <v>74</v>
      </c>
    </row>
    <row r="86" spans="2:20">
      <c r="B86" s="663" t="s">
        <v>1624</v>
      </c>
      <c r="C86" s="664" t="s">
        <v>1396</v>
      </c>
      <c r="D86" s="583">
        <v>425</v>
      </c>
      <c r="E86" s="583">
        <v>-19</v>
      </c>
      <c r="F86" s="583">
        <v>-24</v>
      </c>
      <c r="G86" s="583">
        <v>33</v>
      </c>
      <c r="H86" s="583">
        <v>21</v>
      </c>
      <c r="I86" s="583">
        <v>3650</v>
      </c>
      <c r="J86" s="583">
        <v>13</v>
      </c>
      <c r="K86" s="583">
        <v>48</v>
      </c>
      <c r="L86" s="583">
        <v>400</v>
      </c>
      <c r="M86" s="583">
        <v>0.47</v>
      </c>
      <c r="N86" s="583">
        <v>525</v>
      </c>
      <c r="O86" s="583">
        <v>80</v>
      </c>
      <c r="P86" s="583">
        <v>3.5</v>
      </c>
      <c r="Q86" s="583">
        <v>0.1</v>
      </c>
      <c r="R86" s="583">
        <v>0.3</v>
      </c>
      <c r="S86" s="665">
        <v>0.39</v>
      </c>
      <c r="T86" s="665">
        <v>82</v>
      </c>
    </row>
    <row r="87" spans="2:20">
      <c r="B87" s="663" t="s">
        <v>1624</v>
      </c>
      <c r="C87" s="663" t="s">
        <v>1397</v>
      </c>
      <c r="D87" s="106">
        <v>5</v>
      </c>
      <c r="E87" s="106">
        <v>-4</v>
      </c>
      <c r="F87" s="106">
        <v>-6</v>
      </c>
      <c r="G87" s="106">
        <v>18</v>
      </c>
      <c r="H87" s="106">
        <v>15</v>
      </c>
      <c r="I87" s="106">
        <v>3450</v>
      </c>
      <c r="J87" s="106">
        <v>13</v>
      </c>
      <c r="K87" s="106">
        <v>86</v>
      </c>
      <c r="L87" s="106">
        <v>1300</v>
      </c>
      <c r="M87" s="106">
        <v>1.47</v>
      </c>
      <c r="N87" s="106">
        <v>1350</v>
      </c>
      <c r="O87" s="106">
        <v>500</v>
      </c>
      <c r="P87" s="106">
        <v>1.8</v>
      </c>
      <c r="Q87" s="106">
        <v>0.4</v>
      </c>
      <c r="R87" s="106">
        <v>0.6</v>
      </c>
      <c r="S87" s="662">
        <v>0.78</v>
      </c>
      <c r="T87" s="662">
        <v>110</v>
      </c>
    </row>
    <row r="88" spans="2:20">
      <c r="B88" s="663" t="s">
        <v>1624</v>
      </c>
      <c r="C88" s="664" t="s">
        <v>1400</v>
      </c>
      <c r="D88" s="583">
        <v>25</v>
      </c>
      <c r="E88" s="583">
        <v>-6</v>
      </c>
      <c r="F88" s="583">
        <v>-8</v>
      </c>
      <c r="G88" s="583">
        <v>27</v>
      </c>
      <c r="H88" s="583">
        <v>20</v>
      </c>
      <c r="I88" s="583">
        <v>2680</v>
      </c>
      <c r="J88" s="583">
        <v>10</v>
      </c>
      <c r="K88" s="583">
        <v>75</v>
      </c>
      <c r="L88" s="583">
        <v>1140</v>
      </c>
      <c r="M88" s="583">
        <v>1.27</v>
      </c>
      <c r="N88" s="583">
        <v>1200</v>
      </c>
      <c r="O88" s="583">
        <v>160</v>
      </c>
      <c r="P88" s="583">
        <v>1.8</v>
      </c>
      <c r="Q88" s="583">
        <v>0.4</v>
      </c>
      <c r="R88" s="583">
        <v>0.37</v>
      </c>
      <c r="S88" s="665">
        <v>0.48</v>
      </c>
      <c r="T88" s="665">
        <v>105</v>
      </c>
    </row>
    <row r="89" spans="2:20">
      <c r="B89" s="663" t="s">
        <v>1624</v>
      </c>
      <c r="C89" s="663" t="s">
        <v>1403</v>
      </c>
      <c r="D89" s="106">
        <v>10</v>
      </c>
      <c r="E89" s="106">
        <v>-4</v>
      </c>
      <c r="F89" s="106">
        <v>-6</v>
      </c>
      <c r="G89" s="106">
        <v>26</v>
      </c>
      <c r="H89" s="106">
        <v>18</v>
      </c>
      <c r="I89" s="106">
        <v>2850</v>
      </c>
      <c r="J89" s="106">
        <v>8</v>
      </c>
      <c r="K89" s="106">
        <v>96</v>
      </c>
      <c r="L89" s="106">
        <v>825</v>
      </c>
      <c r="M89" s="106">
        <v>0.97</v>
      </c>
      <c r="N89" s="106">
        <v>850</v>
      </c>
      <c r="O89" s="106">
        <v>160</v>
      </c>
      <c r="P89" s="106">
        <v>1.1000000000000001</v>
      </c>
      <c r="Q89" s="106">
        <v>0.2</v>
      </c>
      <c r="R89" s="106">
        <v>0.33</v>
      </c>
      <c r="S89" s="662">
        <v>0.42</v>
      </c>
      <c r="T89" s="662">
        <v>103</v>
      </c>
    </row>
    <row r="90" spans="2:20">
      <c r="B90" s="663" t="s">
        <v>1624</v>
      </c>
      <c r="C90" s="664" t="s">
        <v>1406</v>
      </c>
      <c r="D90" s="583">
        <v>660</v>
      </c>
      <c r="E90" s="583">
        <v>-45</v>
      </c>
      <c r="F90" s="583">
        <v>-47</v>
      </c>
      <c r="G90" s="583">
        <v>26</v>
      </c>
      <c r="H90" s="583">
        <v>17</v>
      </c>
      <c r="I90" s="583">
        <v>7100</v>
      </c>
      <c r="J90" s="583">
        <v>10</v>
      </c>
      <c r="K90" s="583">
        <v>64</v>
      </c>
      <c r="L90" s="583">
        <v>300</v>
      </c>
      <c r="M90" s="583">
        <v>0.57999999999999996</v>
      </c>
      <c r="N90" s="583">
        <v>500</v>
      </c>
      <c r="O90" s="583">
        <v>40</v>
      </c>
      <c r="P90" s="583">
        <v>2.8</v>
      </c>
      <c r="Q90" s="583">
        <v>0.1</v>
      </c>
      <c r="R90" s="583">
        <v>0.23</v>
      </c>
      <c r="S90" s="665">
        <v>0.3</v>
      </c>
      <c r="T90" s="665">
        <v>70</v>
      </c>
    </row>
    <row r="91" spans="2:20">
      <c r="B91" s="663" t="s">
        <v>1624</v>
      </c>
      <c r="C91" s="663" t="s">
        <v>1409</v>
      </c>
      <c r="D91" s="106">
        <v>500</v>
      </c>
      <c r="E91" s="106">
        <v>-29</v>
      </c>
      <c r="F91" s="106">
        <v>-31</v>
      </c>
      <c r="G91" s="106">
        <v>26</v>
      </c>
      <c r="H91" s="106">
        <v>17</v>
      </c>
      <c r="I91" s="106">
        <v>5040</v>
      </c>
      <c r="J91" s="106">
        <v>13</v>
      </c>
      <c r="K91" s="106">
        <v>60</v>
      </c>
      <c r="L91" s="106">
        <v>325</v>
      </c>
      <c r="M91" s="106">
        <v>0.6</v>
      </c>
      <c r="N91" s="106">
        <v>500</v>
      </c>
      <c r="O91" s="106">
        <v>120</v>
      </c>
      <c r="P91" s="106">
        <v>2.8</v>
      </c>
      <c r="Q91" s="106">
        <v>0.2</v>
      </c>
      <c r="R91" s="106">
        <v>0.31</v>
      </c>
      <c r="S91" s="662">
        <v>0.4</v>
      </c>
      <c r="T91" s="662">
        <v>84</v>
      </c>
    </row>
    <row r="92" spans="2:20">
      <c r="B92" s="663" t="s">
        <v>1624</v>
      </c>
      <c r="C92" s="664" t="s">
        <v>1412</v>
      </c>
      <c r="D92" s="583">
        <v>20</v>
      </c>
      <c r="E92" s="583">
        <v>-1</v>
      </c>
      <c r="F92" s="583">
        <v>-3</v>
      </c>
      <c r="G92" s="583">
        <v>21</v>
      </c>
      <c r="H92" s="583">
        <v>16</v>
      </c>
      <c r="I92" s="583">
        <v>2900</v>
      </c>
      <c r="J92" s="583">
        <v>9</v>
      </c>
      <c r="K92" s="583">
        <v>130</v>
      </c>
      <c r="L92" s="583">
        <v>1250</v>
      </c>
      <c r="M92" s="583">
        <v>1.37</v>
      </c>
      <c r="N92" s="583">
        <v>1280</v>
      </c>
      <c r="O92" s="583">
        <v>220</v>
      </c>
      <c r="P92" s="583">
        <v>1.3</v>
      </c>
      <c r="Q92" s="583">
        <v>0.3</v>
      </c>
      <c r="R92" s="583">
        <v>0.37</v>
      </c>
      <c r="S92" s="665">
        <v>0.48</v>
      </c>
      <c r="T92" s="665">
        <v>105</v>
      </c>
    </row>
    <row r="93" spans="2:20">
      <c r="B93" s="663" t="s">
        <v>1624</v>
      </c>
      <c r="C93" s="663" t="s">
        <v>1415</v>
      </c>
      <c r="D93" s="106">
        <v>5</v>
      </c>
      <c r="E93" s="106">
        <v>-9</v>
      </c>
      <c r="F93" s="106">
        <v>-11</v>
      </c>
      <c r="G93" s="106">
        <v>29</v>
      </c>
      <c r="H93" s="106">
        <v>20</v>
      </c>
      <c r="I93" s="106">
        <v>2950</v>
      </c>
      <c r="J93" s="106">
        <v>10</v>
      </c>
      <c r="K93" s="106">
        <v>140</v>
      </c>
      <c r="L93" s="106">
        <v>2050</v>
      </c>
      <c r="M93" s="106">
        <v>2.12</v>
      </c>
      <c r="N93" s="106">
        <v>2200</v>
      </c>
      <c r="O93" s="106">
        <v>160</v>
      </c>
      <c r="P93" s="106">
        <v>2.8</v>
      </c>
      <c r="Q93" s="106">
        <v>0.7</v>
      </c>
      <c r="R93" s="106">
        <v>0.39</v>
      </c>
      <c r="S93" s="662">
        <v>0.5</v>
      </c>
      <c r="T93" s="662">
        <v>98</v>
      </c>
    </row>
    <row r="94" spans="2:20">
      <c r="B94" s="663" t="s">
        <v>1624</v>
      </c>
      <c r="C94" s="664" t="s">
        <v>1418</v>
      </c>
      <c r="D94" s="583">
        <v>10</v>
      </c>
      <c r="E94" s="583">
        <v>-17</v>
      </c>
      <c r="F94" s="583" t="s">
        <v>1628</v>
      </c>
      <c r="G94" s="583">
        <v>25</v>
      </c>
      <c r="H94" s="583">
        <v>16</v>
      </c>
      <c r="I94" s="583">
        <v>4350</v>
      </c>
      <c r="J94" s="583">
        <v>13</v>
      </c>
      <c r="K94" s="583">
        <v>135</v>
      </c>
      <c r="L94" s="583">
        <v>1300</v>
      </c>
      <c r="M94" s="583">
        <v>1.47</v>
      </c>
      <c r="N94" s="583">
        <v>1900</v>
      </c>
      <c r="O94" s="583">
        <v>180</v>
      </c>
      <c r="P94" s="583">
        <v>7.9</v>
      </c>
      <c r="Q94" s="583">
        <v>0.8</v>
      </c>
      <c r="R94" s="583">
        <v>0.28000000000000003</v>
      </c>
      <c r="S94" s="665">
        <v>0.36</v>
      </c>
      <c r="T94" s="665">
        <v>86</v>
      </c>
    </row>
    <row r="95" spans="2:20">
      <c r="B95" s="663" t="s">
        <v>1624</v>
      </c>
      <c r="C95" s="664" t="s">
        <v>1421</v>
      </c>
      <c r="D95" s="583">
        <v>90</v>
      </c>
      <c r="E95" s="583">
        <v>-8</v>
      </c>
      <c r="F95" s="583">
        <v>-10</v>
      </c>
      <c r="G95" s="583">
        <v>29</v>
      </c>
      <c r="H95" s="583">
        <v>20</v>
      </c>
      <c r="I95" s="583">
        <v>2750</v>
      </c>
      <c r="J95" s="583">
        <v>10</v>
      </c>
      <c r="K95" s="583">
        <v>128</v>
      </c>
      <c r="L95" s="583">
        <v>1500</v>
      </c>
      <c r="M95" s="583">
        <v>1.58</v>
      </c>
      <c r="N95" s="583">
        <v>1575</v>
      </c>
      <c r="O95" s="583">
        <v>160</v>
      </c>
      <c r="P95" s="583">
        <v>2.4</v>
      </c>
      <c r="Q95" s="583">
        <v>0.3</v>
      </c>
      <c r="R95" s="583">
        <v>0.34</v>
      </c>
      <c r="S95" s="665">
        <v>0.44</v>
      </c>
      <c r="T95" s="665">
        <v>91</v>
      </c>
    </row>
    <row r="96" spans="2:20">
      <c r="B96" s="663" t="s">
        <v>1624</v>
      </c>
      <c r="C96" s="663" t="s">
        <v>1424</v>
      </c>
      <c r="D96" s="106">
        <v>25</v>
      </c>
      <c r="E96" s="106">
        <v>-4</v>
      </c>
      <c r="F96" s="106">
        <v>-6</v>
      </c>
      <c r="G96" s="106">
        <v>26</v>
      </c>
      <c r="H96" s="106">
        <v>18</v>
      </c>
      <c r="I96" s="106">
        <v>3150</v>
      </c>
      <c r="J96" s="106">
        <v>13</v>
      </c>
      <c r="K96" s="106">
        <v>200</v>
      </c>
      <c r="L96" s="106">
        <v>3845</v>
      </c>
      <c r="M96" s="106">
        <v>3.91</v>
      </c>
      <c r="N96" s="106">
        <v>3900</v>
      </c>
      <c r="O96" s="106">
        <v>300</v>
      </c>
      <c r="P96" s="106">
        <v>1.1000000000000001</v>
      </c>
      <c r="Q96" s="106">
        <v>0.4</v>
      </c>
      <c r="R96" s="106">
        <v>0.26</v>
      </c>
      <c r="S96" s="662">
        <v>0.34</v>
      </c>
      <c r="T96" s="662">
        <v>105</v>
      </c>
    </row>
    <row r="97" spans="2:20">
      <c r="B97" s="663" t="s">
        <v>1624</v>
      </c>
      <c r="C97" s="664" t="s">
        <v>1427</v>
      </c>
      <c r="D97" s="583">
        <v>515</v>
      </c>
      <c r="E97" s="583">
        <v>-35</v>
      </c>
      <c r="F97" s="583" t="s">
        <v>1629</v>
      </c>
      <c r="G97" s="583">
        <v>26</v>
      </c>
      <c r="H97" s="583">
        <v>18</v>
      </c>
      <c r="I97" s="583">
        <v>5720</v>
      </c>
      <c r="J97" s="583">
        <v>15</v>
      </c>
      <c r="K97" s="583">
        <v>72</v>
      </c>
      <c r="L97" s="583">
        <v>320</v>
      </c>
      <c r="M97" s="583">
        <v>0.49</v>
      </c>
      <c r="N97" s="583">
        <v>450</v>
      </c>
      <c r="O97" s="583">
        <v>100</v>
      </c>
      <c r="P97" s="583">
        <v>2.2999999999999998</v>
      </c>
      <c r="Q97" s="583">
        <v>0.1</v>
      </c>
      <c r="R97" s="583">
        <v>0.31</v>
      </c>
      <c r="S97" s="665">
        <v>0.4</v>
      </c>
      <c r="T97" s="665">
        <v>84</v>
      </c>
    </row>
    <row r="98" spans="2:20">
      <c r="B98" s="663" t="s">
        <v>1624</v>
      </c>
      <c r="C98" s="663" t="s">
        <v>1430</v>
      </c>
      <c r="D98" s="106">
        <v>60</v>
      </c>
      <c r="E98" s="106">
        <v>-19</v>
      </c>
      <c r="F98" s="106">
        <v>-21</v>
      </c>
      <c r="G98" s="106">
        <v>27</v>
      </c>
      <c r="H98" s="106">
        <v>17</v>
      </c>
      <c r="I98" s="106">
        <v>4150</v>
      </c>
      <c r="J98" s="106">
        <v>13</v>
      </c>
      <c r="K98" s="106">
        <v>120</v>
      </c>
      <c r="L98" s="106">
        <v>950</v>
      </c>
      <c r="M98" s="106">
        <v>1.08</v>
      </c>
      <c r="N98" s="106">
        <v>1150</v>
      </c>
      <c r="O98" s="106">
        <v>200</v>
      </c>
      <c r="P98" s="106">
        <v>5.4</v>
      </c>
      <c r="Q98" s="106">
        <v>0.6</v>
      </c>
      <c r="R98" s="106">
        <v>0.28000000000000003</v>
      </c>
      <c r="S98" s="662">
        <v>0.36</v>
      </c>
      <c r="T98" s="662">
        <v>79</v>
      </c>
    </row>
    <row r="99" spans="2:20">
      <c r="B99" s="663" t="s">
        <v>1624</v>
      </c>
      <c r="C99" s="664" t="s">
        <v>1433</v>
      </c>
      <c r="D99" s="583">
        <v>10</v>
      </c>
      <c r="E99" s="583">
        <v>-2</v>
      </c>
      <c r="F99" s="583">
        <v>-4</v>
      </c>
      <c r="G99" s="583">
        <v>20</v>
      </c>
      <c r="H99" s="583">
        <v>16</v>
      </c>
      <c r="I99" s="583">
        <v>3150</v>
      </c>
      <c r="J99" s="583">
        <v>13</v>
      </c>
      <c r="K99" s="583">
        <v>193</v>
      </c>
      <c r="L99" s="583">
        <v>3275</v>
      </c>
      <c r="M99" s="583">
        <v>3.36</v>
      </c>
      <c r="N99" s="583">
        <v>3300</v>
      </c>
      <c r="O99" s="583">
        <v>300</v>
      </c>
      <c r="P99" s="583">
        <v>1.1000000000000001</v>
      </c>
      <c r="Q99" s="583">
        <v>0.4</v>
      </c>
      <c r="R99" s="583">
        <v>0.53</v>
      </c>
      <c r="S99" s="665" t="s">
        <v>1630</v>
      </c>
      <c r="T99" s="665">
        <v>110</v>
      </c>
    </row>
    <row r="100" spans="2:20">
      <c r="B100" s="663" t="s">
        <v>1624</v>
      </c>
      <c r="C100" s="663" t="s">
        <v>1436</v>
      </c>
      <c r="D100" s="106">
        <v>440</v>
      </c>
      <c r="E100" s="106">
        <v>-14</v>
      </c>
      <c r="F100" s="106">
        <v>-17</v>
      </c>
      <c r="G100" s="106">
        <v>33</v>
      </c>
      <c r="H100" s="106">
        <v>20</v>
      </c>
      <c r="I100" s="106">
        <v>3600</v>
      </c>
      <c r="J100" s="106">
        <v>10</v>
      </c>
      <c r="K100" s="106">
        <v>54</v>
      </c>
      <c r="L100" s="106">
        <v>580</v>
      </c>
      <c r="M100" s="106">
        <v>0.65</v>
      </c>
      <c r="N100" s="106">
        <v>700</v>
      </c>
      <c r="O100" s="106">
        <v>60</v>
      </c>
      <c r="P100" s="106">
        <v>4.0999999999999996</v>
      </c>
      <c r="Q100" s="106">
        <v>0.1</v>
      </c>
      <c r="R100" s="106">
        <v>0.27</v>
      </c>
      <c r="S100" s="662">
        <v>0.35</v>
      </c>
      <c r="T100" s="662">
        <v>78</v>
      </c>
    </row>
    <row r="101" spans="2:20">
      <c r="B101" s="663" t="s">
        <v>1624</v>
      </c>
      <c r="C101" s="664" t="s">
        <v>1439</v>
      </c>
      <c r="D101" s="583">
        <v>5</v>
      </c>
      <c r="E101" s="583">
        <v>-2</v>
      </c>
      <c r="F101" s="583">
        <v>-4</v>
      </c>
      <c r="G101" s="583">
        <v>18</v>
      </c>
      <c r="H101" s="583">
        <v>16</v>
      </c>
      <c r="I101" s="583">
        <v>3120</v>
      </c>
      <c r="J101" s="583">
        <v>13</v>
      </c>
      <c r="K101" s="583">
        <v>180</v>
      </c>
      <c r="L101" s="583">
        <v>3175</v>
      </c>
      <c r="M101" s="583">
        <v>3.26</v>
      </c>
      <c r="N101" s="583">
        <v>3200</v>
      </c>
      <c r="O101" s="583">
        <v>280</v>
      </c>
      <c r="P101" s="583">
        <v>1</v>
      </c>
      <c r="Q101" s="583">
        <v>0.4</v>
      </c>
      <c r="R101" s="583">
        <v>0.53</v>
      </c>
      <c r="S101" s="665">
        <v>0.68</v>
      </c>
      <c r="T101" s="665">
        <v>110</v>
      </c>
    </row>
    <row r="102" spans="2:20">
      <c r="B102" s="663" t="s">
        <v>1624</v>
      </c>
      <c r="C102" s="664" t="s">
        <v>1442</v>
      </c>
      <c r="D102" s="583">
        <v>15</v>
      </c>
      <c r="E102" s="583">
        <v>-7</v>
      </c>
      <c r="F102" s="583">
        <v>-9</v>
      </c>
      <c r="G102" s="583">
        <v>28</v>
      </c>
      <c r="H102" s="583">
        <v>20</v>
      </c>
      <c r="I102" s="583">
        <v>2825</v>
      </c>
      <c r="J102" s="583">
        <v>10</v>
      </c>
      <c r="K102" s="583">
        <v>112</v>
      </c>
      <c r="L102" s="583">
        <v>1325</v>
      </c>
      <c r="M102" s="583">
        <v>1.44</v>
      </c>
      <c r="N102" s="583">
        <v>1400</v>
      </c>
      <c r="O102" s="583">
        <v>160</v>
      </c>
      <c r="P102" s="583">
        <v>1.8</v>
      </c>
      <c r="Q102" s="583">
        <v>0.2</v>
      </c>
      <c r="R102" s="583">
        <v>0.35</v>
      </c>
      <c r="S102" s="665">
        <v>0.45</v>
      </c>
      <c r="T102" s="665">
        <v>92</v>
      </c>
    </row>
    <row r="103" spans="2:20">
      <c r="B103" s="663" t="s">
        <v>1624</v>
      </c>
      <c r="C103" s="664" t="s">
        <v>1442</v>
      </c>
      <c r="D103" s="583">
        <v>120</v>
      </c>
      <c r="E103" s="583">
        <v>-6</v>
      </c>
      <c r="F103" s="583">
        <v>-8</v>
      </c>
      <c r="G103" s="583">
        <v>28</v>
      </c>
      <c r="H103" s="583">
        <v>20</v>
      </c>
      <c r="I103" s="583">
        <v>2925</v>
      </c>
      <c r="J103" s="583">
        <v>10</v>
      </c>
      <c r="K103" s="583">
        <v>107</v>
      </c>
      <c r="L103" s="583">
        <v>1325</v>
      </c>
      <c r="M103" s="583">
        <v>1.44</v>
      </c>
      <c r="N103" s="583">
        <v>1400</v>
      </c>
      <c r="O103" s="583">
        <v>160</v>
      </c>
      <c r="P103" s="583">
        <v>1.9</v>
      </c>
      <c r="Q103" s="583">
        <v>0.3</v>
      </c>
      <c r="R103" s="583">
        <v>0.35</v>
      </c>
      <c r="S103" s="665">
        <v>0.45</v>
      </c>
      <c r="T103" s="665">
        <v>92</v>
      </c>
    </row>
    <row r="104" spans="2:20">
      <c r="B104" s="663" t="s">
        <v>1624</v>
      </c>
      <c r="C104" s="664" t="s">
        <v>1447</v>
      </c>
      <c r="D104" s="583">
        <v>405</v>
      </c>
      <c r="E104" s="583">
        <v>-20</v>
      </c>
      <c r="F104" s="583">
        <v>-23</v>
      </c>
      <c r="G104" s="583">
        <v>33</v>
      </c>
      <c r="H104" s="583">
        <v>20</v>
      </c>
      <c r="I104" s="583">
        <v>3600</v>
      </c>
      <c r="J104" s="583">
        <v>13</v>
      </c>
      <c r="K104" s="583">
        <v>43</v>
      </c>
      <c r="L104" s="583">
        <v>350</v>
      </c>
      <c r="M104" s="583">
        <v>0.41</v>
      </c>
      <c r="N104" s="583">
        <v>400</v>
      </c>
      <c r="O104" s="583">
        <v>80</v>
      </c>
      <c r="P104" s="583">
        <v>2.2000000000000002</v>
      </c>
      <c r="Q104" s="583">
        <v>0.1</v>
      </c>
      <c r="R104" s="583">
        <v>0.31</v>
      </c>
      <c r="S104" s="665">
        <v>0.4</v>
      </c>
      <c r="T104" s="665">
        <v>86</v>
      </c>
    </row>
    <row r="105" spans="2:20">
      <c r="B105" s="663" t="s">
        <v>1624</v>
      </c>
      <c r="C105" s="664" t="s">
        <v>1450</v>
      </c>
      <c r="D105" s="583">
        <v>10</v>
      </c>
      <c r="E105" s="583">
        <v>-4</v>
      </c>
      <c r="F105" s="583">
        <v>-6</v>
      </c>
      <c r="G105" s="583">
        <v>24</v>
      </c>
      <c r="H105" s="583">
        <v>17</v>
      </c>
      <c r="I105" s="583">
        <v>2650</v>
      </c>
      <c r="J105" s="583">
        <v>8</v>
      </c>
      <c r="K105" s="583">
        <v>91</v>
      </c>
      <c r="L105" s="583">
        <v>800</v>
      </c>
      <c r="M105" s="583">
        <v>0.98</v>
      </c>
      <c r="N105" s="583">
        <v>825</v>
      </c>
      <c r="O105" s="583">
        <v>220</v>
      </c>
      <c r="P105" s="583">
        <v>1.1000000000000001</v>
      </c>
      <c r="Q105" s="583">
        <v>0.2</v>
      </c>
      <c r="R105" s="583">
        <v>0.44</v>
      </c>
      <c r="S105" s="665">
        <v>0.56999999999999995</v>
      </c>
      <c r="T105" s="665">
        <v>105</v>
      </c>
    </row>
    <row r="106" spans="2:20">
      <c r="B106" s="663" t="s">
        <v>1624</v>
      </c>
      <c r="C106" s="663" t="s">
        <v>1453</v>
      </c>
      <c r="D106" s="106">
        <v>45</v>
      </c>
      <c r="E106" s="106">
        <v>-7</v>
      </c>
      <c r="F106" s="106">
        <v>-9</v>
      </c>
      <c r="G106" s="106">
        <v>28</v>
      </c>
      <c r="H106" s="106">
        <v>19</v>
      </c>
      <c r="I106" s="106">
        <v>2950</v>
      </c>
      <c r="J106" s="106">
        <v>12</v>
      </c>
      <c r="K106" s="106">
        <v>150</v>
      </c>
      <c r="L106" s="106">
        <v>1600</v>
      </c>
      <c r="M106" s="106">
        <v>1.69</v>
      </c>
      <c r="N106" s="106">
        <v>1700</v>
      </c>
      <c r="O106" s="106">
        <v>160</v>
      </c>
      <c r="P106" s="106">
        <v>2.4</v>
      </c>
      <c r="Q106" s="106">
        <v>0.2</v>
      </c>
      <c r="R106" s="106">
        <v>0.37</v>
      </c>
      <c r="S106" s="662">
        <v>0.48</v>
      </c>
      <c r="T106" s="662">
        <v>92</v>
      </c>
    </row>
    <row r="107" spans="2:20">
      <c r="B107" s="663" t="s">
        <v>1624</v>
      </c>
      <c r="C107" s="663" t="s">
        <v>1456</v>
      </c>
      <c r="D107" s="106">
        <v>665</v>
      </c>
      <c r="E107" s="106">
        <v>-17</v>
      </c>
      <c r="F107" s="106">
        <v>-20</v>
      </c>
      <c r="G107" s="106">
        <v>30</v>
      </c>
      <c r="H107" s="106">
        <v>20</v>
      </c>
      <c r="I107" s="106">
        <v>4180</v>
      </c>
      <c r="J107" s="106">
        <v>10</v>
      </c>
      <c r="K107" s="106">
        <v>85</v>
      </c>
      <c r="L107" s="106">
        <v>845</v>
      </c>
      <c r="M107" s="106">
        <v>0.99</v>
      </c>
      <c r="N107" s="106">
        <v>1215</v>
      </c>
      <c r="O107" s="106">
        <v>160</v>
      </c>
      <c r="P107" s="106">
        <v>9.5</v>
      </c>
      <c r="Q107" s="106">
        <v>0.9</v>
      </c>
      <c r="R107" s="106">
        <v>0.25</v>
      </c>
      <c r="S107" s="662">
        <v>0.32</v>
      </c>
      <c r="T107" s="662">
        <v>80</v>
      </c>
    </row>
    <row r="108" spans="2:20">
      <c r="B108" s="663" t="s">
        <v>1624</v>
      </c>
      <c r="C108" s="664" t="s">
        <v>1459</v>
      </c>
      <c r="D108" s="583">
        <v>30</v>
      </c>
      <c r="E108" s="583">
        <v>-5</v>
      </c>
      <c r="F108" s="583">
        <v>-7</v>
      </c>
      <c r="G108" s="583">
        <v>25</v>
      </c>
      <c r="H108" s="583">
        <v>20</v>
      </c>
      <c r="I108" s="583">
        <v>2620</v>
      </c>
      <c r="J108" s="583">
        <v>10</v>
      </c>
      <c r="K108" s="583">
        <v>80</v>
      </c>
      <c r="L108" s="583">
        <v>1065</v>
      </c>
      <c r="M108" s="583">
        <v>1.17</v>
      </c>
      <c r="N108" s="583">
        <v>1100</v>
      </c>
      <c r="O108" s="583">
        <v>160</v>
      </c>
      <c r="P108" s="583">
        <v>2</v>
      </c>
      <c r="Q108" s="583">
        <v>0.2</v>
      </c>
      <c r="R108" s="583">
        <v>0.34</v>
      </c>
      <c r="S108" s="665">
        <v>0.44</v>
      </c>
      <c r="T108" s="665">
        <v>91</v>
      </c>
    </row>
    <row r="109" spans="2:20">
      <c r="B109" s="663" t="s">
        <v>1624</v>
      </c>
      <c r="C109" s="663" t="s">
        <v>1462</v>
      </c>
      <c r="D109" s="106">
        <v>615</v>
      </c>
      <c r="E109" s="106">
        <v>-30</v>
      </c>
      <c r="F109" s="106">
        <v>-33</v>
      </c>
      <c r="G109" s="106">
        <v>29</v>
      </c>
      <c r="H109" s="106">
        <v>17</v>
      </c>
      <c r="I109" s="106">
        <v>4400</v>
      </c>
      <c r="J109" s="106">
        <v>10</v>
      </c>
      <c r="K109" s="106">
        <v>48</v>
      </c>
      <c r="L109" s="106">
        <v>350</v>
      </c>
      <c r="M109" s="106">
        <v>0.47</v>
      </c>
      <c r="N109" s="106">
        <v>425</v>
      </c>
      <c r="O109" s="583">
        <v>80</v>
      </c>
      <c r="P109" s="106">
        <v>2.4</v>
      </c>
      <c r="Q109" s="106">
        <v>0.2</v>
      </c>
      <c r="R109" s="106">
        <v>0.27</v>
      </c>
      <c r="S109" s="662">
        <v>0.35</v>
      </c>
      <c r="T109" s="662">
        <v>82</v>
      </c>
    </row>
    <row r="110" spans="2:20">
      <c r="B110" s="663" t="s">
        <v>1624</v>
      </c>
      <c r="C110" s="664" t="s">
        <v>1465</v>
      </c>
      <c r="D110" s="583">
        <v>200</v>
      </c>
      <c r="E110" s="583">
        <v>-5</v>
      </c>
      <c r="F110" s="583">
        <v>-8</v>
      </c>
      <c r="G110" s="583">
        <v>31</v>
      </c>
      <c r="H110" s="583">
        <v>19</v>
      </c>
      <c r="I110" s="583">
        <v>3050</v>
      </c>
      <c r="J110" s="583">
        <v>10</v>
      </c>
      <c r="K110" s="583">
        <v>161</v>
      </c>
      <c r="L110" s="583">
        <v>2000</v>
      </c>
      <c r="M110" s="583">
        <v>2.09</v>
      </c>
      <c r="N110" s="583">
        <v>2100</v>
      </c>
      <c r="O110" s="583">
        <v>200</v>
      </c>
      <c r="P110" s="583">
        <v>3.5</v>
      </c>
      <c r="Q110" s="583">
        <v>0.7</v>
      </c>
      <c r="R110" s="583">
        <v>0.25</v>
      </c>
      <c r="S110" s="665">
        <v>0.32</v>
      </c>
      <c r="T110" s="665">
        <v>103</v>
      </c>
    </row>
    <row r="111" spans="2:20">
      <c r="B111" s="666" t="s">
        <v>803</v>
      </c>
      <c r="C111" s="663" t="s">
        <v>804</v>
      </c>
      <c r="D111" s="106">
        <v>515</v>
      </c>
      <c r="E111" s="106">
        <v>-35</v>
      </c>
      <c r="F111" s="106">
        <v>-38</v>
      </c>
      <c r="G111" s="106">
        <v>27</v>
      </c>
      <c r="H111" s="106">
        <v>19</v>
      </c>
      <c r="I111" s="106">
        <v>6000</v>
      </c>
      <c r="J111" s="106">
        <v>18</v>
      </c>
      <c r="K111" s="106">
        <v>86</v>
      </c>
      <c r="L111" s="106">
        <v>370</v>
      </c>
      <c r="M111" s="106">
        <v>0.57999999999999996</v>
      </c>
      <c r="N111" s="106">
        <v>480</v>
      </c>
      <c r="O111" s="583">
        <v>80</v>
      </c>
      <c r="P111" s="106">
        <v>1.5</v>
      </c>
      <c r="Q111" s="106">
        <v>0.1</v>
      </c>
      <c r="R111" s="106">
        <v>0.28000000000000003</v>
      </c>
      <c r="S111" s="662">
        <v>0.36</v>
      </c>
      <c r="T111" s="662">
        <v>84</v>
      </c>
    </row>
    <row r="112" spans="2:20">
      <c r="B112" s="666" t="s">
        <v>803</v>
      </c>
      <c r="C112" s="664" t="s">
        <v>822</v>
      </c>
      <c r="D112" s="583">
        <v>1400</v>
      </c>
      <c r="E112" s="583">
        <v>-31</v>
      </c>
      <c r="F112" s="583">
        <v>-33</v>
      </c>
      <c r="G112" s="583">
        <v>27</v>
      </c>
      <c r="H112" s="583">
        <v>16</v>
      </c>
      <c r="I112" s="583">
        <v>5500</v>
      </c>
      <c r="J112" s="106">
        <v>18</v>
      </c>
      <c r="K112" s="583">
        <v>65</v>
      </c>
      <c r="L112" s="583">
        <v>300</v>
      </c>
      <c r="M112" s="583">
        <v>0.57999999999999996</v>
      </c>
      <c r="N112" s="583">
        <v>500</v>
      </c>
      <c r="O112" s="583">
        <v>120</v>
      </c>
      <c r="P112" s="583">
        <v>3.3</v>
      </c>
      <c r="Q112" s="583">
        <v>0.1</v>
      </c>
      <c r="R112" s="583">
        <v>0.25</v>
      </c>
      <c r="S112" s="665">
        <v>0.32</v>
      </c>
      <c r="T112" s="665">
        <v>93</v>
      </c>
    </row>
    <row r="113" spans="2:20">
      <c r="B113" s="666" t="s">
        <v>803</v>
      </c>
      <c r="C113" s="663" t="s">
        <v>843</v>
      </c>
      <c r="D113" s="106">
        <v>645</v>
      </c>
      <c r="E113" s="106">
        <v>-33</v>
      </c>
      <c r="F113" s="106">
        <v>-36</v>
      </c>
      <c r="G113" s="106">
        <v>27</v>
      </c>
      <c r="H113" s="106">
        <v>19</v>
      </c>
      <c r="I113" s="106">
        <v>5740</v>
      </c>
      <c r="J113" s="106">
        <v>20</v>
      </c>
      <c r="K113" s="106">
        <v>86</v>
      </c>
      <c r="L113" s="106">
        <v>375</v>
      </c>
      <c r="M113" s="106">
        <v>0.57999999999999996</v>
      </c>
      <c r="N113" s="106">
        <v>475</v>
      </c>
      <c r="O113" s="106">
        <v>100</v>
      </c>
      <c r="P113" s="106">
        <v>1.7</v>
      </c>
      <c r="Q113" s="106">
        <v>0.1</v>
      </c>
      <c r="R113" s="106">
        <v>0.34</v>
      </c>
      <c r="S113" s="662">
        <v>0.44</v>
      </c>
      <c r="T113" s="662">
        <v>86</v>
      </c>
    </row>
    <row r="114" spans="2:20">
      <c r="B114" s="666" t="s">
        <v>803</v>
      </c>
      <c r="C114" s="664" t="s">
        <v>862</v>
      </c>
      <c r="D114" s="583">
        <v>730</v>
      </c>
      <c r="E114" s="583">
        <v>-36</v>
      </c>
      <c r="F114" s="583">
        <v>-39</v>
      </c>
      <c r="G114" s="583">
        <v>28</v>
      </c>
      <c r="H114" s="583">
        <v>18</v>
      </c>
      <c r="I114" s="583">
        <v>5700</v>
      </c>
      <c r="J114" s="583">
        <v>20</v>
      </c>
      <c r="K114" s="583">
        <v>86</v>
      </c>
      <c r="L114" s="583">
        <v>315</v>
      </c>
      <c r="M114" s="583">
        <v>0.49</v>
      </c>
      <c r="N114" s="583">
        <v>470</v>
      </c>
      <c r="O114" s="583">
        <v>100</v>
      </c>
      <c r="P114" s="583">
        <v>2.4</v>
      </c>
      <c r="Q114" s="583">
        <v>0.1</v>
      </c>
      <c r="R114" s="583">
        <v>0.28000000000000003</v>
      </c>
      <c r="S114" s="665">
        <v>0.36</v>
      </c>
      <c r="T114" s="665">
        <v>79</v>
      </c>
    </row>
    <row r="115" spans="2:20">
      <c r="B115" s="666" t="s">
        <v>803</v>
      </c>
      <c r="C115" s="663" t="s">
        <v>885</v>
      </c>
      <c r="D115" s="106">
        <v>760</v>
      </c>
      <c r="E115" s="106">
        <v>-32</v>
      </c>
      <c r="F115" s="106">
        <v>-34</v>
      </c>
      <c r="G115" s="106">
        <v>32</v>
      </c>
      <c r="H115" s="106">
        <v>20</v>
      </c>
      <c r="I115" s="106">
        <v>4880</v>
      </c>
      <c r="J115" s="106">
        <v>18</v>
      </c>
      <c r="K115" s="106">
        <v>86</v>
      </c>
      <c r="L115" s="106">
        <v>260</v>
      </c>
      <c r="M115" s="106">
        <v>0.26</v>
      </c>
      <c r="N115" s="106">
        <v>340</v>
      </c>
      <c r="O115" s="106">
        <v>220</v>
      </c>
      <c r="P115" s="106">
        <v>1.2</v>
      </c>
      <c r="Q115" s="106">
        <v>0.1</v>
      </c>
      <c r="R115" s="106">
        <v>0.4</v>
      </c>
      <c r="S115" s="662">
        <v>0.52</v>
      </c>
      <c r="T115" s="662">
        <v>96</v>
      </c>
    </row>
    <row r="116" spans="2:20">
      <c r="B116" s="666" t="s">
        <v>803</v>
      </c>
      <c r="C116" s="664" t="s">
        <v>906</v>
      </c>
      <c r="D116" s="583">
        <v>1045</v>
      </c>
      <c r="E116" s="583">
        <v>-30</v>
      </c>
      <c r="F116" s="583">
        <v>-32</v>
      </c>
      <c r="G116" s="106">
        <v>28</v>
      </c>
      <c r="H116" s="583">
        <v>17</v>
      </c>
      <c r="I116" s="583">
        <v>5000</v>
      </c>
      <c r="J116" s="583">
        <v>23</v>
      </c>
      <c r="K116" s="583">
        <v>103</v>
      </c>
      <c r="L116" s="583">
        <v>325</v>
      </c>
      <c r="M116" s="583">
        <v>0.37</v>
      </c>
      <c r="N116" s="583">
        <v>425</v>
      </c>
      <c r="O116" s="583">
        <v>220</v>
      </c>
      <c r="P116" s="583">
        <v>1.1000000000000001</v>
      </c>
      <c r="Q116" s="583">
        <v>0.1</v>
      </c>
      <c r="R116" s="583">
        <v>0.37</v>
      </c>
      <c r="S116" s="665">
        <v>0.48</v>
      </c>
      <c r="T116" s="665">
        <v>94</v>
      </c>
    </row>
    <row r="117" spans="2:20">
      <c r="B117" s="666" t="s">
        <v>803</v>
      </c>
      <c r="C117" s="663" t="s">
        <v>920</v>
      </c>
      <c r="D117" s="106">
        <v>660</v>
      </c>
      <c r="E117" s="106">
        <v>-33</v>
      </c>
      <c r="F117" s="106">
        <v>-36</v>
      </c>
      <c r="G117" s="106">
        <v>27</v>
      </c>
      <c r="H117" s="106">
        <v>19</v>
      </c>
      <c r="I117" s="106">
        <v>5750</v>
      </c>
      <c r="J117" s="106">
        <v>20</v>
      </c>
      <c r="K117" s="106">
        <v>86</v>
      </c>
      <c r="L117" s="106">
        <v>375</v>
      </c>
      <c r="M117" s="106">
        <v>0.57999999999999996</v>
      </c>
      <c r="N117" s="106">
        <v>475</v>
      </c>
      <c r="O117" s="106">
        <v>100</v>
      </c>
      <c r="P117" s="106">
        <v>1.7</v>
      </c>
      <c r="Q117" s="106">
        <v>0.1</v>
      </c>
      <c r="R117" s="106">
        <v>0.34</v>
      </c>
      <c r="S117" s="662">
        <v>0.44</v>
      </c>
      <c r="T117" s="662">
        <v>86</v>
      </c>
    </row>
    <row r="118" spans="2:20">
      <c r="B118" s="666" t="s">
        <v>803</v>
      </c>
      <c r="C118" s="664" t="s">
        <v>939</v>
      </c>
      <c r="D118" s="583">
        <v>740</v>
      </c>
      <c r="E118" s="583">
        <v>-33</v>
      </c>
      <c r="F118" s="583">
        <v>-35</v>
      </c>
      <c r="G118" s="583">
        <v>29</v>
      </c>
      <c r="H118" s="583">
        <v>19</v>
      </c>
      <c r="I118" s="583">
        <v>5500</v>
      </c>
      <c r="J118" s="583">
        <v>20</v>
      </c>
      <c r="K118" s="583">
        <v>86</v>
      </c>
      <c r="L118" s="583">
        <v>355</v>
      </c>
      <c r="M118" s="583">
        <v>0.54</v>
      </c>
      <c r="N118" s="583">
        <v>470</v>
      </c>
      <c r="O118" s="583">
        <v>160</v>
      </c>
      <c r="P118" s="583">
        <v>2</v>
      </c>
      <c r="Q118" s="583">
        <v>0.1</v>
      </c>
      <c r="R118" s="583">
        <v>0.3</v>
      </c>
      <c r="S118" s="665">
        <v>0.39</v>
      </c>
      <c r="T118" s="665">
        <v>84</v>
      </c>
    </row>
    <row r="119" spans="2:20">
      <c r="B119" s="666" t="s">
        <v>803</v>
      </c>
      <c r="C119" s="663" t="s">
        <v>957</v>
      </c>
      <c r="D119" s="106">
        <v>1320</v>
      </c>
      <c r="E119" s="106">
        <v>-31</v>
      </c>
      <c r="F119" s="106">
        <v>-33</v>
      </c>
      <c r="G119" s="106">
        <v>28</v>
      </c>
      <c r="H119" s="106">
        <v>17</v>
      </c>
      <c r="I119" s="106">
        <v>5400</v>
      </c>
      <c r="J119" s="106">
        <v>18</v>
      </c>
      <c r="K119" s="106">
        <v>86</v>
      </c>
      <c r="L119" s="106">
        <v>325</v>
      </c>
      <c r="M119" s="106">
        <v>0.56999999999999995</v>
      </c>
      <c r="N119" s="106">
        <v>500</v>
      </c>
      <c r="O119" s="106">
        <v>120</v>
      </c>
      <c r="P119" s="106">
        <v>3.2</v>
      </c>
      <c r="Q119" s="106">
        <v>0.1</v>
      </c>
      <c r="R119" s="106">
        <v>0.28999999999999998</v>
      </c>
      <c r="S119" s="662">
        <v>0.37</v>
      </c>
      <c r="T119" s="662">
        <v>87</v>
      </c>
    </row>
    <row r="120" spans="2:20">
      <c r="B120" s="666" t="s">
        <v>803</v>
      </c>
      <c r="C120" s="664" t="s">
        <v>979</v>
      </c>
      <c r="D120" s="583">
        <v>1130</v>
      </c>
      <c r="E120" s="583">
        <v>-29</v>
      </c>
      <c r="F120" s="583">
        <v>-32</v>
      </c>
      <c r="G120" s="583">
        <v>30</v>
      </c>
      <c r="H120" s="583">
        <v>19</v>
      </c>
      <c r="I120" s="583">
        <v>4700</v>
      </c>
      <c r="J120" s="583">
        <v>20</v>
      </c>
      <c r="K120" s="583">
        <v>108</v>
      </c>
      <c r="L120" s="583">
        <v>340</v>
      </c>
      <c r="M120" s="583">
        <v>0.38</v>
      </c>
      <c r="N120" s="583">
        <v>550</v>
      </c>
      <c r="O120" s="583">
        <v>140</v>
      </c>
      <c r="P120" s="583">
        <v>1.5</v>
      </c>
      <c r="Q120" s="583">
        <v>0.1</v>
      </c>
      <c r="R120" s="583">
        <v>0.56000000000000005</v>
      </c>
      <c r="S120" s="665">
        <v>0.72</v>
      </c>
      <c r="T120" s="665">
        <v>134</v>
      </c>
    </row>
    <row r="121" spans="2:20">
      <c r="B121" s="666" t="s">
        <v>803</v>
      </c>
      <c r="C121" s="663" t="s">
        <v>999</v>
      </c>
      <c r="D121" s="106">
        <v>1030</v>
      </c>
      <c r="E121" s="106">
        <v>-30</v>
      </c>
      <c r="F121" s="106">
        <v>-32</v>
      </c>
      <c r="G121" s="106">
        <v>29</v>
      </c>
      <c r="H121" s="583">
        <v>18</v>
      </c>
      <c r="I121" s="106">
        <v>4680</v>
      </c>
      <c r="J121" s="106">
        <v>15</v>
      </c>
      <c r="K121" s="106">
        <v>97</v>
      </c>
      <c r="L121" s="106">
        <v>310</v>
      </c>
      <c r="M121" s="106">
        <v>0.35</v>
      </c>
      <c r="N121" s="106">
        <v>440</v>
      </c>
      <c r="O121" s="106">
        <v>200</v>
      </c>
      <c r="P121" s="106">
        <v>1.3</v>
      </c>
      <c r="Q121" s="106">
        <v>0.1</v>
      </c>
      <c r="R121" s="106">
        <v>0.45</v>
      </c>
      <c r="S121" s="662">
        <v>0.57999999999999996</v>
      </c>
      <c r="T121" s="662">
        <v>124</v>
      </c>
    </row>
    <row r="122" spans="2:20">
      <c r="B122" s="666" t="s">
        <v>803</v>
      </c>
      <c r="C122" s="664" t="s">
        <v>1011</v>
      </c>
      <c r="D122" s="583">
        <v>540</v>
      </c>
      <c r="E122" s="583">
        <v>-35</v>
      </c>
      <c r="F122" s="583">
        <v>-38</v>
      </c>
      <c r="G122" s="583">
        <v>28</v>
      </c>
      <c r="H122" s="583">
        <v>19</v>
      </c>
      <c r="I122" s="583">
        <v>5860</v>
      </c>
      <c r="J122" s="583">
        <v>18</v>
      </c>
      <c r="K122" s="583">
        <v>81</v>
      </c>
      <c r="L122" s="583">
        <v>320</v>
      </c>
      <c r="M122" s="583">
        <v>0.53</v>
      </c>
      <c r="N122" s="583">
        <v>430</v>
      </c>
      <c r="O122" s="583">
        <v>140</v>
      </c>
      <c r="P122" s="583">
        <v>1.7</v>
      </c>
      <c r="Q122" s="583">
        <v>0.1</v>
      </c>
      <c r="R122" s="583">
        <v>0.28999999999999998</v>
      </c>
      <c r="S122" s="665">
        <v>0.38</v>
      </c>
      <c r="T122" s="665">
        <v>84</v>
      </c>
    </row>
    <row r="123" spans="2:20">
      <c r="B123" s="666" t="s">
        <v>803</v>
      </c>
      <c r="C123" s="663" t="s">
        <v>1026</v>
      </c>
      <c r="D123" s="106">
        <v>1320</v>
      </c>
      <c r="E123" s="106">
        <v>-31</v>
      </c>
      <c r="F123" s="106">
        <v>-34</v>
      </c>
      <c r="G123" s="106">
        <v>29</v>
      </c>
      <c r="H123" s="583">
        <v>18</v>
      </c>
      <c r="I123" s="106">
        <v>5210</v>
      </c>
      <c r="J123" s="106">
        <v>15</v>
      </c>
      <c r="K123" s="106">
        <v>86</v>
      </c>
      <c r="L123" s="106">
        <v>400</v>
      </c>
      <c r="M123" s="106">
        <v>0.46</v>
      </c>
      <c r="N123" s="106">
        <v>550</v>
      </c>
      <c r="O123" s="106">
        <v>120</v>
      </c>
      <c r="P123" s="106">
        <v>2.7</v>
      </c>
      <c r="Q123" s="106">
        <v>0.3</v>
      </c>
      <c r="R123" s="106">
        <v>0.48</v>
      </c>
      <c r="S123" s="662">
        <v>0.63</v>
      </c>
      <c r="T123" s="662">
        <v>115</v>
      </c>
    </row>
    <row r="124" spans="2:20">
      <c r="B124" s="666" t="s">
        <v>803</v>
      </c>
      <c r="C124" s="664" t="s">
        <v>1040</v>
      </c>
      <c r="D124" s="583">
        <v>790</v>
      </c>
      <c r="E124" s="583">
        <v>-32</v>
      </c>
      <c r="F124" s="583">
        <v>-34</v>
      </c>
      <c r="G124" s="583">
        <v>30</v>
      </c>
      <c r="H124" s="583">
        <v>19</v>
      </c>
      <c r="I124" s="583">
        <v>5640</v>
      </c>
      <c r="J124" s="583">
        <v>20</v>
      </c>
      <c r="K124" s="583">
        <v>92</v>
      </c>
      <c r="L124" s="583">
        <v>300</v>
      </c>
      <c r="M124" s="583">
        <v>0.45</v>
      </c>
      <c r="N124" s="583">
        <v>400</v>
      </c>
      <c r="O124" s="583">
        <v>200</v>
      </c>
      <c r="P124" s="583">
        <v>1.9</v>
      </c>
      <c r="Q124" s="583">
        <v>0.1</v>
      </c>
      <c r="R124" s="583">
        <v>0.28999999999999998</v>
      </c>
      <c r="S124" s="665">
        <v>0.37</v>
      </c>
      <c r="T124" s="665">
        <v>78</v>
      </c>
    </row>
    <row r="125" spans="2:20">
      <c r="B125" s="666" t="s">
        <v>803</v>
      </c>
      <c r="C125" s="663" t="s">
        <v>1054</v>
      </c>
      <c r="D125" s="106">
        <v>1175</v>
      </c>
      <c r="E125" s="106">
        <v>-29</v>
      </c>
      <c r="F125" s="106">
        <v>-32</v>
      </c>
      <c r="G125" s="106">
        <v>29</v>
      </c>
      <c r="H125" s="583">
        <v>18</v>
      </c>
      <c r="I125" s="106">
        <v>4810</v>
      </c>
      <c r="J125" s="106">
        <v>15</v>
      </c>
      <c r="K125" s="106">
        <v>92</v>
      </c>
      <c r="L125" s="106">
        <v>310</v>
      </c>
      <c r="M125" s="106">
        <v>0.36</v>
      </c>
      <c r="N125" s="106">
        <v>525</v>
      </c>
      <c r="O125" s="106">
        <v>140</v>
      </c>
      <c r="P125" s="106">
        <v>1.6</v>
      </c>
      <c r="Q125" s="106">
        <v>0.1</v>
      </c>
      <c r="R125" s="106">
        <v>0.78</v>
      </c>
      <c r="S125" s="662">
        <v>1.01</v>
      </c>
      <c r="T125" s="662">
        <v>132</v>
      </c>
    </row>
    <row r="126" spans="2:20">
      <c r="B126" s="666" t="s">
        <v>803</v>
      </c>
      <c r="C126" s="664" t="s">
        <v>1070</v>
      </c>
      <c r="D126" s="583">
        <v>665</v>
      </c>
      <c r="E126" s="583">
        <v>-32</v>
      </c>
      <c r="F126" s="583">
        <v>-34</v>
      </c>
      <c r="G126" s="583">
        <v>30</v>
      </c>
      <c r="H126" s="583">
        <v>18</v>
      </c>
      <c r="I126" s="583">
        <v>5050</v>
      </c>
      <c r="J126" s="583">
        <v>20</v>
      </c>
      <c r="K126" s="583">
        <v>86</v>
      </c>
      <c r="L126" s="583">
        <v>300</v>
      </c>
      <c r="M126" s="583">
        <v>0.39</v>
      </c>
      <c r="N126" s="583">
        <v>375</v>
      </c>
      <c r="O126" s="583">
        <v>220</v>
      </c>
      <c r="P126" s="583">
        <v>1.2</v>
      </c>
      <c r="Q126" s="583">
        <v>0.1</v>
      </c>
      <c r="R126" s="583">
        <v>0.34</v>
      </c>
      <c r="S126" s="665">
        <v>0.44</v>
      </c>
      <c r="T126" s="665">
        <v>86</v>
      </c>
    </row>
    <row r="127" spans="2:20">
      <c r="B127" s="666" t="s">
        <v>803</v>
      </c>
      <c r="C127" s="663" t="s">
        <v>1083</v>
      </c>
      <c r="D127" s="106">
        <v>645</v>
      </c>
      <c r="E127" s="106">
        <v>-30</v>
      </c>
      <c r="F127" s="106">
        <v>-33</v>
      </c>
      <c r="G127" s="106">
        <v>28</v>
      </c>
      <c r="H127" s="106">
        <v>19</v>
      </c>
      <c r="I127" s="106">
        <v>5120</v>
      </c>
      <c r="J127" s="106">
        <v>23</v>
      </c>
      <c r="K127" s="106">
        <v>97</v>
      </c>
      <c r="L127" s="106">
        <v>360</v>
      </c>
      <c r="M127" s="106">
        <v>0.48</v>
      </c>
      <c r="N127" s="106">
        <v>460</v>
      </c>
      <c r="O127" s="106">
        <v>160</v>
      </c>
      <c r="P127" s="106">
        <v>1.7</v>
      </c>
      <c r="Q127" s="106">
        <v>0.1</v>
      </c>
      <c r="R127" s="106">
        <v>0.35</v>
      </c>
      <c r="S127" s="662">
        <v>0.45</v>
      </c>
      <c r="T127" s="662">
        <v>87</v>
      </c>
    </row>
    <row r="128" spans="2:20">
      <c r="B128" s="666" t="s">
        <v>803</v>
      </c>
      <c r="C128" s="664" t="s">
        <v>1096</v>
      </c>
      <c r="D128" s="583">
        <v>920</v>
      </c>
      <c r="E128" s="583">
        <v>-34</v>
      </c>
      <c r="F128" s="583">
        <v>-37</v>
      </c>
      <c r="G128" s="583">
        <v>27</v>
      </c>
      <c r="H128" s="583">
        <v>18</v>
      </c>
      <c r="I128" s="583">
        <v>5750</v>
      </c>
      <c r="J128" s="583">
        <v>18</v>
      </c>
      <c r="K128" s="583">
        <v>81</v>
      </c>
      <c r="L128" s="583">
        <v>450</v>
      </c>
      <c r="M128" s="583">
        <v>0.63</v>
      </c>
      <c r="N128" s="583">
        <v>570</v>
      </c>
      <c r="O128" s="583">
        <v>100</v>
      </c>
      <c r="P128" s="583">
        <v>2.1</v>
      </c>
      <c r="Q128" s="583">
        <v>0.1</v>
      </c>
      <c r="R128" s="583">
        <v>0.36</v>
      </c>
      <c r="S128" s="665">
        <v>0.46</v>
      </c>
      <c r="T128" s="665">
        <v>98</v>
      </c>
    </row>
    <row r="129" spans="2:20">
      <c r="B129" s="666" t="s">
        <v>803</v>
      </c>
      <c r="C129" s="663" t="s">
        <v>1105</v>
      </c>
      <c r="D129" s="106">
        <v>220</v>
      </c>
      <c r="E129" s="106">
        <v>-41</v>
      </c>
      <c r="F129" s="106">
        <v>-43</v>
      </c>
      <c r="G129" s="106">
        <v>28</v>
      </c>
      <c r="H129" s="106">
        <v>19</v>
      </c>
      <c r="I129" s="106">
        <v>7100</v>
      </c>
      <c r="J129" s="106">
        <v>12</v>
      </c>
      <c r="K129" s="106">
        <v>81</v>
      </c>
      <c r="L129" s="106">
        <v>250</v>
      </c>
      <c r="M129" s="106">
        <v>0.56000000000000005</v>
      </c>
      <c r="N129" s="106">
        <v>390</v>
      </c>
      <c r="O129" s="106">
        <v>80</v>
      </c>
      <c r="P129" s="106">
        <v>2.2000000000000002</v>
      </c>
      <c r="Q129" s="106">
        <v>0.1</v>
      </c>
      <c r="R129" s="106">
        <v>0.28999999999999998</v>
      </c>
      <c r="S129" s="662">
        <v>0.37</v>
      </c>
      <c r="T129" s="662">
        <v>96</v>
      </c>
    </row>
    <row r="130" spans="2:20">
      <c r="B130" s="666" t="s">
        <v>803</v>
      </c>
      <c r="C130" s="664" t="s">
        <v>1116</v>
      </c>
      <c r="D130" s="583">
        <v>670</v>
      </c>
      <c r="E130" s="583">
        <v>-37</v>
      </c>
      <c r="F130" s="583">
        <v>-40</v>
      </c>
      <c r="G130" s="583">
        <v>27</v>
      </c>
      <c r="H130" s="583">
        <v>18</v>
      </c>
      <c r="I130" s="583">
        <v>5840</v>
      </c>
      <c r="J130" s="583">
        <v>15</v>
      </c>
      <c r="K130" s="583">
        <v>86</v>
      </c>
      <c r="L130" s="583">
        <v>330</v>
      </c>
      <c r="M130" s="583" t="s">
        <v>1631</v>
      </c>
      <c r="N130" s="583">
        <v>450</v>
      </c>
      <c r="O130" s="583">
        <v>100</v>
      </c>
      <c r="P130" s="583">
        <v>2.4</v>
      </c>
      <c r="Q130" s="583">
        <v>0.1</v>
      </c>
      <c r="R130" s="583">
        <v>0.27</v>
      </c>
      <c r="S130" s="665">
        <v>0.35</v>
      </c>
      <c r="T130" s="665">
        <v>78</v>
      </c>
    </row>
    <row r="131" spans="2:20">
      <c r="B131" s="666" t="s">
        <v>803</v>
      </c>
      <c r="C131" s="663" t="s">
        <v>1126</v>
      </c>
      <c r="D131" s="106">
        <v>945</v>
      </c>
      <c r="E131" s="106">
        <v>-30</v>
      </c>
      <c r="F131" s="106">
        <v>-32</v>
      </c>
      <c r="G131" s="106">
        <v>31</v>
      </c>
      <c r="H131" s="106">
        <v>19</v>
      </c>
      <c r="I131" s="106">
        <v>4600</v>
      </c>
      <c r="J131" s="106">
        <v>16</v>
      </c>
      <c r="K131" s="106">
        <v>97</v>
      </c>
      <c r="L131" s="106">
        <v>300</v>
      </c>
      <c r="M131" s="106">
        <v>0.35</v>
      </c>
      <c r="N131" s="106">
        <v>425</v>
      </c>
      <c r="O131" s="106">
        <v>180</v>
      </c>
      <c r="P131" s="106">
        <v>1.2</v>
      </c>
      <c r="Q131" s="106">
        <v>0.1</v>
      </c>
      <c r="R131" s="106">
        <v>0.53</v>
      </c>
      <c r="S131" s="662">
        <v>0.68</v>
      </c>
      <c r="T131" s="662">
        <v>126</v>
      </c>
    </row>
    <row r="132" spans="2:20">
      <c r="B132" s="666" t="s">
        <v>803</v>
      </c>
      <c r="C132" s="664" t="s">
        <v>1134</v>
      </c>
      <c r="D132" s="583">
        <v>255</v>
      </c>
      <c r="E132" s="583">
        <v>-38</v>
      </c>
      <c r="F132" s="583">
        <v>-40</v>
      </c>
      <c r="G132" s="106">
        <v>28</v>
      </c>
      <c r="H132" s="583">
        <v>19</v>
      </c>
      <c r="I132" s="583">
        <v>6250</v>
      </c>
      <c r="J132" s="583">
        <v>13</v>
      </c>
      <c r="K132" s="583">
        <v>86</v>
      </c>
      <c r="L132" s="583">
        <v>340</v>
      </c>
      <c r="M132" s="583">
        <v>0.52</v>
      </c>
      <c r="N132" s="583">
        <v>460</v>
      </c>
      <c r="O132" s="583">
        <v>60</v>
      </c>
      <c r="P132" s="583">
        <v>1.5</v>
      </c>
      <c r="Q132" s="583">
        <v>0.1</v>
      </c>
      <c r="R132" s="583">
        <v>0.27</v>
      </c>
      <c r="S132" s="665">
        <v>0.35</v>
      </c>
      <c r="T132" s="665">
        <v>78</v>
      </c>
    </row>
    <row r="133" spans="2:20">
      <c r="B133" s="666" t="s">
        <v>803</v>
      </c>
      <c r="C133" s="663" t="s">
        <v>1146</v>
      </c>
      <c r="D133" s="106">
        <v>610</v>
      </c>
      <c r="E133" s="106">
        <v>-32</v>
      </c>
      <c r="F133" s="106">
        <v>-35</v>
      </c>
      <c r="G133" s="106">
        <v>28</v>
      </c>
      <c r="H133" s="106">
        <v>19</v>
      </c>
      <c r="I133" s="106">
        <v>5420</v>
      </c>
      <c r="J133" s="106">
        <v>20</v>
      </c>
      <c r="K133" s="106">
        <v>86</v>
      </c>
      <c r="L133" s="106">
        <v>350</v>
      </c>
      <c r="M133" s="106">
        <v>0.49</v>
      </c>
      <c r="N133" s="106">
        <v>425</v>
      </c>
      <c r="O133" s="106">
        <v>140</v>
      </c>
      <c r="P133" s="106">
        <v>1.6</v>
      </c>
      <c r="Q133" s="106">
        <v>0.1</v>
      </c>
      <c r="R133" s="106">
        <v>0.33</v>
      </c>
      <c r="S133" s="662">
        <v>0.43</v>
      </c>
      <c r="T133" s="662">
        <v>86</v>
      </c>
    </row>
    <row r="134" spans="2:20">
      <c r="B134" s="666" t="s">
        <v>803</v>
      </c>
      <c r="C134" s="664" t="s">
        <v>1155</v>
      </c>
      <c r="D134" s="583">
        <v>270</v>
      </c>
      <c r="E134" s="583">
        <v>-41</v>
      </c>
      <c r="F134" s="583">
        <v>-43</v>
      </c>
      <c r="G134" s="106">
        <v>28</v>
      </c>
      <c r="H134" s="583">
        <v>18</v>
      </c>
      <c r="I134" s="583">
        <v>6700</v>
      </c>
      <c r="J134" s="583">
        <v>13</v>
      </c>
      <c r="K134" s="583">
        <v>70</v>
      </c>
      <c r="L134" s="583">
        <v>250</v>
      </c>
      <c r="M134" s="583">
        <v>0.53</v>
      </c>
      <c r="N134" s="583">
        <v>360</v>
      </c>
      <c r="O134" s="583">
        <v>60</v>
      </c>
      <c r="P134" s="583">
        <v>2.1</v>
      </c>
      <c r="Q134" s="583">
        <v>0.1</v>
      </c>
      <c r="R134" s="583">
        <v>0.23</v>
      </c>
      <c r="S134" s="665">
        <v>0.3</v>
      </c>
      <c r="T134" s="665">
        <v>70</v>
      </c>
    </row>
    <row r="135" spans="2:20">
      <c r="B135" s="666" t="s">
        <v>803</v>
      </c>
      <c r="C135" s="663" t="s">
        <v>1165</v>
      </c>
      <c r="D135" s="106">
        <v>650</v>
      </c>
      <c r="E135" s="106">
        <v>-36</v>
      </c>
      <c r="F135" s="106">
        <v>-39</v>
      </c>
      <c r="G135" s="106">
        <v>27</v>
      </c>
      <c r="H135" s="583">
        <v>18</v>
      </c>
      <c r="I135" s="106">
        <v>5790</v>
      </c>
      <c r="J135" s="106">
        <v>20</v>
      </c>
      <c r="K135" s="106">
        <v>86</v>
      </c>
      <c r="L135" s="106">
        <v>315</v>
      </c>
      <c r="M135" s="106">
        <v>0.49</v>
      </c>
      <c r="N135" s="106">
        <v>450</v>
      </c>
      <c r="O135" s="106">
        <v>120</v>
      </c>
      <c r="P135" s="106">
        <v>2.2000000000000002</v>
      </c>
      <c r="Q135" s="106">
        <v>0.1</v>
      </c>
      <c r="R135" s="106">
        <v>0.33</v>
      </c>
      <c r="S135" s="662">
        <v>0.43</v>
      </c>
      <c r="T135" s="662">
        <v>92</v>
      </c>
    </row>
    <row r="136" spans="2:20">
      <c r="B136" s="666" t="s">
        <v>803</v>
      </c>
      <c r="C136" s="664" t="s">
        <v>1171</v>
      </c>
      <c r="D136" s="583">
        <v>335</v>
      </c>
      <c r="E136" s="583">
        <v>-41</v>
      </c>
      <c r="F136" s="583">
        <v>-43</v>
      </c>
      <c r="G136" s="583">
        <v>28</v>
      </c>
      <c r="H136" s="583">
        <v>18</v>
      </c>
      <c r="I136" s="583">
        <v>6750</v>
      </c>
      <c r="J136" s="583">
        <v>13</v>
      </c>
      <c r="K136" s="583">
        <v>70</v>
      </c>
      <c r="L136" s="583">
        <v>275</v>
      </c>
      <c r="M136" s="583">
        <v>0.54</v>
      </c>
      <c r="N136" s="583">
        <v>425</v>
      </c>
      <c r="O136" s="583">
        <v>60</v>
      </c>
      <c r="P136" s="583">
        <v>2.4</v>
      </c>
      <c r="Q136" s="583">
        <v>0.1</v>
      </c>
      <c r="R136" s="583">
        <v>0.23</v>
      </c>
      <c r="S136" s="665">
        <v>0.3</v>
      </c>
      <c r="T136" s="665">
        <v>70</v>
      </c>
    </row>
    <row r="137" spans="2:20">
      <c r="B137" s="666" t="s">
        <v>803</v>
      </c>
      <c r="C137" s="663" t="s">
        <v>1177</v>
      </c>
      <c r="D137" s="106">
        <v>615</v>
      </c>
      <c r="E137" s="106">
        <v>-33</v>
      </c>
      <c r="F137" s="106">
        <v>-36</v>
      </c>
      <c r="G137" s="106">
        <v>30</v>
      </c>
      <c r="H137" s="106">
        <v>19</v>
      </c>
      <c r="I137" s="106">
        <v>5640</v>
      </c>
      <c r="J137" s="106">
        <v>20</v>
      </c>
      <c r="K137" s="106">
        <v>81</v>
      </c>
      <c r="L137" s="106">
        <v>325</v>
      </c>
      <c r="M137" s="106">
        <v>0.48</v>
      </c>
      <c r="N137" s="106">
        <v>425</v>
      </c>
      <c r="O137" s="106">
        <v>140</v>
      </c>
      <c r="P137" s="106">
        <v>1.7</v>
      </c>
      <c r="Q137" s="106">
        <v>0.1</v>
      </c>
      <c r="R137" s="106">
        <v>0.28000000000000003</v>
      </c>
      <c r="S137" s="662">
        <v>0.36</v>
      </c>
      <c r="T137" s="662">
        <v>78</v>
      </c>
    </row>
    <row r="138" spans="2:20">
      <c r="B138" s="666" t="s">
        <v>803</v>
      </c>
      <c r="C138" s="664" t="s">
        <v>1184</v>
      </c>
      <c r="D138" s="583">
        <v>1040</v>
      </c>
      <c r="E138" s="583">
        <v>-31</v>
      </c>
      <c r="F138" s="583">
        <v>-32</v>
      </c>
      <c r="G138" s="106">
        <v>28</v>
      </c>
      <c r="H138" s="583">
        <v>17</v>
      </c>
      <c r="I138" s="583">
        <v>4900</v>
      </c>
      <c r="J138" s="106">
        <v>18</v>
      </c>
      <c r="K138" s="583">
        <v>97</v>
      </c>
      <c r="L138" s="583">
        <v>300</v>
      </c>
      <c r="M138" s="583">
        <v>0.36</v>
      </c>
      <c r="N138" s="583">
        <v>425</v>
      </c>
      <c r="O138" s="583">
        <v>200</v>
      </c>
      <c r="P138" s="583">
        <v>1.3</v>
      </c>
      <c r="Q138" s="583">
        <v>0.1</v>
      </c>
      <c r="R138" s="583">
        <v>0.5</v>
      </c>
      <c r="S138" s="665">
        <v>0.65</v>
      </c>
      <c r="T138" s="665">
        <v>107</v>
      </c>
    </row>
    <row r="139" spans="2:20">
      <c r="B139" s="666" t="s">
        <v>803</v>
      </c>
      <c r="C139" s="663" t="s">
        <v>1191</v>
      </c>
      <c r="D139" s="106">
        <v>990</v>
      </c>
      <c r="E139" s="106">
        <v>-34</v>
      </c>
      <c r="F139" s="106">
        <v>-38</v>
      </c>
      <c r="G139" s="106">
        <v>27</v>
      </c>
      <c r="H139" s="106">
        <v>17</v>
      </c>
      <c r="I139" s="106">
        <v>5500</v>
      </c>
      <c r="J139" s="106">
        <v>13</v>
      </c>
      <c r="K139" s="106">
        <v>81</v>
      </c>
      <c r="L139" s="106">
        <v>375</v>
      </c>
      <c r="M139" s="106">
        <v>0.55000000000000004</v>
      </c>
      <c r="N139" s="106">
        <v>500</v>
      </c>
      <c r="O139" s="106">
        <v>100</v>
      </c>
      <c r="P139" s="106">
        <v>2.6</v>
      </c>
      <c r="Q139" s="106">
        <v>0.1</v>
      </c>
      <c r="R139" s="106">
        <v>0.36</v>
      </c>
      <c r="S139" s="662">
        <v>0.46</v>
      </c>
      <c r="T139" s="662">
        <v>91</v>
      </c>
    </row>
    <row r="140" spans="2:20">
      <c r="B140" s="666" t="s">
        <v>803</v>
      </c>
      <c r="C140" s="664" t="s">
        <v>1197</v>
      </c>
      <c r="D140" s="583">
        <v>1060</v>
      </c>
      <c r="E140" s="583">
        <v>-31</v>
      </c>
      <c r="F140" s="583">
        <v>-34</v>
      </c>
      <c r="G140" s="106">
        <v>28</v>
      </c>
      <c r="H140" s="583">
        <v>17</v>
      </c>
      <c r="I140" s="583">
        <v>5300</v>
      </c>
      <c r="J140" s="583">
        <v>12</v>
      </c>
      <c r="K140" s="583">
        <v>76</v>
      </c>
      <c r="L140" s="583">
        <v>300</v>
      </c>
      <c r="M140" s="583">
        <v>0.52</v>
      </c>
      <c r="N140" s="583">
        <v>400</v>
      </c>
      <c r="O140" s="583">
        <v>80</v>
      </c>
      <c r="P140" s="583">
        <v>3</v>
      </c>
      <c r="Q140" s="583">
        <v>0.1</v>
      </c>
      <c r="R140" s="583">
        <v>0.25</v>
      </c>
      <c r="S140" s="665">
        <v>0.32</v>
      </c>
      <c r="T140" s="665">
        <v>91</v>
      </c>
    </row>
    <row r="141" spans="2:20">
      <c r="B141" s="666" t="s">
        <v>803</v>
      </c>
      <c r="C141" s="663" t="s">
        <v>1203</v>
      </c>
      <c r="D141" s="106">
        <v>420</v>
      </c>
      <c r="E141" s="106">
        <v>-40</v>
      </c>
      <c r="F141" s="106">
        <v>-42</v>
      </c>
      <c r="G141" s="106">
        <v>28</v>
      </c>
      <c r="H141" s="583">
        <v>18</v>
      </c>
      <c r="I141" s="106">
        <v>6520</v>
      </c>
      <c r="J141" s="106">
        <v>13</v>
      </c>
      <c r="K141" s="106">
        <v>70</v>
      </c>
      <c r="L141" s="106">
        <v>310</v>
      </c>
      <c r="M141" s="106">
        <v>0.54</v>
      </c>
      <c r="N141" s="106">
        <v>450</v>
      </c>
      <c r="O141" s="583">
        <v>80</v>
      </c>
      <c r="P141" s="106">
        <v>2.4</v>
      </c>
      <c r="Q141" s="106">
        <v>0.1</v>
      </c>
      <c r="R141" s="106">
        <v>0.23</v>
      </c>
      <c r="S141" s="662">
        <v>0.3</v>
      </c>
      <c r="T141" s="662">
        <v>70</v>
      </c>
    </row>
    <row r="142" spans="2:20">
      <c r="B142" s="666" t="s">
        <v>803</v>
      </c>
      <c r="C142" s="664" t="s">
        <v>1208</v>
      </c>
      <c r="D142" s="583">
        <v>560</v>
      </c>
      <c r="E142" s="583">
        <v>-35</v>
      </c>
      <c r="F142" s="583">
        <v>-38</v>
      </c>
      <c r="G142" s="106">
        <v>28</v>
      </c>
      <c r="H142" s="583">
        <v>19</v>
      </c>
      <c r="I142" s="583">
        <v>6100</v>
      </c>
      <c r="J142" s="583">
        <v>15</v>
      </c>
      <c r="K142" s="583">
        <v>86</v>
      </c>
      <c r="L142" s="583">
        <v>375</v>
      </c>
      <c r="M142" s="583">
        <v>0.57999999999999996</v>
      </c>
      <c r="N142" s="583">
        <v>475</v>
      </c>
      <c r="O142" s="583">
        <v>80</v>
      </c>
      <c r="P142" s="583">
        <v>1.6</v>
      </c>
      <c r="Q142" s="583">
        <v>0.1</v>
      </c>
      <c r="R142" s="106">
        <v>0.28000000000000003</v>
      </c>
      <c r="S142" s="665">
        <v>0.36</v>
      </c>
      <c r="T142" s="665">
        <v>81</v>
      </c>
    </row>
    <row r="143" spans="2:20">
      <c r="B143" s="666" t="s">
        <v>803</v>
      </c>
      <c r="C143" s="663" t="s">
        <v>1212</v>
      </c>
      <c r="D143" s="106">
        <v>855</v>
      </c>
      <c r="E143" s="106">
        <v>-33</v>
      </c>
      <c r="F143" s="106">
        <v>-36</v>
      </c>
      <c r="G143" s="106">
        <v>28</v>
      </c>
      <c r="H143" s="106">
        <v>19</v>
      </c>
      <c r="I143" s="106">
        <v>5500</v>
      </c>
      <c r="J143" s="106">
        <v>23</v>
      </c>
      <c r="K143" s="106">
        <v>92</v>
      </c>
      <c r="L143" s="106">
        <v>350</v>
      </c>
      <c r="M143" s="106">
        <v>0.53</v>
      </c>
      <c r="N143" s="106">
        <v>450</v>
      </c>
      <c r="O143" s="106">
        <v>180</v>
      </c>
      <c r="P143" s="106">
        <v>1.9</v>
      </c>
      <c r="Q143" s="106">
        <v>0.1</v>
      </c>
      <c r="R143" s="106">
        <v>0.31</v>
      </c>
      <c r="S143" s="662">
        <v>0.4</v>
      </c>
      <c r="T143" s="662">
        <v>84</v>
      </c>
    </row>
    <row r="144" spans="2:20">
      <c r="B144" s="666" t="s">
        <v>803</v>
      </c>
      <c r="C144" s="664" t="s">
        <v>1217</v>
      </c>
      <c r="D144" s="583">
        <v>910</v>
      </c>
      <c r="E144" s="583">
        <v>-30</v>
      </c>
      <c r="F144" s="583">
        <v>-32</v>
      </c>
      <c r="G144" s="583">
        <v>31</v>
      </c>
      <c r="H144" s="583">
        <v>19</v>
      </c>
      <c r="I144" s="583">
        <v>4500</v>
      </c>
      <c r="J144" s="583">
        <v>20</v>
      </c>
      <c r="K144" s="583">
        <v>97</v>
      </c>
      <c r="L144" s="583">
        <v>250</v>
      </c>
      <c r="M144" s="583">
        <v>0.26</v>
      </c>
      <c r="N144" s="583">
        <v>390</v>
      </c>
      <c r="O144" s="583">
        <v>200</v>
      </c>
      <c r="P144" s="583">
        <v>1.2</v>
      </c>
      <c r="Q144" s="583">
        <v>0.1</v>
      </c>
      <c r="R144" s="583">
        <v>0.51</v>
      </c>
      <c r="S144" s="665">
        <v>0.66</v>
      </c>
      <c r="T144" s="665">
        <v>121</v>
      </c>
    </row>
    <row r="145" spans="2:20">
      <c r="B145" s="666" t="s">
        <v>803</v>
      </c>
      <c r="C145" s="663" t="s">
        <v>1222</v>
      </c>
      <c r="D145" s="106">
        <v>465</v>
      </c>
      <c r="E145" s="106">
        <v>-39</v>
      </c>
      <c r="F145" s="106">
        <v>-41</v>
      </c>
      <c r="G145" s="106">
        <v>27</v>
      </c>
      <c r="H145" s="106">
        <v>18</v>
      </c>
      <c r="I145" s="106">
        <v>6300</v>
      </c>
      <c r="J145" s="106">
        <v>13</v>
      </c>
      <c r="K145" s="106">
        <v>76</v>
      </c>
      <c r="L145" s="106">
        <v>260</v>
      </c>
      <c r="M145" s="106">
        <v>0.49</v>
      </c>
      <c r="N145" s="106">
        <v>390</v>
      </c>
      <c r="O145" s="106">
        <v>80</v>
      </c>
      <c r="P145" s="106">
        <v>2.2999999999999998</v>
      </c>
      <c r="Q145" s="106">
        <v>0.1</v>
      </c>
      <c r="R145" s="106">
        <v>0.23</v>
      </c>
      <c r="S145" s="662">
        <v>0.3</v>
      </c>
      <c r="T145" s="662">
        <v>70</v>
      </c>
    </row>
    <row r="146" spans="2:20">
      <c r="B146" s="666" t="s">
        <v>803</v>
      </c>
      <c r="C146" s="664" t="s">
        <v>1225</v>
      </c>
      <c r="D146" s="583">
        <v>705</v>
      </c>
      <c r="E146" s="583">
        <v>-31</v>
      </c>
      <c r="F146" s="583">
        <v>-34</v>
      </c>
      <c r="G146" s="583">
        <v>32</v>
      </c>
      <c r="H146" s="583">
        <v>19</v>
      </c>
      <c r="I146" s="583">
        <v>4540</v>
      </c>
      <c r="J146" s="583">
        <v>23</v>
      </c>
      <c r="K146" s="583">
        <v>92</v>
      </c>
      <c r="L146" s="583">
        <v>250</v>
      </c>
      <c r="M146" s="583">
        <v>0.25</v>
      </c>
      <c r="N146" s="583">
        <v>325</v>
      </c>
      <c r="O146" s="583">
        <v>220</v>
      </c>
      <c r="P146" s="583">
        <v>1.1000000000000001</v>
      </c>
      <c r="Q146" s="583">
        <v>0.1</v>
      </c>
      <c r="R146" s="583">
        <v>0.37</v>
      </c>
      <c r="S146" s="665">
        <v>0.48</v>
      </c>
      <c r="T146" s="665">
        <v>97</v>
      </c>
    </row>
    <row r="147" spans="2:20">
      <c r="B147" s="666" t="s">
        <v>803</v>
      </c>
      <c r="C147" s="663" t="s">
        <v>1229</v>
      </c>
      <c r="D147" s="106">
        <v>330</v>
      </c>
      <c r="E147" s="106">
        <v>-37</v>
      </c>
      <c r="F147" s="106">
        <v>-40</v>
      </c>
      <c r="G147" s="106">
        <v>27</v>
      </c>
      <c r="H147" s="106">
        <v>18</v>
      </c>
      <c r="I147" s="106">
        <v>6050</v>
      </c>
      <c r="J147" s="106">
        <v>15</v>
      </c>
      <c r="K147" s="106">
        <v>81</v>
      </c>
      <c r="L147" s="106">
        <v>300</v>
      </c>
      <c r="M147" s="106">
        <v>0.5</v>
      </c>
      <c r="N147" s="106">
        <v>390</v>
      </c>
      <c r="O147" s="106">
        <v>100</v>
      </c>
      <c r="P147" s="106">
        <v>2.2000000000000002</v>
      </c>
      <c r="Q147" s="106">
        <v>0.1</v>
      </c>
      <c r="R147" s="106">
        <v>0.25</v>
      </c>
      <c r="S147" s="662">
        <v>0.32</v>
      </c>
      <c r="T147" s="662">
        <v>74</v>
      </c>
    </row>
    <row r="148" spans="2:20">
      <c r="B148" s="666" t="s">
        <v>803</v>
      </c>
      <c r="C148" s="664" t="s">
        <v>1233</v>
      </c>
      <c r="D148" s="583">
        <v>1130</v>
      </c>
      <c r="E148" s="583">
        <v>-29</v>
      </c>
      <c r="F148" s="583">
        <v>-32</v>
      </c>
      <c r="G148" s="583">
        <v>29</v>
      </c>
      <c r="H148" s="583">
        <v>18</v>
      </c>
      <c r="I148" s="583">
        <v>4740</v>
      </c>
      <c r="J148" s="583">
        <v>16</v>
      </c>
      <c r="K148" s="583">
        <v>103</v>
      </c>
      <c r="L148" s="583">
        <v>325</v>
      </c>
      <c r="M148" s="583">
        <v>0.37</v>
      </c>
      <c r="N148" s="583">
        <v>575</v>
      </c>
      <c r="O148" s="583">
        <v>140</v>
      </c>
      <c r="P148" s="583">
        <v>1.5</v>
      </c>
      <c r="Q148" s="583">
        <v>0.1</v>
      </c>
      <c r="R148" s="583">
        <v>0.75</v>
      </c>
      <c r="S148" s="665">
        <v>0.96</v>
      </c>
      <c r="T148" s="665">
        <v>130</v>
      </c>
    </row>
    <row r="149" spans="2:20">
      <c r="B149" s="666" t="s">
        <v>803</v>
      </c>
      <c r="C149" s="663" t="s">
        <v>1238</v>
      </c>
      <c r="D149" s="106">
        <v>670</v>
      </c>
      <c r="E149" s="106">
        <v>-34</v>
      </c>
      <c r="F149" s="106">
        <v>-37</v>
      </c>
      <c r="G149" s="106">
        <v>29</v>
      </c>
      <c r="H149" s="106">
        <v>19</v>
      </c>
      <c r="I149" s="106">
        <v>5700</v>
      </c>
      <c r="J149" s="106">
        <v>18</v>
      </c>
      <c r="K149" s="106">
        <v>92</v>
      </c>
      <c r="L149" s="106">
        <v>325</v>
      </c>
      <c r="M149" s="106">
        <v>0.5</v>
      </c>
      <c r="N149" s="106">
        <v>420</v>
      </c>
      <c r="O149" s="106">
        <v>100</v>
      </c>
      <c r="P149" s="106">
        <v>1.9</v>
      </c>
      <c r="Q149" s="106">
        <v>0.1</v>
      </c>
      <c r="R149" s="106">
        <v>0.28000000000000003</v>
      </c>
      <c r="S149" s="662">
        <v>0.36</v>
      </c>
      <c r="T149" s="662">
        <v>74</v>
      </c>
    </row>
    <row r="150" spans="2:20">
      <c r="B150" s="666" t="s">
        <v>803</v>
      </c>
      <c r="C150" s="664" t="s">
        <v>1242</v>
      </c>
      <c r="D150" s="583">
        <v>855</v>
      </c>
      <c r="E150" s="583">
        <v>-32</v>
      </c>
      <c r="F150" s="583">
        <v>-35</v>
      </c>
      <c r="G150" s="106">
        <v>28</v>
      </c>
      <c r="H150" s="583">
        <v>19</v>
      </c>
      <c r="I150" s="583">
        <v>5550</v>
      </c>
      <c r="J150" s="583">
        <v>20</v>
      </c>
      <c r="K150" s="583">
        <v>97</v>
      </c>
      <c r="L150" s="583">
        <v>375</v>
      </c>
      <c r="M150" s="583">
        <v>0.54</v>
      </c>
      <c r="N150" s="583">
        <v>475</v>
      </c>
      <c r="O150" s="583">
        <v>200</v>
      </c>
      <c r="P150" s="583">
        <v>1.8</v>
      </c>
      <c r="Q150" s="583">
        <v>0.1</v>
      </c>
      <c r="R150" s="583">
        <v>0.31</v>
      </c>
      <c r="S150" s="665">
        <v>0.4</v>
      </c>
      <c r="T150" s="665">
        <v>84</v>
      </c>
    </row>
    <row r="151" spans="2:20">
      <c r="B151" s="666" t="s">
        <v>803</v>
      </c>
      <c r="C151" s="663" t="s">
        <v>1246</v>
      </c>
      <c r="D151" s="106">
        <v>965</v>
      </c>
      <c r="E151" s="106">
        <v>-32</v>
      </c>
      <c r="F151" s="106">
        <v>-34</v>
      </c>
      <c r="G151" s="106">
        <v>27</v>
      </c>
      <c r="H151" s="583">
        <v>18</v>
      </c>
      <c r="I151" s="106">
        <v>5640</v>
      </c>
      <c r="J151" s="106">
        <v>20</v>
      </c>
      <c r="K151" s="106">
        <v>92</v>
      </c>
      <c r="L151" s="106">
        <v>425</v>
      </c>
      <c r="M151" s="106">
        <v>0.59</v>
      </c>
      <c r="N151" s="106">
        <v>550</v>
      </c>
      <c r="O151" s="106">
        <v>120</v>
      </c>
      <c r="P151" s="106">
        <v>1.9</v>
      </c>
      <c r="Q151" s="106">
        <v>0.1</v>
      </c>
      <c r="R151" s="106">
        <v>0.28000000000000003</v>
      </c>
      <c r="S151" s="662">
        <v>0.36</v>
      </c>
      <c r="T151" s="662">
        <v>87</v>
      </c>
    </row>
    <row r="152" spans="2:20">
      <c r="B152" s="666" t="s">
        <v>803</v>
      </c>
      <c r="C152" s="664" t="s">
        <v>1252</v>
      </c>
      <c r="D152" s="583">
        <v>590</v>
      </c>
      <c r="E152" s="583">
        <v>-35</v>
      </c>
      <c r="F152" s="583">
        <v>-38</v>
      </c>
      <c r="G152" s="583">
        <v>26</v>
      </c>
      <c r="H152" s="583">
        <v>19</v>
      </c>
      <c r="I152" s="583">
        <v>5850</v>
      </c>
      <c r="J152" s="583">
        <v>15</v>
      </c>
      <c r="K152" s="583">
        <v>81</v>
      </c>
      <c r="L152" s="583">
        <v>380</v>
      </c>
      <c r="M152" s="583">
        <v>0.62</v>
      </c>
      <c r="N152" s="583">
        <v>500</v>
      </c>
      <c r="O152" s="106">
        <v>80</v>
      </c>
      <c r="P152" s="583">
        <v>1.9</v>
      </c>
      <c r="Q152" s="583">
        <v>0.1</v>
      </c>
      <c r="R152" s="583">
        <v>0.28999999999999998</v>
      </c>
      <c r="S152" s="665">
        <v>0.37</v>
      </c>
      <c r="T152" s="665">
        <v>81</v>
      </c>
    </row>
    <row r="153" spans="2:20">
      <c r="B153" s="666" t="s">
        <v>803</v>
      </c>
      <c r="C153" s="663" t="s">
        <v>1257</v>
      </c>
      <c r="D153" s="106">
        <v>820</v>
      </c>
      <c r="E153" s="106">
        <v>-32</v>
      </c>
      <c r="F153" s="106">
        <v>-34</v>
      </c>
      <c r="G153" s="106">
        <v>30</v>
      </c>
      <c r="H153" s="106">
        <v>19</v>
      </c>
      <c r="I153" s="106">
        <v>5300</v>
      </c>
      <c r="J153" s="106">
        <v>20</v>
      </c>
      <c r="K153" s="106">
        <v>97</v>
      </c>
      <c r="L153" s="106">
        <v>370</v>
      </c>
      <c r="M153" s="106">
        <v>0.53</v>
      </c>
      <c r="N153" s="106">
        <v>450</v>
      </c>
      <c r="O153" s="106">
        <v>200</v>
      </c>
      <c r="P153" s="106">
        <v>1.9</v>
      </c>
      <c r="Q153" s="106">
        <v>0.1</v>
      </c>
      <c r="R153" s="106">
        <v>0.28000000000000003</v>
      </c>
      <c r="S153" s="662">
        <v>0.36</v>
      </c>
      <c r="T153" s="662">
        <v>78</v>
      </c>
    </row>
    <row r="154" spans="2:20">
      <c r="B154" s="666" t="s">
        <v>803</v>
      </c>
      <c r="C154" s="664" t="s">
        <v>1262</v>
      </c>
      <c r="D154" s="583">
        <v>710</v>
      </c>
      <c r="E154" s="583">
        <v>-32</v>
      </c>
      <c r="F154" s="583">
        <v>-35</v>
      </c>
      <c r="G154" s="106">
        <v>28</v>
      </c>
      <c r="H154" s="583">
        <v>19</v>
      </c>
      <c r="I154" s="583">
        <v>5300</v>
      </c>
      <c r="J154" s="583">
        <v>23</v>
      </c>
      <c r="K154" s="583">
        <v>97</v>
      </c>
      <c r="L154" s="583">
        <v>410</v>
      </c>
      <c r="M154" s="583">
        <v>0.52</v>
      </c>
      <c r="N154" s="583">
        <v>540</v>
      </c>
      <c r="O154" s="583">
        <v>120</v>
      </c>
      <c r="P154" s="583">
        <v>1.7</v>
      </c>
      <c r="Q154" s="583">
        <v>0.1</v>
      </c>
      <c r="R154" s="583">
        <v>0.35</v>
      </c>
      <c r="S154" s="665">
        <v>0.45</v>
      </c>
      <c r="T154" s="665">
        <v>87</v>
      </c>
    </row>
    <row r="155" spans="2:20">
      <c r="B155" s="666" t="s">
        <v>803</v>
      </c>
      <c r="C155" s="663" t="s">
        <v>1266</v>
      </c>
      <c r="D155" s="106">
        <v>755</v>
      </c>
      <c r="E155" s="106">
        <v>-31</v>
      </c>
      <c r="F155" s="106">
        <v>-34</v>
      </c>
      <c r="G155" s="106">
        <v>32</v>
      </c>
      <c r="H155" s="106">
        <v>20</v>
      </c>
      <c r="I155" s="106">
        <v>4770</v>
      </c>
      <c r="J155" s="106">
        <v>20</v>
      </c>
      <c r="K155" s="106">
        <v>86</v>
      </c>
      <c r="L155" s="106">
        <v>230</v>
      </c>
      <c r="M155" s="106">
        <v>0.23</v>
      </c>
      <c r="N155" s="106">
        <v>325</v>
      </c>
      <c r="O155" s="106">
        <v>220</v>
      </c>
      <c r="P155" s="106">
        <v>1.3</v>
      </c>
      <c r="Q155" s="106">
        <v>0.1</v>
      </c>
      <c r="R155" s="106">
        <v>0.28000000000000003</v>
      </c>
      <c r="S155" s="662">
        <v>0.49</v>
      </c>
      <c r="T155" s="662">
        <v>100</v>
      </c>
    </row>
    <row r="156" spans="2:20">
      <c r="B156" s="666" t="s">
        <v>803</v>
      </c>
      <c r="C156" s="664" t="s">
        <v>1270</v>
      </c>
      <c r="D156" s="583">
        <v>815</v>
      </c>
      <c r="E156" s="583">
        <v>-31</v>
      </c>
      <c r="F156" s="583">
        <v>-33</v>
      </c>
      <c r="G156" s="583">
        <v>31</v>
      </c>
      <c r="H156" s="583">
        <v>19</v>
      </c>
      <c r="I156" s="583">
        <v>4580</v>
      </c>
      <c r="J156" s="583">
        <v>20</v>
      </c>
      <c r="K156" s="583">
        <v>92</v>
      </c>
      <c r="L156" s="583">
        <v>260</v>
      </c>
      <c r="M156" s="583">
        <v>0.26</v>
      </c>
      <c r="N156" s="583">
        <v>370</v>
      </c>
      <c r="O156" s="583">
        <v>200</v>
      </c>
      <c r="P156" s="583">
        <v>1.2</v>
      </c>
      <c r="Q156" s="583">
        <v>0.1</v>
      </c>
      <c r="R156" s="583">
        <v>0.48</v>
      </c>
      <c r="S156" s="665">
        <v>0.63</v>
      </c>
      <c r="T156" s="665">
        <v>115</v>
      </c>
    </row>
    <row r="157" spans="2:20">
      <c r="B157" s="666" t="s">
        <v>803</v>
      </c>
      <c r="C157" s="663" t="s">
        <v>1277</v>
      </c>
      <c r="D157" s="106">
        <v>1215</v>
      </c>
      <c r="E157" s="106">
        <v>-31</v>
      </c>
      <c r="F157" s="106">
        <v>-32</v>
      </c>
      <c r="G157" s="106">
        <v>28</v>
      </c>
      <c r="H157" s="106">
        <v>17</v>
      </c>
      <c r="I157" s="106">
        <v>5220</v>
      </c>
      <c r="J157" s="106">
        <v>20</v>
      </c>
      <c r="K157" s="106">
        <v>97</v>
      </c>
      <c r="L157" s="106">
        <v>350</v>
      </c>
      <c r="M157" s="106">
        <v>0.48</v>
      </c>
      <c r="N157" s="106">
        <v>600</v>
      </c>
      <c r="O157" s="106">
        <v>160</v>
      </c>
      <c r="P157" s="106">
        <v>1.4</v>
      </c>
      <c r="Q157" s="106">
        <v>0.1</v>
      </c>
      <c r="R157" s="106">
        <v>0.5</v>
      </c>
      <c r="S157" s="662">
        <v>0.65</v>
      </c>
      <c r="T157" s="662">
        <v>107</v>
      </c>
    </row>
    <row r="158" spans="2:20">
      <c r="B158" s="666" t="s">
        <v>803</v>
      </c>
      <c r="C158" s="664" t="s">
        <v>1282</v>
      </c>
      <c r="D158" s="583">
        <v>700</v>
      </c>
      <c r="E158" s="583">
        <v>-37</v>
      </c>
      <c r="F158" s="583">
        <v>-40</v>
      </c>
      <c r="G158" s="583">
        <v>27</v>
      </c>
      <c r="H158" s="583">
        <v>18</v>
      </c>
      <c r="I158" s="583">
        <v>5600</v>
      </c>
      <c r="J158" s="583">
        <v>18</v>
      </c>
      <c r="K158" s="583">
        <v>86</v>
      </c>
      <c r="L158" s="583">
        <v>360</v>
      </c>
      <c r="M158" s="583">
        <v>0.54</v>
      </c>
      <c r="N158" s="583">
        <v>490</v>
      </c>
      <c r="O158" s="106">
        <v>80</v>
      </c>
      <c r="P158" s="583">
        <v>2.2999999999999998</v>
      </c>
      <c r="Q158" s="583">
        <v>0.1</v>
      </c>
      <c r="R158" s="583">
        <v>0.33</v>
      </c>
      <c r="S158" s="665">
        <v>0.42</v>
      </c>
      <c r="T158" s="665">
        <v>91</v>
      </c>
    </row>
    <row r="159" spans="2:20">
      <c r="B159" s="666" t="s">
        <v>803</v>
      </c>
      <c r="C159" s="663" t="s">
        <v>1287</v>
      </c>
      <c r="D159" s="106">
        <v>635</v>
      </c>
      <c r="E159" s="106">
        <v>-34</v>
      </c>
      <c r="F159" s="106">
        <v>-37</v>
      </c>
      <c r="G159" s="106">
        <v>29</v>
      </c>
      <c r="H159" s="106">
        <v>19</v>
      </c>
      <c r="I159" s="106">
        <v>5780</v>
      </c>
      <c r="J159" s="106">
        <v>18</v>
      </c>
      <c r="K159" s="106">
        <v>86</v>
      </c>
      <c r="L159" s="106">
        <v>325</v>
      </c>
      <c r="M159" s="106">
        <v>0.5</v>
      </c>
      <c r="N159" s="106">
        <v>410</v>
      </c>
      <c r="O159" s="106">
        <v>100</v>
      </c>
      <c r="P159" s="106">
        <v>1.9</v>
      </c>
      <c r="Q159" s="106">
        <v>0.1</v>
      </c>
      <c r="R159" s="106">
        <v>0.28000000000000003</v>
      </c>
      <c r="S159" s="662">
        <v>0.36</v>
      </c>
      <c r="T159" s="662">
        <v>78</v>
      </c>
    </row>
    <row r="160" spans="2:20">
      <c r="B160" s="666" t="s">
        <v>803</v>
      </c>
      <c r="C160" s="664" t="s">
        <v>1291</v>
      </c>
      <c r="D160" s="583">
        <v>560</v>
      </c>
      <c r="E160" s="583">
        <v>-35</v>
      </c>
      <c r="F160" s="583">
        <v>-38</v>
      </c>
      <c r="G160" s="583">
        <v>29</v>
      </c>
      <c r="H160" s="583">
        <v>19</v>
      </c>
      <c r="I160" s="583">
        <v>5740</v>
      </c>
      <c r="J160" s="583">
        <v>18</v>
      </c>
      <c r="K160" s="583">
        <v>86</v>
      </c>
      <c r="L160" s="583">
        <v>310</v>
      </c>
      <c r="M160" s="583">
        <v>0.53</v>
      </c>
      <c r="N160" s="583">
        <v>410</v>
      </c>
      <c r="O160" s="583">
        <v>100</v>
      </c>
      <c r="P160" s="583">
        <v>1.7</v>
      </c>
      <c r="Q160" s="583">
        <v>0.1</v>
      </c>
      <c r="R160" s="583">
        <v>0.28000000000000003</v>
      </c>
      <c r="S160" s="665">
        <v>0.36</v>
      </c>
      <c r="T160" s="665">
        <v>73</v>
      </c>
    </row>
    <row r="161" spans="2:20">
      <c r="B161" s="666" t="s">
        <v>803</v>
      </c>
      <c r="C161" s="663" t="s">
        <v>1297</v>
      </c>
      <c r="D161" s="106">
        <v>565</v>
      </c>
      <c r="E161" s="106">
        <v>-35</v>
      </c>
      <c r="F161" s="106">
        <v>-38</v>
      </c>
      <c r="G161" s="106">
        <v>26</v>
      </c>
      <c r="H161" s="106">
        <v>19</v>
      </c>
      <c r="I161" s="106">
        <v>5850</v>
      </c>
      <c r="J161" s="106">
        <v>15</v>
      </c>
      <c r="K161" s="106">
        <v>81</v>
      </c>
      <c r="L161" s="106">
        <v>360</v>
      </c>
      <c r="M161" s="106">
        <v>0.62</v>
      </c>
      <c r="N161" s="106">
        <v>500</v>
      </c>
      <c r="O161" s="106">
        <v>80</v>
      </c>
      <c r="P161" s="106">
        <v>1.9</v>
      </c>
      <c r="Q161" s="106">
        <v>0.1</v>
      </c>
      <c r="R161" s="106">
        <v>0.28999999999999998</v>
      </c>
      <c r="S161" s="662">
        <v>0.37</v>
      </c>
      <c r="T161" s="662">
        <v>81</v>
      </c>
    </row>
    <row r="162" spans="2:20">
      <c r="B162" s="666" t="s">
        <v>803</v>
      </c>
      <c r="C162" s="664" t="s">
        <v>1302</v>
      </c>
      <c r="D162" s="583">
        <v>675</v>
      </c>
      <c r="E162" s="583">
        <v>-33</v>
      </c>
      <c r="F162" s="583">
        <v>-36</v>
      </c>
      <c r="G162" s="583">
        <v>29</v>
      </c>
      <c r="H162" s="583">
        <v>19</v>
      </c>
      <c r="I162" s="583">
        <v>5700</v>
      </c>
      <c r="J162" s="583">
        <v>20</v>
      </c>
      <c r="K162" s="583">
        <v>81</v>
      </c>
      <c r="L162" s="583">
        <v>310</v>
      </c>
      <c r="M162" s="583">
        <v>0.47</v>
      </c>
      <c r="N162" s="583">
        <v>425</v>
      </c>
      <c r="O162" s="583">
        <v>120</v>
      </c>
      <c r="P162" s="583">
        <v>2</v>
      </c>
      <c r="Q162" s="583">
        <v>0.1</v>
      </c>
      <c r="R162" s="583">
        <v>0.28000000000000003</v>
      </c>
      <c r="S162" s="665">
        <v>0.36</v>
      </c>
      <c r="T162" s="665">
        <v>78</v>
      </c>
    </row>
    <row r="163" spans="2:20">
      <c r="B163" s="666" t="s">
        <v>803</v>
      </c>
      <c r="C163" s="663" t="s">
        <v>1308</v>
      </c>
      <c r="D163" s="106">
        <v>760</v>
      </c>
      <c r="E163" s="106">
        <v>-33</v>
      </c>
      <c r="F163" s="106">
        <v>-35</v>
      </c>
      <c r="G163" s="106">
        <v>29</v>
      </c>
      <c r="H163" s="106">
        <v>19</v>
      </c>
      <c r="I163" s="106">
        <v>5500</v>
      </c>
      <c r="J163" s="106">
        <v>23</v>
      </c>
      <c r="K163" s="106">
        <v>86</v>
      </c>
      <c r="L163" s="106">
        <v>400</v>
      </c>
      <c r="M163" s="106">
        <v>0.56999999999999995</v>
      </c>
      <c r="N163" s="106">
        <v>500</v>
      </c>
      <c r="O163" s="106">
        <v>160</v>
      </c>
      <c r="P163" s="106">
        <v>2</v>
      </c>
      <c r="Q163" s="106">
        <v>0.1</v>
      </c>
      <c r="R163" s="106">
        <v>0.3</v>
      </c>
      <c r="S163" s="662">
        <v>0.39</v>
      </c>
      <c r="T163" s="662">
        <v>84</v>
      </c>
    </row>
    <row r="164" spans="2:20">
      <c r="B164" s="666" t="s">
        <v>803</v>
      </c>
      <c r="C164" s="664" t="s">
        <v>1315</v>
      </c>
      <c r="D164" s="583">
        <v>690</v>
      </c>
      <c r="E164" s="583">
        <v>-33</v>
      </c>
      <c r="F164" s="583">
        <v>-36</v>
      </c>
      <c r="G164" s="583">
        <v>27</v>
      </c>
      <c r="H164" s="583">
        <v>19</v>
      </c>
      <c r="I164" s="583">
        <v>5650</v>
      </c>
      <c r="J164" s="583">
        <v>20</v>
      </c>
      <c r="K164" s="583">
        <v>97</v>
      </c>
      <c r="L164" s="583">
        <v>440</v>
      </c>
      <c r="M164" s="583">
        <v>0.63</v>
      </c>
      <c r="N164" s="583">
        <v>550</v>
      </c>
      <c r="O164" s="106">
        <v>80</v>
      </c>
      <c r="P164" s="583">
        <v>1.9</v>
      </c>
      <c r="Q164" s="583">
        <v>0.1</v>
      </c>
      <c r="R164" s="583">
        <v>0.28999999999999998</v>
      </c>
      <c r="S164" s="665">
        <v>0.37</v>
      </c>
      <c r="T164" s="665">
        <v>86</v>
      </c>
    </row>
    <row r="165" spans="2:20">
      <c r="B165" s="666" t="s">
        <v>803</v>
      </c>
      <c r="C165" s="663" t="s">
        <v>1321</v>
      </c>
      <c r="D165" s="106">
        <v>975</v>
      </c>
      <c r="E165" s="106">
        <v>-31</v>
      </c>
      <c r="F165" s="106">
        <v>-34</v>
      </c>
      <c r="G165" s="106">
        <v>29</v>
      </c>
      <c r="H165" s="106">
        <v>18</v>
      </c>
      <c r="I165" s="106">
        <v>5310</v>
      </c>
      <c r="J165" s="106">
        <v>23</v>
      </c>
      <c r="K165" s="106">
        <v>92</v>
      </c>
      <c r="L165" s="106">
        <v>325</v>
      </c>
      <c r="M165" s="106">
        <v>0.48</v>
      </c>
      <c r="N165" s="106">
        <v>450</v>
      </c>
      <c r="O165" s="106">
        <v>200</v>
      </c>
      <c r="P165" s="106">
        <v>1.6</v>
      </c>
      <c r="Q165" s="106">
        <v>0.1</v>
      </c>
      <c r="R165" s="106">
        <v>0.31</v>
      </c>
      <c r="S165" s="662">
        <v>0.4</v>
      </c>
      <c r="T165" s="662">
        <v>84</v>
      </c>
    </row>
    <row r="166" spans="2:20">
      <c r="B166" s="664" t="s">
        <v>978</v>
      </c>
      <c r="C166" s="663" t="s">
        <v>813</v>
      </c>
      <c r="D166" s="106">
        <v>740</v>
      </c>
      <c r="E166" s="106">
        <v>-32</v>
      </c>
      <c r="F166" s="106">
        <v>-34</v>
      </c>
      <c r="G166" s="106">
        <v>31</v>
      </c>
      <c r="H166" s="106">
        <v>21</v>
      </c>
      <c r="I166" s="106">
        <v>5180</v>
      </c>
      <c r="J166" s="106">
        <v>25</v>
      </c>
      <c r="K166" s="106">
        <v>81</v>
      </c>
      <c r="L166" s="106">
        <v>290</v>
      </c>
      <c r="M166" s="106">
        <v>0.33</v>
      </c>
      <c r="N166" s="106">
        <v>375</v>
      </c>
      <c r="O166" s="106">
        <v>240</v>
      </c>
      <c r="P166" s="106">
        <v>1.6</v>
      </c>
      <c r="Q166" s="106">
        <v>0.1</v>
      </c>
      <c r="R166" s="106">
        <v>0.38</v>
      </c>
      <c r="S166" s="662">
        <v>0.49</v>
      </c>
      <c r="T166" s="662">
        <v>100</v>
      </c>
    </row>
    <row r="167" spans="2:20">
      <c r="B167" s="664" t="s">
        <v>978</v>
      </c>
      <c r="C167" s="664" t="s">
        <v>830</v>
      </c>
      <c r="D167" s="583">
        <v>700</v>
      </c>
      <c r="E167" s="583">
        <v>-32</v>
      </c>
      <c r="F167" s="583">
        <v>-34</v>
      </c>
      <c r="G167" s="583">
        <v>32</v>
      </c>
      <c r="H167" s="583">
        <v>20</v>
      </c>
      <c r="I167" s="583">
        <v>5080</v>
      </c>
      <c r="J167" s="583">
        <v>23</v>
      </c>
      <c r="K167" s="583">
        <v>81</v>
      </c>
      <c r="L167" s="583">
        <v>270</v>
      </c>
      <c r="M167" s="583">
        <v>0.35</v>
      </c>
      <c r="N167" s="583">
        <v>350</v>
      </c>
      <c r="O167" s="583">
        <v>260</v>
      </c>
      <c r="P167" s="583">
        <v>1.2</v>
      </c>
      <c r="Q167" s="583">
        <v>0.1</v>
      </c>
      <c r="R167" s="583">
        <v>0.42</v>
      </c>
      <c r="S167" s="665">
        <v>0.54</v>
      </c>
      <c r="T167" s="665">
        <v>107</v>
      </c>
    </row>
    <row r="168" spans="2:20">
      <c r="B168" s="664" t="s">
        <v>978</v>
      </c>
      <c r="C168" s="663" t="s">
        <v>852</v>
      </c>
      <c r="D168" s="106">
        <v>645</v>
      </c>
      <c r="E168" s="106">
        <v>-34</v>
      </c>
      <c r="F168" s="106">
        <v>-36</v>
      </c>
      <c r="G168" s="106">
        <v>30</v>
      </c>
      <c r="H168" s="106">
        <v>20</v>
      </c>
      <c r="I168" s="106">
        <v>5720</v>
      </c>
      <c r="J168" s="106">
        <v>23</v>
      </c>
      <c r="K168" s="106">
        <v>81</v>
      </c>
      <c r="L168" s="106">
        <v>270</v>
      </c>
      <c r="M168" s="106">
        <v>0.39</v>
      </c>
      <c r="N168" s="106">
        <v>350</v>
      </c>
      <c r="O168" s="106">
        <v>180</v>
      </c>
      <c r="P168" s="106">
        <v>2.1</v>
      </c>
      <c r="Q168" s="106">
        <v>0.1</v>
      </c>
      <c r="R168" s="106">
        <v>0.35</v>
      </c>
      <c r="S168" s="662">
        <v>0.45</v>
      </c>
      <c r="T168" s="662">
        <v>107</v>
      </c>
    </row>
    <row r="169" spans="2:20">
      <c r="B169" s="664" t="s">
        <v>978</v>
      </c>
      <c r="C169" s="664" t="s">
        <v>871</v>
      </c>
      <c r="D169" s="583">
        <v>600</v>
      </c>
      <c r="E169" s="583">
        <v>-34</v>
      </c>
      <c r="F169" s="583">
        <v>-35</v>
      </c>
      <c r="G169" s="583">
        <v>30</v>
      </c>
      <c r="H169" s="583">
        <v>21</v>
      </c>
      <c r="I169" s="583">
        <v>5760</v>
      </c>
      <c r="J169" s="583">
        <v>25</v>
      </c>
      <c r="K169" s="583">
        <v>103</v>
      </c>
      <c r="L169" s="583">
        <v>320</v>
      </c>
      <c r="M169" s="583">
        <v>0.49</v>
      </c>
      <c r="N169" s="583">
        <v>420</v>
      </c>
      <c r="O169" s="583">
        <v>160</v>
      </c>
      <c r="P169" s="583">
        <v>1.7</v>
      </c>
      <c r="Q169" s="583">
        <v>0.1</v>
      </c>
      <c r="R169" s="583">
        <v>0.36</v>
      </c>
      <c r="S169" s="665">
        <v>0.46</v>
      </c>
      <c r="T169" s="665">
        <v>86</v>
      </c>
    </row>
    <row r="170" spans="2:20">
      <c r="B170" s="664" t="s">
        <v>978</v>
      </c>
      <c r="C170" s="663" t="s">
        <v>893</v>
      </c>
      <c r="D170" s="106">
        <v>530</v>
      </c>
      <c r="E170" s="106">
        <v>-35</v>
      </c>
      <c r="F170" s="106">
        <v>-37</v>
      </c>
      <c r="G170" s="106">
        <v>29</v>
      </c>
      <c r="H170" s="106">
        <v>21</v>
      </c>
      <c r="I170" s="106">
        <v>5860</v>
      </c>
      <c r="J170" s="106">
        <v>20</v>
      </c>
      <c r="K170" s="106">
        <v>92</v>
      </c>
      <c r="L170" s="106">
        <v>300</v>
      </c>
      <c r="M170" s="106">
        <v>0.46</v>
      </c>
      <c r="N170" s="106">
        <v>380</v>
      </c>
      <c r="O170" s="106">
        <v>140</v>
      </c>
      <c r="P170" s="106">
        <v>1.7</v>
      </c>
      <c r="Q170" s="106">
        <v>0.1</v>
      </c>
      <c r="R170" s="106">
        <v>0.28999999999999998</v>
      </c>
      <c r="S170" s="662">
        <v>0.37</v>
      </c>
      <c r="T170" s="662">
        <v>81</v>
      </c>
    </row>
    <row r="171" spans="2:20">
      <c r="B171" s="664" t="s">
        <v>978</v>
      </c>
      <c r="C171" s="664" t="s">
        <v>914</v>
      </c>
      <c r="D171" s="583">
        <v>525</v>
      </c>
      <c r="E171" s="583">
        <v>-35</v>
      </c>
      <c r="F171" s="583">
        <v>-37</v>
      </c>
      <c r="G171" s="583">
        <v>30</v>
      </c>
      <c r="H171" s="583">
        <v>21</v>
      </c>
      <c r="I171" s="583">
        <v>5600</v>
      </c>
      <c r="J171" s="583">
        <v>23</v>
      </c>
      <c r="K171" s="583">
        <v>86</v>
      </c>
      <c r="L171" s="583">
        <v>275</v>
      </c>
      <c r="M171" s="583">
        <v>0.4</v>
      </c>
      <c r="N171" s="583">
        <v>380</v>
      </c>
      <c r="O171" s="583">
        <v>180</v>
      </c>
      <c r="P171" s="583">
        <v>1.5</v>
      </c>
      <c r="Q171" s="583">
        <v>0.1</v>
      </c>
      <c r="R171" s="583">
        <v>0.36</v>
      </c>
      <c r="S171" s="665">
        <v>0.46</v>
      </c>
      <c r="T171" s="665">
        <v>96</v>
      </c>
    </row>
    <row r="172" spans="2:20">
      <c r="B172" s="664" t="s">
        <v>978</v>
      </c>
      <c r="C172" s="663" t="s">
        <v>928</v>
      </c>
      <c r="D172" s="106">
        <v>565</v>
      </c>
      <c r="E172" s="106">
        <v>-32</v>
      </c>
      <c r="F172" s="106">
        <v>-34</v>
      </c>
      <c r="G172" s="106">
        <v>32</v>
      </c>
      <c r="H172" s="106">
        <v>22</v>
      </c>
      <c r="I172" s="106">
        <v>5340</v>
      </c>
      <c r="J172" s="106">
        <v>28</v>
      </c>
      <c r="K172" s="106">
        <v>92</v>
      </c>
      <c r="L172" s="106">
        <v>330</v>
      </c>
      <c r="M172" s="106">
        <v>0.43</v>
      </c>
      <c r="N172" s="106">
        <v>420</v>
      </c>
      <c r="O172" s="106">
        <v>200</v>
      </c>
      <c r="P172" s="106">
        <v>1.6</v>
      </c>
      <c r="Q172" s="106">
        <v>0.1</v>
      </c>
      <c r="R172" s="106">
        <v>0.4</v>
      </c>
      <c r="S172" s="662">
        <v>0.52</v>
      </c>
      <c r="T172" s="662">
        <v>99</v>
      </c>
    </row>
    <row r="173" spans="2:20">
      <c r="B173" s="664" t="s">
        <v>978</v>
      </c>
      <c r="C173" s="664" t="s">
        <v>947</v>
      </c>
      <c r="D173" s="583">
        <v>370</v>
      </c>
      <c r="E173" s="583">
        <v>-36</v>
      </c>
      <c r="F173" s="583">
        <v>-38</v>
      </c>
      <c r="G173" s="583">
        <v>29</v>
      </c>
      <c r="H173" s="583">
        <v>21</v>
      </c>
      <c r="I173" s="583">
        <v>6280</v>
      </c>
      <c r="J173" s="583">
        <v>20</v>
      </c>
      <c r="K173" s="583">
        <v>81</v>
      </c>
      <c r="L173" s="583">
        <v>340</v>
      </c>
      <c r="M173" s="583">
        <v>0.59</v>
      </c>
      <c r="N173" s="583">
        <v>450</v>
      </c>
      <c r="O173" s="106">
        <v>80</v>
      </c>
      <c r="P173" s="583">
        <v>2</v>
      </c>
      <c r="Q173" s="583">
        <v>0.1</v>
      </c>
      <c r="R173" s="583">
        <v>0.28999999999999998</v>
      </c>
      <c r="S173" s="665">
        <v>0.37</v>
      </c>
      <c r="T173" s="665">
        <v>81</v>
      </c>
    </row>
    <row r="174" spans="2:20">
      <c r="B174" s="664" t="s">
        <v>978</v>
      </c>
      <c r="C174" s="663" t="s">
        <v>965</v>
      </c>
      <c r="D174" s="106">
        <v>565</v>
      </c>
      <c r="E174" s="106">
        <v>-36</v>
      </c>
      <c r="F174" s="106">
        <v>-38</v>
      </c>
      <c r="G174" s="106">
        <v>28</v>
      </c>
      <c r="H174" s="106">
        <v>21</v>
      </c>
      <c r="I174" s="106">
        <v>6000</v>
      </c>
      <c r="J174" s="106">
        <v>20</v>
      </c>
      <c r="K174" s="106">
        <v>86</v>
      </c>
      <c r="L174" s="106">
        <v>320</v>
      </c>
      <c r="M174" s="106">
        <v>0.48</v>
      </c>
      <c r="N174" s="106">
        <v>375</v>
      </c>
      <c r="O174" s="106">
        <v>140</v>
      </c>
      <c r="P174" s="106">
        <v>2.1</v>
      </c>
      <c r="Q174" s="106">
        <v>0.1</v>
      </c>
      <c r="R174" s="106">
        <v>0.3</v>
      </c>
      <c r="S174" s="662">
        <v>0.39</v>
      </c>
      <c r="T174" s="662">
        <v>83</v>
      </c>
    </row>
    <row r="175" spans="2:20">
      <c r="B175" s="664" t="s">
        <v>978</v>
      </c>
      <c r="C175" s="664" t="s">
        <v>987</v>
      </c>
      <c r="D175" s="583">
        <v>305</v>
      </c>
      <c r="E175" s="583">
        <v>-39</v>
      </c>
      <c r="F175" s="583">
        <v>-41</v>
      </c>
      <c r="G175" s="583">
        <v>27</v>
      </c>
      <c r="H175" s="583">
        <v>20</v>
      </c>
      <c r="I175" s="583">
        <v>7100</v>
      </c>
      <c r="J175" s="583">
        <v>18</v>
      </c>
      <c r="K175" s="583">
        <v>76</v>
      </c>
      <c r="L175" s="583">
        <v>370</v>
      </c>
      <c r="M175" s="583">
        <v>0.62</v>
      </c>
      <c r="N175" s="583">
        <v>510</v>
      </c>
      <c r="O175" s="583">
        <v>80</v>
      </c>
      <c r="P175" s="583">
        <v>2.1</v>
      </c>
      <c r="Q175" s="583">
        <v>0.1</v>
      </c>
      <c r="R175" s="583">
        <v>0.27</v>
      </c>
      <c r="S175" s="665">
        <v>0.35</v>
      </c>
      <c r="T175" s="665">
        <v>87</v>
      </c>
    </row>
    <row r="176" spans="2:20">
      <c r="B176" s="664" t="s">
        <v>978</v>
      </c>
      <c r="C176" s="663" t="s">
        <v>1007</v>
      </c>
      <c r="D176" s="106">
        <v>455</v>
      </c>
      <c r="E176" s="106">
        <v>-34</v>
      </c>
      <c r="F176" s="106">
        <v>-37</v>
      </c>
      <c r="G176" s="106">
        <v>29</v>
      </c>
      <c r="H176" s="106">
        <v>22</v>
      </c>
      <c r="I176" s="106">
        <v>6040</v>
      </c>
      <c r="J176" s="106">
        <v>20</v>
      </c>
      <c r="K176" s="106">
        <v>97</v>
      </c>
      <c r="L176" s="106">
        <v>360</v>
      </c>
      <c r="M176" s="106">
        <v>0.55000000000000004</v>
      </c>
      <c r="N176" s="106">
        <v>450</v>
      </c>
      <c r="O176" s="106">
        <v>120</v>
      </c>
      <c r="P176" s="106">
        <v>2.1</v>
      </c>
      <c r="Q176" s="106">
        <v>0.2</v>
      </c>
      <c r="R176" s="106">
        <v>0.31</v>
      </c>
      <c r="S176" s="662">
        <v>0.4</v>
      </c>
      <c r="T176" s="662">
        <v>84</v>
      </c>
    </row>
    <row r="177" spans="2:20">
      <c r="B177" s="664" t="s">
        <v>978</v>
      </c>
      <c r="C177" s="664" t="s">
        <v>1019</v>
      </c>
      <c r="D177" s="583">
        <v>685</v>
      </c>
      <c r="E177" s="583">
        <v>-33</v>
      </c>
      <c r="F177" s="583">
        <v>-35</v>
      </c>
      <c r="G177" s="583">
        <v>31</v>
      </c>
      <c r="H177" s="583">
        <v>20</v>
      </c>
      <c r="I177" s="583">
        <v>5550</v>
      </c>
      <c r="J177" s="583">
        <v>23</v>
      </c>
      <c r="K177" s="583">
        <v>81</v>
      </c>
      <c r="L177" s="583">
        <v>260</v>
      </c>
      <c r="M177" s="583">
        <v>0.38</v>
      </c>
      <c r="N177" s="583">
        <v>325</v>
      </c>
      <c r="O177" s="583">
        <v>200</v>
      </c>
      <c r="P177" s="583">
        <v>1.4</v>
      </c>
      <c r="Q177" s="583">
        <v>0.1</v>
      </c>
      <c r="R177" s="583">
        <v>0.36</v>
      </c>
      <c r="S177" s="665">
        <v>0.46</v>
      </c>
      <c r="T177" s="665">
        <v>105</v>
      </c>
    </row>
    <row r="178" spans="2:20">
      <c r="B178" s="664" t="s">
        <v>978</v>
      </c>
      <c r="C178" s="663" t="s">
        <v>1034</v>
      </c>
      <c r="D178" s="106">
        <v>645</v>
      </c>
      <c r="E178" s="106">
        <v>-34</v>
      </c>
      <c r="F178" s="106">
        <v>-37</v>
      </c>
      <c r="G178" s="106">
        <v>28</v>
      </c>
      <c r="H178" s="106">
        <v>20</v>
      </c>
      <c r="I178" s="106">
        <v>5880</v>
      </c>
      <c r="J178" s="106">
        <v>18</v>
      </c>
      <c r="K178" s="106">
        <v>81</v>
      </c>
      <c r="L178" s="106">
        <v>310</v>
      </c>
      <c r="M178" s="106">
        <v>0.53</v>
      </c>
      <c r="N178" s="106">
        <v>430</v>
      </c>
      <c r="O178" s="106">
        <v>120</v>
      </c>
      <c r="P178" s="106">
        <v>2</v>
      </c>
      <c r="Q178" s="106">
        <v>0.1</v>
      </c>
      <c r="R178" s="106">
        <v>0.31</v>
      </c>
      <c r="S178" s="662">
        <v>0.4</v>
      </c>
      <c r="T178" s="662">
        <v>84</v>
      </c>
    </row>
    <row r="179" spans="2:20">
      <c r="B179" s="664" t="s">
        <v>978</v>
      </c>
      <c r="C179" s="664" t="s">
        <v>1048</v>
      </c>
      <c r="D179" s="583">
        <v>765</v>
      </c>
      <c r="E179" s="583">
        <v>-31</v>
      </c>
      <c r="F179" s="583">
        <v>-34</v>
      </c>
      <c r="G179" s="583">
        <v>31</v>
      </c>
      <c r="H179" s="583">
        <v>20</v>
      </c>
      <c r="I179" s="583">
        <v>4780</v>
      </c>
      <c r="J179" s="583">
        <v>25</v>
      </c>
      <c r="K179" s="583">
        <v>81</v>
      </c>
      <c r="L179" s="583">
        <v>275</v>
      </c>
      <c r="M179" s="583">
        <v>0.28000000000000003</v>
      </c>
      <c r="N179" s="583">
        <v>380</v>
      </c>
      <c r="O179" s="583">
        <v>220</v>
      </c>
      <c r="P179" s="583">
        <v>1.2</v>
      </c>
      <c r="Q179" s="583">
        <v>0.1</v>
      </c>
      <c r="R179" s="583">
        <v>0.35</v>
      </c>
      <c r="S179" s="665">
        <v>0.45</v>
      </c>
      <c r="T179" s="665">
        <v>105</v>
      </c>
    </row>
    <row r="180" spans="2:20">
      <c r="B180" s="664" t="s">
        <v>978</v>
      </c>
      <c r="C180" s="663" t="s">
        <v>1062</v>
      </c>
      <c r="D180" s="106">
        <v>480</v>
      </c>
      <c r="E180" s="106">
        <v>-38</v>
      </c>
      <c r="F180" s="106">
        <v>-40</v>
      </c>
      <c r="G180" s="106">
        <v>28</v>
      </c>
      <c r="H180" s="106">
        <v>20</v>
      </c>
      <c r="I180" s="106">
        <v>6280</v>
      </c>
      <c r="J180" s="106">
        <v>18</v>
      </c>
      <c r="K180" s="106">
        <v>81</v>
      </c>
      <c r="L180" s="106">
        <v>320</v>
      </c>
      <c r="M180" s="106">
        <v>0.53</v>
      </c>
      <c r="N180" s="106">
        <v>450</v>
      </c>
      <c r="O180" s="106">
        <v>120</v>
      </c>
      <c r="P180" s="106">
        <v>1.7</v>
      </c>
      <c r="Q180" s="106">
        <v>0.1</v>
      </c>
      <c r="R180" s="106">
        <v>0.31</v>
      </c>
      <c r="S180" s="662">
        <v>0.4</v>
      </c>
      <c r="T180" s="662">
        <v>93</v>
      </c>
    </row>
    <row r="181" spans="2:20">
      <c r="B181" s="664" t="s">
        <v>978</v>
      </c>
      <c r="C181" s="664" t="s">
        <v>1078</v>
      </c>
      <c r="D181" s="583">
        <v>455</v>
      </c>
      <c r="E181" s="583">
        <v>-36</v>
      </c>
      <c r="F181" s="583">
        <v>-38</v>
      </c>
      <c r="G181" s="583">
        <v>28</v>
      </c>
      <c r="H181" s="583">
        <v>21</v>
      </c>
      <c r="I181" s="583">
        <v>6050</v>
      </c>
      <c r="J181" s="583">
        <v>20</v>
      </c>
      <c r="K181" s="583">
        <v>81</v>
      </c>
      <c r="L181" s="583">
        <v>310</v>
      </c>
      <c r="M181" s="583">
        <v>0.5</v>
      </c>
      <c r="N181" s="583">
        <v>410</v>
      </c>
      <c r="O181" s="583">
        <v>120</v>
      </c>
      <c r="P181" s="583">
        <v>2.1</v>
      </c>
      <c r="Q181" s="583">
        <v>0.1</v>
      </c>
      <c r="R181" s="583">
        <v>0.28000000000000003</v>
      </c>
      <c r="S181" s="665">
        <v>0.36</v>
      </c>
      <c r="T181" s="665">
        <v>78</v>
      </c>
    </row>
    <row r="182" spans="2:20">
      <c r="B182" s="664" t="s">
        <v>978</v>
      </c>
      <c r="C182" s="663" t="s">
        <v>1090</v>
      </c>
      <c r="D182" s="106">
        <v>550</v>
      </c>
      <c r="E182" s="106">
        <v>-34</v>
      </c>
      <c r="F182" s="106">
        <v>-36</v>
      </c>
      <c r="G182" s="106">
        <v>29</v>
      </c>
      <c r="H182" s="106">
        <v>21</v>
      </c>
      <c r="I182" s="106">
        <v>5880</v>
      </c>
      <c r="J182" s="106">
        <v>23</v>
      </c>
      <c r="K182" s="106">
        <v>97</v>
      </c>
      <c r="L182" s="106">
        <v>340</v>
      </c>
      <c r="M182" s="106">
        <v>0.52</v>
      </c>
      <c r="N182" s="106">
        <v>410</v>
      </c>
      <c r="O182" s="106">
        <v>160</v>
      </c>
      <c r="P182" s="106">
        <v>1.7</v>
      </c>
      <c r="Q182" s="106">
        <v>0.1</v>
      </c>
      <c r="R182" s="106">
        <v>0.31</v>
      </c>
      <c r="S182" s="662">
        <v>0.4</v>
      </c>
      <c r="T182" s="662">
        <v>84</v>
      </c>
    </row>
    <row r="183" spans="2:20">
      <c r="B183" s="664" t="s">
        <v>978</v>
      </c>
      <c r="C183" s="664" t="s">
        <v>1102</v>
      </c>
      <c r="D183" s="583">
        <v>545</v>
      </c>
      <c r="E183" s="583">
        <v>-32</v>
      </c>
      <c r="F183" s="583">
        <v>-34</v>
      </c>
      <c r="G183" s="583">
        <v>31</v>
      </c>
      <c r="H183" s="583">
        <v>21</v>
      </c>
      <c r="I183" s="583">
        <v>5270</v>
      </c>
      <c r="J183" s="583">
        <v>25</v>
      </c>
      <c r="K183" s="583">
        <v>86</v>
      </c>
      <c r="L183" s="583">
        <v>270</v>
      </c>
      <c r="M183" s="583">
        <v>0.33</v>
      </c>
      <c r="N183" s="583">
        <v>360</v>
      </c>
      <c r="O183" s="583">
        <v>200</v>
      </c>
      <c r="P183" s="583">
        <v>1.4</v>
      </c>
      <c r="Q183" s="583">
        <v>0.1</v>
      </c>
      <c r="R183" s="583">
        <v>0.4</v>
      </c>
      <c r="S183" s="665">
        <v>0.52</v>
      </c>
      <c r="T183" s="665">
        <v>91</v>
      </c>
    </row>
    <row r="184" spans="2:20">
      <c r="B184" s="664" t="s">
        <v>978</v>
      </c>
      <c r="C184" s="663" t="s">
        <v>1111</v>
      </c>
      <c r="D184" s="106">
        <v>365</v>
      </c>
      <c r="E184" s="106">
        <v>-37</v>
      </c>
      <c r="F184" s="106">
        <v>-39</v>
      </c>
      <c r="G184" s="106">
        <v>28</v>
      </c>
      <c r="H184" s="106">
        <v>21</v>
      </c>
      <c r="I184" s="106">
        <v>6300</v>
      </c>
      <c r="J184" s="106">
        <v>20</v>
      </c>
      <c r="K184" s="106">
        <v>76</v>
      </c>
      <c r="L184" s="106">
        <v>340</v>
      </c>
      <c r="M184" s="106">
        <v>0.56000000000000005</v>
      </c>
      <c r="N184" s="106">
        <v>450</v>
      </c>
      <c r="O184" s="106">
        <v>100</v>
      </c>
      <c r="P184" s="106">
        <v>2</v>
      </c>
      <c r="Q184" s="106">
        <v>0.1</v>
      </c>
      <c r="R184" s="106">
        <v>0.28999999999999998</v>
      </c>
      <c r="S184" s="662">
        <v>0.38</v>
      </c>
      <c r="T184" s="662">
        <v>81</v>
      </c>
    </row>
    <row r="185" spans="2:20">
      <c r="B185" s="664" t="s">
        <v>978</v>
      </c>
      <c r="C185" s="664" t="s">
        <v>1122</v>
      </c>
      <c r="D185" s="583">
        <v>545</v>
      </c>
      <c r="E185" s="583">
        <v>-34</v>
      </c>
      <c r="F185" s="583">
        <v>-36</v>
      </c>
      <c r="G185" s="583">
        <v>29</v>
      </c>
      <c r="H185" s="583">
        <v>20</v>
      </c>
      <c r="I185" s="583">
        <v>5900</v>
      </c>
      <c r="J185" s="583">
        <v>20</v>
      </c>
      <c r="K185" s="583">
        <v>81</v>
      </c>
      <c r="L185" s="583">
        <v>280</v>
      </c>
      <c r="M185" s="583">
        <v>0.46</v>
      </c>
      <c r="N185" s="583">
        <v>370</v>
      </c>
      <c r="O185" s="583">
        <v>120</v>
      </c>
      <c r="P185" s="583">
        <v>1.7</v>
      </c>
      <c r="Q185" s="583">
        <v>0.1</v>
      </c>
      <c r="R185" s="583">
        <v>0.36</v>
      </c>
      <c r="S185" s="665">
        <v>0.46</v>
      </c>
      <c r="T185" s="665">
        <v>109</v>
      </c>
    </row>
    <row r="186" spans="2:20">
      <c r="B186" s="664" t="s">
        <v>978</v>
      </c>
      <c r="C186" s="663" t="s">
        <v>1132</v>
      </c>
      <c r="D186" s="106">
        <v>435</v>
      </c>
      <c r="E186" s="106">
        <v>-37</v>
      </c>
      <c r="F186" s="106">
        <v>-40</v>
      </c>
      <c r="G186" s="106">
        <v>28</v>
      </c>
      <c r="H186" s="106">
        <v>21</v>
      </c>
      <c r="I186" s="106">
        <v>6100</v>
      </c>
      <c r="J186" s="106">
        <v>20</v>
      </c>
      <c r="K186" s="106">
        <v>81</v>
      </c>
      <c r="L186" s="106">
        <v>320</v>
      </c>
      <c r="M186" s="106">
        <v>0.51</v>
      </c>
      <c r="N186" s="106">
        <v>410</v>
      </c>
      <c r="O186" s="106">
        <v>140</v>
      </c>
      <c r="P186" s="106">
        <v>1.9</v>
      </c>
      <c r="Q186" s="106">
        <v>0.1</v>
      </c>
      <c r="R186" s="106">
        <v>0.28999999999999998</v>
      </c>
      <c r="S186" s="662">
        <v>0.38</v>
      </c>
      <c r="T186" s="662">
        <v>81</v>
      </c>
    </row>
    <row r="187" spans="2:20">
      <c r="B187" s="664" t="s">
        <v>978</v>
      </c>
      <c r="C187" s="664" t="s">
        <v>1140</v>
      </c>
      <c r="D187" s="583">
        <v>645</v>
      </c>
      <c r="E187" s="583">
        <v>-34</v>
      </c>
      <c r="F187" s="583">
        <v>-36</v>
      </c>
      <c r="G187" s="583">
        <v>30</v>
      </c>
      <c r="H187" s="583">
        <v>22</v>
      </c>
      <c r="I187" s="583">
        <v>5620</v>
      </c>
      <c r="J187" s="583">
        <v>25</v>
      </c>
      <c r="K187" s="583">
        <v>97</v>
      </c>
      <c r="L187" s="583">
        <v>340</v>
      </c>
      <c r="M187" s="583">
        <v>0.45</v>
      </c>
      <c r="N187" s="583">
        <v>430</v>
      </c>
      <c r="O187" s="583">
        <v>160</v>
      </c>
      <c r="P187" s="583">
        <v>1.7</v>
      </c>
      <c r="Q187" s="583">
        <v>0.1</v>
      </c>
      <c r="R187" s="583">
        <v>0.33</v>
      </c>
      <c r="S187" s="665">
        <v>0.42</v>
      </c>
      <c r="T187" s="665">
        <v>86</v>
      </c>
    </row>
    <row r="188" spans="2:20">
      <c r="B188" s="664" t="s">
        <v>978</v>
      </c>
      <c r="C188" s="663" t="s">
        <v>1152</v>
      </c>
      <c r="D188" s="106">
        <v>575</v>
      </c>
      <c r="E188" s="106">
        <v>-34</v>
      </c>
      <c r="F188" s="106">
        <v>-36</v>
      </c>
      <c r="G188" s="106">
        <v>31</v>
      </c>
      <c r="H188" s="106">
        <v>21</v>
      </c>
      <c r="I188" s="106">
        <v>5600</v>
      </c>
      <c r="J188" s="106">
        <v>28</v>
      </c>
      <c r="K188" s="106">
        <v>103</v>
      </c>
      <c r="L188" s="106">
        <v>300</v>
      </c>
      <c r="M188" s="106">
        <v>0.39</v>
      </c>
      <c r="N188" s="106">
        <v>365</v>
      </c>
      <c r="O188" s="106">
        <v>200</v>
      </c>
      <c r="P188" s="106">
        <v>1.4</v>
      </c>
      <c r="Q188" s="106">
        <v>0.1</v>
      </c>
      <c r="R188" s="106">
        <v>0.38</v>
      </c>
      <c r="S188" s="662">
        <v>0.49</v>
      </c>
      <c r="T188" s="662">
        <v>86</v>
      </c>
    </row>
    <row r="189" spans="2:20">
      <c r="B189" s="664" t="s">
        <v>978</v>
      </c>
      <c r="C189" s="664" t="s">
        <v>1161</v>
      </c>
      <c r="D189" s="583">
        <v>595</v>
      </c>
      <c r="E189" s="583">
        <v>-34</v>
      </c>
      <c r="F189" s="583">
        <v>-36</v>
      </c>
      <c r="G189" s="583">
        <v>31</v>
      </c>
      <c r="H189" s="583">
        <v>20</v>
      </c>
      <c r="I189" s="583">
        <v>5620</v>
      </c>
      <c r="J189" s="583">
        <v>23</v>
      </c>
      <c r="K189" s="583">
        <v>81</v>
      </c>
      <c r="L189" s="583">
        <v>260</v>
      </c>
      <c r="M189" s="583">
        <v>0.37</v>
      </c>
      <c r="N189" s="583">
        <v>330</v>
      </c>
      <c r="O189" s="583">
        <v>200</v>
      </c>
      <c r="P189" s="583">
        <v>1.7</v>
      </c>
      <c r="Q189" s="583">
        <v>0.1</v>
      </c>
      <c r="R189" s="583">
        <v>0.38</v>
      </c>
      <c r="S189" s="665">
        <v>0.49</v>
      </c>
      <c r="T189" s="665">
        <v>105</v>
      </c>
    </row>
    <row r="190" spans="2:20">
      <c r="B190" s="664" t="s">
        <v>978</v>
      </c>
      <c r="C190" s="663" t="s">
        <v>1170</v>
      </c>
      <c r="D190" s="106">
        <v>500</v>
      </c>
      <c r="E190" s="106">
        <v>-35</v>
      </c>
      <c r="F190" s="106">
        <v>-37</v>
      </c>
      <c r="G190" s="106">
        <v>30</v>
      </c>
      <c r="H190" s="106">
        <v>21</v>
      </c>
      <c r="I190" s="106">
        <v>5700</v>
      </c>
      <c r="J190" s="106">
        <v>23</v>
      </c>
      <c r="K190" s="106">
        <v>86</v>
      </c>
      <c r="L190" s="106">
        <v>265</v>
      </c>
      <c r="M190" s="106">
        <v>0.41</v>
      </c>
      <c r="N190" s="106">
        <v>350</v>
      </c>
      <c r="O190" s="106">
        <v>160</v>
      </c>
      <c r="P190" s="106">
        <v>1.7</v>
      </c>
      <c r="Q190" s="106">
        <v>0.1</v>
      </c>
      <c r="R190" s="106">
        <v>0.33</v>
      </c>
      <c r="S190" s="662">
        <v>0.43</v>
      </c>
      <c r="T190" s="662">
        <v>92</v>
      </c>
    </row>
    <row r="191" spans="2:20">
      <c r="B191" s="664" t="s">
        <v>978</v>
      </c>
      <c r="C191" s="664" t="s">
        <v>1175</v>
      </c>
      <c r="D191" s="583">
        <v>645</v>
      </c>
      <c r="E191" s="583">
        <v>-34</v>
      </c>
      <c r="F191" s="583">
        <v>-36</v>
      </c>
      <c r="G191" s="583">
        <v>30</v>
      </c>
      <c r="H191" s="583">
        <v>20</v>
      </c>
      <c r="I191" s="583">
        <v>5960</v>
      </c>
      <c r="J191" s="583">
        <v>20</v>
      </c>
      <c r="K191" s="583">
        <v>81</v>
      </c>
      <c r="L191" s="583">
        <v>270</v>
      </c>
      <c r="M191" s="583">
        <v>0.41</v>
      </c>
      <c r="N191" s="583">
        <v>360</v>
      </c>
      <c r="O191" s="583">
        <v>140</v>
      </c>
      <c r="P191" s="583">
        <v>1.9</v>
      </c>
      <c r="Q191" s="583">
        <v>0.1</v>
      </c>
      <c r="R191" s="583">
        <v>0.35</v>
      </c>
      <c r="S191" s="665">
        <v>0.45</v>
      </c>
      <c r="T191" s="665">
        <v>105</v>
      </c>
    </row>
    <row r="192" spans="2:20">
      <c r="B192" s="664" t="s">
        <v>978</v>
      </c>
      <c r="C192" s="663" t="s">
        <v>1181</v>
      </c>
      <c r="D192" s="106">
        <v>545</v>
      </c>
      <c r="E192" s="106">
        <v>-34</v>
      </c>
      <c r="F192" s="106">
        <v>-36</v>
      </c>
      <c r="G192" s="106">
        <v>30</v>
      </c>
      <c r="H192" s="106">
        <v>22</v>
      </c>
      <c r="I192" s="106">
        <v>5600</v>
      </c>
      <c r="J192" s="106">
        <v>25</v>
      </c>
      <c r="K192" s="106">
        <v>92</v>
      </c>
      <c r="L192" s="106">
        <v>300</v>
      </c>
      <c r="M192" s="106">
        <v>0.41</v>
      </c>
      <c r="N192" s="106">
        <v>390</v>
      </c>
      <c r="O192" s="106">
        <v>180</v>
      </c>
      <c r="P192" s="106">
        <v>1.5</v>
      </c>
      <c r="Q192" s="106">
        <v>0.1</v>
      </c>
      <c r="R192" s="106">
        <v>0.33</v>
      </c>
      <c r="S192" s="662">
        <v>0.42</v>
      </c>
      <c r="T192" s="662">
        <v>86</v>
      </c>
    </row>
    <row r="193" spans="2:20">
      <c r="B193" s="664" t="s">
        <v>978</v>
      </c>
      <c r="C193" s="664" t="s">
        <v>1187</v>
      </c>
      <c r="D193" s="583">
        <v>750</v>
      </c>
      <c r="E193" s="583">
        <v>-31</v>
      </c>
      <c r="F193" s="583">
        <v>-34</v>
      </c>
      <c r="G193" s="583">
        <v>31</v>
      </c>
      <c r="H193" s="583">
        <v>20</v>
      </c>
      <c r="I193" s="583">
        <v>5150</v>
      </c>
      <c r="J193" s="583">
        <v>25</v>
      </c>
      <c r="K193" s="583">
        <v>81</v>
      </c>
      <c r="L193" s="583">
        <v>260</v>
      </c>
      <c r="M193" s="583">
        <v>0.34</v>
      </c>
      <c r="N193" s="583">
        <v>350</v>
      </c>
      <c r="O193" s="583">
        <v>240</v>
      </c>
      <c r="P193" s="583">
        <v>1.4</v>
      </c>
      <c r="Q193" s="583">
        <v>0.1</v>
      </c>
      <c r="R193" s="583">
        <v>0.42</v>
      </c>
      <c r="S193" s="665">
        <v>0.54</v>
      </c>
      <c r="T193" s="665">
        <v>104</v>
      </c>
    </row>
    <row r="194" spans="2:20">
      <c r="B194" s="664" t="s">
        <v>978</v>
      </c>
      <c r="C194" s="663" t="s">
        <v>1195</v>
      </c>
      <c r="D194" s="106">
        <v>265</v>
      </c>
      <c r="E194" s="106">
        <v>-42</v>
      </c>
      <c r="F194" s="106">
        <v>-43</v>
      </c>
      <c r="G194" s="106">
        <v>26</v>
      </c>
      <c r="H194" s="106">
        <v>19</v>
      </c>
      <c r="I194" s="106">
        <v>7500</v>
      </c>
      <c r="J194" s="106">
        <v>12</v>
      </c>
      <c r="K194" s="106">
        <v>54</v>
      </c>
      <c r="L194" s="106">
        <v>300</v>
      </c>
      <c r="M194" s="106">
        <v>0.59</v>
      </c>
      <c r="N194" s="106">
        <v>360</v>
      </c>
      <c r="O194" s="106">
        <v>100</v>
      </c>
      <c r="P194" s="106">
        <v>2</v>
      </c>
      <c r="Q194" s="106">
        <v>0.1</v>
      </c>
      <c r="R194" s="106">
        <v>0.28000000000000003</v>
      </c>
      <c r="S194" s="662">
        <v>0.36</v>
      </c>
      <c r="T194" s="662">
        <v>87</v>
      </c>
    </row>
    <row r="195" spans="2:20">
      <c r="B195" s="664" t="s">
        <v>978</v>
      </c>
      <c r="C195" s="664" t="s">
        <v>1201</v>
      </c>
      <c r="D195" s="583">
        <v>575</v>
      </c>
      <c r="E195" s="583">
        <v>-33</v>
      </c>
      <c r="F195" s="583">
        <v>-35</v>
      </c>
      <c r="G195" s="583">
        <v>31</v>
      </c>
      <c r="H195" s="583">
        <v>23</v>
      </c>
      <c r="I195" s="583">
        <v>5400</v>
      </c>
      <c r="J195" s="583">
        <v>28</v>
      </c>
      <c r="K195" s="583">
        <v>97</v>
      </c>
      <c r="L195" s="583">
        <v>320</v>
      </c>
      <c r="M195" s="583">
        <v>0.4</v>
      </c>
      <c r="N195" s="583">
        <v>400</v>
      </c>
      <c r="O195" s="583">
        <v>200</v>
      </c>
      <c r="P195" s="583">
        <v>1.8</v>
      </c>
      <c r="Q195" s="583">
        <v>0.1</v>
      </c>
      <c r="R195" s="583">
        <v>0.37</v>
      </c>
      <c r="S195" s="665">
        <v>0.48</v>
      </c>
      <c r="T195" s="665">
        <v>93</v>
      </c>
    </row>
    <row r="196" spans="2:20">
      <c r="B196" s="664" t="s">
        <v>978</v>
      </c>
      <c r="C196" s="663" t="s">
        <v>1207</v>
      </c>
      <c r="D196" s="106">
        <v>510</v>
      </c>
      <c r="E196" s="106">
        <v>-34</v>
      </c>
      <c r="F196" s="106">
        <v>-37</v>
      </c>
      <c r="G196" s="106">
        <v>29</v>
      </c>
      <c r="H196" s="106">
        <v>21</v>
      </c>
      <c r="I196" s="106">
        <v>6000</v>
      </c>
      <c r="J196" s="106">
        <v>23</v>
      </c>
      <c r="K196" s="106">
        <v>97</v>
      </c>
      <c r="L196" s="106">
        <v>350</v>
      </c>
      <c r="M196" s="106">
        <v>0.54</v>
      </c>
      <c r="N196" s="106">
        <v>440</v>
      </c>
      <c r="O196" s="106">
        <v>140</v>
      </c>
      <c r="P196" s="106">
        <v>1.9</v>
      </c>
      <c r="Q196" s="106">
        <v>0.1</v>
      </c>
      <c r="R196" s="106">
        <v>0.31</v>
      </c>
      <c r="S196" s="662">
        <v>0.4</v>
      </c>
      <c r="T196" s="662">
        <v>84</v>
      </c>
    </row>
    <row r="197" spans="2:20">
      <c r="B197" s="664" t="s">
        <v>861</v>
      </c>
      <c r="C197" s="663" t="s">
        <v>807</v>
      </c>
      <c r="D197" s="106">
        <v>245</v>
      </c>
      <c r="E197" s="106">
        <v>-33</v>
      </c>
      <c r="F197" s="106">
        <v>-35</v>
      </c>
      <c r="G197" s="106">
        <v>29</v>
      </c>
      <c r="H197" s="106">
        <v>23</v>
      </c>
      <c r="I197" s="106">
        <v>5680</v>
      </c>
      <c r="J197" s="106">
        <v>28</v>
      </c>
      <c r="K197" s="106">
        <v>103</v>
      </c>
      <c r="L197" s="106">
        <v>430</v>
      </c>
      <c r="M197" s="106">
        <v>0.61</v>
      </c>
      <c r="N197" s="106">
        <v>530</v>
      </c>
      <c r="O197" s="106">
        <v>180</v>
      </c>
      <c r="P197" s="106">
        <v>2</v>
      </c>
      <c r="Q197" s="106">
        <v>0.2</v>
      </c>
      <c r="R197" s="106">
        <v>0.32</v>
      </c>
      <c r="S197" s="662">
        <v>0.41</v>
      </c>
      <c r="T197" s="662">
        <v>84</v>
      </c>
    </row>
    <row r="198" spans="2:20">
      <c r="B198" s="664" t="s">
        <v>861</v>
      </c>
      <c r="C198" s="664" t="s">
        <v>825</v>
      </c>
      <c r="D198" s="583">
        <v>510</v>
      </c>
      <c r="E198" s="583">
        <v>-32</v>
      </c>
      <c r="F198" s="583">
        <v>-34</v>
      </c>
      <c r="G198" s="583">
        <v>30</v>
      </c>
      <c r="H198" s="583">
        <v>23</v>
      </c>
      <c r="I198" s="583">
        <v>5500</v>
      </c>
      <c r="J198" s="583">
        <v>28</v>
      </c>
      <c r="K198" s="583">
        <v>119</v>
      </c>
      <c r="L198" s="583">
        <v>390</v>
      </c>
      <c r="M198" s="583">
        <v>0.54</v>
      </c>
      <c r="N198" s="583">
        <v>510</v>
      </c>
      <c r="O198" s="583">
        <v>180</v>
      </c>
      <c r="P198" s="583">
        <v>2.2000000000000002</v>
      </c>
      <c r="Q198" s="583">
        <v>0.2</v>
      </c>
      <c r="R198" s="583">
        <v>0.4</v>
      </c>
      <c r="S198" s="665">
        <v>0.52</v>
      </c>
      <c r="T198" s="665">
        <v>100</v>
      </c>
    </row>
    <row r="199" spans="2:20">
      <c r="B199" s="664" t="s">
        <v>861</v>
      </c>
      <c r="C199" s="663" t="s">
        <v>846</v>
      </c>
      <c r="D199" s="106">
        <v>395</v>
      </c>
      <c r="E199" s="106">
        <v>-33</v>
      </c>
      <c r="F199" s="106">
        <v>-35</v>
      </c>
      <c r="G199" s="106">
        <v>30</v>
      </c>
      <c r="H199" s="106">
        <v>22</v>
      </c>
      <c r="I199" s="106">
        <v>5760</v>
      </c>
      <c r="J199" s="106">
        <v>28</v>
      </c>
      <c r="K199" s="106">
        <v>108</v>
      </c>
      <c r="L199" s="106">
        <v>375</v>
      </c>
      <c r="M199" s="106">
        <v>0.56000000000000005</v>
      </c>
      <c r="N199" s="106">
        <v>460</v>
      </c>
      <c r="O199" s="106">
        <v>180</v>
      </c>
      <c r="P199" s="106">
        <v>2.1</v>
      </c>
      <c r="Q199" s="106">
        <v>0.2</v>
      </c>
      <c r="R199" s="106">
        <v>0.38</v>
      </c>
      <c r="S199" s="662">
        <v>0.49</v>
      </c>
      <c r="T199" s="662">
        <v>93</v>
      </c>
    </row>
    <row r="200" spans="2:20">
      <c r="B200" s="664" t="s">
        <v>861</v>
      </c>
      <c r="C200" s="664" t="s">
        <v>865</v>
      </c>
      <c r="D200" s="583">
        <v>10</v>
      </c>
      <c r="E200" s="583">
        <v>-38</v>
      </c>
      <c r="F200" s="583">
        <v>-40</v>
      </c>
      <c r="G200" s="583">
        <v>25</v>
      </c>
      <c r="H200" s="583">
        <v>18</v>
      </c>
      <c r="I200" s="583">
        <v>8950</v>
      </c>
      <c r="J200" s="583">
        <v>12</v>
      </c>
      <c r="K200" s="583">
        <v>76</v>
      </c>
      <c r="L200" s="583">
        <v>265</v>
      </c>
      <c r="M200" s="583">
        <v>0.82</v>
      </c>
      <c r="N200" s="583">
        <v>410</v>
      </c>
      <c r="O200" s="583">
        <v>260</v>
      </c>
      <c r="P200" s="583">
        <v>3</v>
      </c>
      <c r="Q200" s="583">
        <v>0.2</v>
      </c>
      <c r="R200" s="583">
        <v>0.43</v>
      </c>
      <c r="S200" s="665">
        <v>0.55000000000000004</v>
      </c>
      <c r="T200" s="665">
        <v>106</v>
      </c>
    </row>
    <row r="201" spans="2:20">
      <c r="B201" s="664" t="s">
        <v>861</v>
      </c>
      <c r="C201" s="663" t="s">
        <v>887</v>
      </c>
      <c r="D201" s="106">
        <v>295</v>
      </c>
      <c r="E201" s="106">
        <v>-33</v>
      </c>
      <c r="F201" s="106">
        <v>-35</v>
      </c>
      <c r="G201" s="106">
        <v>30</v>
      </c>
      <c r="H201" s="106">
        <v>22</v>
      </c>
      <c r="I201" s="106">
        <v>5900</v>
      </c>
      <c r="J201" s="106">
        <v>28</v>
      </c>
      <c r="K201" s="106">
        <v>103</v>
      </c>
      <c r="L201" s="106">
        <v>400</v>
      </c>
      <c r="M201" s="106">
        <v>0.56000000000000005</v>
      </c>
      <c r="N201" s="106">
        <v>490</v>
      </c>
      <c r="O201" s="106">
        <v>160</v>
      </c>
      <c r="P201" s="106">
        <v>1.9</v>
      </c>
      <c r="Q201" s="106">
        <v>0.2</v>
      </c>
      <c r="R201" s="106">
        <v>0.31</v>
      </c>
      <c r="S201" s="662">
        <v>0.4</v>
      </c>
      <c r="T201" s="662">
        <v>84</v>
      </c>
    </row>
    <row r="202" spans="2:20">
      <c r="B202" s="664" t="s">
        <v>861</v>
      </c>
      <c r="C202" s="664" t="s">
        <v>908</v>
      </c>
      <c r="D202" s="583">
        <v>300</v>
      </c>
      <c r="E202" s="583">
        <v>-38</v>
      </c>
      <c r="F202" s="583">
        <v>-40</v>
      </c>
      <c r="G202" s="583">
        <v>27</v>
      </c>
      <c r="H202" s="583">
        <v>20</v>
      </c>
      <c r="I202" s="583">
        <v>6440</v>
      </c>
      <c r="J202" s="583">
        <v>18</v>
      </c>
      <c r="K202" s="583">
        <v>81</v>
      </c>
      <c r="L202" s="583">
        <v>340</v>
      </c>
      <c r="M202" s="583">
        <v>0.59</v>
      </c>
      <c r="N202" s="583">
        <v>475</v>
      </c>
      <c r="O202" s="106">
        <v>80</v>
      </c>
      <c r="P202" s="583">
        <v>2.2000000000000002</v>
      </c>
      <c r="Q202" s="583">
        <v>0.2</v>
      </c>
      <c r="R202" s="583">
        <v>0.27</v>
      </c>
      <c r="S202" s="665">
        <v>0.35</v>
      </c>
      <c r="T202" s="665">
        <v>87</v>
      </c>
    </row>
    <row r="203" spans="2:20">
      <c r="B203" s="664" t="s">
        <v>861</v>
      </c>
      <c r="C203" s="663" t="s">
        <v>922</v>
      </c>
      <c r="D203" s="106">
        <v>220</v>
      </c>
      <c r="E203" s="106">
        <v>-34</v>
      </c>
      <c r="F203" s="106">
        <v>-36</v>
      </c>
      <c r="G203" s="106">
        <v>29</v>
      </c>
      <c r="H203" s="106">
        <v>23</v>
      </c>
      <c r="I203" s="106">
        <v>5800</v>
      </c>
      <c r="J203" s="106">
        <v>28</v>
      </c>
      <c r="K203" s="106">
        <v>108</v>
      </c>
      <c r="L203" s="106">
        <v>410</v>
      </c>
      <c r="M203" s="106">
        <v>0.65</v>
      </c>
      <c r="N203" s="106">
        <v>530</v>
      </c>
      <c r="O203" s="106">
        <v>180</v>
      </c>
      <c r="P203" s="106">
        <v>1.9</v>
      </c>
      <c r="Q203" s="106">
        <v>0.2</v>
      </c>
      <c r="R203" s="106">
        <v>0.31</v>
      </c>
      <c r="S203" s="662">
        <v>0.4</v>
      </c>
      <c r="T203" s="662">
        <v>84</v>
      </c>
    </row>
    <row r="204" spans="2:20">
      <c r="B204" s="664" t="s">
        <v>861</v>
      </c>
      <c r="C204" s="664" t="s">
        <v>941</v>
      </c>
      <c r="D204" s="583">
        <v>240</v>
      </c>
      <c r="E204" s="583">
        <v>-36</v>
      </c>
      <c r="F204" s="583">
        <v>-38</v>
      </c>
      <c r="G204" s="583">
        <v>27</v>
      </c>
      <c r="H204" s="583">
        <v>20</v>
      </c>
      <c r="I204" s="583">
        <v>6900</v>
      </c>
      <c r="J204" s="583">
        <v>18</v>
      </c>
      <c r="K204" s="583">
        <v>86</v>
      </c>
      <c r="L204" s="583">
        <v>380</v>
      </c>
      <c r="M204" s="583">
        <v>0.67</v>
      </c>
      <c r="N204" s="583">
        <v>550</v>
      </c>
      <c r="O204" s="106">
        <v>80</v>
      </c>
      <c r="P204" s="583">
        <v>2.6</v>
      </c>
      <c r="Q204" s="583">
        <v>0.2</v>
      </c>
      <c r="R204" s="583">
        <v>0.28999999999999998</v>
      </c>
      <c r="S204" s="665">
        <v>0.37</v>
      </c>
      <c r="T204" s="665">
        <v>87</v>
      </c>
    </row>
    <row r="205" spans="2:20">
      <c r="B205" s="664" t="s">
        <v>861</v>
      </c>
      <c r="C205" s="663" t="s">
        <v>959</v>
      </c>
      <c r="D205" s="106">
        <v>260</v>
      </c>
      <c r="E205" s="106">
        <v>-34</v>
      </c>
      <c r="F205" s="106">
        <v>-36</v>
      </c>
      <c r="G205" s="106">
        <v>29</v>
      </c>
      <c r="H205" s="106">
        <v>23</v>
      </c>
      <c r="I205" s="106">
        <v>5730</v>
      </c>
      <c r="J205" s="106">
        <v>28</v>
      </c>
      <c r="K205" s="106">
        <v>103</v>
      </c>
      <c r="L205" s="106">
        <v>445</v>
      </c>
      <c r="M205" s="106">
        <v>0.65</v>
      </c>
      <c r="N205" s="106">
        <v>560</v>
      </c>
      <c r="O205" s="106">
        <v>180</v>
      </c>
      <c r="P205" s="106">
        <v>1.9</v>
      </c>
      <c r="Q205" s="106">
        <v>0.2</v>
      </c>
      <c r="R205" s="106">
        <v>0.28999999999999998</v>
      </c>
      <c r="S205" s="662">
        <v>0.37</v>
      </c>
      <c r="T205" s="662">
        <v>84</v>
      </c>
    </row>
    <row r="206" spans="2:20">
      <c r="B206" s="664" t="s">
        <v>861</v>
      </c>
      <c r="C206" s="664" t="s">
        <v>981</v>
      </c>
      <c r="D206" s="583">
        <v>350</v>
      </c>
      <c r="E206" s="583">
        <v>-40</v>
      </c>
      <c r="F206" s="583">
        <v>-42</v>
      </c>
      <c r="G206" s="583">
        <v>27</v>
      </c>
      <c r="H206" s="583">
        <v>19</v>
      </c>
      <c r="I206" s="583">
        <v>7770</v>
      </c>
      <c r="J206" s="583">
        <v>18</v>
      </c>
      <c r="K206" s="583">
        <v>86</v>
      </c>
      <c r="L206" s="583">
        <v>310</v>
      </c>
      <c r="M206" s="583">
        <v>0.62</v>
      </c>
      <c r="N206" s="583">
        <v>490</v>
      </c>
      <c r="O206" s="583">
        <v>100</v>
      </c>
      <c r="P206" s="583">
        <v>2.4</v>
      </c>
      <c r="Q206" s="583">
        <v>0.2</v>
      </c>
      <c r="R206" s="583">
        <v>0.28999999999999998</v>
      </c>
      <c r="S206" s="665">
        <v>0.37</v>
      </c>
      <c r="T206" s="665">
        <v>87</v>
      </c>
    </row>
    <row r="207" spans="2:20">
      <c r="B207" s="664" t="s">
        <v>861</v>
      </c>
      <c r="C207" s="663" t="s">
        <v>1001</v>
      </c>
      <c r="D207" s="106">
        <v>300</v>
      </c>
      <c r="E207" s="106">
        <v>-31</v>
      </c>
      <c r="F207" s="106">
        <v>-33</v>
      </c>
      <c r="G207" s="106">
        <v>30</v>
      </c>
      <c r="H207" s="106">
        <v>24</v>
      </c>
      <c r="I207" s="106">
        <v>5400</v>
      </c>
      <c r="J207" s="106">
        <v>28</v>
      </c>
      <c r="K207" s="106">
        <v>119</v>
      </c>
      <c r="L207" s="106">
        <v>420</v>
      </c>
      <c r="M207" s="106">
        <v>0.55000000000000004</v>
      </c>
      <c r="N207" s="106">
        <v>520</v>
      </c>
      <c r="O207" s="106">
        <v>180</v>
      </c>
      <c r="P207" s="106">
        <v>2.2000000000000002</v>
      </c>
      <c r="Q207" s="106">
        <v>0.2</v>
      </c>
      <c r="R207" s="106">
        <v>0.4</v>
      </c>
      <c r="S207" s="662">
        <v>0.52</v>
      </c>
      <c r="T207" s="662">
        <v>96</v>
      </c>
    </row>
    <row r="208" spans="2:20">
      <c r="B208" s="664" t="s">
        <v>861</v>
      </c>
      <c r="C208" s="664" t="s">
        <v>1013</v>
      </c>
      <c r="D208" s="583">
        <v>365</v>
      </c>
      <c r="E208" s="583">
        <v>-32</v>
      </c>
      <c r="F208" s="583">
        <v>-34</v>
      </c>
      <c r="G208" s="583">
        <v>29</v>
      </c>
      <c r="H208" s="583">
        <v>23</v>
      </c>
      <c r="I208" s="583">
        <v>5760</v>
      </c>
      <c r="J208" s="583">
        <v>28</v>
      </c>
      <c r="K208" s="583">
        <v>108</v>
      </c>
      <c r="L208" s="583">
        <v>410</v>
      </c>
      <c r="M208" s="583">
        <v>0.57999999999999996</v>
      </c>
      <c r="N208" s="583">
        <v>470</v>
      </c>
      <c r="O208" s="583">
        <v>180</v>
      </c>
      <c r="P208" s="583">
        <v>2.2000000000000002</v>
      </c>
      <c r="Q208" s="583">
        <v>0.2</v>
      </c>
      <c r="R208" s="583">
        <v>0.34</v>
      </c>
      <c r="S208" s="665">
        <v>0.44</v>
      </c>
      <c r="T208" s="665">
        <v>87</v>
      </c>
    </row>
    <row r="209" spans="2:20">
      <c r="B209" s="664" t="s">
        <v>861</v>
      </c>
      <c r="C209" s="663" t="s">
        <v>1028</v>
      </c>
      <c r="D209" s="106">
        <v>220</v>
      </c>
      <c r="E209" s="106">
        <v>-34</v>
      </c>
      <c r="F209" s="106">
        <v>-36</v>
      </c>
      <c r="G209" s="106">
        <v>28</v>
      </c>
      <c r="H209" s="106">
        <v>23</v>
      </c>
      <c r="I209" s="106">
        <v>5900</v>
      </c>
      <c r="J209" s="106">
        <v>25</v>
      </c>
      <c r="K209" s="106">
        <v>97</v>
      </c>
      <c r="L209" s="106">
        <v>440</v>
      </c>
      <c r="M209" s="106">
        <v>0.66</v>
      </c>
      <c r="N209" s="106">
        <v>420</v>
      </c>
      <c r="O209" s="106">
        <v>180</v>
      </c>
      <c r="P209" s="106">
        <v>1.9</v>
      </c>
      <c r="Q209" s="106">
        <v>0.2</v>
      </c>
      <c r="R209" s="106">
        <v>0.3</v>
      </c>
      <c r="S209" s="662">
        <v>0.39</v>
      </c>
      <c r="T209" s="662">
        <v>82</v>
      </c>
    </row>
    <row r="210" spans="2:20">
      <c r="B210" s="664" t="s">
        <v>861</v>
      </c>
      <c r="C210" s="664" t="s">
        <v>1042</v>
      </c>
      <c r="D210" s="583">
        <v>260</v>
      </c>
      <c r="E210" s="583">
        <v>-31</v>
      </c>
      <c r="F210" s="583">
        <v>-33</v>
      </c>
      <c r="G210" s="583">
        <v>30</v>
      </c>
      <c r="H210" s="583">
        <v>23</v>
      </c>
      <c r="I210" s="583">
        <v>5600</v>
      </c>
      <c r="J210" s="583">
        <v>28</v>
      </c>
      <c r="K210" s="583">
        <v>108</v>
      </c>
      <c r="L210" s="583">
        <v>390</v>
      </c>
      <c r="M210" s="583">
        <v>0.51</v>
      </c>
      <c r="N210" s="583">
        <v>525</v>
      </c>
      <c r="O210" s="583">
        <v>180</v>
      </c>
      <c r="P210" s="583">
        <v>2.1</v>
      </c>
      <c r="Q210" s="583">
        <v>0.2</v>
      </c>
      <c r="R210" s="583">
        <v>0.36</v>
      </c>
      <c r="S210" s="665">
        <v>0.46</v>
      </c>
      <c r="T210" s="665">
        <v>91</v>
      </c>
    </row>
    <row r="211" spans="2:20">
      <c r="B211" s="664" t="s">
        <v>861</v>
      </c>
      <c r="C211" s="663" t="s">
        <v>1056</v>
      </c>
      <c r="D211" s="106">
        <v>465</v>
      </c>
      <c r="E211" s="106">
        <v>-34</v>
      </c>
      <c r="F211" s="106">
        <v>-36</v>
      </c>
      <c r="G211" s="106">
        <v>29</v>
      </c>
      <c r="H211" s="106">
        <v>23</v>
      </c>
      <c r="I211" s="106">
        <v>5840</v>
      </c>
      <c r="J211" s="106">
        <v>28</v>
      </c>
      <c r="K211" s="106">
        <v>108</v>
      </c>
      <c r="L211" s="106">
        <v>370</v>
      </c>
      <c r="M211" s="106">
        <v>0.56000000000000005</v>
      </c>
      <c r="N211" s="106">
        <v>460</v>
      </c>
      <c r="O211" s="106">
        <v>180</v>
      </c>
      <c r="P211" s="106">
        <v>2.1</v>
      </c>
      <c r="Q211" s="106">
        <v>0.2</v>
      </c>
      <c r="R211" s="106">
        <v>0.36</v>
      </c>
      <c r="S211" s="662">
        <v>0.46</v>
      </c>
      <c r="T211" s="662">
        <v>91</v>
      </c>
    </row>
    <row r="212" spans="2:20">
      <c r="B212" s="664" t="s">
        <v>861</v>
      </c>
      <c r="C212" s="664" t="s">
        <v>1072</v>
      </c>
      <c r="D212" s="583">
        <v>365</v>
      </c>
      <c r="E212" s="583">
        <v>-32</v>
      </c>
      <c r="F212" s="583">
        <v>-34</v>
      </c>
      <c r="G212" s="583">
        <v>29</v>
      </c>
      <c r="H212" s="583">
        <v>23</v>
      </c>
      <c r="I212" s="583">
        <v>5650</v>
      </c>
      <c r="J212" s="583">
        <v>28</v>
      </c>
      <c r="K212" s="583">
        <v>113</v>
      </c>
      <c r="L212" s="583">
        <v>460</v>
      </c>
      <c r="M212" s="583">
        <v>0.57999999999999996</v>
      </c>
      <c r="N212" s="583">
        <v>550</v>
      </c>
      <c r="O212" s="583">
        <v>180</v>
      </c>
      <c r="P212" s="583">
        <v>2.2000000000000002</v>
      </c>
      <c r="Q212" s="583">
        <v>0.2</v>
      </c>
      <c r="R212" s="583">
        <v>0.31</v>
      </c>
      <c r="S212" s="665">
        <v>0.4</v>
      </c>
      <c r="T212" s="665">
        <v>84</v>
      </c>
    </row>
    <row r="213" spans="2:20">
      <c r="B213" s="664" t="s">
        <v>861</v>
      </c>
      <c r="C213" s="663" t="s">
        <v>1085</v>
      </c>
      <c r="D213" s="106">
        <v>225</v>
      </c>
      <c r="E213" s="106">
        <v>-33</v>
      </c>
      <c r="F213" s="106">
        <v>-35</v>
      </c>
      <c r="G213" s="106">
        <v>29</v>
      </c>
      <c r="H213" s="106">
        <v>23</v>
      </c>
      <c r="I213" s="106">
        <v>5700</v>
      </c>
      <c r="J213" s="106">
        <v>28</v>
      </c>
      <c r="K213" s="106">
        <v>108</v>
      </c>
      <c r="L213" s="106">
        <v>420</v>
      </c>
      <c r="M213" s="106">
        <v>0.61</v>
      </c>
      <c r="N213" s="106">
        <v>500</v>
      </c>
      <c r="O213" s="106">
        <v>180</v>
      </c>
      <c r="P213" s="106">
        <v>1.9</v>
      </c>
      <c r="Q213" s="106">
        <v>0.2</v>
      </c>
      <c r="R213" s="106">
        <v>0.32</v>
      </c>
      <c r="S213" s="662">
        <v>0.41</v>
      </c>
      <c r="T213" s="662">
        <v>86</v>
      </c>
    </row>
    <row r="214" spans="2:20">
      <c r="B214" s="664" t="s">
        <v>861</v>
      </c>
      <c r="C214" s="664" t="s">
        <v>1098</v>
      </c>
      <c r="D214" s="583">
        <v>175</v>
      </c>
      <c r="E214" s="583">
        <v>-38</v>
      </c>
      <c r="F214" s="583">
        <v>-40</v>
      </c>
      <c r="G214" s="583">
        <v>27</v>
      </c>
      <c r="H214" s="583">
        <v>19</v>
      </c>
      <c r="I214" s="583">
        <v>7900</v>
      </c>
      <c r="J214" s="583">
        <v>18</v>
      </c>
      <c r="K214" s="583">
        <v>76</v>
      </c>
      <c r="L214" s="583">
        <v>325</v>
      </c>
      <c r="M214" s="583">
        <v>0.66</v>
      </c>
      <c r="N214" s="583">
        <v>500</v>
      </c>
      <c r="O214" s="583">
        <v>120</v>
      </c>
      <c r="P214" s="583">
        <v>2.5</v>
      </c>
      <c r="Q214" s="583">
        <v>0.2</v>
      </c>
      <c r="R214" s="583">
        <v>0.3</v>
      </c>
      <c r="S214" s="665">
        <v>0.39</v>
      </c>
      <c r="T214" s="665">
        <v>74</v>
      </c>
    </row>
    <row r="215" spans="2:20">
      <c r="B215" s="664" t="s">
        <v>861</v>
      </c>
      <c r="C215" s="663" t="s">
        <v>1107</v>
      </c>
      <c r="D215" s="106">
        <v>270</v>
      </c>
      <c r="E215" s="106">
        <v>-33</v>
      </c>
      <c r="F215" s="106">
        <v>-35</v>
      </c>
      <c r="G215" s="106">
        <v>29</v>
      </c>
      <c r="H215" s="106">
        <v>23</v>
      </c>
      <c r="I215" s="106">
        <v>5700</v>
      </c>
      <c r="J215" s="106">
        <v>28</v>
      </c>
      <c r="K215" s="106">
        <v>108</v>
      </c>
      <c r="L215" s="106">
        <v>440</v>
      </c>
      <c r="M215" s="106">
        <v>0.57999999999999996</v>
      </c>
      <c r="N215" s="106">
        <v>500</v>
      </c>
      <c r="O215" s="106">
        <v>180</v>
      </c>
      <c r="P215" s="106">
        <v>2</v>
      </c>
      <c r="Q215" s="106">
        <v>0.2</v>
      </c>
      <c r="R215" s="106">
        <v>0.31</v>
      </c>
      <c r="S215" s="662">
        <v>0.4</v>
      </c>
      <c r="T215" s="662">
        <v>84</v>
      </c>
    </row>
    <row r="216" spans="2:20">
      <c r="B216" s="664" t="s">
        <v>861</v>
      </c>
      <c r="C216" s="664" t="s">
        <v>1118</v>
      </c>
      <c r="D216" s="583">
        <v>335</v>
      </c>
      <c r="E216" s="583">
        <v>-34</v>
      </c>
      <c r="F216" s="583">
        <v>-37</v>
      </c>
      <c r="G216" s="583">
        <v>29</v>
      </c>
      <c r="H216" s="583">
        <v>22</v>
      </c>
      <c r="I216" s="583">
        <v>6100</v>
      </c>
      <c r="J216" s="583">
        <v>20</v>
      </c>
      <c r="K216" s="583">
        <v>92</v>
      </c>
      <c r="L216" s="583">
        <v>370</v>
      </c>
      <c r="M216" s="583">
        <v>0.57999999999999996</v>
      </c>
      <c r="N216" s="583">
        <v>500</v>
      </c>
      <c r="O216" s="583">
        <v>120</v>
      </c>
      <c r="P216" s="583">
        <v>2</v>
      </c>
      <c r="Q216" s="583">
        <v>0.2</v>
      </c>
      <c r="R216" s="583">
        <v>0.27</v>
      </c>
      <c r="S216" s="665">
        <v>0.35</v>
      </c>
      <c r="T216" s="665">
        <v>82</v>
      </c>
    </row>
    <row r="217" spans="2:20">
      <c r="B217" s="664" t="s">
        <v>861</v>
      </c>
      <c r="C217" s="663" t="s">
        <v>1128</v>
      </c>
      <c r="D217" s="106">
        <v>270</v>
      </c>
      <c r="E217" s="106">
        <v>-36</v>
      </c>
      <c r="F217" s="106">
        <v>-38</v>
      </c>
      <c r="G217" s="106">
        <v>28</v>
      </c>
      <c r="H217" s="106">
        <v>21</v>
      </c>
      <c r="I217" s="106">
        <v>6480</v>
      </c>
      <c r="J217" s="106">
        <v>18</v>
      </c>
      <c r="K217" s="106">
        <v>81</v>
      </c>
      <c r="L217" s="106">
        <v>330</v>
      </c>
      <c r="M217" s="106">
        <v>0.59</v>
      </c>
      <c r="N217" s="106">
        <v>450</v>
      </c>
      <c r="O217" s="106">
        <v>160</v>
      </c>
      <c r="P217" s="106">
        <v>2.2000000000000002</v>
      </c>
      <c r="Q217" s="106">
        <v>0.2</v>
      </c>
      <c r="R217" s="106">
        <v>0.28999999999999998</v>
      </c>
      <c r="S217" s="662">
        <v>0.37</v>
      </c>
      <c r="T217" s="662">
        <v>87</v>
      </c>
    </row>
    <row r="218" spans="2:20">
      <c r="B218" s="664" t="s">
        <v>861</v>
      </c>
      <c r="C218" s="664" t="s">
        <v>1136</v>
      </c>
      <c r="D218" s="583">
        <v>205</v>
      </c>
      <c r="E218" s="583">
        <v>-40</v>
      </c>
      <c r="F218" s="583">
        <v>-43</v>
      </c>
      <c r="G218" s="583">
        <v>27</v>
      </c>
      <c r="H218" s="583">
        <v>19</v>
      </c>
      <c r="I218" s="583">
        <v>7600</v>
      </c>
      <c r="J218" s="583">
        <v>18</v>
      </c>
      <c r="K218" s="583">
        <v>86</v>
      </c>
      <c r="L218" s="583">
        <v>350</v>
      </c>
      <c r="M218" s="583">
        <v>0.64</v>
      </c>
      <c r="N218" s="583">
        <v>540</v>
      </c>
      <c r="O218" s="583">
        <v>100</v>
      </c>
      <c r="P218" s="583">
        <v>2.4</v>
      </c>
      <c r="Q218" s="583">
        <v>0.2</v>
      </c>
      <c r="R218" s="583">
        <v>0.28000000000000003</v>
      </c>
      <c r="S218" s="665">
        <v>0.36</v>
      </c>
      <c r="T218" s="665">
        <v>93</v>
      </c>
    </row>
    <row r="219" spans="2:20">
      <c r="B219" s="664" t="s">
        <v>861</v>
      </c>
      <c r="C219" s="663" t="s">
        <v>1148</v>
      </c>
      <c r="D219" s="106">
        <v>435</v>
      </c>
      <c r="E219" s="106">
        <v>-33</v>
      </c>
      <c r="F219" s="106">
        <v>-35</v>
      </c>
      <c r="G219" s="106">
        <v>30</v>
      </c>
      <c r="H219" s="106">
        <v>23</v>
      </c>
      <c r="I219" s="106">
        <v>5620</v>
      </c>
      <c r="J219" s="106">
        <v>28</v>
      </c>
      <c r="K219" s="106">
        <v>108</v>
      </c>
      <c r="L219" s="106">
        <v>350</v>
      </c>
      <c r="M219" s="106">
        <v>0.53</v>
      </c>
      <c r="N219" s="106">
        <v>460</v>
      </c>
      <c r="O219" s="106">
        <v>180</v>
      </c>
      <c r="P219" s="106">
        <v>2</v>
      </c>
      <c r="Q219" s="106">
        <v>0.2</v>
      </c>
      <c r="R219" s="106">
        <v>0.36</v>
      </c>
      <c r="S219" s="662">
        <v>0.46</v>
      </c>
      <c r="T219" s="662">
        <v>91</v>
      </c>
    </row>
    <row r="220" spans="2:20">
      <c r="B220" s="664" t="s">
        <v>861</v>
      </c>
      <c r="C220" s="664" t="s">
        <v>1157</v>
      </c>
      <c r="D220" s="583">
        <v>235</v>
      </c>
      <c r="E220" s="583">
        <v>-33</v>
      </c>
      <c r="F220" s="583">
        <v>-35</v>
      </c>
      <c r="G220" s="583">
        <v>30</v>
      </c>
      <c r="H220" s="583">
        <v>23</v>
      </c>
      <c r="I220" s="583">
        <v>5670</v>
      </c>
      <c r="J220" s="583">
        <v>28</v>
      </c>
      <c r="K220" s="583">
        <v>108</v>
      </c>
      <c r="L220" s="583">
        <v>415</v>
      </c>
      <c r="M220" s="583">
        <v>0.57999999999999996</v>
      </c>
      <c r="N220" s="583">
        <v>500</v>
      </c>
      <c r="O220" s="583">
        <v>180</v>
      </c>
      <c r="P220" s="583">
        <v>1.9</v>
      </c>
      <c r="Q220" s="583">
        <v>0.2</v>
      </c>
      <c r="R220" s="583">
        <v>0.35</v>
      </c>
      <c r="S220" s="665">
        <v>0.45</v>
      </c>
      <c r="T220" s="665">
        <v>90</v>
      </c>
    </row>
    <row r="221" spans="2:20">
      <c r="B221" s="663" t="s">
        <v>17</v>
      </c>
      <c r="C221" s="664" t="s">
        <v>811</v>
      </c>
      <c r="D221" s="583">
        <v>230</v>
      </c>
      <c r="E221" s="583">
        <v>-17</v>
      </c>
      <c r="F221" s="583">
        <v>-19</v>
      </c>
      <c r="G221" s="583">
        <v>30</v>
      </c>
      <c r="H221" s="583">
        <v>23</v>
      </c>
      <c r="I221" s="583">
        <v>3840</v>
      </c>
      <c r="J221" s="583">
        <v>25</v>
      </c>
      <c r="K221" s="583">
        <v>103</v>
      </c>
      <c r="L221" s="583">
        <v>800</v>
      </c>
      <c r="M221" s="583">
        <v>0.93</v>
      </c>
      <c r="N221" s="583">
        <v>950</v>
      </c>
      <c r="O221" s="583">
        <v>180</v>
      </c>
      <c r="P221" s="583">
        <v>2.2000000000000002</v>
      </c>
      <c r="Q221" s="583">
        <v>0.4</v>
      </c>
      <c r="R221" s="583">
        <v>0.39</v>
      </c>
      <c r="S221" s="665">
        <v>0.5</v>
      </c>
      <c r="T221" s="665">
        <v>98</v>
      </c>
    </row>
    <row r="222" spans="2:20">
      <c r="B222" s="663" t="s">
        <v>17</v>
      </c>
      <c r="C222" s="663" t="s">
        <v>829</v>
      </c>
      <c r="D222" s="106">
        <v>95</v>
      </c>
      <c r="E222" s="106">
        <v>-20</v>
      </c>
      <c r="F222" s="106">
        <v>-22</v>
      </c>
      <c r="G222" s="106">
        <v>30</v>
      </c>
      <c r="H222" s="106">
        <v>23</v>
      </c>
      <c r="I222" s="106">
        <v>3820</v>
      </c>
      <c r="J222" s="106">
        <v>23</v>
      </c>
      <c r="K222" s="106">
        <v>92</v>
      </c>
      <c r="L222" s="106">
        <v>760</v>
      </c>
      <c r="M222" s="106">
        <v>0.9</v>
      </c>
      <c r="N222" s="106">
        <v>825</v>
      </c>
      <c r="O222" s="106">
        <v>160</v>
      </c>
      <c r="P222" s="106">
        <v>1</v>
      </c>
      <c r="Q222" s="106">
        <v>0.4</v>
      </c>
      <c r="R222" s="106">
        <v>0.37</v>
      </c>
      <c r="S222" s="662">
        <v>0.48</v>
      </c>
      <c r="T222" s="662">
        <v>100</v>
      </c>
    </row>
    <row r="223" spans="2:20">
      <c r="B223" s="663" t="s">
        <v>17</v>
      </c>
      <c r="C223" s="664" t="s">
        <v>850</v>
      </c>
      <c r="D223" s="583">
        <v>80</v>
      </c>
      <c r="E223" s="583">
        <v>-24</v>
      </c>
      <c r="F223" s="583">
        <v>-26</v>
      </c>
      <c r="G223" s="583">
        <v>30</v>
      </c>
      <c r="H223" s="583">
        <v>23</v>
      </c>
      <c r="I223" s="583">
        <v>4600</v>
      </c>
      <c r="J223" s="583">
        <v>25</v>
      </c>
      <c r="K223" s="583">
        <v>103</v>
      </c>
      <c r="L223" s="583">
        <v>800</v>
      </c>
      <c r="M223" s="583">
        <v>0.91</v>
      </c>
      <c r="N223" s="583">
        <v>975</v>
      </c>
      <c r="O223" s="583">
        <v>160</v>
      </c>
      <c r="P223" s="583">
        <v>2.4</v>
      </c>
      <c r="Q223" s="583">
        <v>0.4</v>
      </c>
      <c r="R223" s="583">
        <v>0.31</v>
      </c>
      <c r="S223" s="665">
        <v>0.4</v>
      </c>
      <c r="T223" s="665">
        <v>84</v>
      </c>
    </row>
    <row r="224" spans="2:20">
      <c r="B224" s="663" t="s">
        <v>17</v>
      </c>
      <c r="C224" s="663" t="s">
        <v>869</v>
      </c>
      <c r="D224" s="106">
        <v>220</v>
      </c>
      <c r="E224" s="106">
        <v>-23</v>
      </c>
      <c r="F224" s="106">
        <v>-25</v>
      </c>
      <c r="G224" s="106">
        <v>29</v>
      </c>
      <c r="H224" s="106">
        <v>23</v>
      </c>
      <c r="I224" s="106">
        <v>4200</v>
      </c>
      <c r="J224" s="106">
        <v>28</v>
      </c>
      <c r="K224" s="106">
        <v>113</v>
      </c>
      <c r="L224" s="106">
        <v>690</v>
      </c>
      <c r="M224" s="106">
        <v>0.81</v>
      </c>
      <c r="N224" s="106">
        <v>875</v>
      </c>
      <c r="O224" s="106">
        <v>120</v>
      </c>
      <c r="P224" s="106">
        <v>2</v>
      </c>
      <c r="Q224" s="106">
        <v>0.4</v>
      </c>
      <c r="R224" s="106">
        <v>0.28000000000000003</v>
      </c>
      <c r="S224" s="662">
        <v>0.36</v>
      </c>
      <c r="T224" s="662">
        <v>74</v>
      </c>
    </row>
    <row r="225" spans="2:20">
      <c r="B225" s="663" t="s">
        <v>17</v>
      </c>
      <c r="C225" s="664" t="s">
        <v>891</v>
      </c>
      <c r="D225" s="583">
        <v>120</v>
      </c>
      <c r="E225" s="583">
        <v>-26</v>
      </c>
      <c r="F225" s="583">
        <v>-28</v>
      </c>
      <c r="G225" s="583">
        <v>30</v>
      </c>
      <c r="H225" s="583">
        <v>23</v>
      </c>
      <c r="I225" s="583">
        <v>4620</v>
      </c>
      <c r="J225" s="583">
        <v>25</v>
      </c>
      <c r="K225" s="583">
        <v>97</v>
      </c>
      <c r="L225" s="583">
        <v>730</v>
      </c>
      <c r="M225" s="583">
        <v>0.84</v>
      </c>
      <c r="N225" s="583">
        <v>800</v>
      </c>
      <c r="O225" s="583">
        <v>140</v>
      </c>
      <c r="P225" s="583">
        <v>2.5</v>
      </c>
      <c r="Q225" s="583">
        <v>0.4</v>
      </c>
      <c r="R225" s="583">
        <v>0.32</v>
      </c>
      <c r="S225" s="665">
        <v>0.41</v>
      </c>
      <c r="T225" s="665">
        <v>84</v>
      </c>
    </row>
    <row r="226" spans="2:20">
      <c r="B226" s="663" t="s">
        <v>17</v>
      </c>
      <c r="C226" s="663" t="s">
        <v>912</v>
      </c>
      <c r="D226" s="106">
        <v>340</v>
      </c>
      <c r="E226" s="106">
        <v>-37</v>
      </c>
      <c r="F226" s="106">
        <v>-40</v>
      </c>
      <c r="G226" s="106">
        <v>28</v>
      </c>
      <c r="H226" s="106">
        <v>21</v>
      </c>
      <c r="I226" s="106">
        <v>6500</v>
      </c>
      <c r="J226" s="106">
        <v>23</v>
      </c>
      <c r="K226" s="106">
        <v>97</v>
      </c>
      <c r="L226" s="106">
        <v>525</v>
      </c>
      <c r="M226" s="106">
        <v>0.75</v>
      </c>
      <c r="N226" s="106">
        <v>725</v>
      </c>
      <c r="O226" s="106">
        <v>100</v>
      </c>
      <c r="P226" s="106">
        <v>2.7</v>
      </c>
      <c r="Q226" s="106">
        <v>0.4</v>
      </c>
      <c r="R226" s="106">
        <v>0.23</v>
      </c>
      <c r="S226" s="662">
        <v>0.3</v>
      </c>
      <c r="T226" s="662">
        <v>69</v>
      </c>
    </row>
    <row r="227" spans="2:20">
      <c r="B227" s="663" t="s">
        <v>17</v>
      </c>
      <c r="C227" s="664" t="s">
        <v>926</v>
      </c>
      <c r="D227" s="583">
        <v>85</v>
      </c>
      <c r="E227" s="583">
        <v>-27</v>
      </c>
      <c r="F227" s="583">
        <v>-29</v>
      </c>
      <c r="G227" s="583">
        <v>30</v>
      </c>
      <c r="H227" s="583">
        <v>23</v>
      </c>
      <c r="I227" s="583">
        <v>4680</v>
      </c>
      <c r="J227" s="583">
        <v>23</v>
      </c>
      <c r="K227" s="583">
        <v>86</v>
      </c>
      <c r="L227" s="583">
        <v>630</v>
      </c>
      <c r="M227" s="583">
        <v>0.76</v>
      </c>
      <c r="N227" s="583">
        <v>775</v>
      </c>
      <c r="O227" s="583">
        <v>140</v>
      </c>
      <c r="P227" s="583">
        <v>2.5</v>
      </c>
      <c r="Q227" s="583">
        <v>0.4</v>
      </c>
      <c r="R227" s="583">
        <v>0.28999999999999998</v>
      </c>
      <c r="S227" s="665">
        <v>0.37</v>
      </c>
      <c r="T227" s="665">
        <v>81</v>
      </c>
    </row>
    <row r="228" spans="2:20">
      <c r="B228" s="663" t="s">
        <v>17</v>
      </c>
      <c r="C228" s="663" t="s">
        <v>945</v>
      </c>
      <c r="D228" s="106">
        <v>400</v>
      </c>
      <c r="E228" s="106">
        <v>-33</v>
      </c>
      <c r="F228" s="106">
        <v>-35</v>
      </c>
      <c r="G228" s="106">
        <v>29</v>
      </c>
      <c r="H228" s="106">
        <v>22</v>
      </c>
      <c r="I228" s="106">
        <v>5750</v>
      </c>
      <c r="J228" s="106">
        <v>25</v>
      </c>
      <c r="K228" s="106">
        <v>103</v>
      </c>
      <c r="L228" s="106">
        <v>570</v>
      </c>
      <c r="M228" s="106">
        <v>0.77</v>
      </c>
      <c r="N228" s="106">
        <v>760</v>
      </c>
      <c r="O228" s="106">
        <v>100</v>
      </c>
      <c r="P228" s="106">
        <v>2.4</v>
      </c>
      <c r="Q228" s="106">
        <v>0.3</v>
      </c>
      <c r="R228" s="106">
        <v>0.23</v>
      </c>
      <c r="S228" s="662">
        <v>0.3</v>
      </c>
      <c r="T228" s="662">
        <v>69</v>
      </c>
    </row>
    <row r="229" spans="2:20">
      <c r="B229" s="663" t="s">
        <v>17</v>
      </c>
      <c r="C229" s="664" t="s">
        <v>963</v>
      </c>
      <c r="D229" s="583">
        <v>10</v>
      </c>
      <c r="E229" s="583">
        <v>-37</v>
      </c>
      <c r="F229" s="583">
        <v>-39</v>
      </c>
      <c r="G229" s="583">
        <v>28</v>
      </c>
      <c r="H229" s="583">
        <v>21</v>
      </c>
      <c r="I229" s="583">
        <v>7100</v>
      </c>
      <c r="J229" s="583">
        <v>18</v>
      </c>
      <c r="K229" s="583">
        <v>81</v>
      </c>
      <c r="L229" s="583">
        <v>450</v>
      </c>
      <c r="M229" s="583">
        <v>0.79</v>
      </c>
      <c r="N229" s="583">
        <v>650</v>
      </c>
      <c r="O229" s="583">
        <v>160</v>
      </c>
      <c r="P229" s="583">
        <v>2.8</v>
      </c>
      <c r="Q229" s="583">
        <v>0.3</v>
      </c>
      <c r="R229" s="583">
        <v>0.32</v>
      </c>
      <c r="S229" s="665">
        <v>0.41</v>
      </c>
      <c r="T229" s="665">
        <v>91</v>
      </c>
    </row>
    <row r="230" spans="2:20">
      <c r="B230" s="663" t="s">
        <v>17</v>
      </c>
      <c r="C230" s="663" t="s">
        <v>985</v>
      </c>
      <c r="D230" s="106">
        <v>270</v>
      </c>
      <c r="E230" s="106">
        <v>-21</v>
      </c>
      <c r="F230" s="106">
        <v>-23</v>
      </c>
      <c r="G230" s="106">
        <v>30</v>
      </c>
      <c r="H230" s="106">
        <v>23</v>
      </c>
      <c r="I230" s="106">
        <v>4210</v>
      </c>
      <c r="J230" s="106">
        <v>28</v>
      </c>
      <c r="K230" s="106">
        <v>108</v>
      </c>
      <c r="L230" s="106">
        <v>700</v>
      </c>
      <c r="M230" s="106">
        <v>0.81</v>
      </c>
      <c r="N230" s="106">
        <v>800</v>
      </c>
      <c r="O230" s="106">
        <v>140</v>
      </c>
      <c r="P230" s="106">
        <v>2</v>
      </c>
      <c r="Q230" s="106">
        <v>0.4</v>
      </c>
      <c r="R230" s="106">
        <v>0.34</v>
      </c>
      <c r="S230" s="662">
        <v>0.44</v>
      </c>
      <c r="T230" s="662">
        <v>86</v>
      </c>
    </row>
    <row r="231" spans="2:20">
      <c r="B231" s="663" t="s">
        <v>17</v>
      </c>
      <c r="C231" s="664" t="s">
        <v>1005</v>
      </c>
      <c r="D231" s="583">
        <v>365</v>
      </c>
      <c r="E231" s="583">
        <v>-28</v>
      </c>
      <c r="F231" s="583">
        <v>-31</v>
      </c>
      <c r="G231" s="583">
        <v>29</v>
      </c>
      <c r="H231" s="583">
        <v>23</v>
      </c>
      <c r="I231" s="583">
        <v>4740</v>
      </c>
      <c r="J231" s="583">
        <v>25</v>
      </c>
      <c r="K231" s="583">
        <v>92</v>
      </c>
      <c r="L231" s="583">
        <v>720</v>
      </c>
      <c r="M231" s="583">
        <v>0.85</v>
      </c>
      <c r="N231" s="583">
        <v>900</v>
      </c>
      <c r="O231" s="583">
        <v>100</v>
      </c>
      <c r="P231" s="583">
        <v>3.1</v>
      </c>
      <c r="Q231" s="583">
        <v>0.4</v>
      </c>
      <c r="R231" s="583">
        <v>0.25</v>
      </c>
      <c r="S231" s="665">
        <v>0.32</v>
      </c>
      <c r="T231" s="665">
        <v>74</v>
      </c>
    </row>
    <row r="232" spans="2:20">
      <c r="B232" s="663" t="s">
        <v>17</v>
      </c>
      <c r="C232" s="663" t="s">
        <v>1017</v>
      </c>
      <c r="D232" s="106">
        <v>245</v>
      </c>
      <c r="E232" s="106">
        <v>-24</v>
      </c>
      <c r="F232" s="106">
        <v>-26</v>
      </c>
      <c r="G232" s="106">
        <v>29</v>
      </c>
      <c r="H232" s="106">
        <v>23</v>
      </c>
      <c r="I232" s="106">
        <v>4380</v>
      </c>
      <c r="J232" s="106">
        <v>28</v>
      </c>
      <c r="K232" s="106">
        <v>97</v>
      </c>
      <c r="L232" s="106">
        <v>700</v>
      </c>
      <c r="M232" s="106">
        <v>0.83</v>
      </c>
      <c r="N232" s="106">
        <v>900</v>
      </c>
      <c r="O232" s="106">
        <v>120</v>
      </c>
      <c r="P232" s="106">
        <v>2.5</v>
      </c>
      <c r="Q232" s="106">
        <v>0.4</v>
      </c>
      <c r="R232" s="106">
        <v>0.28000000000000003</v>
      </c>
      <c r="S232" s="662">
        <v>0.36</v>
      </c>
      <c r="T232" s="662">
        <v>74</v>
      </c>
    </row>
    <row r="233" spans="2:20">
      <c r="B233" s="663" t="s">
        <v>17</v>
      </c>
      <c r="C233" s="664" t="s">
        <v>1032</v>
      </c>
      <c r="D233" s="583">
        <v>100</v>
      </c>
      <c r="E233" s="583">
        <v>-22</v>
      </c>
      <c r="F233" s="583">
        <v>-24</v>
      </c>
      <c r="G233" s="583">
        <v>28</v>
      </c>
      <c r="H233" s="583">
        <v>23</v>
      </c>
      <c r="I233" s="583">
        <v>3990</v>
      </c>
      <c r="J233" s="583">
        <v>23</v>
      </c>
      <c r="K233" s="583">
        <v>108</v>
      </c>
      <c r="L233" s="583">
        <v>780</v>
      </c>
      <c r="M233" s="583">
        <v>0.96</v>
      </c>
      <c r="N233" s="583">
        <v>950</v>
      </c>
      <c r="O233" s="583">
        <v>160</v>
      </c>
      <c r="P233" s="583">
        <v>2.1</v>
      </c>
      <c r="Q233" s="583">
        <v>0.4</v>
      </c>
      <c r="R233" s="583">
        <v>0.36</v>
      </c>
      <c r="S233" s="665">
        <v>0.47</v>
      </c>
      <c r="T233" s="665">
        <v>91</v>
      </c>
    </row>
    <row r="234" spans="2:20">
      <c r="B234" s="663" t="s">
        <v>17</v>
      </c>
      <c r="C234" s="663" t="s">
        <v>1046</v>
      </c>
      <c r="D234" s="106">
        <v>240</v>
      </c>
      <c r="E234" s="106">
        <v>-24</v>
      </c>
      <c r="F234" s="106">
        <v>-26</v>
      </c>
      <c r="G234" s="106">
        <v>30</v>
      </c>
      <c r="H234" s="106">
        <v>23</v>
      </c>
      <c r="I234" s="106">
        <v>4300</v>
      </c>
      <c r="J234" s="106">
        <v>25</v>
      </c>
      <c r="K234" s="106">
        <v>108</v>
      </c>
      <c r="L234" s="106">
        <v>720</v>
      </c>
      <c r="M234" s="106">
        <v>0.87</v>
      </c>
      <c r="N234" s="106">
        <v>950</v>
      </c>
      <c r="O234" s="106">
        <v>120</v>
      </c>
      <c r="P234" s="106">
        <v>2.2000000000000002</v>
      </c>
      <c r="Q234" s="106">
        <v>0.4</v>
      </c>
      <c r="R234" s="106">
        <v>0.28000000000000003</v>
      </c>
      <c r="S234" s="662">
        <v>0.36</v>
      </c>
      <c r="T234" s="662">
        <v>78</v>
      </c>
    </row>
    <row r="235" spans="2:20">
      <c r="B235" s="663" t="s">
        <v>17</v>
      </c>
      <c r="C235" s="664" t="s">
        <v>1060</v>
      </c>
      <c r="D235" s="583">
        <v>90</v>
      </c>
      <c r="E235" s="583">
        <v>-22</v>
      </c>
      <c r="F235" s="583">
        <v>-24</v>
      </c>
      <c r="G235" s="583">
        <v>29</v>
      </c>
      <c r="H235" s="583">
        <v>23</v>
      </c>
      <c r="I235" s="583">
        <v>3910</v>
      </c>
      <c r="J235" s="583">
        <v>23</v>
      </c>
      <c r="K235" s="583">
        <v>97</v>
      </c>
      <c r="L235" s="583">
        <v>760</v>
      </c>
      <c r="M235" s="583">
        <v>0.89</v>
      </c>
      <c r="N235" s="583">
        <v>850</v>
      </c>
      <c r="O235" s="583">
        <v>180</v>
      </c>
      <c r="P235" s="583">
        <v>1.7</v>
      </c>
      <c r="Q235" s="583">
        <v>0.4</v>
      </c>
      <c r="R235" s="583">
        <v>0.33</v>
      </c>
      <c r="S235" s="665">
        <v>0.43</v>
      </c>
      <c r="T235" s="665">
        <v>86</v>
      </c>
    </row>
    <row r="236" spans="2:20">
      <c r="B236" s="663" t="s">
        <v>17</v>
      </c>
      <c r="C236" s="663" t="s">
        <v>1076</v>
      </c>
      <c r="D236" s="106">
        <v>260</v>
      </c>
      <c r="E236" s="106">
        <v>-17</v>
      </c>
      <c r="F236" s="106">
        <v>-19</v>
      </c>
      <c r="G236" s="106">
        <v>30</v>
      </c>
      <c r="H236" s="106">
        <v>24</v>
      </c>
      <c r="I236" s="106">
        <v>3840</v>
      </c>
      <c r="J236" s="106">
        <v>25</v>
      </c>
      <c r="K236" s="106">
        <v>97</v>
      </c>
      <c r="L236" s="106">
        <v>850</v>
      </c>
      <c r="M236" s="106">
        <v>0.95</v>
      </c>
      <c r="N236" s="106">
        <v>950</v>
      </c>
      <c r="O236" s="106">
        <v>180</v>
      </c>
      <c r="P236" s="106">
        <v>1.7</v>
      </c>
      <c r="Q236" s="106">
        <v>0.4</v>
      </c>
      <c r="R236" s="106">
        <v>0.36</v>
      </c>
      <c r="S236" s="662">
        <v>0.47</v>
      </c>
      <c r="T236" s="662">
        <v>93</v>
      </c>
    </row>
    <row r="237" spans="2:20">
      <c r="B237" s="663" t="s">
        <v>17</v>
      </c>
      <c r="C237" s="664" t="s">
        <v>1088</v>
      </c>
      <c r="D237" s="583">
        <v>225</v>
      </c>
      <c r="E237" s="583">
        <v>-23</v>
      </c>
      <c r="F237" s="583">
        <v>-25</v>
      </c>
      <c r="G237" s="583">
        <v>29</v>
      </c>
      <c r="H237" s="583">
        <v>23</v>
      </c>
      <c r="I237" s="583">
        <v>4300</v>
      </c>
      <c r="J237" s="583">
        <v>28</v>
      </c>
      <c r="K237" s="583">
        <v>103</v>
      </c>
      <c r="L237" s="583">
        <v>690</v>
      </c>
      <c r="M237" s="583">
        <v>0.82</v>
      </c>
      <c r="N237" s="583">
        <v>875</v>
      </c>
      <c r="O237" s="583">
        <v>120</v>
      </c>
      <c r="P237" s="583">
        <v>2.2000000000000002</v>
      </c>
      <c r="Q237" s="583">
        <v>0.4</v>
      </c>
      <c r="R237" s="583">
        <v>0.28000000000000003</v>
      </c>
      <c r="S237" s="665">
        <v>0.36</v>
      </c>
      <c r="T237" s="665">
        <v>85</v>
      </c>
    </row>
    <row r="238" spans="2:20">
      <c r="B238" s="663" t="s">
        <v>17</v>
      </c>
      <c r="C238" s="664" t="s">
        <v>1100</v>
      </c>
      <c r="D238" s="583">
        <v>215</v>
      </c>
      <c r="E238" s="583">
        <v>-38</v>
      </c>
      <c r="F238" s="583">
        <v>-40</v>
      </c>
      <c r="G238" s="583">
        <v>26</v>
      </c>
      <c r="H238" s="583">
        <v>20</v>
      </c>
      <c r="I238" s="583">
        <v>7450</v>
      </c>
      <c r="J238" s="583">
        <v>18</v>
      </c>
      <c r="K238" s="583">
        <v>92</v>
      </c>
      <c r="L238" s="583">
        <v>400</v>
      </c>
      <c r="M238" s="583">
        <v>0.75</v>
      </c>
      <c r="N238" s="583">
        <v>600</v>
      </c>
      <c r="O238" s="583">
        <v>150</v>
      </c>
      <c r="P238" s="583">
        <v>3.2</v>
      </c>
      <c r="Q238" s="583">
        <v>0.2</v>
      </c>
      <c r="R238" s="583">
        <v>0.33</v>
      </c>
      <c r="S238" s="665">
        <v>0.42</v>
      </c>
      <c r="T238" s="665">
        <v>86</v>
      </c>
    </row>
    <row r="239" spans="2:20">
      <c r="B239" s="663" t="s">
        <v>17</v>
      </c>
      <c r="C239" s="663" t="s">
        <v>1109</v>
      </c>
      <c r="D239" s="106">
        <v>310</v>
      </c>
      <c r="E239" s="106">
        <v>-26</v>
      </c>
      <c r="F239" s="106">
        <v>-28</v>
      </c>
      <c r="G239" s="106">
        <v>29</v>
      </c>
      <c r="H239" s="106">
        <v>23</v>
      </c>
      <c r="I239" s="106">
        <v>4800</v>
      </c>
      <c r="J239" s="106">
        <v>25</v>
      </c>
      <c r="K239" s="106">
        <v>103</v>
      </c>
      <c r="L239" s="106">
        <v>830</v>
      </c>
      <c r="M239" s="106">
        <v>0.95</v>
      </c>
      <c r="N239" s="106">
        <v>1050</v>
      </c>
      <c r="O239" s="106">
        <v>120</v>
      </c>
      <c r="P239" s="106">
        <v>3.1</v>
      </c>
      <c r="Q239" s="106">
        <v>0.4</v>
      </c>
      <c r="R239" s="106">
        <v>0.27</v>
      </c>
      <c r="S239" s="662">
        <v>0.35</v>
      </c>
      <c r="T239" s="662">
        <v>78</v>
      </c>
    </row>
    <row r="240" spans="2:20">
      <c r="B240" s="663" t="s">
        <v>17</v>
      </c>
      <c r="C240" s="664" t="s">
        <v>1120</v>
      </c>
      <c r="D240" s="583">
        <v>240</v>
      </c>
      <c r="E240" s="583">
        <v>-23</v>
      </c>
      <c r="F240" s="583">
        <v>-25</v>
      </c>
      <c r="G240" s="583">
        <v>30</v>
      </c>
      <c r="H240" s="583">
        <v>23</v>
      </c>
      <c r="I240" s="583">
        <v>4280</v>
      </c>
      <c r="J240" s="583">
        <v>28</v>
      </c>
      <c r="K240" s="583">
        <v>108</v>
      </c>
      <c r="L240" s="583">
        <v>680</v>
      </c>
      <c r="M240" s="583">
        <v>0.8</v>
      </c>
      <c r="N240" s="583">
        <v>800</v>
      </c>
      <c r="O240" s="583">
        <v>120</v>
      </c>
      <c r="P240" s="583">
        <v>2.1</v>
      </c>
      <c r="Q240" s="583">
        <v>0.4</v>
      </c>
      <c r="R240" s="583">
        <v>0.28000000000000003</v>
      </c>
      <c r="S240" s="665">
        <v>0.36</v>
      </c>
      <c r="T240" s="665">
        <v>78</v>
      </c>
    </row>
    <row r="241" spans="2:20">
      <c r="B241" s="663" t="s">
        <v>17</v>
      </c>
      <c r="C241" s="663" t="s">
        <v>1130</v>
      </c>
      <c r="D241" s="106">
        <v>215</v>
      </c>
      <c r="E241" s="106">
        <v>-19</v>
      </c>
      <c r="F241" s="106">
        <v>-21</v>
      </c>
      <c r="G241" s="106">
        <v>30</v>
      </c>
      <c r="H241" s="106">
        <v>23</v>
      </c>
      <c r="I241" s="106">
        <v>4100</v>
      </c>
      <c r="J241" s="106">
        <v>28</v>
      </c>
      <c r="K241" s="106">
        <v>119</v>
      </c>
      <c r="L241" s="106">
        <v>720</v>
      </c>
      <c r="M241" s="106">
        <v>0.81</v>
      </c>
      <c r="N241" s="106">
        <v>820</v>
      </c>
      <c r="O241" s="106">
        <v>140</v>
      </c>
      <c r="P241" s="106">
        <v>1.3</v>
      </c>
      <c r="Q241" s="106">
        <v>0.4</v>
      </c>
      <c r="R241" s="106">
        <v>0.34</v>
      </c>
      <c r="S241" s="662">
        <v>0.44</v>
      </c>
      <c r="T241" s="662">
        <v>86</v>
      </c>
    </row>
    <row r="242" spans="2:20">
      <c r="B242" s="663" t="s">
        <v>17</v>
      </c>
      <c r="C242" s="664" t="s">
        <v>1138</v>
      </c>
      <c r="D242" s="583">
        <v>205</v>
      </c>
      <c r="E242" s="583">
        <v>-18</v>
      </c>
      <c r="F242" s="583">
        <v>-20</v>
      </c>
      <c r="G242" s="583">
        <v>30</v>
      </c>
      <c r="H242" s="583">
        <v>23</v>
      </c>
      <c r="I242" s="583">
        <v>3900</v>
      </c>
      <c r="J242" s="583">
        <v>23</v>
      </c>
      <c r="K242" s="583">
        <v>103</v>
      </c>
      <c r="L242" s="583">
        <v>780</v>
      </c>
      <c r="M242" s="583">
        <v>0.89</v>
      </c>
      <c r="N242" s="583">
        <v>850</v>
      </c>
      <c r="O242" s="583">
        <v>160</v>
      </c>
      <c r="P242" s="583">
        <v>1.3</v>
      </c>
      <c r="Q242" s="583">
        <v>0.4</v>
      </c>
      <c r="R242" s="583">
        <v>0.33</v>
      </c>
      <c r="S242" s="665">
        <v>0.42</v>
      </c>
      <c r="T242" s="665">
        <v>84</v>
      </c>
    </row>
    <row r="243" spans="2:20">
      <c r="B243" s="663" t="s">
        <v>17</v>
      </c>
      <c r="C243" s="663" t="s">
        <v>1150</v>
      </c>
      <c r="D243" s="106">
        <v>95</v>
      </c>
      <c r="E243" s="106">
        <v>-21</v>
      </c>
      <c r="F243" s="106">
        <v>-23</v>
      </c>
      <c r="G243" s="106">
        <v>29</v>
      </c>
      <c r="H243" s="106">
        <v>23</v>
      </c>
      <c r="I243" s="106">
        <v>4000</v>
      </c>
      <c r="J243" s="106">
        <v>23</v>
      </c>
      <c r="K243" s="106">
        <v>94</v>
      </c>
      <c r="L243" s="106">
        <v>760</v>
      </c>
      <c r="M243" s="106">
        <v>0.9</v>
      </c>
      <c r="N243" s="106">
        <v>850</v>
      </c>
      <c r="O243" s="106">
        <v>160</v>
      </c>
      <c r="P243" s="106">
        <v>1.6</v>
      </c>
      <c r="Q243" s="106">
        <v>0.4</v>
      </c>
      <c r="R243" s="106">
        <v>0.37</v>
      </c>
      <c r="S243" s="662">
        <v>0.48</v>
      </c>
      <c r="T243" s="662">
        <v>98</v>
      </c>
    </row>
    <row r="244" spans="2:20">
      <c r="B244" s="663" t="s">
        <v>17</v>
      </c>
      <c r="C244" s="664" t="s">
        <v>1159</v>
      </c>
      <c r="D244" s="583">
        <v>85</v>
      </c>
      <c r="E244" s="583">
        <v>-23</v>
      </c>
      <c r="F244" s="583">
        <v>-25</v>
      </c>
      <c r="G244" s="583">
        <v>29</v>
      </c>
      <c r="H244" s="583">
        <v>23</v>
      </c>
      <c r="I244" s="583">
        <v>4060</v>
      </c>
      <c r="J244" s="583">
        <v>25</v>
      </c>
      <c r="K244" s="583">
        <v>103</v>
      </c>
      <c r="L244" s="583">
        <v>770</v>
      </c>
      <c r="M244" s="583">
        <v>0.89</v>
      </c>
      <c r="N244" s="583">
        <v>975</v>
      </c>
      <c r="O244" s="583">
        <v>180</v>
      </c>
      <c r="P244" s="583">
        <v>2.2000000000000002</v>
      </c>
      <c r="Q244" s="583">
        <v>0.4</v>
      </c>
      <c r="R244" s="583">
        <v>0.34</v>
      </c>
      <c r="S244" s="665">
        <v>0.44</v>
      </c>
      <c r="T244" s="665">
        <v>86</v>
      </c>
    </row>
    <row r="245" spans="2:20">
      <c r="B245" s="663" t="s">
        <v>17</v>
      </c>
      <c r="C245" s="663" t="s">
        <v>1168</v>
      </c>
      <c r="D245" s="106">
        <v>160</v>
      </c>
      <c r="E245" s="106">
        <v>-20</v>
      </c>
      <c r="F245" s="106">
        <v>-22</v>
      </c>
      <c r="G245" s="106">
        <v>30</v>
      </c>
      <c r="H245" s="106">
        <v>23</v>
      </c>
      <c r="I245" s="106">
        <v>4010</v>
      </c>
      <c r="J245" s="106">
        <v>23</v>
      </c>
      <c r="K245" s="106">
        <v>86</v>
      </c>
      <c r="L245" s="106">
        <v>770</v>
      </c>
      <c r="M245" s="106">
        <v>0.91</v>
      </c>
      <c r="N245" s="106">
        <v>850</v>
      </c>
      <c r="O245" s="106">
        <v>140</v>
      </c>
      <c r="P245" s="106">
        <v>1.9</v>
      </c>
      <c r="Q245" s="106">
        <v>0.4</v>
      </c>
      <c r="R245" s="106">
        <v>0.35</v>
      </c>
      <c r="S245" s="662">
        <v>0.45</v>
      </c>
      <c r="T245" s="662">
        <v>100</v>
      </c>
    </row>
    <row r="246" spans="2:20">
      <c r="B246" s="663" t="s">
        <v>17</v>
      </c>
      <c r="C246" s="663" t="s">
        <v>1173</v>
      </c>
      <c r="D246" s="106">
        <v>305</v>
      </c>
      <c r="E246" s="106">
        <v>-26</v>
      </c>
      <c r="F246" s="106">
        <v>-28</v>
      </c>
      <c r="G246" s="106">
        <v>29</v>
      </c>
      <c r="H246" s="106">
        <v>22</v>
      </c>
      <c r="I246" s="106">
        <v>5020</v>
      </c>
      <c r="J246" s="106">
        <v>25</v>
      </c>
      <c r="K246" s="106">
        <v>97</v>
      </c>
      <c r="L246" s="106">
        <v>810</v>
      </c>
      <c r="M246" s="106">
        <v>0.94</v>
      </c>
      <c r="N246" s="106">
        <v>1010</v>
      </c>
      <c r="O246" s="106">
        <v>120</v>
      </c>
      <c r="P246" s="106">
        <v>2.7</v>
      </c>
      <c r="Q246" s="106">
        <v>0.4</v>
      </c>
      <c r="R246" s="106">
        <v>0.27</v>
      </c>
      <c r="S246" s="662">
        <v>0.35</v>
      </c>
      <c r="T246" s="662">
        <v>78</v>
      </c>
    </row>
    <row r="247" spans="2:20">
      <c r="B247" s="663" t="s">
        <v>17</v>
      </c>
      <c r="C247" s="664" t="s">
        <v>1179</v>
      </c>
      <c r="D247" s="583">
        <v>80</v>
      </c>
      <c r="E247" s="583">
        <v>-17</v>
      </c>
      <c r="F247" s="583">
        <v>-19</v>
      </c>
      <c r="G247" s="583">
        <v>31</v>
      </c>
      <c r="H247" s="583">
        <v>23</v>
      </c>
      <c r="I247" s="583">
        <v>3740</v>
      </c>
      <c r="J247" s="583">
        <v>23</v>
      </c>
      <c r="K247" s="583">
        <v>103</v>
      </c>
      <c r="L247" s="583">
        <v>770</v>
      </c>
      <c r="M247" s="583">
        <v>0.91</v>
      </c>
      <c r="N247" s="583">
        <v>850</v>
      </c>
      <c r="O247" s="583">
        <v>160</v>
      </c>
      <c r="P247" s="583">
        <v>1.1000000000000001</v>
      </c>
      <c r="Q247" s="583">
        <v>0.4</v>
      </c>
      <c r="R247" s="583">
        <v>0.36</v>
      </c>
      <c r="S247" s="665">
        <v>0.46</v>
      </c>
      <c r="T247" s="665">
        <v>91</v>
      </c>
    </row>
    <row r="248" spans="2:20">
      <c r="B248" s="663" t="s">
        <v>17</v>
      </c>
      <c r="C248" s="664" t="s">
        <v>890</v>
      </c>
      <c r="D248" s="583">
        <v>295</v>
      </c>
      <c r="E248" s="583">
        <v>-18</v>
      </c>
      <c r="F248" s="583">
        <v>-20</v>
      </c>
      <c r="G248" s="583">
        <v>29</v>
      </c>
      <c r="H248" s="583">
        <v>23</v>
      </c>
      <c r="I248" s="583">
        <v>4100</v>
      </c>
      <c r="J248" s="583">
        <v>25</v>
      </c>
      <c r="K248" s="583">
        <v>113</v>
      </c>
      <c r="L248" s="583">
        <v>800</v>
      </c>
      <c r="M248" s="583">
        <v>0.91</v>
      </c>
      <c r="N248" s="583">
        <v>890</v>
      </c>
      <c r="O248" s="583">
        <v>160</v>
      </c>
      <c r="P248" s="583">
        <v>1.6</v>
      </c>
      <c r="Q248" s="583">
        <v>0.4</v>
      </c>
      <c r="R248" s="583">
        <v>0.28000000000000003</v>
      </c>
      <c r="S248" s="665">
        <v>0.36</v>
      </c>
      <c r="T248" s="665">
        <v>78</v>
      </c>
    </row>
    <row r="249" spans="2:20">
      <c r="B249" s="663" t="s">
        <v>17</v>
      </c>
      <c r="C249" s="663" t="s">
        <v>1193</v>
      </c>
      <c r="D249" s="106">
        <v>150</v>
      </c>
      <c r="E249" s="106">
        <v>-23</v>
      </c>
      <c r="F249" s="106">
        <v>-26</v>
      </c>
      <c r="G249" s="106">
        <v>30</v>
      </c>
      <c r="H249" s="106">
        <v>23</v>
      </c>
      <c r="I249" s="106">
        <v>4280</v>
      </c>
      <c r="J249" s="106">
        <v>25</v>
      </c>
      <c r="K249" s="106">
        <v>97</v>
      </c>
      <c r="L249" s="106">
        <v>730</v>
      </c>
      <c r="M249" s="106">
        <v>0.85</v>
      </c>
      <c r="N249" s="106">
        <v>850</v>
      </c>
      <c r="O249" s="106">
        <v>160</v>
      </c>
      <c r="P249" s="106">
        <v>1.7</v>
      </c>
      <c r="Q249" s="106">
        <v>0.4</v>
      </c>
      <c r="R249" s="106">
        <v>0.32</v>
      </c>
      <c r="S249" s="662">
        <v>0.41</v>
      </c>
      <c r="T249" s="662">
        <v>84</v>
      </c>
    </row>
    <row r="250" spans="2:20">
      <c r="B250" s="663" t="s">
        <v>17</v>
      </c>
      <c r="C250" s="664" t="s">
        <v>1199</v>
      </c>
      <c r="D250" s="583">
        <v>255</v>
      </c>
      <c r="E250" s="583">
        <v>-24</v>
      </c>
      <c r="F250" s="583">
        <v>-26</v>
      </c>
      <c r="G250" s="583">
        <v>30</v>
      </c>
      <c r="H250" s="583">
        <v>23</v>
      </c>
      <c r="I250" s="583">
        <v>4310</v>
      </c>
      <c r="J250" s="583">
        <v>25</v>
      </c>
      <c r="K250" s="583">
        <v>108</v>
      </c>
      <c r="L250" s="583">
        <v>740</v>
      </c>
      <c r="M250" s="583">
        <v>0.85</v>
      </c>
      <c r="N250" s="583">
        <v>950</v>
      </c>
      <c r="O250" s="583">
        <v>120</v>
      </c>
      <c r="P250" s="583">
        <v>2.2000000000000002</v>
      </c>
      <c r="Q250" s="583">
        <v>0.4</v>
      </c>
      <c r="R250" s="583">
        <v>0.28000000000000003</v>
      </c>
      <c r="S250" s="665">
        <v>0.36</v>
      </c>
      <c r="T250" s="665">
        <v>78</v>
      </c>
    </row>
    <row r="251" spans="2:20">
      <c r="B251" s="663" t="s">
        <v>17</v>
      </c>
      <c r="C251" s="663" t="s">
        <v>1205</v>
      </c>
      <c r="D251" s="106">
        <v>135</v>
      </c>
      <c r="E251" s="106">
        <v>-25</v>
      </c>
      <c r="F251" s="106">
        <v>-27</v>
      </c>
      <c r="G251" s="106">
        <v>30</v>
      </c>
      <c r="H251" s="106">
        <v>23</v>
      </c>
      <c r="I251" s="106">
        <v>4600</v>
      </c>
      <c r="J251" s="106">
        <v>25</v>
      </c>
      <c r="K251" s="106">
        <v>97</v>
      </c>
      <c r="L251" s="106">
        <v>730</v>
      </c>
      <c r="M251" s="106">
        <v>0.84</v>
      </c>
      <c r="N251" s="106">
        <v>850</v>
      </c>
      <c r="O251" s="106">
        <v>160</v>
      </c>
      <c r="P251" s="106">
        <v>2.5</v>
      </c>
      <c r="Q251" s="106">
        <v>0.4</v>
      </c>
      <c r="R251" s="106">
        <v>0.32</v>
      </c>
      <c r="S251" s="662">
        <v>0.41</v>
      </c>
      <c r="T251" s="662">
        <v>84</v>
      </c>
    </row>
    <row r="252" spans="2:20">
      <c r="B252" s="663" t="s">
        <v>17</v>
      </c>
      <c r="C252" s="664" t="s">
        <v>1210</v>
      </c>
      <c r="D252" s="583">
        <v>200</v>
      </c>
      <c r="E252" s="583">
        <v>-23</v>
      </c>
      <c r="F252" s="583">
        <v>-25</v>
      </c>
      <c r="G252" s="583">
        <v>30</v>
      </c>
      <c r="H252" s="583">
        <v>23</v>
      </c>
      <c r="I252" s="583">
        <v>4400</v>
      </c>
      <c r="J252" s="583">
        <v>25</v>
      </c>
      <c r="K252" s="583">
        <v>97</v>
      </c>
      <c r="L252" s="583">
        <v>740</v>
      </c>
      <c r="M252" s="583">
        <v>0.86</v>
      </c>
      <c r="N252" s="583">
        <v>850</v>
      </c>
      <c r="O252" s="583">
        <v>140</v>
      </c>
      <c r="P252" s="583">
        <v>2</v>
      </c>
      <c r="Q252" s="583">
        <v>0.4</v>
      </c>
      <c r="R252" s="583">
        <v>0.34</v>
      </c>
      <c r="S252" s="665">
        <v>0.44</v>
      </c>
      <c r="T252" s="665">
        <v>86</v>
      </c>
    </row>
    <row r="253" spans="2:20">
      <c r="B253" s="663" t="s">
        <v>17</v>
      </c>
      <c r="C253" s="663" t="s">
        <v>1214</v>
      </c>
      <c r="D253" s="106">
        <v>260</v>
      </c>
      <c r="E253" s="106">
        <v>-17</v>
      </c>
      <c r="F253" s="106">
        <v>-19</v>
      </c>
      <c r="G253" s="106">
        <v>30</v>
      </c>
      <c r="H253" s="106">
        <v>23</v>
      </c>
      <c r="I253" s="106">
        <v>3800</v>
      </c>
      <c r="J253" s="106">
        <v>25</v>
      </c>
      <c r="K253" s="106">
        <v>103</v>
      </c>
      <c r="L253" s="106">
        <v>820</v>
      </c>
      <c r="M253" s="106">
        <v>0.95</v>
      </c>
      <c r="N253" s="106">
        <v>1000</v>
      </c>
      <c r="O253" s="106">
        <v>180</v>
      </c>
      <c r="P253" s="106">
        <v>2.2999999999999998</v>
      </c>
      <c r="Q253" s="106">
        <v>0.4</v>
      </c>
      <c r="R253" s="106">
        <v>0.38</v>
      </c>
      <c r="S253" s="662">
        <v>0.49</v>
      </c>
      <c r="T253" s="662">
        <v>96</v>
      </c>
    </row>
    <row r="254" spans="2:20">
      <c r="B254" s="663" t="s">
        <v>17</v>
      </c>
      <c r="C254" s="664" t="s">
        <v>1219</v>
      </c>
      <c r="D254" s="583">
        <v>425</v>
      </c>
      <c r="E254" s="583">
        <v>-35</v>
      </c>
      <c r="F254" s="583">
        <v>-38</v>
      </c>
      <c r="G254" s="583">
        <v>27</v>
      </c>
      <c r="H254" s="583">
        <v>21</v>
      </c>
      <c r="I254" s="583">
        <v>5900</v>
      </c>
      <c r="J254" s="583">
        <v>20</v>
      </c>
      <c r="K254" s="583">
        <v>97</v>
      </c>
      <c r="L254" s="583">
        <v>530</v>
      </c>
      <c r="M254" s="583">
        <v>0.72</v>
      </c>
      <c r="N254" s="583">
        <v>850</v>
      </c>
      <c r="O254" s="583">
        <v>80</v>
      </c>
      <c r="P254" s="583">
        <v>3.6</v>
      </c>
      <c r="Q254" s="583">
        <v>0.4</v>
      </c>
      <c r="R254" s="583">
        <v>0.23</v>
      </c>
      <c r="S254" s="665">
        <v>0.3</v>
      </c>
      <c r="T254" s="665">
        <v>69</v>
      </c>
    </row>
    <row r="255" spans="2:20">
      <c r="B255" s="663" t="s">
        <v>17</v>
      </c>
      <c r="C255" s="663" t="s">
        <v>1223</v>
      </c>
      <c r="D255" s="106">
        <v>180</v>
      </c>
      <c r="E255" s="106">
        <v>-16</v>
      </c>
      <c r="F255" s="106">
        <v>-18</v>
      </c>
      <c r="G255" s="106">
        <v>31</v>
      </c>
      <c r="H255" s="106">
        <v>24</v>
      </c>
      <c r="I255" s="106">
        <v>3470</v>
      </c>
      <c r="J255" s="106">
        <v>28</v>
      </c>
      <c r="K255" s="106">
        <v>103</v>
      </c>
      <c r="L255" s="106">
        <v>800</v>
      </c>
      <c r="M255" s="106">
        <v>0.86</v>
      </c>
      <c r="N255" s="106">
        <v>850</v>
      </c>
      <c r="O255" s="106">
        <v>180</v>
      </c>
      <c r="P255" s="106">
        <v>1</v>
      </c>
      <c r="Q255" s="106">
        <v>0.4</v>
      </c>
      <c r="R255" s="106">
        <v>0.33</v>
      </c>
      <c r="S255" s="662">
        <v>0.43</v>
      </c>
      <c r="T255" s="662">
        <v>86</v>
      </c>
    </row>
    <row r="256" spans="2:20">
      <c r="B256" s="663" t="s">
        <v>17</v>
      </c>
      <c r="C256" s="664" t="s">
        <v>1227</v>
      </c>
      <c r="D256" s="583">
        <v>275</v>
      </c>
      <c r="E256" s="583">
        <v>-19</v>
      </c>
      <c r="F256" s="583">
        <v>-21</v>
      </c>
      <c r="G256" s="583">
        <v>29</v>
      </c>
      <c r="H256" s="583">
        <v>22</v>
      </c>
      <c r="I256" s="583">
        <v>4320</v>
      </c>
      <c r="J256" s="583">
        <v>28</v>
      </c>
      <c r="K256" s="583">
        <v>103</v>
      </c>
      <c r="L256" s="583">
        <v>810</v>
      </c>
      <c r="M256" s="583">
        <v>0.94</v>
      </c>
      <c r="N256" s="583">
        <v>1125</v>
      </c>
      <c r="O256" s="583">
        <v>140</v>
      </c>
      <c r="P256" s="583">
        <v>2.8</v>
      </c>
      <c r="Q256" s="583">
        <v>0.4</v>
      </c>
      <c r="R256" s="583">
        <v>0.37</v>
      </c>
      <c r="S256" s="665">
        <v>0.48</v>
      </c>
      <c r="T256" s="665">
        <v>91</v>
      </c>
    </row>
    <row r="257" spans="2:20">
      <c r="B257" s="663" t="s">
        <v>17</v>
      </c>
      <c r="C257" s="663" t="s">
        <v>1231</v>
      </c>
      <c r="D257" s="106">
        <v>280</v>
      </c>
      <c r="E257" s="106">
        <v>-17</v>
      </c>
      <c r="F257" s="106">
        <v>-19</v>
      </c>
      <c r="G257" s="106">
        <v>29</v>
      </c>
      <c r="H257" s="106">
        <v>23</v>
      </c>
      <c r="I257" s="106">
        <v>4150</v>
      </c>
      <c r="J257" s="106">
        <v>25</v>
      </c>
      <c r="K257" s="106">
        <v>103</v>
      </c>
      <c r="L257" s="106">
        <v>810</v>
      </c>
      <c r="M257" s="106">
        <v>0.94</v>
      </c>
      <c r="N257" s="106">
        <v>1000</v>
      </c>
      <c r="O257" s="106">
        <v>160</v>
      </c>
      <c r="P257" s="106">
        <v>2.6</v>
      </c>
      <c r="Q257" s="106">
        <v>0.4</v>
      </c>
      <c r="R257" s="106">
        <v>0.38</v>
      </c>
      <c r="S257" s="662">
        <v>0.49</v>
      </c>
      <c r="T257" s="662">
        <v>96</v>
      </c>
    </row>
    <row r="258" spans="2:20">
      <c r="B258" s="663" t="s">
        <v>17</v>
      </c>
      <c r="C258" s="664" t="s">
        <v>1235</v>
      </c>
      <c r="D258" s="583">
        <v>270</v>
      </c>
      <c r="E258" s="583">
        <v>-25</v>
      </c>
      <c r="F258" s="583">
        <v>-27</v>
      </c>
      <c r="G258" s="583">
        <v>30</v>
      </c>
      <c r="H258" s="583">
        <v>23</v>
      </c>
      <c r="I258" s="583">
        <v>4500</v>
      </c>
      <c r="J258" s="583">
        <v>25</v>
      </c>
      <c r="K258" s="583">
        <v>108</v>
      </c>
      <c r="L258" s="583">
        <v>740</v>
      </c>
      <c r="M258" s="583">
        <v>0.87</v>
      </c>
      <c r="N258" s="583">
        <v>950</v>
      </c>
      <c r="O258" s="583">
        <v>120</v>
      </c>
      <c r="P258" s="583">
        <v>2.5</v>
      </c>
      <c r="Q258" s="583">
        <v>0.4</v>
      </c>
      <c r="R258" s="583">
        <v>0.27</v>
      </c>
      <c r="S258" s="665">
        <v>0.35</v>
      </c>
      <c r="T258" s="665">
        <v>78</v>
      </c>
    </row>
    <row r="259" spans="2:20">
      <c r="B259" s="663" t="s">
        <v>17</v>
      </c>
      <c r="C259" s="663" t="s">
        <v>1240</v>
      </c>
      <c r="D259" s="106">
        <v>90</v>
      </c>
      <c r="E259" s="106">
        <v>-21</v>
      </c>
      <c r="F259" s="106">
        <v>-23</v>
      </c>
      <c r="G259" s="106">
        <v>29</v>
      </c>
      <c r="H259" s="106">
        <v>23</v>
      </c>
      <c r="I259" s="106">
        <v>3980</v>
      </c>
      <c r="J259" s="106">
        <v>23</v>
      </c>
      <c r="K259" s="106">
        <v>94</v>
      </c>
      <c r="L259" s="106">
        <v>760</v>
      </c>
      <c r="M259" s="106">
        <v>0.9</v>
      </c>
      <c r="N259" s="106">
        <v>825</v>
      </c>
      <c r="O259" s="106">
        <v>160</v>
      </c>
      <c r="P259" s="106">
        <v>1.2</v>
      </c>
      <c r="Q259" s="106">
        <v>0.4</v>
      </c>
      <c r="R259" s="106">
        <v>0.38</v>
      </c>
      <c r="S259" s="662">
        <v>0.49</v>
      </c>
      <c r="T259" s="662">
        <v>103</v>
      </c>
    </row>
    <row r="260" spans="2:20">
      <c r="B260" s="663" t="s">
        <v>17</v>
      </c>
      <c r="C260" s="664" t="s">
        <v>1244</v>
      </c>
      <c r="D260" s="583">
        <v>245</v>
      </c>
      <c r="E260" s="583">
        <v>-34</v>
      </c>
      <c r="F260" s="583">
        <v>-36</v>
      </c>
      <c r="G260" s="583">
        <v>29</v>
      </c>
      <c r="H260" s="583">
        <v>21</v>
      </c>
      <c r="I260" s="583">
        <v>6200</v>
      </c>
      <c r="J260" s="583">
        <v>20</v>
      </c>
      <c r="K260" s="583">
        <v>92</v>
      </c>
      <c r="L260" s="583">
        <v>575</v>
      </c>
      <c r="M260" s="583">
        <v>0.77</v>
      </c>
      <c r="N260" s="583">
        <v>875</v>
      </c>
      <c r="O260" s="583">
        <v>80</v>
      </c>
      <c r="P260" s="583">
        <v>2.8</v>
      </c>
      <c r="Q260" s="583">
        <v>0.3</v>
      </c>
      <c r="R260" s="583">
        <v>0.27</v>
      </c>
      <c r="S260" s="665">
        <v>0.35</v>
      </c>
      <c r="T260" s="665">
        <v>78</v>
      </c>
    </row>
    <row r="261" spans="2:20">
      <c r="B261" s="663" t="s">
        <v>17</v>
      </c>
      <c r="C261" s="663" t="s">
        <v>1248</v>
      </c>
      <c r="D261" s="106">
        <v>105</v>
      </c>
      <c r="E261" s="106">
        <v>-21</v>
      </c>
      <c r="F261" s="106">
        <v>-23</v>
      </c>
      <c r="G261" s="106">
        <v>29</v>
      </c>
      <c r="H261" s="106">
        <v>23</v>
      </c>
      <c r="I261" s="106">
        <v>3980</v>
      </c>
      <c r="J261" s="106">
        <v>23</v>
      </c>
      <c r="K261" s="106">
        <v>94</v>
      </c>
      <c r="L261" s="106">
        <v>760</v>
      </c>
      <c r="M261" s="106">
        <v>0.9</v>
      </c>
      <c r="N261" s="106">
        <v>850</v>
      </c>
      <c r="O261" s="106">
        <v>160</v>
      </c>
      <c r="P261" s="106">
        <v>1.6</v>
      </c>
      <c r="Q261" s="106">
        <v>0.4</v>
      </c>
      <c r="R261" s="106">
        <v>0.38</v>
      </c>
      <c r="S261" s="662">
        <v>0.49</v>
      </c>
      <c r="T261" s="662">
        <v>100</v>
      </c>
    </row>
    <row r="262" spans="2:20">
      <c r="B262" s="663" t="s">
        <v>17</v>
      </c>
      <c r="C262" s="664" t="s">
        <v>1254</v>
      </c>
      <c r="D262" s="583">
        <v>190</v>
      </c>
      <c r="E262" s="583">
        <v>-21</v>
      </c>
      <c r="F262" s="583">
        <v>-23</v>
      </c>
      <c r="G262" s="583">
        <v>29</v>
      </c>
      <c r="H262" s="583">
        <v>23</v>
      </c>
      <c r="I262" s="583">
        <v>4180</v>
      </c>
      <c r="J262" s="583">
        <v>28</v>
      </c>
      <c r="K262" s="583">
        <v>97</v>
      </c>
      <c r="L262" s="583">
        <v>720</v>
      </c>
      <c r="M262" s="583">
        <v>0.87</v>
      </c>
      <c r="N262" s="583">
        <v>950</v>
      </c>
      <c r="O262" s="583">
        <v>160</v>
      </c>
      <c r="P262" s="583">
        <v>2.7</v>
      </c>
      <c r="Q262" s="583">
        <v>0.4</v>
      </c>
      <c r="R262" s="583">
        <v>0.3</v>
      </c>
      <c r="S262" s="665">
        <v>0.39</v>
      </c>
      <c r="T262" s="665">
        <v>81</v>
      </c>
    </row>
    <row r="263" spans="2:20">
      <c r="B263" s="663" t="s">
        <v>17</v>
      </c>
      <c r="C263" s="663" t="s">
        <v>1259</v>
      </c>
      <c r="D263" s="106">
        <v>35</v>
      </c>
      <c r="E263" s="106">
        <v>-23</v>
      </c>
      <c r="F263" s="106">
        <v>-25</v>
      </c>
      <c r="G263" s="106">
        <v>30</v>
      </c>
      <c r="H263" s="106">
        <v>23</v>
      </c>
      <c r="I263" s="106">
        <v>4250</v>
      </c>
      <c r="J263" s="106">
        <v>25</v>
      </c>
      <c r="K263" s="106">
        <v>103</v>
      </c>
      <c r="L263" s="106">
        <v>780</v>
      </c>
      <c r="M263" s="106">
        <v>0.89</v>
      </c>
      <c r="N263" s="106">
        <v>960</v>
      </c>
      <c r="O263" s="106">
        <v>180</v>
      </c>
      <c r="P263" s="106">
        <v>2.2000000000000002</v>
      </c>
      <c r="Q263" s="106">
        <v>0.4</v>
      </c>
      <c r="R263" s="106">
        <v>0.32</v>
      </c>
      <c r="S263" s="662">
        <v>0.41</v>
      </c>
      <c r="T263" s="662">
        <v>84</v>
      </c>
    </row>
    <row r="264" spans="2:20">
      <c r="B264" s="663" t="s">
        <v>17</v>
      </c>
      <c r="C264" s="664" t="s">
        <v>1264</v>
      </c>
      <c r="D264" s="583">
        <v>185</v>
      </c>
      <c r="E264" s="583">
        <v>-16</v>
      </c>
      <c r="F264" s="583">
        <v>-18</v>
      </c>
      <c r="G264" s="583">
        <v>31</v>
      </c>
      <c r="H264" s="583">
        <v>24</v>
      </c>
      <c r="I264" s="583">
        <v>3600</v>
      </c>
      <c r="J264" s="583">
        <v>25</v>
      </c>
      <c r="K264" s="583">
        <v>100</v>
      </c>
      <c r="L264" s="583">
        <v>760</v>
      </c>
      <c r="M264" s="583">
        <v>0.87</v>
      </c>
      <c r="N264" s="583">
        <v>800</v>
      </c>
      <c r="O264" s="583">
        <v>180</v>
      </c>
      <c r="P264" s="583">
        <v>1</v>
      </c>
      <c r="Q264" s="583">
        <v>0.4</v>
      </c>
      <c r="R264" s="583">
        <v>0.36</v>
      </c>
      <c r="S264" s="665">
        <v>0.47</v>
      </c>
      <c r="T264" s="665">
        <v>91</v>
      </c>
    </row>
    <row r="265" spans="2:20">
      <c r="B265" s="663" t="s">
        <v>17</v>
      </c>
      <c r="C265" s="663" t="s">
        <v>1268</v>
      </c>
      <c r="D265" s="106">
        <v>145</v>
      </c>
      <c r="E265" s="106">
        <v>-29</v>
      </c>
      <c r="F265" s="106">
        <v>-32</v>
      </c>
      <c r="G265" s="106">
        <v>30</v>
      </c>
      <c r="H265" s="106">
        <v>22</v>
      </c>
      <c r="I265" s="106">
        <v>4900</v>
      </c>
      <c r="J265" s="106">
        <v>23</v>
      </c>
      <c r="K265" s="106">
        <v>92</v>
      </c>
      <c r="L265" s="106">
        <v>650</v>
      </c>
      <c r="M265" s="106">
        <v>0.82</v>
      </c>
      <c r="N265" s="106">
        <v>850</v>
      </c>
      <c r="O265" s="106">
        <v>100</v>
      </c>
      <c r="P265" s="106">
        <v>2.5</v>
      </c>
      <c r="Q265" s="106">
        <v>0.4</v>
      </c>
      <c r="R265" s="106">
        <v>0.27</v>
      </c>
      <c r="S265" s="662">
        <v>0.35</v>
      </c>
      <c r="T265" s="662">
        <v>78</v>
      </c>
    </row>
    <row r="266" spans="2:20">
      <c r="B266" s="663" t="s">
        <v>17</v>
      </c>
      <c r="C266" s="664" t="s">
        <v>1272</v>
      </c>
      <c r="D266" s="583">
        <v>85</v>
      </c>
      <c r="E266" s="583">
        <v>-22</v>
      </c>
      <c r="F266" s="583">
        <v>-24</v>
      </c>
      <c r="G266" s="583">
        <v>29</v>
      </c>
      <c r="H266" s="583">
        <v>23</v>
      </c>
      <c r="I266" s="583">
        <v>4070</v>
      </c>
      <c r="J266" s="583">
        <v>23</v>
      </c>
      <c r="K266" s="583">
        <v>92</v>
      </c>
      <c r="L266" s="583">
        <v>760</v>
      </c>
      <c r="M266" s="583">
        <v>0.89</v>
      </c>
      <c r="N266" s="583">
        <v>900</v>
      </c>
      <c r="O266" s="583">
        <v>160</v>
      </c>
      <c r="P266" s="583">
        <v>1.9</v>
      </c>
      <c r="Q266" s="583">
        <v>0.4</v>
      </c>
      <c r="R266" s="583">
        <v>0.33</v>
      </c>
      <c r="S266" s="665">
        <v>0.43</v>
      </c>
      <c r="T266" s="665">
        <v>86</v>
      </c>
    </row>
    <row r="267" spans="2:20">
      <c r="B267" s="663" t="s">
        <v>17</v>
      </c>
      <c r="C267" s="663" t="s">
        <v>1279</v>
      </c>
      <c r="D267" s="106">
        <v>260</v>
      </c>
      <c r="E267" s="106">
        <v>-18</v>
      </c>
      <c r="F267" s="106">
        <v>-20</v>
      </c>
      <c r="G267" s="106">
        <v>30</v>
      </c>
      <c r="H267" s="106">
        <v>24</v>
      </c>
      <c r="I267" s="106">
        <v>3900</v>
      </c>
      <c r="J267" s="106">
        <v>28</v>
      </c>
      <c r="K267" s="106">
        <v>103</v>
      </c>
      <c r="L267" s="106">
        <v>850</v>
      </c>
      <c r="M267" s="106">
        <v>0.96</v>
      </c>
      <c r="N267" s="106">
        <v>950</v>
      </c>
      <c r="O267" s="106">
        <v>180</v>
      </c>
      <c r="P267" s="106">
        <v>1.9</v>
      </c>
      <c r="Q267" s="106">
        <v>0.4</v>
      </c>
      <c r="R267" s="106">
        <v>0.36</v>
      </c>
      <c r="S267" s="662">
        <v>0.47</v>
      </c>
      <c r="T267" s="662">
        <v>91</v>
      </c>
    </row>
    <row r="268" spans="2:20">
      <c r="B268" s="663" t="s">
        <v>17</v>
      </c>
      <c r="C268" s="664" t="s">
        <v>1284</v>
      </c>
      <c r="D268" s="583">
        <v>200</v>
      </c>
      <c r="E268" s="583">
        <v>-33</v>
      </c>
      <c r="F268" s="583">
        <v>-35</v>
      </c>
      <c r="G268" s="583">
        <v>28</v>
      </c>
      <c r="H268" s="583">
        <v>21</v>
      </c>
      <c r="I268" s="583">
        <v>5950</v>
      </c>
      <c r="J268" s="583">
        <v>20</v>
      </c>
      <c r="K268" s="583">
        <v>103</v>
      </c>
      <c r="L268" s="583">
        <v>550</v>
      </c>
      <c r="M268" s="583">
        <v>0.77</v>
      </c>
      <c r="N268" s="583">
        <v>725</v>
      </c>
      <c r="O268" s="583">
        <v>160</v>
      </c>
      <c r="P268" s="583">
        <v>2.8</v>
      </c>
      <c r="Q268" s="583">
        <v>0.4</v>
      </c>
      <c r="R268" s="583">
        <v>0.3</v>
      </c>
      <c r="S268" s="665">
        <v>0.39</v>
      </c>
      <c r="T268" s="665">
        <v>83</v>
      </c>
    </row>
    <row r="269" spans="2:20">
      <c r="B269" s="663" t="s">
        <v>17</v>
      </c>
      <c r="C269" s="663" t="s">
        <v>1289</v>
      </c>
      <c r="D269" s="106">
        <v>185</v>
      </c>
      <c r="E269" s="106">
        <v>-16</v>
      </c>
      <c r="F269" s="106">
        <v>-18</v>
      </c>
      <c r="G269" s="106">
        <v>31</v>
      </c>
      <c r="H269" s="106">
        <v>24</v>
      </c>
      <c r="I269" s="106">
        <v>3750</v>
      </c>
      <c r="J269" s="106">
        <v>28</v>
      </c>
      <c r="K269" s="106">
        <v>97</v>
      </c>
      <c r="L269" s="106">
        <v>760</v>
      </c>
      <c r="M269" s="106">
        <v>0.84</v>
      </c>
      <c r="N269" s="106">
        <v>820</v>
      </c>
      <c r="O269" s="106">
        <v>180</v>
      </c>
      <c r="P269" s="106">
        <v>1</v>
      </c>
      <c r="Q269" s="106">
        <v>0.4</v>
      </c>
      <c r="R269" s="106" t="s">
        <v>1632</v>
      </c>
      <c r="S269" s="662">
        <v>0.43</v>
      </c>
      <c r="T269" s="662">
        <v>86</v>
      </c>
    </row>
    <row r="270" spans="2:20">
      <c r="B270" s="663" t="s">
        <v>17</v>
      </c>
      <c r="C270" s="664" t="s">
        <v>1293</v>
      </c>
      <c r="D270" s="583">
        <v>370</v>
      </c>
      <c r="E270" s="583">
        <v>-34</v>
      </c>
      <c r="F270" s="583">
        <v>-36</v>
      </c>
      <c r="G270" s="583">
        <v>28</v>
      </c>
      <c r="H270" s="583">
        <v>22</v>
      </c>
      <c r="I270" s="583">
        <v>5850</v>
      </c>
      <c r="J270" s="583">
        <v>25</v>
      </c>
      <c r="K270" s="583">
        <v>97</v>
      </c>
      <c r="L270" s="583">
        <v>550</v>
      </c>
      <c r="M270" s="583">
        <v>0.7</v>
      </c>
      <c r="N270" s="583">
        <v>700</v>
      </c>
      <c r="O270" s="583">
        <v>120</v>
      </c>
      <c r="P270" s="583">
        <v>2.4</v>
      </c>
      <c r="Q270" s="583">
        <v>0.3</v>
      </c>
      <c r="R270" s="583">
        <v>0.23100000000000001</v>
      </c>
      <c r="S270" s="665">
        <v>0.3</v>
      </c>
      <c r="T270" s="665">
        <v>69</v>
      </c>
    </row>
    <row r="271" spans="2:20">
      <c r="B271" s="663" t="s">
        <v>17</v>
      </c>
      <c r="C271" s="663" t="s">
        <v>1299</v>
      </c>
      <c r="D271" s="106">
        <v>525</v>
      </c>
      <c r="E271" s="106">
        <v>-22</v>
      </c>
      <c r="F271" s="106">
        <v>-24</v>
      </c>
      <c r="G271" s="106">
        <v>29</v>
      </c>
      <c r="H271" s="106">
        <v>22</v>
      </c>
      <c r="I271" s="106">
        <v>4700</v>
      </c>
      <c r="J271" s="106">
        <v>28</v>
      </c>
      <c r="K271" s="106">
        <v>108</v>
      </c>
      <c r="L271" s="106">
        <v>750</v>
      </c>
      <c r="M271" s="106">
        <v>0.89</v>
      </c>
      <c r="N271" s="106">
        <v>1080</v>
      </c>
      <c r="O271" s="106">
        <v>150</v>
      </c>
      <c r="P271" s="106">
        <v>3.2</v>
      </c>
      <c r="Q271" s="106">
        <v>0.4</v>
      </c>
      <c r="R271" s="106">
        <v>0.33</v>
      </c>
      <c r="S271" s="662">
        <v>0.42</v>
      </c>
      <c r="T271" s="662">
        <v>86</v>
      </c>
    </row>
    <row r="272" spans="2:20">
      <c r="B272" s="663" t="s">
        <v>17</v>
      </c>
      <c r="C272" s="664" t="s">
        <v>1304</v>
      </c>
      <c r="D272" s="583">
        <v>175</v>
      </c>
      <c r="E272" s="583">
        <v>-15</v>
      </c>
      <c r="F272" s="583">
        <v>-17</v>
      </c>
      <c r="G272" s="583">
        <v>30</v>
      </c>
      <c r="H272" s="583">
        <v>24</v>
      </c>
      <c r="I272" s="583">
        <v>3660</v>
      </c>
      <c r="J272" s="583">
        <v>23</v>
      </c>
      <c r="K272" s="583">
        <v>108</v>
      </c>
      <c r="L272" s="583">
        <v>830</v>
      </c>
      <c r="M272" s="583">
        <v>0.95</v>
      </c>
      <c r="N272" s="583">
        <v>950</v>
      </c>
      <c r="O272" s="583">
        <v>160</v>
      </c>
      <c r="P272" s="583">
        <v>2</v>
      </c>
      <c r="Q272" s="583">
        <v>0.4</v>
      </c>
      <c r="R272" s="583">
        <v>0.36</v>
      </c>
      <c r="S272" s="665">
        <v>0.46</v>
      </c>
      <c r="T272" s="665">
        <v>86</v>
      </c>
    </row>
    <row r="273" spans="2:20">
      <c r="B273" s="663" t="s">
        <v>17</v>
      </c>
      <c r="C273" s="663" t="s">
        <v>1310</v>
      </c>
      <c r="D273" s="106">
        <v>340</v>
      </c>
      <c r="E273" s="106">
        <v>-20</v>
      </c>
      <c r="F273" s="106">
        <v>-22</v>
      </c>
      <c r="G273" s="106">
        <v>29</v>
      </c>
      <c r="H273" s="106">
        <v>22</v>
      </c>
      <c r="I273" s="106">
        <v>4340</v>
      </c>
      <c r="J273" s="106">
        <v>28</v>
      </c>
      <c r="K273" s="106">
        <v>103</v>
      </c>
      <c r="L273" s="106">
        <v>815</v>
      </c>
      <c r="M273" s="106">
        <v>0.94</v>
      </c>
      <c r="N273" s="106">
        <v>1025</v>
      </c>
      <c r="O273" s="106">
        <v>140</v>
      </c>
      <c r="P273" s="106">
        <v>2.8</v>
      </c>
      <c r="Q273" s="106">
        <v>0.4</v>
      </c>
      <c r="R273" s="106">
        <v>0.34</v>
      </c>
      <c r="S273" s="662">
        <v>0.44</v>
      </c>
      <c r="T273" s="662">
        <v>86</v>
      </c>
    </row>
    <row r="274" spans="2:20">
      <c r="B274" s="663" t="s">
        <v>17</v>
      </c>
      <c r="C274" s="664" t="s">
        <v>1317</v>
      </c>
      <c r="D274" s="583">
        <v>225</v>
      </c>
      <c r="E274" s="583">
        <v>-16</v>
      </c>
      <c r="F274" s="583">
        <v>-18</v>
      </c>
      <c r="G274" s="583">
        <v>31</v>
      </c>
      <c r="H274" s="583">
        <v>24</v>
      </c>
      <c r="I274" s="583">
        <v>3700</v>
      </c>
      <c r="J274" s="583">
        <v>28</v>
      </c>
      <c r="K274" s="583">
        <v>92</v>
      </c>
      <c r="L274" s="583">
        <v>850</v>
      </c>
      <c r="M274" s="583">
        <v>0.96</v>
      </c>
      <c r="N274" s="583">
        <v>925</v>
      </c>
      <c r="O274" s="583">
        <v>180</v>
      </c>
      <c r="P274" s="583">
        <v>1.3</v>
      </c>
      <c r="Q274" s="583">
        <v>0.4</v>
      </c>
      <c r="R274" s="583">
        <v>0.36</v>
      </c>
      <c r="S274" s="665">
        <v>0.47</v>
      </c>
      <c r="T274" s="665">
        <v>91</v>
      </c>
    </row>
    <row r="275" spans="2:20">
      <c r="B275" s="663" t="s">
        <v>17</v>
      </c>
      <c r="C275" s="663" t="s">
        <v>1323</v>
      </c>
      <c r="D275" s="106">
        <v>245</v>
      </c>
      <c r="E275" s="106">
        <v>-33</v>
      </c>
      <c r="F275" s="106">
        <v>-36</v>
      </c>
      <c r="G275" s="106">
        <v>29</v>
      </c>
      <c r="H275" s="106">
        <v>22</v>
      </c>
      <c r="I275" s="106">
        <v>5730</v>
      </c>
      <c r="J275" s="106">
        <v>23</v>
      </c>
      <c r="K275" s="106">
        <v>92</v>
      </c>
      <c r="L275" s="106">
        <v>560</v>
      </c>
      <c r="M275" s="106">
        <v>0.75</v>
      </c>
      <c r="N275" s="106">
        <v>820</v>
      </c>
      <c r="O275" s="106">
        <v>120</v>
      </c>
      <c r="P275" s="106">
        <v>3.1</v>
      </c>
      <c r="Q275" s="106">
        <v>0.4</v>
      </c>
      <c r="R275" s="106">
        <v>0.35</v>
      </c>
      <c r="S275" s="662">
        <v>0.45</v>
      </c>
      <c r="T275" s="662">
        <v>87</v>
      </c>
    </row>
    <row r="276" spans="2:20">
      <c r="B276" s="663" t="s">
        <v>17</v>
      </c>
      <c r="C276" s="664" t="s">
        <v>1326</v>
      </c>
      <c r="D276" s="583">
        <v>365</v>
      </c>
      <c r="E276" s="583">
        <v>-34</v>
      </c>
      <c r="F276" s="583">
        <v>-36</v>
      </c>
      <c r="G276" s="583">
        <v>28</v>
      </c>
      <c r="H276" s="583">
        <v>22</v>
      </c>
      <c r="I276" s="583">
        <v>5740</v>
      </c>
      <c r="J276" s="583">
        <v>25</v>
      </c>
      <c r="K276" s="583">
        <v>108</v>
      </c>
      <c r="L276" s="583">
        <v>510</v>
      </c>
      <c r="M276" s="583">
        <v>0.65</v>
      </c>
      <c r="N276" s="583">
        <v>680</v>
      </c>
      <c r="O276" s="583">
        <v>120</v>
      </c>
      <c r="P276" s="583">
        <v>2.4</v>
      </c>
      <c r="Q276" s="583">
        <v>0.3</v>
      </c>
      <c r="R276" s="583">
        <v>0.24</v>
      </c>
      <c r="S276" s="665">
        <v>0.31</v>
      </c>
      <c r="T276" s="665">
        <v>79</v>
      </c>
    </row>
    <row r="277" spans="2:20">
      <c r="B277" s="663" t="s">
        <v>17</v>
      </c>
      <c r="C277" s="663" t="s">
        <v>1329</v>
      </c>
      <c r="D277" s="106">
        <v>380</v>
      </c>
      <c r="E277" s="106">
        <v>-26</v>
      </c>
      <c r="F277" s="106">
        <v>-28</v>
      </c>
      <c r="G277" s="106">
        <v>29</v>
      </c>
      <c r="H277" s="106">
        <v>21</v>
      </c>
      <c r="I277" s="106">
        <v>4950</v>
      </c>
      <c r="J277" s="106">
        <v>23</v>
      </c>
      <c r="K277" s="106">
        <v>108</v>
      </c>
      <c r="L277" s="106">
        <v>630</v>
      </c>
      <c r="M277" s="106">
        <v>0.83</v>
      </c>
      <c r="N277" s="106">
        <v>950</v>
      </c>
      <c r="O277" s="106">
        <v>160</v>
      </c>
      <c r="P277" s="106">
        <v>2.9</v>
      </c>
      <c r="Q277" s="106">
        <v>0.4</v>
      </c>
      <c r="R277" s="106">
        <v>0.28999999999999998</v>
      </c>
      <c r="S277" s="662">
        <v>0.38</v>
      </c>
      <c r="T277" s="662">
        <v>87</v>
      </c>
    </row>
    <row r="278" spans="2:20">
      <c r="B278" s="663" t="s">
        <v>17</v>
      </c>
      <c r="C278" s="664" t="s">
        <v>1332</v>
      </c>
      <c r="D278" s="583">
        <v>220</v>
      </c>
      <c r="E278" s="583">
        <v>-24</v>
      </c>
      <c r="F278" s="583">
        <v>-26</v>
      </c>
      <c r="G278" s="583">
        <v>29</v>
      </c>
      <c r="H278" s="583">
        <v>23</v>
      </c>
      <c r="I278" s="583">
        <v>4200</v>
      </c>
      <c r="J278" s="583">
        <v>28</v>
      </c>
      <c r="K278" s="583">
        <v>97</v>
      </c>
      <c r="L278" s="583">
        <v>720</v>
      </c>
      <c r="M278" s="583">
        <v>0.87</v>
      </c>
      <c r="N278" s="583">
        <v>950</v>
      </c>
      <c r="O278" s="583">
        <v>140</v>
      </c>
      <c r="P278" s="583">
        <v>2.6</v>
      </c>
      <c r="Q278" s="583">
        <v>0.4</v>
      </c>
      <c r="R278" s="583">
        <v>0.28000000000000003</v>
      </c>
      <c r="S278" s="665">
        <v>0.36</v>
      </c>
      <c r="T278" s="665">
        <v>78</v>
      </c>
    </row>
    <row r="279" spans="2:20">
      <c r="B279" s="663" t="s">
        <v>17</v>
      </c>
      <c r="C279" s="663" t="s">
        <v>1335</v>
      </c>
      <c r="D279" s="106">
        <v>310</v>
      </c>
      <c r="E279" s="106">
        <v>-19</v>
      </c>
      <c r="F279" s="106">
        <v>-21</v>
      </c>
      <c r="G279" s="106">
        <v>30</v>
      </c>
      <c r="H279" s="106">
        <v>23</v>
      </c>
      <c r="I279" s="106">
        <v>3950</v>
      </c>
      <c r="J279" s="106">
        <v>28</v>
      </c>
      <c r="K279" s="106">
        <v>113</v>
      </c>
      <c r="L279" s="106">
        <v>830</v>
      </c>
      <c r="M279" s="106">
        <v>0.94</v>
      </c>
      <c r="N279" s="106">
        <v>950</v>
      </c>
      <c r="O279" s="106">
        <v>160</v>
      </c>
      <c r="P279" s="106">
        <v>2</v>
      </c>
      <c r="Q279" s="106">
        <v>0.4</v>
      </c>
      <c r="R279" s="106">
        <v>0.37</v>
      </c>
      <c r="S279" s="662">
        <v>0.48</v>
      </c>
      <c r="T279" s="662">
        <v>91</v>
      </c>
    </row>
    <row r="280" spans="2:20">
      <c r="B280" s="663" t="s">
        <v>17</v>
      </c>
      <c r="C280" s="664" t="s">
        <v>1338</v>
      </c>
      <c r="D280" s="583">
        <v>205</v>
      </c>
      <c r="E280" s="583">
        <v>-33</v>
      </c>
      <c r="F280" s="583">
        <v>-36</v>
      </c>
      <c r="G280" s="583">
        <v>29</v>
      </c>
      <c r="H280" s="583">
        <v>22</v>
      </c>
      <c r="I280" s="583">
        <v>5800</v>
      </c>
      <c r="J280" s="583">
        <v>23</v>
      </c>
      <c r="K280" s="583">
        <v>92</v>
      </c>
      <c r="L280" s="583">
        <v>600</v>
      </c>
      <c r="M280" s="583">
        <v>0.78</v>
      </c>
      <c r="N280" s="583">
        <v>880</v>
      </c>
      <c r="O280" s="583">
        <v>100</v>
      </c>
      <c r="P280" s="583">
        <v>2.8</v>
      </c>
      <c r="Q280" s="583">
        <v>0.4</v>
      </c>
      <c r="R280" s="583">
        <v>0.32</v>
      </c>
      <c r="S280" s="665">
        <v>0.41</v>
      </c>
      <c r="T280" s="665">
        <v>84</v>
      </c>
    </row>
    <row r="281" spans="2:20">
      <c r="B281" s="663" t="s">
        <v>17</v>
      </c>
      <c r="C281" s="663" t="s">
        <v>1341</v>
      </c>
      <c r="D281" s="106">
        <v>220</v>
      </c>
      <c r="E281" s="106">
        <v>-25</v>
      </c>
      <c r="F281" s="106">
        <v>-27</v>
      </c>
      <c r="G281" s="106">
        <v>29</v>
      </c>
      <c r="H281" s="106">
        <v>21</v>
      </c>
      <c r="I281" s="106">
        <v>4920</v>
      </c>
      <c r="J281" s="106">
        <v>23</v>
      </c>
      <c r="K281" s="106">
        <v>108</v>
      </c>
      <c r="L281" s="106">
        <v>650</v>
      </c>
      <c r="M281" s="106">
        <v>0.83</v>
      </c>
      <c r="N281" s="106">
        <v>840</v>
      </c>
      <c r="O281" s="106">
        <v>160</v>
      </c>
      <c r="P281" s="106">
        <v>2.2999999999999998</v>
      </c>
      <c r="Q281" s="106">
        <v>0.4</v>
      </c>
      <c r="R281" s="106">
        <v>0.33</v>
      </c>
      <c r="S281" s="662">
        <v>0.42</v>
      </c>
      <c r="T281" s="662">
        <v>84</v>
      </c>
    </row>
    <row r="282" spans="2:20">
      <c r="B282" s="663" t="s">
        <v>17</v>
      </c>
      <c r="C282" s="664" t="s">
        <v>1344</v>
      </c>
      <c r="D282" s="583">
        <v>160</v>
      </c>
      <c r="E282" s="583">
        <v>-20</v>
      </c>
      <c r="F282" s="583">
        <v>-22</v>
      </c>
      <c r="G282" s="583">
        <v>31</v>
      </c>
      <c r="H282" s="583">
        <v>24</v>
      </c>
      <c r="I282" s="583">
        <v>3800</v>
      </c>
      <c r="J282" s="583">
        <v>26</v>
      </c>
      <c r="K282" s="583">
        <v>108</v>
      </c>
      <c r="L282" s="583">
        <v>720</v>
      </c>
      <c r="M282" s="583">
        <v>0.8</v>
      </c>
      <c r="N282" s="106">
        <v>800</v>
      </c>
      <c r="O282" s="583">
        <v>160</v>
      </c>
      <c r="P282" s="583">
        <v>1.1000000000000001</v>
      </c>
      <c r="Q282" s="583">
        <v>0.4</v>
      </c>
      <c r="R282" s="583">
        <v>0.34</v>
      </c>
      <c r="S282" s="665">
        <v>0.44</v>
      </c>
      <c r="T282" s="665">
        <v>96</v>
      </c>
    </row>
    <row r="283" spans="2:20">
      <c r="B283" s="663" t="s">
        <v>17</v>
      </c>
      <c r="C283" s="664" t="s">
        <v>1347</v>
      </c>
      <c r="D283" s="583">
        <v>265</v>
      </c>
      <c r="E283" s="583">
        <v>-17</v>
      </c>
      <c r="F283" s="583">
        <v>-19</v>
      </c>
      <c r="G283" s="583">
        <v>30</v>
      </c>
      <c r="H283" s="583">
        <v>23</v>
      </c>
      <c r="I283" s="583">
        <v>3900</v>
      </c>
      <c r="J283" s="583">
        <v>25</v>
      </c>
      <c r="K283" s="583">
        <v>113</v>
      </c>
      <c r="L283" s="583">
        <v>810</v>
      </c>
      <c r="M283" s="583">
        <v>0.94</v>
      </c>
      <c r="N283" s="583">
        <v>975</v>
      </c>
      <c r="O283" s="583">
        <v>180</v>
      </c>
      <c r="P283" s="583">
        <v>2.4</v>
      </c>
      <c r="Q283" s="583">
        <v>0.4</v>
      </c>
      <c r="R283" s="583">
        <v>0.38</v>
      </c>
      <c r="S283" s="665">
        <v>0.49</v>
      </c>
      <c r="T283" s="665">
        <v>96</v>
      </c>
    </row>
    <row r="284" spans="2:20">
      <c r="B284" s="663" t="s">
        <v>17</v>
      </c>
      <c r="C284" s="663" t="s">
        <v>1350</v>
      </c>
      <c r="D284" s="106">
        <v>260</v>
      </c>
      <c r="E284" s="106">
        <v>-25</v>
      </c>
      <c r="F284" s="106">
        <v>-27</v>
      </c>
      <c r="G284" s="106">
        <v>30</v>
      </c>
      <c r="H284" s="106">
        <v>23</v>
      </c>
      <c r="I284" s="106">
        <v>4440</v>
      </c>
      <c r="J284" s="106">
        <v>25</v>
      </c>
      <c r="K284" s="106">
        <v>108</v>
      </c>
      <c r="L284" s="106">
        <v>730</v>
      </c>
      <c r="M284" s="106">
        <v>0.86</v>
      </c>
      <c r="N284" s="106">
        <v>950</v>
      </c>
      <c r="O284" s="106">
        <v>120</v>
      </c>
      <c r="P284" s="106">
        <v>2.2999999999999998</v>
      </c>
      <c r="Q284" s="106">
        <v>0.4</v>
      </c>
      <c r="R284" s="106">
        <v>0.28000000000000003</v>
      </c>
      <c r="S284" s="662">
        <v>0.36</v>
      </c>
      <c r="T284" s="662">
        <v>78</v>
      </c>
    </row>
    <row r="285" spans="2:20">
      <c r="B285" s="663" t="s">
        <v>17</v>
      </c>
      <c r="C285" s="664" t="s">
        <v>1353</v>
      </c>
      <c r="D285" s="583">
        <v>400</v>
      </c>
      <c r="E285" s="583">
        <v>-20</v>
      </c>
      <c r="F285" s="583">
        <v>-22</v>
      </c>
      <c r="G285" s="583">
        <v>29</v>
      </c>
      <c r="H285" s="583">
        <v>23</v>
      </c>
      <c r="I285" s="583">
        <v>4300</v>
      </c>
      <c r="J285" s="583">
        <v>28</v>
      </c>
      <c r="K285" s="583">
        <v>108</v>
      </c>
      <c r="L285" s="583">
        <v>760</v>
      </c>
      <c r="M285" s="583">
        <v>0.87</v>
      </c>
      <c r="N285" s="583">
        <v>925</v>
      </c>
      <c r="O285" s="583">
        <v>160</v>
      </c>
      <c r="P285" s="583">
        <v>2.2000000000000002</v>
      </c>
      <c r="Q285" s="583">
        <v>0.4</v>
      </c>
      <c r="R285" s="583">
        <v>0.28000000000000003</v>
      </c>
      <c r="S285" s="665">
        <v>0.36</v>
      </c>
      <c r="T285" s="665">
        <v>78</v>
      </c>
    </row>
    <row r="286" spans="2:20">
      <c r="B286" s="663" t="s">
        <v>17</v>
      </c>
      <c r="C286" s="663" t="s">
        <v>1356</v>
      </c>
      <c r="D286" s="106">
        <v>215</v>
      </c>
      <c r="E286" s="106">
        <v>-16</v>
      </c>
      <c r="F286" s="106">
        <v>-18</v>
      </c>
      <c r="G286" s="106">
        <v>31</v>
      </c>
      <c r="H286" s="106">
        <v>23</v>
      </c>
      <c r="I286" s="106">
        <v>3740</v>
      </c>
      <c r="J286" s="106">
        <v>25</v>
      </c>
      <c r="K286" s="106">
        <v>103</v>
      </c>
      <c r="L286" s="106">
        <v>810</v>
      </c>
      <c r="M286" s="106">
        <v>0.95</v>
      </c>
      <c r="N286" s="106">
        <v>875</v>
      </c>
      <c r="O286" s="106">
        <v>160</v>
      </c>
      <c r="P286" s="106">
        <v>2</v>
      </c>
      <c r="Q286" s="106">
        <v>0.4</v>
      </c>
      <c r="R286" s="106">
        <v>0.37</v>
      </c>
      <c r="S286" s="662">
        <v>0.48</v>
      </c>
      <c r="T286" s="662">
        <v>96</v>
      </c>
    </row>
    <row r="287" spans="2:20">
      <c r="B287" s="663" t="s">
        <v>17</v>
      </c>
      <c r="C287" s="664" t="s">
        <v>1359</v>
      </c>
      <c r="D287" s="583">
        <v>180</v>
      </c>
      <c r="E287" s="583">
        <v>-15</v>
      </c>
      <c r="F287" s="583">
        <v>-17</v>
      </c>
      <c r="G287" s="583">
        <v>30</v>
      </c>
      <c r="H287" s="583">
        <v>24</v>
      </c>
      <c r="I287" s="583">
        <v>3650</v>
      </c>
      <c r="J287" s="583">
        <v>23</v>
      </c>
      <c r="K287" s="583">
        <v>108</v>
      </c>
      <c r="L287" s="583">
        <v>860</v>
      </c>
      <c r="M287" s="583">
        <v>0.98</v>
      </c>
      <c r="N287" s="583">
        <v>1020</v>
      </c>
      <c r="O287" s="583">
        <v>160</v>
      </c>
      <c r="P287" s="583">
        <v>2.2999999999999998</v>
      </c>
      <c r="Q287" s="583">
        <v>0.4</v>
      </c>
      <c r="R287" s="583">
        <v>0.36</v>
      </c>
      <c r="S287" s="665">
        <v>0.46</v>
      </c>
      <c r="T287" s="665">
        <v>91</v>
      </c>
    </row>
    <row r="288" spans="2:20">
      <c r="B288" s="663" t="s">
        <v>17</v>
      </c>
      <c r="C288" s="664" t="s">
        <v>1362</v>
      </c>
      <c r="D288" s="583">
        <v>340</v>
      </c>
      <c r="E288" s="583">
        <v>-33</v>
      </c>
      <c r="F288" s="583">
        <v>-35</v>
      </c>
      <c r="G288" s="583">
        <v>29</v>
      </c>
      <c r="H288" s="583">
        <v>22</v>
      </c>
      <c r="I288" s="583">
        <v>5440</v>
      </c>
      <c r="J288" s="583">
        <v>25</v>
      </c>
      <c r="K288" s="583">
        <v>108</v>
      </c>
      <c r="L288" s="583">
        <v>570</v>
      </c>
      <c r="M288" s="583">
        <v>0.71</v>
      </c>
      <c r="N288" s="583">
        <v>725</v>
      </c>
      <c r="O288" s="583">
        <v>120</v>
      </c>
      <c r="P288" s="583">
        <v>2.2999999999999998</v>
      </c>
      <c r="Q288" s="583">
        <v>0.3</v>
      </c>
      <c r="R288" s="583">
        <v>0.24</v>
      </c>
      <c r="S288" s="665">
        <v>0.31</v>
      </c>
      <c r="T288" s="665">
        <v>73</v>
      </c>
    </row>
    <row r="289" spans="2:20">
      <c r="B289" s="663" t="s">
        <v>17</v>
      </c>
      <c r="C289" s="663" t="s">
        <v>1365</v>
      </c>
      <c r="D289" s="106">
        <v>80</v>
      </c>
      <c r="E289" s="106">
        <v>-22</v>
      </c>
      <c r="F289" s="106">
        <v>-24</v>
      </c>
      <c r="G289" s="106">
        <v>28</v>
      </c>
      <c r="H289" s="106">
        <v>23</v>
      </c>
      <c r="I289" s="106">
        <v>4010</v>
      </c>
      <c r="J289" s="106">
        <v>23</v>
      </c>
      <c r="K289" s="106">
        <v>103</v>
      </c>
      <c r="L289" s="106">
        <v>760</v>
      </c>
      <c r="M289" s="106">
        <v>0.91</v>
      </c>
      <c r="N289" s="106">
        <v>900</v>
      </c>
      <c r="O289" s="106">
        <v>180</v>
      </c>
      <c r="P289" s="106">
        <v>2.1</v>
      </c>
      <c r="Q289" s="106">
        <v>0.4</v>
      </c>
      <c r="R289" s="106">
        <v>0.36</v>
      </c>
      <c r="S289" s="662">
        <v>0.47</v>
      </c>
      <c r="T289" s="662">
        <v>91</v>
      </c>
    </row>
    <row r="290" spans="2:20">
      <c r="B290" s="663" t="s">
        <v>17</v>
      </c>
      <c r="C290" s="664" t="s">
        <v>1368</v>
      </c>
      <c r="D290" s="583">
        <v>345</v>
      </c>
      <c r="E290" s="583">
        <v>-36</v>
      </c>
      <c r="F290" s="583">
        <v>-39</v>
      </c>
      <c r="G290" s="583">
        <v>28</v>
      </c>
      <c r="H290" s="583">
        <v>21</v>
      </c>
      <c r="I290" s="583">
        <v>6450</v>
      </c>
      <c r="J290" s="583">
        <v>20</v>
      </c>
      <c r="K290" s="583">
        <v>86</v>
      </c>
      <c r="L290" s="583">
        <v>550</v>
      </c>
      <c r="M290" s="583">
        <v>0.77</v>
      </c>
      <c r="N290" s="583">
        <v>725</v>
      </c>
      <c r="O290" s="583">
        <v>100</v>
      </c>
      <c r="P290" s="583">
        <v>2.9</v>
      </c>
      <c r="Q290" s="583">
        <v>0.4</v>
      </c>
      <c r="R290" s="583">
        <v>0.23</v>
      </c>
      <c r="S290" s="665">
        <v>0.3</v>
      </c>
      <c r="T290" s="665">
        <v>69</v>
      </c>
    </row>
    <row r="291" spans="2:20">
      <c r="B291" s="663" t="s">
        <v>17</v>
      </c>
      <c r="C291" s="663" t="s">
        <v>1371</v>
      </c>
      <c r="D291" s="106">
        <v>215</v>
      </c>
      <c r="E291" s="106">
        <v>-16</v>
      </c>
      <c r="F291" s="106">
        <v>-18</v>
      </c>
      <c r="G291" s="106">
        <v>31</v>
      </c>
      <c r="H291" s="106">
        <v>24</v>
      </c>
      <c r="I291" s="106">
        <v>3680</v>
      </c>
      <c r="J291" s="106">
        <v>28</v>
      </c>
      <c r="K291" s="106">
        <v>103</v>
      </c>
      <c r="L291" s="106">
        <v>800</v>
      </c>
      <c r="M291" s="106">
        <v>0.91</v>
      </c>
      <c r="N291" s="106">
        <v>925</v>
      </c>
      <c r="O291" s="106">
        <v>180</v>
      </c>
      <c r="P291" s="106">
        <v>1.5</v>
      </c>
      <c r="Q291" s="106">
        <v>0.4</v>
      </c>
      <c r="R291" s="106">
        <v>0.33</v>
      </c>
      <c r="S291" s="662">
        <v>0.43</v>
      </c>
      <c r="T291" s="662">
        <v>86</v>
      </c>
    </row>
    <row r="292" spans="2:20">
      <c r="B292" s="663" t="s">
        <v>17</v>
      </c>
      <c r="C292" s="664" t="s">
        <v>1373</v>
      </c>
      <c r="D292" s="583">
        <v>185</v>
      </c>
      <c r="E292" s="583">
        <v>-16</v>
      </c>
      <c r="F292" s="583">
        <v>-18</v>
      </c>
      <c r="G292" s="583">
        <v>29</v>
      </c>
      <c r="H292" s="583">
        <v>23</v>
      </c>
      <c r="I292" s="583">
        <v>4000</v>
      </c>
      <c r="J292" s="583">
        <v>25</v>
      </c>
      <c r="K292" s="583">
        <v>92</v>
      </c>
      <c r="L292" s="583">
        <v>810</v>
      </c>
      <c r="M292" s="583">
        <v>0.95</v>
      </c>
      <c r="N292" s="583">
        <v>950</v>
      </c>
      <c r="O292" s="583">
        <v>180</v>
      </c>
      <c r="P292" s="583">
        <v>2.4</v>
      </c>
      <c r="Q292" s="583">
        <v>0.4</v>
      </c>
      <c r="R292" s="583">
        <v>0.43</v>
      </c>
      <c r="S292" s="665">
        <v>0.55000000000000004</v>
      </c>
      <c r="T292" s="665">
        <v>98</v>
      </c>
    </row>
    <row r="293" spans="2:20">
      <c r="B293" s="663" t="s">
        <v>17</v>
      </c>
      <c r="C293" s="663" t="s">
        <v>1376</v>
      </c>
      <c r="D293" s="106">
        <v>205</v>
      </c>
      <c r="E293" s="106">
        <v>-24</v>
      </c>
      <c r="F293" s="106">
        <v>-26</v>
      </c>
      <c r="G293" s="106">
        <v>28</v>
      </c>
      <c r="H293" s="106">
        <v>22</v>
      </c>
      <c r="I293" s="106">
        <v>4700</v>
      </c>
      <c r="J293" s="106">
        <v>23</v>
      </c>
      <c r="K293" s="106">
        <v>92</v>
      </c>
      <c r="L293" s="106">
        <v>640</v>
      </c>
      <c r="M293" s="106">
        <v>0.84</v>
      </c>
      <c r="N293" s="106">
        <v>860</v>
      </c>
      <c r="O293" s="106">
        <v>160</v>
      </c>
      <c r="P293" s="106">
        <v>2.6</v>
      </c>
      <c r="Q293" s="106">
        <v>0.4</v>
      </c>
      <c r="R293" s="106">
        <v>0.34</v>
      </c>
      <c r="S293" s="662">
        <v>0.44</v>
      </c>
      <c r="T293" s="662">
        <v>83</v>
      </c>
    </row>
    <row r="294" spans="2:20">
      <c r="B294" s="663" t="s">
        <v>17</v>
      </c>
      <c r="C294" s="664" t="s">
        <v>1379</v>
      </c>
      <c r="D294" s="583">
        <v>495</v>
      </c>
      <c r="E294" s="583">
        <v>-35</v>
      </c>
      <c r="F294" s="583">
        <v>-37</v>
      </c>
      <c r="G294" s="583">
        <v>29</v>
      </c>
      <c r="H294" s="583">
        <v>22</v>
      </c>
      <c r="I294" s="583">
        <v>5940</v>
      </c>
      <c r="J294" s="583">
        <v>23</v>
      </c>
      <c r="K294" s="583">
        <v>97</v>
      </c>
      <c r="L294" s="583">
        <v>570</v>
      </c>
      <c r="M294" s="583">
        <v>0.75</v>
      </c>
      <c r="N294" s="583">
        <v>750</v>
      </c>
      <c r="O294" s="583">
        <v>140</v>
      </c>
      <c r="P294" s="583">
        <v>2.6</v>
      </c>
      <c r="Q294" s="583">
        <v>0.3</v>
      </c>
      <c r="R294" s="583">
        <v>0.23</v>
      </c>
      <c r="S294" s="665">
        <v>0.3</v>
      </c>
      <c r="T294" s="665">
        <v>69</v>
      </c>
    </row>
    <row r="295" spans="2:20">
      <c r="B295" s="663" t="s">
        <v>17</v>
      </c>
      <c r="C295" s="681" t="s">
        <v>1382</v>
      </c>
      <c r="D295" s="106">
        <v>255</v>
      </c>
      <c r="E295" s="106">
        <v>-26</v>
      </c>
      <c r="F295" s="106">
        <v>-28</v>
      </c>
      <c r="G295" s="106">
        <v>29</v>
      </c>
      <c r="H295" s="106">
        <v>23</v>
      </c>
      <c r="I295" s="106">
        <v>4760</v>
      </c>
      <c r="J295" s="106">
        <v>25</v>
      </c>
      <c r="K295" s="106">
        <v>103</v>
      </c>
      <c r="L295" s="106">
        <v>790</v>
      </c>
      <c r="M295" s="106">
        <v>0.92</v>
      </c>
      <c r="N295" s="106">
        <v>1050</v>
      </c>
      <c r="O295" s="106">
        <v>120</v>
      </c>
      <c r="P295" s="106">
        <v>2.7</v>
      </c>
      <c r="Q295" s="106">
        <v>0.4</v>
      </c>
      <c r="R295" s="106">
        <v>0.28000000000000003</v>
      </c>
      <c r="S295" s="662">
        <v>0.36</v>
      </c>
      <c r="T295" s="662">
        <v>78</v>
      </c>
    </row>
    <row r="296" spans="2:20">
      <c r="B296" s="663" t="s">
        <v>17</v>
      </c>
      <c r="C296" s="664" t="s">
        <v>1385</v>
      </c>
      <c r="D296" s="583">
        <v>85</v>
      </c>
      <c r="E296" s="583">
        <v>-16</v>
      </c>
      <c r="F296" s="583">
        <v>-18</v>
      </c>
      <c r="G296" s="583">
        <v>30</v>
      </c>
      <c r="H296" s="583">
        <v>23</v>
      </c>
      <c r="I296" s="583">
        <v>3520</v>
      </c>
      <c r="J296" s="583">
        <v>23</v>
      </c>
      <c r="K296" s="583">
        <v>108</v>
      </c>
      <c r="L296" s="583">
        <v>760</v>
      </c>
      <c r="M296" s="583">
        <v>0.9</v>
      </c>
      <c r="N296" s="583">
        <v>875</v>
      </c>
      <c r="O296" s="583">
        <v>160</v>
      </c>
      <c r="P296" s="583">
        <v>0.9</v>
      </c>
      <c r="Q296" s="583">
        <v>0.4</v>
      </c>
      <c r="R296" s="583">
        <v>0.36</v>
      </c>
      <c r="S296" s="665">
        <v>0.46</v>
      </c>
      <c r="T296" s="665">
        <v>91</v>
      </c>
    </row>
    <row r="297" spans="2:20">
      <c r="B297" s="663" t="s">
        <v>17</v>
      </c>
      <c r="C297" s="663" t="s">
        <v>1388</v>
      </c>
      <c r="D297" s="106">
        <v>340</v>
      </c>
      <c r="E297" s="106">
        <v>-19</v>
      </c>
      <c r="F297" s="106">
        <v>-21</v>
      </c>
      <c r="G297" s="106">
        <v>29</v>
      </c>
      <c r="H297" s="106">
        <v>23</v>
      </c>
      <c r="I297" s="106">
        <v>4270</v>
      </c>
      <c r="J297" s="106">
        <v>28</v>
      </c>
      <c r="K297" s="106">
        <v>103</v>
      </c>
      <c r="L297" s="106">
        <v>770</v>
      </c>
      <c r="M297" s="106">
        <v>0.88</v>
      </c>
      <c r="N297" s="106">
        <v>875</v>
      </c>
      <c r="O297" s="106">
        <v>140</v>
      </c>
      <c r="P297" s="106">
        <v>1.9</v>
      </c>
      <c r="Q297" s="106">
        <v>0.4</v>
      </c>
      <c r="R297" s="106">
        <v>0.28000000000000003</v>
      </c>
      <c r="S297" s="662">
        <v>0.36</v>
      </c>
      <c r="T297" s="662">
        <v>76</v>
      </c>
    </row>
    <row r="298" spans="2:20">
      <c r="B298" s="663" t="s">
        <v>17</v>
      </c>
      <c r="C298" s="664" t="s">
        <v>1391</v>
      </c>
      <c r="D298" s="583">
        <v>280</v>
      </c>
      <c r="E298" s="583">
        <v>-24</v>
      </c>
      <c r="F298" s="583">
        <v>-26</v>
      </c>
      <c r="G298" s="583">
        <v>29</v>
      </c>
      <c r="H298" s="583">
        <v>23</v>
      </c>
      <c r="I298" s="583">
        <v>4300</v>
      </c>
      <c r="J298" s="583">
        <v>28</v>
      </c>
      <c r="K298" s="583">
        <v>103</v>
      </c>
      <c r="L298" s="583">
        <v>700</v>
      </c>
      <c r="M298" s="583">
        <v>0.83</v>
      </c>
      <c r="N298" s="583">
        <v>950</v>
      </c>
      <c r="O298" s="583">
        <v>120</v>
      </c>
      <c r="P298" s="583">
        <v>2.5</v>
      </c>
      <c r="Q298" s="583">
        <v>0.4</v>
      </c>
      <c r="R298" s="583">
        <v>0.28000000000000003</v>
      </c>
      <c r="S298" s="665">
        <v>0.36</v>
      </c>
      <c r="T298" s="665">
        <v>74</v>
      </c>
    </row>
    <row r="299" spans="2:20">
      <c r="B299" s="663" t="s">
        <v>17</v>
      </c>
      <c r="C299" s="663" t="s">
        <v>1394</v>
      </c>
      <c r="D299" s="106">
        <v>210</v>
      </c>
      <c r="E299" s="106">
        <v>-32</v>
      </c>
      <c r="F299" s="106">
        <v>-35</v>
      </c>
      <c r="G299" s="106">
        <v>30</v>
      </c>
      <c r="H299" s="106">
        <v>22</v>
      </c>
      <c r="I299" s="106">
        <v>5600</v>
      </c>
      <c r="J299" s="106">
        <v>23</v>
      </c>
      <c r="K299" s="106">
        <v>92</v>
      </c>
      <c r="L299" s="106">
        <v>590</v>
      </c>
      <c r="M299" s="106">
        <v>0.77</v>
      </c>
      <c r="N299" s="106">
        <v>820</v>
      </c>
      <c r="O299" s="106">
        <v>120</v>
      </c>
      <c r="P299" s="106">
        <v>2.4</v>
      </c>
      <c r="Q299" s="106">
        <v>0.4</v>
      </c>
      <c r="R299" s="106">
        <v>0.34</v>
      </c>
      <c r="S299" s="662">
        <v>0.44</v>
      </c>
      <c r="T299" s="662">
        <v>86</v>
      </c>
    </row>
    <row r="300" spans="2:20">
      <c r="B300" s="663" t="s">
        <v>17</v>
      </c>
      <c r="C300" s="664" t="s">
        <v>1395</v>
      </c>
      <c r="D300" s="583">
        <v>190</v>
      </c>
      <c r="E300" s="583">
        <v>-18</v>
      </c>
      <c r="F300" s="583">
        <v>-20</v>
      </c>
      <c r="G300" s="583">
        <v>30</v>
      </c>
      <c r="H300" s="583">
        <v>23</v>
      </c>
      <c r="I300" s="583">
        <v>3750</v>
      </c>
      <c r="J300" s="583">
        <v>23</v>
      </c>
      <c r="K300" s="583">
        <v>108</v>
      </c>
      <c r="L300" s="583">
        <v>810</v>
      </c>
      <c r="M300" s="583">
        <v>0.93</v>
      </c>
      <c r="N300" s="583">
        <v>875</v>
      </c>
      <c r="O300" s="583">
        <v>160</v>
      </c>
      <c r="P300" s="583">
        <v>1.2</v>
      </c>
      <c r="Q300" s="583">
        <v>0.4</v>
      </c>
      <c r="R300" s="583">
        <v>0.34</v>
      </c>
      <c r="S300" s="665">
        <v>0.44</v>
      </c>
      <c r="T300" s="665">
        <v>86</v>
      </c>
    </row>
    <row r="301" spans="2:20">
      <c r="B301" s="663" t="s">
        <v>17</v>
      </c>
      <c r="C301" s="663" t="s">
        <v>1395</v>
      </c>
      <c r="D301" s="106">
        <v>215</v>
      </c>
      <c r="E301" s="106">
        <v>-17</v>
      </c>
      <c r="F301" s="106">
        <v>-19</v>
      </c>
      <c r="G301" s="106">
        <v>30</v>
      </c>
      <c r="H301" s="106">
        <v>23</v>
      </c>
      <c r="I301" s="106">
        <v>3760</v>
      </c>
      <c r="J301" s="106">
        <v>25</v>
      </c>
      <c r="K301" s="106">
        <v>97</v>
      </c>
      <c r="L301" s="106">
        <v>840</v>
      </c>
      <c r="M301" s="106">
        <v>0.95</v>
      </c>
      <c r="N301" s="106">
        <v>875</v>
      </c>
      <c r="O301" s="106">
        <v>160</v>
      </c>
      <c r="P301" s="106">
        <v>1.3</v>
      </c>
      <c r="Q301" s="106">
        <v>0.4</v>
      </c>
      <c r="R301" s="106">
        <v>0.36</v>
      </c>
      <c r="S301" s="662">
        <v>0.46</v>
      </c>
      <c r="T301" s="662">
        <v>86</v>
      </c>
    </row>
    <row r="302" spans="2:20">
      <c r="B302" s="663" t="s">
        <v>17</v>
      </c>
      <c r="C302" s="664" t="s">
        <v>1398</v>
      </c>
      <c r="D302" s="583">
        <v>335</v>
      </c>
      <c r="E302" s="583">
        <v>-27</v>
      </c>
      <c r="F302" s="583">
        <v>-29</v>
      </c>
      <c r="G302" s="583">
        <v>29</v>
      </c>
      <c r="H302" s="583">
        <v>23</v>
      </c>
      <c r="I302" s="583">
        <v>4840</v>
      </c>
      <c r="J302" s="583">
        <v>25</v>
      </c>
      <c r="K302" s="583">
        <v>92</v>
      </c>
      <c r="L302" s="583">
        <v>780</v>
      </c>
      <c r="M302" s="583">
        <v>0.9</v>
      </c>
      <c r="N302" s="583">
        <v>980</v>
      </c>
      <c r="O302" s="583">
        <v>100</v>
      </c>
      <c r="P302" s="583">
        <v>2.9</v>
      </c>
      <c r="Q302" s="583">
        <v>0.4</v>
      </c>
      <c r="R302" s="583">
        <v>0.27</v>
      </c>
      <c r="S302" s="665">
        <v>0.35</v>
      </c>
      <c r="T302" s="665">
        <v>78</v>
      </c>
    </row>
    <row r="303" spans="2:20">
      <c r="B303" s="663" t="s">
        <v>17</v>
      </c>
      <c r="C303" s="681" t="s">
        <v>1401</v>
      </c>
      <c r="D303" s="106">
        <v>255</v>
      </c>
      <c r="E303" s="106">
        <v>-19</v>
      </c>
      <c r="F303" s="106">
        <v>-21</v>
      </c>
      <c r="G303" s="106">
        <v>30</v>
      </c>
      <c r="H303" s="106">
        <v>23</v>
      </c>
      <c r="I303" s="106">
        <v>4200</v>
      </c>
      <c r="J303" s="106">
        <v>28</v>
      </c>
      <c r="K303" s="106">
        <v>119</v>
      </c>
      <c r="L303" s="106">
        <v>750</v>
      </c>
      <c r="M303" s="106">
        <v>0.84</v>
      </c>
      <c r="N303" s="106">
        <v>850</v>
      </c>
      <c r="O303" s="106">
        <v>140</v>
      </c>
      <c r="P303" s="106">
        <v>1.4</v>
      </c>
      <c r="Q303" s="106">
        <v>0.4</v>
      </c>
      <c r="R303" s="106">
        <v>0.28999999999999998</v>
      </c>
      <c r="S303" s="662">
        <v>0.37</v>
      </c>
      <c r="T303" s="662">
        <v>93</v>
      </c>
    </row>
    <row r="304" spans="2:20">
      <c r="B304" s="663" t="s">
        <v>17</v>
      </c>
      <c r="C304" s="664" t="s">
        <v>1404</v>
      </c>
      <c r="D304" s="583">
        <v>90</v>
      </c>
      <c r="E304" s="583">
        <v>-17</v>
      </c>
      <c r="F304" s="583">
        <v>-19</v>
      </c>
      <c r="G304" s="583">
        <v>31</v>
      </c>
      <c r="H304" s="583">
        <v>23</v>
      </c>
      <c r="I304" s="583">
        <v>3460</v>
      </c>
      <c r="J304" s="583">
        <v>23</v>
      </c>
      <c r="K304" s="583">
        <v>108</v>
      </c>
      <c r="L304" s="583">
        <v>810</v>
      </c>
      <c r="M304" s="583">
        <v>0.9</v>
      </c>
      <c r="N304" s="583">
        <v>875</v>
      </c>
      <c r="O304" s="583">
        <v>160</v>
      </c>
      <c r="P304" s="583">
        <v>1.1000000000000001</v>
      </c>
      <c r="Q304" s="583">
        <v>0.4</v>
      </c>
      <c r="R304" s="583">
        <v>0.36</v>
      </c>
      <c r="S304" s="665">
        <v>0.46</v>
      </c>
      <c r="T304" s="665">
        <v>91</v>
      </c>
    </row>
    <row r="305" spans="2:20">
      <c r="B305" s="663" t="s">
        <v>17</v>
      </c>
      <c r="C305" s="663" t="s">
        <v>1407</v>
      </c>
      <c r="D305" s="106">
        <v>270</v>
      </c>
      <c r="E305" s="106">
        <v>-19</v>
      </c>
      <c r="F305" s="106">
        <v>-21</v>
      </c>
      <c r="G305" s="106">
        <v>29</v>
      </c>
      <c r="H305" s="106">
        <v>22</v>
      </c>
      <c r="I305" s="106">
        <v>4300</v>
      </c>
      <c r="J305" s="106">
        <v>28</v>
      </c>
      <c r="K305" s="106">
        <v>103</v>
      </c>
      <c r="L305" s="106">
        <v>790</v>
      </c>
      <c r="M305" s="106">
        <v>0.92</v>
      </c>
      <c r="N305" s="106">
        <v>1050</v>
      </c>
      <c r="O305" s="106">
        <v>140</v>
      </c>
      <c r="P305" s="106">
        <v>2.6</v>
      </c>
      <c r="Q305" s="106">
        <v>0.4</v>
      </c>
      <c r="R305" s="106">
        <v>0.37</v>
      </c>
      <c r="S305" s="662">
        <v>0.48</v>
      </c>
      <c r="T305" s="662">
        <v>91</v>
      </c>
    </row>
    <row r="306" spans="2:20">
      <c r="B306" s="663" t="s">
        <v>17</v>
      </c>
      <c r="C306" s="664" t="s">
        <v>1410</v>
      </c>
      <c r="D306" s="583">
        <v>200</v>
      </c>
      <c r="E306" s="583">
        <v>-24</v>
      </c>
      <c r="F306" s="583">
        <v>-26</v>
      </c>
      <c r="G306" s="583">
        <v>30</v>
      </c>
      <c r="H306" s="583">
        <v>23</v>
      </c>
      <c r="I306" s="583">
        <v>4280</v>
      </c>
      <c r="J306" s="583">
        <v>25</v>
      </c>
      <c r="K306" s="583">
        <v>92</v>
      </c>
      <c r="L306" s="583">
        <v>730</v>
      </c>
      <c r="M306" s="583">
        <v>0.85</v>
      </c>
      <c r="N306" s="583">
        <v>840</v>
      </c>
      <c r="O306" s="583">
        <v>140</v>
      </c>
      <c r="P306" s="583">
        <v>2</v>
      </c>
      <c r="Q306" s="583">
        <v>0.4</v>
      </c>
      <c r="R306" s="583">
        <v>0.32</v>
      </c>
      <c r="S306" s="665">
        <v>0.41</v>
      </c>
      <c r="T306" s="665">
        <v>84</v>
      </c>
    </row>
    <row r="307" spans="2:20">
      <c r="B307" s="663" t="s">
        <v>17</v>
      </c>
      <c r="C307" s="663" t="s">
        <v>1413</v>
      </c>
      <c r="D307" s="106">
        <v>50</v>
      </c>
      <c r="E307" s="106">
        <v>-25</v>
      </c>
      <c r="F307" s="106">
        <v>-27</v>
      </c>
      <c r="G307" s="106">
        <v>30</v>
      </c>
      <c r="H307" s="106">
        <v>23</v>
      </c>
      <c r="I307" s="106">
        <v>4610</v>
      </c>
      <c r="J307" s="106">
        <v>23</v>
      </c>
      <c r="K307" s="106">
        <v>103</v>
      </c>
      <c r="L307" s="106">
        <v>800</v>
      </c>
      <c r="M307" s="106">
        <v>0.91</v>
      </c>
      <c r="N307" s="106">
        <v>925</v>
      </c>
      <c r="O307" s="106">
        <v>160</v>
      </c>
      <c r="P307" s="106">
        <v>2.2999999999999998</v>
      </c>
      <c r="Q307" s="106">
        <v>0.4</v>
      </c>
      <c r="R307" s="106">
        <v>0.32</v>
      </c>
      <c r="S307" s="662">
        <v>0.41</v>
      </c>
      <c r="T307" s="662">
        <v>84</v>
      </c>
    </row>
    <row r="308" spans="2:20">
      <c r="B308" s="663" t="s">
        <v>17</v>
      </c>
      <c r="C308" s="664" t="s">
        <v>1416</v>
      </c>
      <c r="D308" s="583">
        <v>245</v>
      </c>
      <c r="E308" s="583">
        <v>-35</v>
      </c>
      <c r="F308" s="583">
        <v>-37</v>
      </c>
      <c r="G308" s="583">
        <v>29</v>
      </c>
      <c r="H308" s="583">
        <v>21</v>
      </c>
      <c r="I308" s="583">
        <v>6450</v>
      </c>
      <c r="J308" s="583">
        <v>20</v>
      </c>
      <c r="K308" s="583">
        <v>86</v>
      </c>
      <c r="L308" s="583">
        <v>520</v>
      </c>
      <c r="M308" s="583">
        <v>0.74</v>
      </c>
      <c r="N308" s="583">
        <v>825</v>
      </c>
      <c r="O308" s="106">
        <v>80</v>
      </c>
      <c r="P308" s="583">
        <v>2.8</v>
      </c>
      <c r="Q308" s="583">
        <v>0.3</v>
      </c>
      <c r="R308" s="583">
        <v>0.23</v>
      </c>
      <c r="S308" s="665">
        <v>0.3</v>
      </c>
      <c r="T308" s="665">
        <v>69</v>
      </c>
    </row>
    <row r="309" spans="2:20">
      <c r="B309" s="663" t="s">
        <v>17</v>
      </c>
      <c r="C309" s="663" t="s">
        <v>1419</v>
      </c>
      <c r="D309" s="106">
        <v>180</v>
      </c>
      <c r="E309" s="106">
        <v>-24</v>
      </c>
      <c r="F309" s="106">
        <v>-26</v>
      </c>
      <c r="G309" s="106">
        <v>29</v>
      </c>
      <c r="H309" s="106">
        <v>23</v>
      </c>
      <c r="I309" s="106">
        <v>4300</v>
      </c>
      <c r="J309" s="106">
        <v>25</v>
      </c>
      <c r="K309" s="106">
        <v>97</v>
      </c>
      <c r="L309" s="106">
        <v>710</v>
      </c>
      <c r="M309" s="106">
        <v>0.87</v>
      </c>
      <c r="N309" s="106">
        <v>1050</v>
      </c>
      <c r="O309" s="106">
        <v>160</v>
      </c>
      <c r="P309" s="106">
        <v>2.7</v>
      </c>
      <c r="Q309" s="106">
        <v>0.4</v>
      </c>
      <c r="R309" s="106">
        <v>0.3</v>
      </c>
      <c r="S309" s="662">
        <v>0.39</v>
      </c>
      <c r="T309" s="662">
        <v>81</v>
      </c>
    </row>
    <row r="310" spans="2:20">
      <c r="B310" s="663" t="s">
        <v>17</v>
      </c>
      <c r="C310" s="664" t="s">
        <v>1422</v>
      </c>
      <c r="D310" s="583">
        <v>360</v>
      </c>
      <c r="E310" s="583">
        <v>-37</v>
      </c>
      <c r="F310" s="583">
        <v>-40</v>
      </c>
      <c r="G310" s="583">
        <v>28</v>
      </c>
      <c r="H310" s="583">
        <v>21</v>
      </c>
      <c r="I310" s="583">
        <v>6340</v>
      </c>
      <c r="J310" s="583">
        <v>20</v>
      </c>
      <c r="K310" s="583">
        <v>93</v>
      </c>
      <c r="L310" s="583">
        <v>420</v>
      </c>
      <c r="M310" s="583">
        <v>0.68</v>
      </c>
      <c r="N310" s="583">
        <v>750</v>
      </c>
      <c r="O310" s="106">
        <v>80</v>
      </c>
      <c r="P310" s="583">
        <v>3.3</v>
      </c>
      <c r="Q310" s="583">
        <v>0.4</v>
      </c>
      <c r="R310" s="583">
        <v>0.23</v>
      </c>
      <c r="S310" s="665">
        <v>0.3</v>
      </c>
      <c r="T310" s="665">
        <v>69</v>
      </c>
    </row>
    <row r="311" spans="2:20">
      <c r="B311" s="663" t="s">
        <v>17</v>
      </c>
      <c r="C311" s="663" t="s">
        <v>1425</v>
      </c>
      <c r="D311" s="106">
        <v>335</v>
      </c>
      <c r="E311" s="106">
        <v>-26</v>
      </c>
      <c r="F311" s="106">
        <v>-29</v>
      </c>
      <c r="G311" s="106">
        <v>29</v>
      </c>
      <c r="H311" s="106">
        <v>22</v>
      </c>
      <c r="I311" s="106">
        <v>4850</v>
      </c>
      <c r="J311" s="106">
        <v>25</v>
      </c>
      <c r="K311" s="106">
        <v>103</v>
      </c>
      <c r="L311" s="106">
        <v>800</v>
      </c>
      <c r="M311" s="106">
        <v>0.93</v>
      </c>
      <c r="N311" s="106">
        <v>1000</v>
      </c>
      <c r="O311" s="106">
        <v>120</v>
      </c>
      <c r="P311" s="106">
        <v>2.9</v>
      </c>
      <c r="Q311" s="106">
        <v>0.4</v>
      </c>
      <c r="R311" s="106">
        <v>0.27</v>
      </c>
      <c r="S311" s="662">
        <v>0.35</v>
      </c>
      <c r="T311" s="662">
        <v>78</v>
      </c>
    </row>
    <row r="312" spans="2:20">
      <c r="B312" s="663" t="s">
        <v>17</v>
      </c>
      <c r="C312" s="663" t="s">
        <v>1428</v>
      </c>
      <c r="D312" s="106">
        <v>275</v>
      </c>
      <c r="E312" s="106">
        <v>-33</v>
      </c>
      <c r="F312" s="106">
        <v>-36</v>
      </c>
      <c r="G312" s="106">
        <v>29</v>
      </c>
      <c r="H312" s="106">
        <v>21</v>
      </c>
      <c r="I312" s="106">
        <v>6100</v>
      </c>
      <c r="J312" s="106">
        <v>20</v>
      </c>
      <c r="K312" s="106">
        <v>86</v>
      </c>
      <c r="L312" s="106">
        <v>575</v>
      </c>
      <c r="M312" s="106">
        <v>0.77</v>
      </c>
      <c r="N312" s="106">
        <v>825</v>
      </c>
      <c r="O312" s="106">
        <v>100</v>
      </c>
      <c r="P312" s="106">
        <v>2.9</v>
      </c>
      <c r="Q312" s="106">
        <v>0.3</v>
      </c>
      <c r="R312" s="106">
        <v>0.28999999999999998</v>
      </c>
      <c r="S312" s="662">
        <v>0.37</v>
      </c>
      <c r="T312" s="662">
        <v>84</v>
      </c>
    </row>
    <row r="313" spans="2:20">
      <c r="B313" s="663" t="s">
        <v>17</v>
      </c>
      <c r="C313" s="664" t="s">
        <v>1431</v>
      </c>
      <c r="D313" s="583">
        <v>205</v>
      </c>
      <c r="E313" s="583">
        <v>-17</v>
      </c>
      <c r="F313" s="583">
        <v>-18</v>
      </c>
      <c r="G313" s="583">
        <v>30</v>
      </c>
      <c r="H313" s="583">
        <v>23</v>
      </c>
      <c r="I313" s="583">
        <v>3700</v>
      </c>
      <c r="J313" s="583">
        <v>28</v>
      </c>
      <c r="K313" s="583">
        <v>108</v>
      </c>
      <c r="L313" s="583">
        <v>840</v>
      </c>
      <c r="M313" s="583">
        <v>0.95</v>
      </c>
      <c r="N313" s="583">
        <v>900</v>
      </c>
      <c r="O313" s="583">
        <v>160</v>
      </c>
      <c r="P313" s="583">
        <v>1.4</v>
      </c>
      <c r="Q313" s="583" t="s">
        <v>1633</v>
      </c>
      <c r="R313" s="583">
        <v>0.37</v>
      </c>
      <c r="S313" s="665">
        <v>0.48</v>
      </c>
      <c r="T313" s="665">
        <v>91</v>
      </c>
    </row>
    <row r="314" spans="2:20">
      <c r="B314" s="663" t="s">
        <v>17</v>
      </c>
      <c r="C314" s="664" t="s">
        <v>1434</v>
      </c>
      <c r="D314" s="583">
        <v>330</v>
      </c>
      <c r="E314" s="583">
        <v>-36</v>
      </c>
      <c r="F314" s="583">
        <v>-39</v>
      </c>
      <c r="G314" s="583">
        <v>28</v>
      </c>
      <c r="H314" s="583">
        <v>21</v>
      </c>
      <c r="I314" s="583">
        <v>6400</v>
      </c>
      <c r="J314" s="583">
        <v>20</v>
      </c>
      <c r="K314" s="583">
        <v>86</v>
      </c>
      <c r="L314" s="583">
        <v>550</v>
      </c>
      <c r="M314" s="583">
        <v>0.76</v>
      </c>
      <c r="N314" s="583">
        <v>750</v>
      </c>
      <c r="O314" s="583">
        <v>100</v>
      </c>
      <c r="P314" s="583">
        <v>2.7</v>
      </c>
      <c r="Q314" s="583">
        <v>0.4</v>
      </c>
      <c r="R314" s="583">
        <v>0.23</v>
      </c>
      <c r="S314" s="665">
        <v>0.3</v>
      </c>
      <c r="T314" s="665">
        <v>69</v>
      </c>
    </row>
    <row r="315" spans="2:20">
      <c r="B315" s="663" t="s">
        <v>17</v>
      </c>
      <c r="C315" s="663" t="s">
        <v>1437</v>
      </c>
      <c r="D315" s="106">
        <v>245</v>
      </c>
      <c r="E315" s="106">
        <v>-34</v>
      </c>
      <c r="F315" s="106">
        <v>-36</v>
      </c>
      <c r="G315" s="106">
        <v>29</v>
      </c>
      <c r="H315" s="106">
        <v>21</v>
      </c>
      <c r="I315" s="106">
        <v>6250</v>
      </c>
      <c r="J315" s="106">
        <v>20</v>
      </c>
      <c r="K315" s="106">
        <v>86</v>
      </c>
      <c r="L315" s="106">
        <v>550</v>
      </c>
      <c r="M315" s="106">
        <v>0.76</v>
      </c>
      <c r="N315" s="106">
        <v>825</v>
      </c>
      <c r="O315" s="106">
        <v>100</v>
      </c>
      <c r="P315" s="106">
        <v>3</v>
      </c>
      <c r="Q315" s="106">
        <v>0.3</v>
      </c>
      <c r="R315" s="106">
        <v>0.24</v>
      </c>
      <c r="S315" s="662">
        <v>0.31</v>
      </c>
      <c r="T315" s="662">
        <v>73</v>
      </c>
    </row>
    <row r="316" spans="2:20">
      <c r="B316" s="663" t="s">
        <v>17</v>
      </c>
      <c r="C316" s="664" t="s">
        <v>1440</v>
      </c>
      <c r="D316" s="583">
        <v>90</v>
      </c>
      <c r="E316" s="583">
        <v>-25</v>
      </c>
      <c r="F316" s="583">
        <v>-27</v>
      </c>
      <c r="G316" s="583">
        <v>30</v>
      </c>
      <c r="H316" s="583">
        <v>23</v>
      </c>
      <c r="I316" s="583">
        <v>4540</v>
      </c>
      <c r="J316" s="583">
        <v>25</v>
      </c>
      <c r="K316" s="583">
        <v>92</v>
      </c>
      <c r="L316" s="583">
        <v>750</v>
      </c>
      <c r="M316" s="583">
        <v>0.86</v>
      </c>
      <c r="N316" s="583">
        <v>925</v>
      </c>
      <c r="O316" s="583">
        <v>160</v>
      </c>
      <c r="P316" s="583">
        <v>2.2999999999999998</v>
      </c>
      <c r="Q316" s="583">
        <v>0.4</v>
      </c>
      <c r="R316" s="583">
        <v>0.32</v>
      </c>
      <c r="S316" s="665">
        <v>0.41</v>
      </c>
      <c r="T316" s="665">
        <v>84</v>
      </c>
    </row>
    <row r="317" spans="2:20">
      <c r="B317" s="663" t="s">
        <v>17</v>
      </c>
      <c r="C317" s="663" t="s">
        <v>1443</v>
      </c>
      <c r="D317" s="106">
        <v>370</v>
      </c>
      <c r="E317" s="106">
        <v>-33</v>
      </c>
      <c r="F317" s="106">
        <v>-35</v>
      </c>
      <c r="G317" s="106">
        <v>28</v>
      </c>
      <c r="H317" s="106">
        <v>22</v>
      </c>
      <c r="I317" s="106">
        <v>5630</v>
      </c>
      <c r="J317" s="106">
        <v>25</v>
      </c>
      <c r="K317" s="106">
        <v>113</v>
      </c>
      <c r="L317" s="106">
        <v>515</v>
      </c>
      <c r="M317" s="106">
        <v>0.64</v>
      </c>
      <c r="N317" s="106">
        <v>630</v>
      </c>
      <c r="O317" s="106">
        <v>120</v>
      </c>
      <c r="P317" s="106">
        <v>2.5</v>
      </c>
      <c r="Q317" s="106">
        <v>0.3</v>
      </c>
      <c r="R317" s="106">
        <v>0.24</v>
      </c>
      <c r="S317" s="662">
        <v>0.31</v>
      </c>
      <c r="T317" s="662">
        <v>73</v>
      </c>
    </row>
    <row r="318" spans="2:20">
      <c r="B318" s="663" t="s">
        <v>17</v>
      </c>
      <c r="C318" s="664" t="s">
        <v>1445</v>
      </c>
      <c r="D318" s="583">
        <v>185</v>
      </c>
      <c r="E318" s="583">
        <v>-28</v>
      </c>
      <c r="F318" s="583">
        <v>-31</v>
      </c>
      <c r="G318" s="583">
        <v>30</v>
      </c>
      <c r="H318" s="583">
        <v>22</v>
      </c>
      <c r="I318" s="583">
        <v>4960</v>
      </c>
      <c r="J318" s="583">
        <v>23</v>
      </c>
      <c r="K318" s="583">
        <v>86</v>
      </c>
      <c r="L318" s="583">
        <v>680</v>
      </c>
      <c r="M318" s="583">
        <v>0.83</v>
      </c>
      <c r="N318" s="583">
        <v>825</v>
      </c>
      <c r="O318" s="583">
        <v>120</v>
      </c>
      <c r="P318" s="583">
        <v>2.7</v>
      </c>
      <c r="Q318" s="583">
        <v>0.4</v>
      </c>
      <c r="R318" s="583">
        <v>0.27</v>
      </c>
      <c r="S318" s="665">
        <v>0.35</v>
      </c>
      <c r="T318" s="665">
        <v>78</v>
      </c>
    </row>
    <row r="319" spans="2:20">
      <c r="B319" s="663" t="s">
        <v>17</v>
      </c>
      <c r="C319" s="663" t="s">
        <v>1448</v>
      </c>
      <c r="D319" s="106">
        <v>190</v>
      </c>
      <c r="E319" s="106">
        <v>-17</v>
      </c>
      <c r="F319" s="106">
        <v>-19</v>
      </c>
      <c r="G319" s="106">
        <v>28</v>
      </c>
      <c r="H319" s="106">
        <v>22</v>
      </c>
      <c r="I319" s="106">
        <v>3890</v>
      </c>
      <c r="J319" s="106">
        <v>25</v>
      </c>
      <c r="K319" s="106">
        <v>92</v>
      </c>
      <c r="L319" s="106">
        <v>800</v>
      </c>
      <c r="M319" s="106">
        <v>0.95</v>
      </c>
      <c r="N319" s="106">
        <v>950</v>
      </c>
      <c r="O319" s="106">
        <v>180</v>
      </c>
      <c r="P319" s="106">
        <v>2.6</v>
      </c>
      <c r="Q319" s="106">
        <v>0.4</v>
      </c>
      <c r="R319" s="106">
        <v>0.43</v>
      </c>
      <c r="S319" s="662">
        <v>0.55000000000000004</v>
      </c>
      <c r="T319" s="662">
        <v>98</v>
      </c>
    </row>
    <row r="320" spans="2:20">
      <c r="B320" s="663" t="s">
        <v>17</v>
      </c>
      <c r="C320" s="664" t="s">
        <v>1451</v>
      </c>
      <c r="D320" s="583">
        <v>80</v>
      </c>
      <c r="E320" s="583">
        <v>-22</v>
      </c>
      <c r="F320" s="583">
        <v>-24</v>
      </c>
      <c r="G320" s="583">
        <v>28</v>
      </c>
      <c r="H320" s="583">
        <v>23</v>
      </c>
      <c r="I320" s="583">
        <v>4000</v>
      </c>
      <c r="J320" s="583">
        <v>23</v>
      </c>
      <c r="K320" s="583">
        <v>108</v>
      </c>
      <c r="L320" s="583">
        <v>780</v>
      </c>
      <c r="M320" s="583">
        <v>0.96</v>
      </c>
      <c r="N320" s="583">
        <v>950</v>
      </c>
      <c r="O320" s="583">
        <v>180</v>
      </c>
      <c r="P320" s="583">
        <v>2.1</v>
      </c>
      <c r="Q320" s="583">
        <v>0.4</v>
      </c>
      <c r="R320" s="583">
        <v>0.36</v>
      </c>
      <c r="S320" s="665">
        <v>0.47</v>
      </c>
      <c r="T320" s="665">
        <v>91</v>
      </c>
    </row>
    <row r="321" spans="2:20">
      <c r="B321" s="663" t="s">
        <v>17</v>
      </c>
      <c r="C321" s="663" t="s">
        <v>1454</v>
      </c>
      <c r="D321" s="106">
        <v>295</v>
      </c>
      <c r="E321" s="106">
        <v>-26</v>
      </c>
      <c r="F321" s="106">
        <v>-28</v>
      </c>
      <c r="G321" s="106">
        <v>29</v>
      </c>
      <c r="H321" s="106">
        <v>23</v>
      </c>
      <c r="I321" s="106">
        <v>4600</v>
      </c>
      <c r="J321" s="106">
        <v>25</v>
      </c>
      <c r="K321" s="106">
        <v>108</v>
      </c>
      <c r="L321" s="106">
        <v>750</v>
      </c>
      <c r="M321" s="106">
        <v>0.88</v>
      </c>
      <c r="N321" s="106">
        <v>950</v>
      </c>
      <c r="O321" s="106">
        <v>120</v>
      </c>
      <c r="P321" s="106">
        <v>2.7</v>
      </c>
      <c r="Q321" s="106">
        <v>0.4</v>
      </c>
      <c r="R321" s="106">
        <v>0.27</v>
      </c>
      <c r="S321" s="662">
        <v>0.35</v>
      </c>
      <c r="T321" s="662">
        <v>78</v>
      </c>
    </row>
    <row r="322" spans="2:20">
      <c r="B322" s="663" t="s">
        <v>17</v>
      </c>
      <c r="C322" s="664" t="s">
        <v>1457</v>
      </c>
      <c r="D322" s="583">
        <v>325</v>
      </c>
      <c r="E322" s="583">
        <v>-33</v>
      </c>
      <c r="F322" s="583">
        <v>-36</v>
      </c>
      <c r="G322" s="583">
        <v>29</v>
      </c>
      <c r="H322" s="583">
        <v>22</v>
      </c>
      <c r="I322" s="583">
        <v>6000</v>
      </c>
      <c r="J322" s="583">
        <v>23</v>
      </c>
      <c r="K322" s="583">
        <v>92</v>
      </c>
      <c r="L322" s="583">
        <v>600</v>
      </c>
      <c r="M322" s="583">
        <v>0.78</v>
      </c>
      <c r="N322" s="583">
        <v>875</v>
      </c>
      <c r="O322" s="583">
        <v>100</v>
      </c>
      <c r="P322" s="583">
        <v>2.9</v>
      </c>
      <c r="Q322" s="583">
        <v>0.3</v>
      </c>
      <c r="R322" s="583">
        <v>0.3</v>
      </c>
      <c r="S322" s="665">
        <v>0.39</v>
      </c>
      <c r="T322" s="665">
        <v>84</v>
      </c>
    </row>
    <row r="323" spans="2:20">
      <c r="B323" s="663" t="s">
        <v>17</v>
      </c>
      <c r="C323" s="663" t="s">
        <v>1460</v>
      </c>
      <c r="D323" s="106">
        <v>335</v>
      </c>
      <c r="E323" s="106">
        <v>-19</v>
      </c>
      <c r="F323" s="106">
        <v>-21</v>
      </c>
      <c r="G323" s="106">
        <v>29</v>
      </c>
      <c r="H323" s="106">
        <v>23</v>
      </c>
      <c r="I323" s="106">
        <v>4200</v>
      </c>
      <c r="J323" s="106">
        <v>28</v>
      </c>
      <c r="K323" s="106">
        <v>119</v>
      </c>
      <c r="L323" s="106">
        <v>780</v>
      </c>
      <c r="M323" s="106">
        <v>0.89</v>
      </c>
      <c r="N323" s="106">
        <v>925</v>
      </c>
      <c r="O323" s="106">
        <v>140</v>
      </c>
      <c r="P323" s="106">
        <v>2</v>
      </c>
      <c r="Q323" s="106">
        <v>0.4</v>
      </c>
      <c r="R323" s="106">
        <v>0.28999999999999998</v>
      </c>
      <c r="S323" s="662">
        <v>0.37</v>
      </c>
      <c r="T323" s="662">
        <v>81</v>
      </c>
    </row>
    <row r="324" spans="2:20">
      <c r="B324" s="663" t="s">
        <v>17</v>
      </c>
      <c r="C324" s="664" t="s">
        <v>1463</v>
      </c>
      <c r="D324" s="583">
        <v>240</v>
      </c>
      <c r="E324" s="583">
        <v>-24</v>
      </c>
      <c r="F324" s="583">
        <v>-26</v>
      </c>
      <c r="G324" s="583">
        <v>30</v>
      </c>
      <c r="H324" s="583">
        <v>23</v>
      </c>
      <c r="I324" s="583">
        <v>4330</v>
      </c>
      <c r="J324" s="583">
        <v>25</v>
      </c>
      <c r="K324" s="583">
        <v>92</v>
      </c>
      <c r="L324" s="583">
        <v>720</v>
      </c>
      <c r="M324" s="583">
        <v>0.85</v>
      </c>
      <c r="N324" s="583">
        <v>850</v>
      </c>
      <c r="O324" s="583">
        <v>140</v>
      </c>
      <c r="P324" s="583">
        <v>2.2000000000000002</v>
      </c>
      <c r="Q324" s="583">
        <v>0.4</v>
      </c>
      <c r="R324" s="583">
        <v>0.28999999999999998</v>
      </c>
      <c r="S324" s="665">
        <v>0.38</v>
      </c>
      <c r="T324" s="665">
        <v>81</v>
      </c>
    </row>
    <row r="325" spans="2:20">
      <c r="B325" s="663" t="s">
        <v>17</v>
      </c>
      <c r="C325" s="663" t="s">
        <v>1466</v>
      </c>
      <c r="D325" s="106">
        <v>240</v>
      </c>
      <c r="E325" s="106">
        <v>-38</v>
      </c>
      <c r="F325" s="106">
        <v>-40</v>
      </c>
      <c r="G325" s="106">
        <v>28</v>
      </c>
      <c r="H325" s="106">
        <v>21</v>
      </c>
      <c r="I325" s="106">
        <v>7150</v>
      </c>
      <c r="J325" s="106">
        <v>23</v>
      </c>
      <c r="K325" s="106">
        <v>92</v>
      </c>
      <c r="L325" s="106">
        <v>500</v>
      </c>
      <c r="M325" s="106">
        <v>0.78</v>
      </c>
      <c r="N325" s="106">
        <v>680</v>
      </c>
      <c r="O325" s="106">
        <v>140</v>
      </c>
      <c r="P325" s="106">
        <v>3</v>
      </c>
      <c r="Q325" s="106">
        <v>0.2</v>
      </c>
      <c r="R325" s="106">
        <v>0.25</v>
      </c>
      <c r="S325" s="662">
        <v>0.32</v>
      </c>
      <c r="T325" s="662">
        <v>74</v>
      </c>
    </row>
    <row r="326" spans="2:20">
      <c r="B326" s="663" t="s">
        <v>17</v>
      </c>
      <c r="C326" s="664" t="s">
        <v>1468</v>
      </c>
      <c r="D326" s="583">
        <v>190</v>
      </c>
      <c r="E326" s="583">
        <v>-15</v>
      </c>
      <c r="F326" s="583">
        <v>-17</v>
      </c>
      <c r="G326" s="583">
        <v>31</v>
      </c>
      <c r="H326" s="583">
        <v>24</v>
      </c>
      <c r="I326" s="583">
        <v>3400</v>
      </c>
      <c r="J326" s="583">
        <v>28</v>
      </c>
      <c r="K326" s="583">
        <v>113</v>
      </c>
      <c r="L326" s="106">
        <v>800</v>
      </c>
      <c r="M326" s="583">
        <v>0.91</v>
      </c>
      <c r="N326" s="583">
        <v>875</v>
      </c>
      <c r="O326" s="583">
        <v>180</v>
      </c>
      <c r="P326" s="583">
        <v>0.8</v>
      </c>
      <c r="Q326" s="583">
        <v>0.4</v>
      </c>
      <c r="R326" s="583">
        <v>0.36</v>
      </c>
      <c r="S326" s="665">
        <v>0.47</v>
      </c>
      <c r="T326" s="665">
        <v>91</v>
      </c>
    </row>
    <row r="327" spans="2:20">
      <c r="B327" s="663" t="s">
        <v>17</v>
      </c>
      <c r="C327" s="663" t="s">
        <v>1470</v>
      </c>
      <c r="D327" s="106">
        <v>265</v>
      </c>
      <c r="E327" s="106">
        <v>-24</v>
      </c>
      <c r="F327" s="106">
        <v>-26</v>
      </c>
      <c r="G327" s="106">
        <v>30</v>
      </c>
      <c r="H327" s="106">
        <v>23</v>
      </c>
      <c r="I327" s="106">
        <v>4320</v>
      </c>
      <c r="J327" s="106">
        <v>25</v>
      </c>
      <c r="K327" s="106">
        <v>103</v>
      </c>
      <c r="L327" s="106">
        <v>720</v>
      </c>
      <c r="M327" s="106">
        <v>0.84</v>
      </c>
      <c r="N327" s="106">
        <v>850</v>
      </c>
      <c r="O327" s="106">
        <v>140</v>
      </c>
      <c r="P327" s="106">
        <v>2.2999999999999998</v>
      </c>
      <c r="Q327" s="106">
        <v>0.4</v>
      </c>
      <c r="R327" s="106">
        <v>0.28999999999999998</v>
      </c>
      <c r="S327" s="662">
        <v>0.38</v>
      </c>
      <c r="T327" s="662">
        <v>81</v>
      </c>
    </row>
    <row r="328" spans="2:20">
      <c r="B328" s="663" t="s">
        <v>17</v>
      </c>
      <c r="C328" s="664" t="s">
        <v>1472</v>
      </c>
      <c r="D328" s="583">
        <v>185</v>
      </c>
      <c r="E328" s="583">
        <v>-19</v>
      </c>
      <c r="F328" s="583">
        <v>-21</v>
      </c>
      <c r="G328" s="583">
        <v>27</v>
      </c>
      <c r="H328" s="583">
        <v>22</v>
      </c>
      <c r="I328" s="583">
        <v>4300</v>
      </c>
      <c r="J328" s="583">
        <v>25</v>
      </c>
      <c r="K328" s="583">
        <v>103</v>
      </c>
      <c r="L328" s="583">
        <v>700</v>
      </c>
      <c r="M328" s="583">
        <v>0.89</v>
      </c>
      <c r="N328" s="583">
        <v>950</v>
      </c>
      <c r="O328" s="583">
        <v>180</v>
      </c>
      <c r="P328" s="583">
        <v>2.7</v>
      </c>
      <c r="Q328" s="583">
        <v>0.4</v>
      </c>
      <c r="R328" s="583">
        <v>0.37</v>
      </c>
      <c r="S328" s="665">
        <v>0.48</v>
      </c>
      <c r="T328" s="665">
        <v>91</v>
      </c>
    </row>
    <row r="329" spans="2:20">
      <c r="B329" s="663" t="s">
        <v>17</v>
      </c>
      <c r="C329" s="663" t="s">
        <v>1474</v>
      </c>
      <c r="D329" s="106">
        <v>380</v>
      </c>
      <c r="E329" s="106">
        <v>-19</v>
      </c>
      <c r="F329" s="106">
        <v>-21</v>
      </c>
      <c r="G329" s="106">
        <v>29</v>
      </c>
      <c r="H329" s="106">
        <v>23</v>
      </c>
      <c r="I329" s="106">
        <v>4300</v>
      </c>
      <c r="J329" s="106">
        <v>28</v>
      </c>
      <c r="K329" s="106">
        <v>119</v>
      </c>
      <c r="L329" s="106">
        <v>800</v>
      </c>
      <c r="M329" s="106">
        <v>0.93</v>
      </c>
      <c r="N329" s="106">
        <v>1000</v>
      </c>
      <c r="O329" s="106">
        <v>160</v>
      </c>
      <c r="P329" s="106">
        <v>2.6</v>
      </c>
      <c r="Q329" s="106">
        <v>0.4</v>
      </c>
      <c r="R329" s="106">
        <v>0.36</v>
      </c>
      <c r="S329" s="662">
        <v>0.47</v>
      </c>
      <c r="T329" s="662">
        <v>91</v>
      </c>
    </row>
    <row r="330" spans="2:20">
      <c r="B330" s="663" t="s">
        <v>17</v>
      </c>
      <c r="C330" s="664" t="s">
        <v>1476</v>
      </c>
      <c r="D330" s="583">
        <v>280</v>
      </c>
      <c r="E330" s="583">
        <v>-18</v>
      </c>
      <c r="F330" s="583">
        <v>-20</v>
      </c>
      <c r="G330" s="583">
        <v>30</v>
      </c>
      <c r="H330" s="583">
        <v>23</v>
      </c>
      <c r="I330" s="583">
        <v>3920</v>
      </c>
      <c r="J330" s="583">
        <v>28</v>
      </c>
      <c r="K330" s="583">
        <v>108</v>
      </c>
      <c r="L330" s="583">
        <v>840</v>
      </c>
      <c r="M330" s="583">
        <v>0.95</v>
      </c>
      <c r="N330" s="583">
        <v>950</v>
      </c>
      <c r="O330" s="583">
        <v>180</v>
      </c>
      <c r="P330" s="583">
        <v>1.7</v>
      </c>
      <c r="Q330" s="583">
        <v>0.4</v>
      </c>
      <c r="R330" s="583">
        <v>0.37</v>
      </c>
      <c r="S330" s="665">
        <v>0.48</v>
      </c>
      <c r="T330" s="665">
        <v>91</v>
      </c>
    </row>
    <row r="331" spans="2:20">
      <c r="B331" s="663" t="s">
        <v>17</v>
      </c>
      <c r="C331" s="663" t="s">
        <v>1478</v>
      </c>
      <c r="D331" s="106">
        <v>245</v>
      </c>
      <c r="E331" s="106">
        <v>-18</v>
      </c>
      <c r="F331" s="106">
        <v>-20</v>
      </c>
      <c r="G331" s="106">
        <v>30</v>
      </c>
      <c r="H331" s="106">
        <v>24</v>
      </c>
      <c r="I331" s="106">
        <v>3900</v>
      </c>
      <c r="J331" s="106">
        <v>28</v>
      </c>
      <c r="K331" s="106">
        <v>103</v>
      </c>
      <c r="L331" s="106">
        <v>825</v>
      </c>
      <c r="M331" s="106">
        <v>0.94</v>
      </c>
      <c r="N331" s="106">
        <v>975</v>
      </c>
      <c r="O331" s="106">
        <v>180</v>
      </c>
      <c r="P331" s="106">
        <v>1.9</v>
      </c>
      <c r="Q331" s="106">
        <v>0.4</v>
      </c>
      <c r="R331" s="106">
        <v>0.36</v>
      </c>
      <c r="S331" s="662">
        <v>0.47</v>
      </c>
      <c r="T331" s="662">
        <v>96</v>
      </c>
    </row>
    <row r="332" spans="2:20">
      <c r="B332" s="663" t="s">
        <v>17</v>
      </c>
      <c r="C332" s="664" t="s">
        <v>1480</v>
      </c>
      <c r="D332" s="583">
        <v>300</v>
      </c>
      <c r="E332" s="583">
        <v>-17</v>
      </c>
      <c r="F332" s="583">
        <v>-19</v>
      </c>
      <c r="G332" s="583">
        <v>30</v>
      </c>
      <c r="H332" s="583">
        <v>23</v>
      </c>
      <c r="I332" s="583">
        <v>3900</v>
      </c>
      <c r="J332" s="583">
        <v>25</v>
      </c>
      <c r="K332" s="583">
        <v>113</v>
      </c>
      <c r="L332" s="583">
        <v>810</v>
      </c>
      <c r="M332" s="583">
        <v>0.94</v>
      </c>
      <c r="N332" s="583">
        <v>1000</v>
      </c>
      <c r="O332" s="583">
        <v>180</v>
      </c>
      <c r="P332" s="583">
        <v>2.2999999999999998</v>
      </c>
      <c r="Q332" s="583">
        <v>0.4</v>
      </c>
      <c r="R332" s="583">
        <v>0.39</v>
      </c>
      <c r="S332" s="665">
        <v>0.5</v>
      </c>
      <c r="T332" s="665">
        <v>98</v>
      </c>
    </row>
    <row r="333" spans="2:20">
      <c r="B333" s="663" t="s">
        <v>17</v>
      </c>
      <c r="C333" s="663" t="s">
        <v>1482</v>
      </c>
      <c r="D333" s="106">
        <v>85</v>
      </c>
      <c r="E333" s="106">
        <v>-23</v>
      </c>
      <c r="F333" s="106">
        <v>-25</v>
      </c>
      <c r="G333" s="106">
        <v>29</v>
      </c>
      <c r="H333" s="106">
        <v>23</v>
      </c>
      <c r="I333" s="106">
        <v>4080</v>
      </c>
      <c r="J333" s="106">
        <v>25</v>
      </c>
      <c r="K333" s="106">
        <v>103</v>
      </c>
      <c r="L333" s="106" t="s">
        <v>1634</v>
      </c>
      <c r="M333" s="106">
        <v>0.89</v>
      </c>
      <c r="N333" s="106">
        <v>975</v>
      </c>
      <c r="O333" s="106">
        <v>180</v>
      </c>
      <c r="P333" s="106">
        <v>2.2000000000000002</v>
      </c>
      <c r="Q333" s="106">
        <v>0.4</v>
      </c>
      <c r="R333" s="106">
        <v>0.34</v>
      </c>
      <c r="S333" s="662" t="s">
        <v>1635</v>
      </c>
      <c r="T333" s="662">
        <v>86</v>
      </c>
    </row>
    <row r="334" spans="2:20">
      <c r="B334" s="663" t="s">
        <v>17</v>
      </c>
      <c r="C334" s="664" t="s">
        <v>1484</v>
      </c>
      <c r="D334" s="583">
        <v>425</v>
      </c>
      <c r="E334" s="583">
        <v>-20</v>
      </c>
      <c r="F334" s="583">
        <v>-22</v>
      </c>
      <c r="G334" s="583">
        <v>29</v>
      </c>
      <c r="H334" s="583">
        <v>22</v>
      </c>
      <c r="I334" s="583">
        <v>4500</v>
      </c>
      <c r="J334" s="583">
        <v>28</v>
      </c>
      <c r="K334" s="583">
        <v>103</v>
      </c>
      <c r="L334" s="583">
        <v>820</v>
      </c>
      <c r="M334" s="583">
        <v>0.94</v>
      </c>
      <c r="N334" s="583">
        <v>1050</v>
      </c>
      <c r="O334" s="583">
        <v>160</v>
      </c>
      <c r="P334" s="583">
        <v>3.2</v>
      </c>
      <c r="Q334" s="583">
        <v>0.4</v>
      </c>
      <c r="R334" s="583">
        <v>0.32</v>
      </c>
      <c r="S334" s="665">
        <v>0.41</v>
      </c>
      <c r="T334" s="665">
        <v>84</v>
      </c>
    </row>
    <row r="335" spans="2:20">
      <c r="B335" s="663" t="s">
        <v>17</v>
      </c>
      <c r="C335" s="663" t="s">
        <v>1486</v>
      </c>
      <c r="D335" s="106">
        <v>175</v>
      </c>
      <c r="E335" s="106">
        <v>-21</v>
      </c>
      <c r="F335" s="106">
        <v>-23</v>
      </c>
      <c r="G335" s="106">
        <v>31</v>
      </c>
      <c r="H335" s="106">
        <v>24</v>
      </c>
      <c r="I335" s="106">
        <v>4000</v>
      </c>
      <c r="J335" s="106">
        <v>25</v>
      </c>
      <c r="K335" s="106">
        <v>86</v>
      </c>
      <c r="L335" s="106">
        <v>720</v>
      </c>
      <c r="M335" s="106">
        <v>0.81</v>
      </c>
      <c r="N335" s="106">
        <v>825</v>
      </c>
      <c r="O335" s="106">
        <v>140</v>
      </c>
      <c r="P335" s="106">
        <v>1.3</v>
      </c>
      <c r="Q335" s="106" t="s">
        <v>1636</v>
      </c>
      <c r="R335" s="106">
        <v>0.34</v>
      </c>
      <c r="S335" s="662">
        <v>0.44</v>
      </c>
      <c r="T335" s="662">
        <v>96</v>
      </c>
    </row>
    <row r="336" spans="2:20">
      <c r="B336" s="663" t="s">
        <v>17</v>
      </c>
      <c r="C336" s="664" t="s">
        <v>1488</v>
      </c>
      <c r="D336" s="583">
        <v>485</v>
      </c>
      <c r="E336" s="583">
        <v>-35</v>
      </c>
      <c r="F336" s="583">
        <v>-37</v>
      </c>
      <c r="G336" s="583">
        <v>29</v>
      </c>
      <c r="H336" s="583">
        <v>22</v>
      </c>
      <c r="I336" s="583">
        <v>5900</v>
      </c>
      <c r="J336" s="583">
        <v>25</v>
      </c>
      <c r="K336" s="583">
        <v>103</v>
      </c>
      <c r="L336" s="583">
        <v>560</v>
      </c>
      <c r="M336" s="583">
        <v>0.75</v>
      </c>
      <c r="N336" s="583">
        <v>750</v>
      </c>
      <c r="O336" s="583">
        <v>120</v>
      </c>
      <c r="P336" s="583">
        <v>2.6</v>
      </c>
      <c r="Q336" s="583">
        <v>0.3</v>
      </c>
      <c r="R336" s="583">
        <v>0.23</v>
      </c>
      <c r="S336" s="665">
        <v>0.3</v>
      </c>
      <c r="T336" s="665">
        <v>69</v>
      </c>
    </row>
    <row r="337" spans="2:20">
      <c r="B337" s="663" t="s">
        <v>17</v>
      </c>
      <c r="C337" s="663" t="s">
        <v>1490</v>
      </c>
      <c r="D337" s="106">
        <v>265</v>
      </c>
      <c r="E337" s="106">
        <v>-33</v>
      </c>
      <c r="F337" s="106">
        <v>-36</v>
      </c>
      <c r="G337" s="106">
        <v>29</v>
      </c>
      <c r="H337" s="106">
        <v>21</v>
      </c>
      <c r="I337" s="106">
        <v>6080</v>
      </c>
      <c r="J337" s="106">
        <v>20</v>
      </c>
      <c r="K337" s="106">
        <v>86</v>
      </c>
      <c r="L337" s="106">
        <v>580</v>
      </c>
      <c r="M337" s="106">
        <v>0.77</v>
      </c>
      <c r="N337" s="106">
        <v>825</v>
      </c>
      <c r="O337" s="106">
        <v>100</v>
      </c>
      <c r="P337" s="106">
        <v>2.8</v>
      </c>
      <c r="Q337" s="106">
        <v>0.3</v>
      </c>
      <c r="R337" s="106">
        <v>0.3</v>
      </c>
      <c r="S337" s="662">
        <v>0.39</v>
      </c>
      <c r="T337" s="662">
        <v>84</v>
      </c>
    </row>
    <row r="338" spans="2:20">
      <c r="B338" s="663" t="s">
        <v>17</v>
      </c>
      <c r="C338" s="664" t="s">
        <v>1492</v>
      </c>
      <c r="D338" s="583">
        <v>165</v>
      </c>
      <c r="E338" s="583">
        <v>-29</v>
      </c>
      <c r="F338" s="583">
        <v>-31</v>
      </c>
      <c r="G338" s="583">
        <v>30</v>
      </c>
      <c r="H338" s="583">
        <v>22</v>
      </c>
      <c r="I338" s="583">
        <v>5050</v>
      </c>
      <c r="J338" s="583">
        <v>23</v>
      </c>
      <c r="K338" s="583">
        <v>86</v>
      </c>
      <c r="L338" s="583">
        <v>700</v>
      </c>
      <c r="M338" s="583">
        <v>0.86</v>
      </c>
      <c r="N338" s="583">
        <v>875</v>
      </c>
      <c r="O338" s="583">
        <v>100</v>
      </c>
      <c r="P338" s="583">
        <v>2.1</v>
      </c>
      <c r="Q338" s="583">
        <v>0.4</v>
      </c>
      <c r="R338" s="583">
        <v>0.25</v>
      </c>
      <c r="S338" s="665">
        <v>0.32</v>
      </c>
      <c r="T338" s="665">
        <v>74</v>
      </c>
    </row>
    <row r="339" spans="2:20">
      <c r="B339" s="663" t="s">
        <v>17</v>
      </c>
      <c r="C339" s="663" t="s">
        <v>1494</v>
      </c>
      <c r="D339" s="106">
        <v>190</v>
      </c>
      <c r="E339" s="106">
        <v>-24</v>
      </c>
      <c r="F339" s="106">
        <v>-26</v>
      </c>
      <c r="G339" s="106">
        <v>29</v>
      </c>
      <c r="H339" s="106">
        <v>23</v>
      </c>
      <c r="I339" s="106">
        <v>4200</v>
      </c>
      <c r="J339" s="106">
        <v>25</v>
      </c>
      <c r="K339" s="106">
        <v>97</v>
      </c>
      <c r="L339" s="106">
        <v>740</v>
      </c>
      <c r="M339" s="106">
        <v>0.88</v>
      </c>
      <c r="N339" s="106">
        <v>1060</v>
      </c>
      <c r="O339" s="106">
        <v>160</v>
      </c>
      <c r="P339" s="106">
        <v>2.7</v>
      </c>
      <c r="Q339" s="106">
        <v>0.4</v>
      </c>
      <c r="R339" s="106">
        <v>0.3</v>
      </c>
      <c r="S339" s="662">
        <v>0.39</v>
      </c>
      <c r="T339" s="662">
        <v>81</v>
      </c>
    </row>
    <row r="340" spans="2:20">
      <c r="B340" s="663" t="s">
        <v>17</v>
      </c>
      <c r="C340" s="664" t="s">
        <v>1496</v>
      </c>
      <c r="D340" s="583">
        <v>200</v>
      </c>
      <c r="E340" s="583">
        <v>-18</v>
      </c>
      <c r="F340" s="583">
        <v>-20</v>
      </c>
      <c r="G340" s="583">
        <v>30</v>
      </c>
      <c r="H340" s="583">
        <v>23</v>
      </c>
      <c r="I340" s="583">
        <v>3920</v>
      </c>
      <c r="J340" s="583">
        <v>25</v>
      </c>
      <c r="K340" s="583">
        <v>125</v>
      </c>
      <c r="L340" s="583">
        <v>750</v>
      </c>
      <c r="M340" s="583">
        <v>0.85</v>
      </c>
      <c r="N340" s="583">
        <v>850</v>
      </c>
      <c r="O340" s="583">
        <v>160</v>
      </c>
      <c r="P340" s="583">
        <v>1.3</v>
      </c>
      <c r="Q340" s="583">
        <v>0.4</v>
      </c>
      <c r="R340" s="583">
        <v>0.33</v>
      </c>
      <c r="S340" s="665">
        <v>0.43</v>
      </c>
      <c r="T340" s="665">
        <v>86</v>
      </c>
    </row>
    <row r="341" spans="2:20">
      <c r="B341" s="663" t="s">
        <v>17</v>
      </c>
      <c r="C341" s="663" t="s">
        <v>1498</v>
      </c>
      <c r="D341" s="106">
        <v>370</v>
      </c>
      <c r="E341" s="106">
        <v>-19</v>
      </c>
      <c r="F341" s="106">
        <v>-21</v>
      </c>
      <c r="G341" s="106">
        <v>29</v>
      </c>
      <c r="H341" s="106">
        <v>23</v>
      </c>
      <c r="I341" s="106">
        <v>4200</v>
      </c>
      <c r="J341" s="106">
        <v>28</v>
      </c>
      <c r="K341" s="106">
        <v>108</v>
      </c>
      <c r="L341" s="106">
        <v>800</v>
      </c>
      <c r="M341" s="106">
        <v>0.93</v>
      </c>
      <c r="N341" s="106">
        <v>1050</v>
      </c>
      <c r="O341" s="106">
        <v>160</v>
      </c>
      <c r="P341" s="106">
        <v>2.4</v>
      </c>
      <c r="Q341" s="106">
        <v>0.4</v>
      </c>
      <c r="R341" s="106">
        <v>0.33</v>
      </c>
      <c r="S341" s="662">
        <v>0.43</v>
      </c>
      <c r="T341" s="662">
        <v>86</v>
      </c>
    </row>
    <row r="342" spans="2:20">
      <c r="B342" s="663" t="s">
        <v>17</v>
      </c>
      <c r="C342" s="664" t="s">
        <v>1500</v>
      </c>
      <c r="D342" s="583">
        <v>270</v>
      </c>
      <c r="E342" s="583">
        <v>-27</v>
      </c>
      <c r="F342" s="583">
        <v>-29</v>
      </c>
      <c r="G342" s="583">
        <v>29</v>
      </c>
      <c r="H342" s="583">
        <v>23</v>
      </c>
      <c r="I342" s="583">
        <v>4640</v>
      </c>
      <c r="J342" s="583">
        <v>25</v>
      </c>
      <c r="K342" s="583">
        <v>97</v>
      </c>
      <c r="L342" s="583">
        <v>780</v>
      </c>
      <c r="M342" s="583">
        <v>0.9</v>
      </c>
      <c r="N342" s="583">
        <v>1010</v>
      </c>
      <c r="O342" s="583">
        <v>100</v>
      </c>
      <c r="P342" s="583">
        <v>2.7</v>
      </c>
      <c r="Q342" s="583">
        <v>0.4</v>
      </c>
      <c r="R342" s="583">
        <v>0.27</v>
      </c>
      <c r="S342" s="665">
        <v>0.35</v>
      </c>
      <c r="T342" s="665">
        <v>78</v>
      </c>
    </row>
    <row r="343" spans="2:20">
      <c r="B343" s="663" t="s">
        <v>17</v>
      </c>
      <c r="C343" s="663" t="s">
        <v>1502</v>
      </c>
      <c r="D343" s="106">
        <v>160</v>
      </c>
      <c r="E343" s="106">
        <v>-18</v>
      </c>
      <c r="F343" s="106">
        <v>-20</v>
      </c>
      <c r="G343" s="106">
        <v>30</v>
      </c>
      <c r="H343" s="106">
        <v>23</v>
      </c>
      <c r="I343" s="106">
        <v>3880</v>
      </c>
      <c r="J343" s="106">
        <v>25</v>
      </c>
      <c r="K343" s="106">
        <v>113</v>
      </c>
      <c r="L343" s="106">
        <v>720</v>
      </c>
      <c r="M343" s="106">
        <v>0.85</v>
      </c>
      <c r="N343" s="106">
        <v>800</v>
      </c>
      <c r="O343" s="106">
        <v>160</v>
      </c>
      <c r="P343" s="106">
        <v>1.1000000000000001</v>
      </c>
      <c r="Q343" s="106">
        <v>0.4</v>
      </c>
      <c r="R343" s="106">
        <v>0.34</v>
      </c>
      <c r="S343" s="662">
        <v>0.44</v>
      </c>
      <c r="T343" s="662">
        <v>93</v>
      </c>
    </row>
    <row r="344" spans="2:20">
      <c r="B344" s="663" t="s">
        <v>17</v>
      </c>
      <c r="C344" s="663" t="s">
        <v>1504</v>
      </c>
      <c r="D344" s="106">
        <v>335</v>
      </c>
      <c r="E344" s="106">
        <v>-18</v>
      </c>
      <c r="F344" s="106">
        <v>-20</v>
      </c>
      <c r="G344" s="106">
        <v>29</v>
      </c>
      <c r="H344" s="106">
        <v>23</v>
      </c>
      <c r="I344" s="106">
        <v>4100</v>
      </c>
      <c r="J344" s="106">
        <v>28</v>
      </c>
      <c r="K344" s="106">
        <v>113</v>
      </c>
      <c r="L344" s="106">
        <v>810</v>
      </c>
      <c r="M344" s="106">
        <v>0.94</v>
      </c>
      <c r="N344" s="106">
        <v>1050</v>
      </c>
      <c r="O344" s="106">
        <v>160</v>
      </c>
      <c r="P344" s="106">
        <v>2.4</v>
      </c>
      <c r="Q344" s="106">
        <v>0.4</v>
      </c>
      <c r="R344" s="106">
        <v>0.37</v>
      </c>
      <c r="S344" s="662">
        <v>0.48</v>
      </c>
      <c r="T344" s="662">
        <v>93</v>
      </c>
    </row>
    <row r="345" spans="2:20">
      <c r="B345" s="663" t="s">
        <v>17</v>
      </c>
      <c r="C345" s="664" t="s">
        <v>1506</v>
      </c>
      <c r="D345" s="583">
        <v>10</v>
      </c>
      <c r="E345" s="583">
        <v>-36</v>
      </c>
      <c r="F345" s="583">
        <v>-38</v>
      </c>
      <c r="G345" s="583">
        <v>28</v>
      </c>
      <c r="H345" s="583">
        <v>22</v>
      </c>
      <c r="I345" s="583">
        <v>6800</v>
      </c>
      <c r="J345" s="583">
        <v>18</v>
      </c>
      <c r="K345" s="583">
        <v>81</v>
      </c>
      <c r="L345" s="583">
        <v>500</v>
      </c>
      <c r="M345" s="583">
        <v>0.84</v>
      </c>
      <c r="N345" s="583">
        <v>700</v>
      </c>
      <c r="O345" s="583">
        <v>160</v>
      </c>
      <c r="P345" s="583">
        <v>2.7</v>
      </c>
      <c r="Q345" s="583">
        <v>0.3</v>
      </c>
      <c r="R345" s="583">
        <v>0.27</v>
      </c>
      <c r="S345" s="665">
        <v>0.35</v>
      </c>
      <c r="T345" s="665">
        <v>78</v>
      </c>
    </row>
    <row r="346" spans="2:20">
      <c r="B346" s="663" t="s">
        <v>17</v>
      </c>
      <c r="C346" s="663" t="s">
        <v>1507</v>
      </c>
      <c r="D346" s="106">
        <v>75</v>
      </c>
      <c r="E346" s="106">
        <v>-23</v>
      </c>
      <c r="F346" s="106">
        <v>-25</v>
      </c>
      <c r="G346" s="106">
        <v>30</v>
      </c>
      <c r="H346" s="106">
        <v>23</v>
      </c>
      <c r="I346" s="106">
        <v>4370</v>
      </c>
      <c r="J346" s="106">
        <v>25</v>
      </c>
      <c r="K346" s="106">
        <v>103</v>
      </c>
      <c r="L346" s="106">
        <v>800</v>
      </c>
      <c r="M346" s="106">
        <v>0.91</v>
      </c>
      <c r="N346" s="106">
        <v>950</v>
      </c>
      <c r="O346" s="106">
        <v>180</v>
      </c>
      <c r="P346" s="106">
        <v>2.2999999999999998</v>
      </c>
      <c r="Q346" s="106">
        <v>0.4</v>
      </c>
      <c r="R346" s="106">
        <v>0.32</v>
      </c>
      <c r="S346" s="662">
        <v>0.41</v>
      </c>
      <c r="T346" s="662">
        <v>84</v>
      </c>
    </row>
    <row r="347" spans="2:20">
      <c r="B347" s="663" t="s">
        <v>17</v>
      </c>
      <c r="C347" s="664" t="s">
        <v>1508</v>
      </c>
      <c r="D347" s="583">
        <v>420</v>
      </c>
      <c r="E347" s="583">
        <v>-21</v>
      </c>
      <c r="F347" s="583">
        <v>-24</v>
      </c>
      <c r="G347" s="583">
        <v>28</v>
      </c>
      <c r="H347" s="583">
        <v>22</v>
      </c>
      <c r="I347" s="583">
        <v>4700</v>
      </c>
      <c r="J347" s="583">
        <v>28</v>
      </c>
      <c r="K347" s="583">
        <v>103</v>
      </c>
      <c r="L347" s="583">
        <v>740</v>
      </c>
      <c r="M347" s="583">
        <v>0.87</v>
      </c>
      <c r="N347" s="583">
        <v>940</v>
      </c>
      <c r="O347" s="583">
        <v>140</v>
      </c>
      <c r="P347" s="583">
        <v>2.7</v>
      </c>
      <c r="Q347" s="583">
        <v>0.4</v>
      </c>
      <c r="R347" s="583">
        <v>0.32</v>
      </c>
      <c r="S347" s="665">
        <v>0.41</v>
      </c>
      <c r="T347" s="665">
        <v>84</v>
      </c>
    </row>
    <row r="348" spans="2:20">
      <c r="B348" s="663" t="s">
        <v>17</v>
      </c>
      <c r="C348" s="663" t="s">
        <v>1509</v>
      </c>
      <c r="D348" s="106">
        <v>325</v>
      </c>
      <c r="E348" s="106">
        <v>-36</v>
      </c>
      <c r="F348" s="106">
        <v>-38</v>
      </c>
      <c r="G348" s="106">
        <v>28</v>
      </c>
      <c r="H348" s="106">
        <v>21</v>
      </c>
      <c r="I348" s="106">
        <v>6500</v>
      </c>
      <c r="J348" s="106">
        <v>20</v>
      </c>
      <c r="K348" s="106">
        <v>86</v>
      </c>
      <c r="L348" s="106">
        <v>540</v>
      </c>
      <c r="M348" s="106">
        <v>0.76</v>
      </c>
      <c r="N348" s="106">
        <v>750</v>
      </c>
      <c r="O348" s="106">
        <v>100</v>
      </c>
      <c r="P348" s="106">
        <v>2.8</v>
      </c>
      <c r="Q348" s="106">
        <v>0.4</v>
      </c>
      <c r="R348" s="106">
        <v>0.23</v>
      </c>
      <c r="S348" s="662">
        <v>0.3</v>
      </c>
      <c r="T348" s="662">
        <v>69</v>
      </c>
    </row>
    <row r="349" spans="2:20">
      <c r="B349" s="663" t="s">
        <v>17</v>
      </c>
      <c r="C349" s="663" t="s">
        <v>1510</v>
      </c>
      <c r="D349" s="106">
        <v>180</v>
      </c>
      <c r="E349" s="106">
        <v>-15</v>
      </c>
      <c r="F349" s="106">
        <v>-17</v>
      </c>
      <c r="G349" s="106">
        <v>30</v>
      </c>
      <c r="H349" s="106">
        <v>24</v>
      </c>
      <c r="I349" s="106">
        <v>3600</v>
      </c>
      <c r="J349" s="106">
        <v>25</v>
      </c>
      <c r="K349" s="106">
        <v>108</v>
      </c>
      <c r="L349" s="106">
        <v>860</v>
      </c>
      <c r="M349" s="106">
        <v>0.98</v>
      </c>
      <c r="N349" s="106">
        <v>950</v>
      </c>
      <c r="O349" s="106">
        <v>140</v>
      </c>
      <c r="P349" s="106">
        <v>1.2</v>
      </c>
      <c r="Q349" s="106">
        <v>0.4</v>
      </c>
      <c r="R349" s="106">
        <v>0.37</v>
      </c>
      <c r="S349" s="662">
        <v>0.48</v>
      </c>
      <c r="T349" s="662">
        <v>91</v>
      </c>
    </row>
    <row r="350" spans="2:20">
      <c r="B350" s="663" t="s">
        <v>17</v>
      </c>
      <c r="C350" s="663" t="s">
        <v>1511</v>
      </c>
      <c r="D350" s="106">
        <v>90</v>
      </c>
      <c r="E350" s="106">
        <v>-22</v>
      </c>
      <c r="F350" s="106">
        <v>-24</v>
      </c>
      <c r="G350" s="106">
        <v>29</v>
      </c>
      <c r="H350" s="106">
        <v>23</v>
      </c>
      <c r="I350" s="106">
        <v>4140</v>
      </c>
      <c r="J350" s="106">
        <v>23</v>
      </c>
      <c r="K350" s="106">
        <v>92</v>
      </c>
      <c r="L350" s="106">
        <v>770</v>
      </c>
      <c r="M350" s="106">
        <v>0.9</v>
      </c>
      <c r="N350" s="106">
        <v>900</v>
      </c>
      <c r="O350" s="106">
        <v>160</v>
      </c>
      <c r="P350" s="106">
        <v>1.9</v>
      </c>
      <c r="Q350" s="106">
        <v>0.4</v>
      </c>
      <c r="R350" s="106">
        <v>0.33</v>
      </c>
      <c r="S350" s="662">
        <v>0.43</v>
      </c>
      <c r="T350" s="662">
        <v>86</v>
      </c>
    </row>
    <row r="351" spans="2:20">
      <c r="B351" s="663" t="s">
        <v>17</v>
      </c>
      <c r="C351" s="664" t="s">
        <v>1512</v>
      </c>
      <c r="D351" s="583">
        <v>180</v>
      </c>
      <c r="E351" s="583">
        <v>-32</v>
      </c>
      <c r="F351" s="583">
        <v>-35</v>
      </c>
      <c r="G351" s="583">
        <v>30</v>
      </c>
      <c r="H351" s="583">
        <v>22</v>
      </c>
      <c r="I351" s="583">
        <v>5570</v>
      </c>
      <c r="J351" s="583">
        <v>23</v>
      </c>
      <c r="K351" s="583">
        <v>92</v>
      </c>
      <c r="L351" s="583">
        <v>570</v>
      </c>
      <c r="M351" s="583">
        <v>0.75</v>
      </c>
      <c r="N351" s="583">
        <v>810</v>
      </c>
      <c r="O351" s="583">
        <v>100</v>
      </c>
      <c r="P351" s="583">
        <v>2.6</v>
      </c>
      <c r="Q351" s="583">
        <v>0.4</v>
      </c>
      <c r="R351" s="583">
        <v>0.33</v>
      </c>
      <c r="S351" s="665">
        <v>0.43</v>
      </c>
      <c r="T351" s="665">
        <v>86</v>
      </c>
    </row>
    <row r="352" spans="2:20">
      <c r="B352" s="663" t="s">
        <v>17</v>
      </c>
      <c r="C352" s="663" t="s">
        <v>1513</v>
      </c>
      <c r="D352" s="106">
        <v>115</v>
      </c>
      <c r="E352" s="106">
        <v>-20</v>
      </c>
      <c r="F352" s="106">
        <v>-22</v>
      </c>
      <c r="G352" s="106">
        <v>30</v>
      </c>
      <c r="H352" s="106">
        <v>23</v>
      </c>
      <c r="I352" s="106">
        <v>3990</v>
      </c>
      <c r="J352" s="106">
        <v>23</v>
      </c>
      <c r="K352" s="106">
        <v>86</v>
      </c>
      <c r="L352" s="106">
        <v>760</v>
      </c>
      <c r="M352" s="106">
        <v>0.9</v>
      </c>
      <c r="N352" s="106">
        <v>830</v>
      </c>
      <c r="O352" s="106">
        <v>160</v>
      </c>
      <c r="P352" s="106">
        <v>1.5</v>
      </c>
      <c r="Q352" s="106">
        <v>0.4</v>
      </c>
      <c r="R352" s="106">
        <v>0.37</v>
      </c>
      <c r="S352" s="662">
        <v>0.48</v>
      </c>
      <c r="T352" s="662">
        <v>103</v>
      </c>
    </row>
    <row r="353" spans="2:20">
      <c r="B353" s="663" t="s">
        <v>17</v>
      </c>
      <c r="C353" s="664" t="s">
        <v>1514</v>
      </c>
      <c r="D353" s="583">
        <v>185</v>
      </c>
      <c r="E353" s="583">
        <v>-22</v>
      </c>
      <c r="F353" s="583">
        <v>-24</v>
      </c>
      <c r="G353" s="583">
        <v>30</v>
      </c>
      <c r="H353" s="583">
        <v>23</v>
      </c>
      <c r="I353" s="583">
        <v>4260</v>
      </c>
      <c r="J353" s="583">
        <v>28</v>
      </c>
      <c r="K353" s="583">
        <v>108</v>
      </c>
      <c r="L353" s="583">
        <v>700</v>
      </c>
      <c r="M353" s="583">
        <v>0.81</v>
      </c>
      <c r="N353" s="583">
        <v>800</v>
      </c>
      <c r="O353" s="583">
        <v>140</v>
      </c>
      <c r="P353" s="583">
        <v>2</v>
      </c>
      <c r="Q353" s="583" t="s">
        <v>1633</v>
      </c>
      <c r="R353" s="583">
        <v>0.28999999999999998</v>
      </c>
      <c r="S353" s="665">
        <v>0.38</v>
      </c>
      <c r="T353" s="665">
        <v>81</v>
      </c>
    </row>
    <row r="354" spans="2:20">
      <c r="B354" s="663" t="s">
        <v>17</v>
      </c>
      <c r="C354" s="663" t="s">
        <v>1515</v>
      </c>
      <c r="D354" s="106">
        <v>210</v>
      </c>
      <c r="E354" s="106">
        <v>-16</v>
      </c>
      <c r="F354" s="106">
        <v>-18</v>
      </c>
      <c r="G354" s="106">
        <v>30</v>
      </c>
      <c r="H354" s="106">
        <v>23</v>
      </c>
      <c r="I354" s="106">
        <v>3600</v>
      </c>
      <c r="J354" s="106">
        <v>23</v>
      </c>
      <c r="K354" s="106">
        <v>96</v>
      </c>
      <c r="L354" s="106">
        <v>810</v>
      </c>
      <c r="M354" s="106">
        <v>0.94</v>
      </c>
      <c r="N354" s="106">
        <v>950</v>
      </c>
      <c r="O354" s="106">
        <v>160</v>
      </c>
      <c r="P354" s="106">
        <v>1.8</v>
      </c>
      <c r="Q354" s="106">
        <v>0.4</v>
      </c>
      <c r="R354" s="106">
        <v>0.33</v>
      </c>
      <c r="S354" s="662">
        <v>0.43</v>
      </c>
      <c r="T354" s="662">
        <v>86</v>
      </c>
    </row>
    <row r="355" spans="2:20">
      <c r="B355" s="663" t="s">
        <v>17</v>
      </c>
      <c r="C355" s="664" t="s">
        <v>1516</v>
      </c>
      <c r="D355" s="583">
        <v>210</v>
      </c>
      <c r="E355" s="583">
        <v>-28</v>
      </c>
      <c r="F355" s="583">
        <v>-30</v>
      </c>
      <c r="G355" s="583">
        <v>28</v>
      </c>
      <c r="H355" s="583">
        <v>22</v>
      </c>
      <c r="I355" s="583">
        <v>5150</v>
      </c>
      <c r="J355" s="583">
        <v>25</v>
      </c>
      <c r="K355" s="583">
        <v>95</v>
      </c>
      <c r="L355" s="583" t="s">
        <v>1637</v>
      </c>
      <c r="M355" s="583">
        <v>0.93</v>
      </c>
      <c r="N355" s="583">
        <v>975</v>
      </c>
      <c r="O355" s="583">
        <v>120</v>
      </c>
      <c r="P355" s="583">
        <v>2.2000000000000002</v>
      </c>
      <c r="Q355" s="583">
        <v>0.4</v>
      </c>
      <c r="R355" s="583">
        <v>0.27</v>
      </c>
      <c r="S355" s="665">
        <v>0.34</v>
      </c>
      <c r="T355" s="665">
        <v>77</v>
      </c>
    </row>
    <row r="356" spans="2:20">
      <c r="B356" s="663" t="s">
        <v>17</v>
      </c>
      <c r="C356" s="663" t="s">
        <v>1517</v>
      </c>
      <c r="D356" s="106">
        <v>175</v>
      </c>
      <c r="E356" s="106">
        <v>-20</v>
      </c>
      <c r="F356" s="106">
        <v>-22</v>
      </c>
      <c r="G356" s="106">
        <v>31</v>
      </c>
      <c r="H356" s="106">
        <v>24</v>
      </c>
      <c r="I356" s="106">
        <v>3760</v>
      </c>
      <c r="J356" s="106">
        <v>25</v>
      </c>
      <c r="K356" s="106">
        <v>108</v>
      </c>
      <c r="L356" s="106">
        <v>730</v>
      </c>
      <c r="M356" s="106">
        <v>0.82</v>
      </c>
      <c r="N356" s="106">
        <v>850</v>
      </c>
      <c r="O356" s="106">
        <v>150</v>
      </c>
      <c r="P356" s="106">
        <v>1.2</v>
      </c>
      <c r="Q356" s="106">
        <v>0.4</v>
      </c>
      <c r="R356" s="106">
        <v>0.34</v>
      </c>
      <c r="S356" s="662">
        <v>0.44</v>
      </c>
      <c r="T356" s="662">
        <v>96</v>
      </c>
    </row>
    <row r="357" spans="2:20">
      <c r="B357" s="663" t="s">
        <v>17</v>
      </c>
      <c r="C357" s="663" t="s">
        <v>1518</v>
      </c>
      <c r="D357" s="106">
        <v>225</v>
      </c>
      <c r="E357" s="106">
        <v>-24</v>
      </c>
      <c r="F357" s="106">
        <v>-26</v>
      </c>
      <c r="G357" s="106">
        <v>30</v>
      </c>
      <c r="H357" s="106">
        <v>23</v>
      </c>
      <c r="I357" s="106">
        <v>4320</v>
      </c>
      <c r="J357" s="106">
        <v>25</v>
      </c>
      <c r="K357" s="106">
        <v>92</v>
      </c>
      <c r="L357" s="106">
        <v>720</v>
      </c>
      <c r="M357" s="106">
        <v>0.84</v>
      </c>
      <c r="N357" s="106">
        <v>850</v>
      </c>
      <c r="O357" s="106">
        <v>120</v>
      </c>
      <c r="P357" s="106">
        <v>2.1</v>
      </c>
      <c r="Q357" s="106">
        <v>0.4</v>
      </c>
      <c r="R357" s="106">
        <v>0.32</v>
      </c>
      <c r="S357" s="662">
        <v>0.41</v>
      </c>
      <c r="T357" s="662">
        <v>84</v>
      </c>
    </row>
    <row r="358" spans="2:20">
      <c r="B358" s="663" t="s">
        <v>17</v>
      </c>
      <c r="C358" s="664" t="s">
        <v>1519</v>
      </c>
      <c r="D358" s="583">
        <v>90</v>
      </c>
      <c r="E358" s="583">
        <v>-18</v>
      </c>
      <c r="F358" s="583">
        <v>-20</v>
      </c>
      <c r="G358" s="583">
        <v>30</v>
      </c>
      <c r="H358" s="583">
        <v>23</v>
      </c>
      <c r="I358" s="583">
        <v>3760</v>
      </c>
      <c r="J358" s="583">
        <v>23</v>
      </c>
      <c r="K358" s="583">
        <v>97</v>
      </c>
      <c r="L358" s="583">
        <v>750</v>
      </c>
      <c r="M358" s="583">
        <v>0.9</v>
      </c>
      <c r="N358" s="583">
        <v>850</v>
      </c>
      <c r="O358" s="583">
        <v>160</v>
      </c>
      <c r="P358" s="583">
        <v>1.1000000000000001</v>
      </c>
      <c r="Q358" s="583">
        <v>0.4</v>
      </c>
      <c r="R358" s="583">
        <v>0.36</v>
      </c>
      <c r="S358" s="665">
        <v>0.47</v>
      </c>
      <c r="T358" s="665">
        <v>93</v>
      </c>
    </row>
    <row r="359" spans="2:20">
      <c r="B359" s="663" t="s">
        <v>17</v>
      </c>
      <c r="C359" s="663" t="s">
        <v>1520</v>
      </c>
      <c r="D359" s="106">
        <v>430</v>
      </c>
      <c r="E359" s="106">
        <v>-21</v>
      </c>
      <c r="F359" s="106">
        <v>-23</v>
      </c>
      <c r="G359" s="106">
        <v>29</v>
      </c>
      <c r="H359" s="106">
        <v>23</v>
      </c>
      <c r="I359" s="106">
        <v>4450</v>
      </c>
      <c r="J359" s="106">
        <v>28</v>
      </c>
      <c r="K359" s="106">
        <v>108</v>
      </c>
      <c r="L359" s="106">
        <v>730</v>
      </c>
      <c r="M359" s="106">
        <v>0.84</v>
      </c>
      <c r="N359" s="106">
        <v>875</v>
      </c>
      <c r="O359" s="106">
        <v>140</v>
      </c>
      <c r="P359" s="106">
        <v>2.2999999999999998</v>
      </c>
      <c r="Q359" s="106" t="s">
        <v>1633</v>
      </c>
      <c r="R359" s="106">
        <v>0.28000000000000003</v>
      </c>
      <c r="S359" s="662">
        <v>0.36</v>
      </c>
      <c r="T359" s="662">
        <v>78</v>
      </c>
    </row>
    <row r="360" spans="2:20">
      <c r="B360" s="663" t="s">
        <v>17</v>
      </c>
      <c r="C360" s="664" t="s">
        <v>1521</v>
      </c>
      <c r="D360" s="583">
        <v>230</v>
      </c>
      <c r="E360" s="583">
        <v>-25</v>
      </c>
      <c r="F360" s="583">
        <v>-27</v>
      </c>
      <c r="G360" s="583">
        <v>29</v>
      </c>
      <c r="H360" s="583">
        <v>23</v>
      </c>
      <c r="I360" s="583">
        <v>4260</v>
      </c>
      <c r="J360" s="583">
        <v>25</v>
      </c>
      <c r="K360" s="583">
        <v>103</v>
      </c>
      <c r="L360" s="583">
        <v>740</v>
      </c>
      <c r="M360" s="583">
        <v>0.88</v>
      </c>
      <c r="N360" s="583">
        <v>1000</v>
      </c>
      <c r="O360" s="583">
        <v>120</v>
      </c>
      <c r="P360" s="583">
        <v>2.4</v>
      </c>
      <c r="Q360" s="583">
        <v>0.4</v>
      </c>
      <c r="R360" s="583">
        <v>0.28000000000000003</v>
      </c>
      <c r="S360" s="665">
        <v>0.36</v>
      </c>
      <c r="T360" s="665">
        <v>78</v>
      </c>
    </row>
    <row r="361" spans="2:20">
      <c r="B361" s="663" t="s">
        <v>17</v>
      </c>
      <c r="C361" s="663" t="s">
        <v>1522</v>
      </c>
      <c r="D361" s="106">
        <v>110</v>
      </c>
      <c r="E361" s="106">
        <v>-19</v>
      </c>
      <c r="F361" s="106">
        <v>-21</v>
      </c>
      <c r="G361" s="106">
        <v>30</v>
      </c>
      <c r="H361" s="106">
        <v>23</v>
      </c>
      <c r="I361" s="106">
        <v>3860</v>
      </c>
      <c r="J361" s="106">
        <v>23</v>
      </c>
      <c r="K361" s="106">
        <v>86</v>
      </c>
      <c r="L361" s="106">
        <v>760</v>
      </c>
      <c r="M361" s="106">
        <v>0.9</v>
      </c>
      <c r="N361" s="106">
        <v>875</v>
      </c>
      <c r="O361" s="106">
        <v>160</v>
      </c>
      <c r="P361" s="106">
        <v>1.4</v>
      </c>
      <c r="Q361" s="106">
        <v>0.4</v>
      </c>
      <c r="R361" s="106">
        <v>0.37</v>
      </c>
      <c r="S361" s="662">
        <v>0.48</v>
      </c>
      <c r="T361" s="662">
        <v>100</v>
      </c>
    </row>
    <row r="362" spans="2:20">
      <c r="B362" s="663" t="s">
        <v>17</v>
      </c>
      <c r="C362" s="664" t="s">
        <v>1523</v>
      </c>
      <c r="D362" s="583">
        <v>98</v>
      </c>
      <c r="E362" s="583">
        <v>-25</v>
      </c>
      <c r="F362" s="583">
        <v>-27</v>
      </c>
      <c r="G362" s="583">
        <v>30</v>
      </c>
      <c r="H362" s="583">
        <v>23</v>
      </c>
      <c r="I362" s="583">
        <v>4500</v>
      </c>
      <c r="J362" s="583">
        <v>25</v>
      </c>
      <c r="K362" s="583">
        <v>92</v>
      </c>
      <c r="L362" s="583">
        <v>750</v>
      </c>
      <c r="M362" s="583">
        <v>0.84</v>
      </c>
      <c r="N362" s="583">
        <v>900</v>
      </c>
      <c r="O362" s="583">
        <v>160</v>
      </c>
      <c r="P362" s="583">
        <v>2.4</v>
      </c>
      <c r="Q362" s="583">
        <v>0.4</v>
      </c>
      <c r="R362" s="583">
        <v>0.32</v>
      </c>
      <c r="S362" s="665">
        <v>0.41</v>
      </c>
      <c r="T362" s="665">
        <v>84</v>
      </c>
    </row>
    <row r="363" spans="2:20">
      <c r="B363" s="663" t="s">
        <v>17</v>
      </c>
      <c r="C363" s="663" t="s">
        <v>1524</v>
      </c>
      <c r="D363" s="106">
        <v>215</v>
      </c>
      <c r="E363" s="106">
        <v>-19</v>
      </c>
      <c r="F363" s="106">
        <v>-21</v>
      </c>
      <c r="G363" s="106">
        <v>29</v>
      </c>
      <c r="H363" s="106">
        <v>22</v>
      </c>
      <c r="I363" s="106">
        <v>4030</v>
      </c>
      <c r="J363" s="106">
        <v>28</v>
      </c>
      <c r="K363" s="106">
        <v>113</v>
      </c>
      <c r="L363" s="106">
        <v>760</v>
      </c>
      <c r="M363" s="106">
        <v>0.9</v>
      </c>
      <c r="N363" s="106">
        <v>1075</v>
      </c>
      <c r="O363" s="106">
        <v>160</v>
      </c>
      <c r="P363" s="106">
        <v>2.8</v>
      </c>
      <c r="Q363" s="106">
        <v>0.4</v>
      </c>
      <c r="R363" s="106">
        <v>0.37</v>
      </c>
      <c r="S363" s="662">
        <v>0.48</v>
      </c>
      <c r="T363" s="662">
        <v>91</v>
      </c>
    </row>
    <row r="364" spans="2:20">
      <c r="B364" s="663" t="s">
        <v>17</v>
      </c>
      <c r="C364" s="664" t="s">
        <v>1525</v>
      </c>
      <c r="D364" s="583">
        <v>185</v>
      </c>
      <c r="E364" s="583">
        <v>-35</v>
      </c>
      <c r="F364" s="583">
        <v>-37</v>
      </c>
      <c r="G364" s="583">
        <v>28</v>
      </c>
      <c r="H364" s="583">
        <v>21</v>
      </c>
      <c r="I364" s="583">
        <v>6500</v>
      </c>
      <c r="J364" s="583">
        <v>20</v>
      </c>
      <c r="K364" s="583">
        <v>86</v>
      </c>
      <c r="L364" s="583">
        <v>540</v>
      </c>
      <c r="M364" s="583">
        <v>0.76</v>
      </c>
      <c r="N364" s="583">
        <v>825</v>
      </c>
      <c r="O364" s="583">
        <v>80</v>
      </c>
      <c r="P364" s="583">
        <v>2.7</v>
      </c>
      <c r="Q364" s="583">
        <v>0.4</v>
      </c>
      <c r="R364" s="583">
        <v>0.23</v>
      </c>
      <c r="S364" s="665">
        <v>0.3</v>
      </c>
      <c r="T364" s="665">
        <v>69</v>
      </c>
    </row>
    <row r="365" spans="2:20">
      <c r="B365" s="663" t="s">
        <v>17</v>
      </c>
      <c r="C365" s="663" t="s">
        <v>1526</v>
      </c>
      <c r="D365" s="106">
        <v>245</v>
      </c>
      <c r="E365" s="106">
        <v>-18</v>
      </c>
      <c r="F365" s="106">
        <v>-20</v>
      </c>
      <c r="G365" s="106">
        <v>30</v>
      </c>
      <c r="H365" s="106">
        <v>23</v>
      </c>
      <c r="I365" s="106">
        <v>4000</v>
      </c>
      <c r="J365" s="106">
        <v>23</v>
      </c>
      <c r="K365" s="106">
        <v>96</v>
      </c>
      <c r="L365" s="106">
        <v>790</v>
      </c>
      <c r="M365" s="106">
        <v>0.9</v>
      </c>
      <c r="N365" s="106">
        <v>925</v>
      </c>
      <c r="O365" s="106">
        <v>160</v>
      </c>
      <c r="P365" s="106">
        <v>1.4</v>
      </c>
      <c r="Q365" s="106">
        <v>0.4</v>
      </c>
      <c r="R365" s="106">
        <v>0.33</v>
      </c>
      <c r="S365" s="662">
        <v>0.42</v>
      </c>
      <c r="T365" s="662">
        <v>84</v>
      </c>
    </row>
    <row r="366" spans="2:20">
      <c r="B366" s="663" t="s">
        <v>17</v>
      </c>
      <c r="C366" s="664" t="s">
        <v>1527</v>
      </c>
      <c r="D366" s="583">
        <v>205</v>
      </c>
      <c r="E366" s="583">
        <v>-16</v>
      </c>
      <c r="F366" s="583">
        <v>-18</v>
      </c>
      <c r="G366" s="583">
        <v>31</v>
      </c>
      <c r="H366" s="583">
        <v>23</v>
      </c>
      <c r="I366" s="583">
        <v>3800</v>
      </c>
      <c r="J366" s="583">
        <v>25</v>
      </c>
      <c r="K366" s="583">
        <v>103</v>
      </c>
      <c r="L366" s="583">
        <v>800</v>
      </c>
      <c r="M366" s="583">
        <v>0.93</v>
      </c>
      <c r="N366" s="583">
        <v>925</v>
      </c>
      <c r="O366" s="583">
        <v>180</v>
      </c>
      <c r="P366" s="583">
        <v>2.1</v>
      </c>
      <c r="Q366" s="583">
        <v>0.4</v>
      </c>
      <c r="R366" s="583">
        <v>0.39</v>
      </c>
      <c r="S366" s="665">
        <v>0.5</v>
      </c>
      <c r="T366" s="665">
        <v>98</v>
      </c>
    </row>
    <row r="367" spans="2:20">
      <c r="B367" s="663" t="s">
        <v>17</v>
      </c>
      <c r="C367" s="663" t="s">
        <v>1528</v>
      </c>
      <c r="D367" s="106">
        <v>215</v>
      </c>
      <c r="E367" s="106">
        <v>-24</v>
      </c>
      <c r="F367" s="106">
        <v>-26</v>
      </c>
      <c r="G367" s="106">
        <v>28</v>
      </c>
      <c r="H367" s="106">
        <v>22</v>
      </c>
      <c r="I367" s="106">
        <v>4640</v>
      </c>
      <c r="J367" s="106">
        <v>23</v>
      </c>
      <c r="K367" s="106">
        <v>97</v>
      </c>
      <c r="L367" s="106">
        <v>820</v>
      </c>
      <c r="M367" s="106">
        <v>0.95</v>
      </c>
      <c r="N367" s="106">
        <v>1050</v>
      </c>
      <c r="O367" s="106">
        <v>160</v>
      </c>
      <c r="P367" s="106">
        <v>2.8</v>
      </c>
      <c r="Q367" s="106">
        <v>0.4</v>
      </c>
      <c r="R367" s="106">
        <v>0.3</v>
      </c>
      <c r="S367" s="662">
        <v>0.39</v>
      </c>
      <c r="T367" s="662">
        <v>81</v>
      </c>
    </row>
    <row r="368" spans="2:20">
      <c r="B368" s="663" t="s">
        <v>17</v>
      </c>
      <c r="C368" s="664" t="s">
        <v>1529</v>
      </c>
      <c r="D368" s="583">
        <v>230</v>
      </c>
      <c r="E368" s="583">
        <v>-15</v>
      </c>
      <c r="F368" s="583">
        <v>-17</v>
      </c>
      <c r="G368" s="583">
        <v>30</v>
      </c>
      <c r="H368" s="583">
        <v>23</v>
      </c>
      <c r="I368" s="583">
        <v>3690</v>
      </c>
      <c r="J368" s="583">
        <v>23</v>
      </c>
      <c r="K368" s="583">
        <v>96</v>
      </c>
      <c r="L368" s="583">
        <v>820</v>
      </c>
      <c r="M368" s="583">
        <v>0.94</v>
      </c>
      <c r="N368" s="583">
        <v>950</v>
      </c>
      <c r="O368" s="583">
        <v>160</v>
      </c>
      <c r="P368" s="583">
        <v>2.1</v>
      </c>
      <c r="Q368" s="583">
        <v>0.4</v>
      </c>
      <c r="R368" s="583">
        <v>0.33</v>
      </c>
      <c r="S368" s="665">
        <v>0.42</v>
      </c>
      <c r="T368" s="665">
        <v>86</v>
      </c>
    </row>
    <row r="369" spans="2:20">
      <c r="B369" s="663" t="s">
        <v>17</v>
      </c>
      <c r="C369" s="663" t="s">
        <v>1530</v>
      </c>
      <c r="D369" s="106">
        <v>125</v>
      </c>
      <c r="E369" s="106">
        <v>-28</v>
      </c>
      <c r="F369" s="106">
        <v>-31</v>
      </c>
      <c r="G369" s="106">
        <v>30</v>
      </c>
      <c r="H369" s="106">
        <v>23</v>
      </c>
      <c r="I369" s="106">
        <v>4980</v>
      </c>
      <c r="J369" s="106">
        <v>23</v>
      </c>
      <c r="K369" s="106">
        <v>105</v>
      </c>
      <c r="L369" s="106">
        <v>640</v>
      </c>
      <c r="M369" s="106">
        <v>0.8</v>
      </c>
      <c r="N369" s="106">
        <v>825</v>
      </c>
      <c r="O369" s="106">
        <v>100</v>
      </c>
      <c r="P369" s="106">
        <v>2.5</v>
      </c>
      <c r="Q369" s="106">
        <v>0.4</v>
      </c>
      <c r="R369" s="106">
        <v>0.27</v>
      </c>
      <c r="S369" s="662">
        <v>0.35</v>
      </c>
      <c r="T369" s="662">
        <v>78</v>
      </c>
    </row>
    <row r="370" spans="2:20">
      <c r="B370" s="663" t="s">
        <v>17</v>
      </c>
      <c r="C370" s="664" t="s">
        <v>1531</v>
      </c>
      <c r="D370" s="583">
        <v>220</v>
      </c>
      <c r="E370" s="583">
        <v>-24</v>
      </c>
      <c r="F370" s="583">
        <v>-26</v>
      </c>
      <c r="G370" s="583">
        <v>29</v>
      </c>
      <c r="H370" s="583">
        <v>23</v>
      </c>
      <c r="I370" s="583">
        <v>4200</v>
      </c>
      <c r="J370" s="583">
        <v>25</v>
      </c>
      <c r="K370" s="583">
        <v>97</v>
      </c>
      <c r="L370" s="583">
        <v>720</v>
      </c>
      <c r="M370" s="583">
        <v>0.87</v>
      </c>
      <c r="N370" s="583">
        <v>1050</v>
      </c>
      <c r="O370" s="583">
        <v>160</v>
      </c>
      <c r="P370" s="583">
        <v>2.8</v>
      </c>
      <c r="Q370" s="583">
        <v>0.4</v>
      </c>
      <c r="R370" s="583">
        <v>0.3</v>
      </c>
      <c r="S370" s="665">
        <v>0.39</v>
      </c>
      <c r="T370" s="665">
        <v>81</v>
      </c>
    </row>
    <row r="371" spans="2:20">
      <c r="B371" s="663" t="s">
        <v>17</v>
      </c>
      <c r="C371" s="663" t="s">
        <v>1532</v>
      </c>
      <c r="D371" s="106">
        <v>130</v>
      </c>
      <c r="E371" s="106">
        <v>-25</v>
      </c>
      <c r="F371" s="106">
        <v>-27</v>
      </c>
      <c r="G371" s="106">
        <v>30</v>
      </c>
      <c r="H371" s="106">
        <v>23</v>
      </c>
      <c r="I371" s="106">
        <v>4540</v>
      </c>
      <c r="J371" s="106">
        <v>25</v>
      </c>
      <c r="K371" s="106">
        <v>92</v>
      </c>
      <c r="L371" s="106">
        <v>730</v>
      </c>
      <c r="M371" s="106">
        <v>0.84</v>
      </c>
      <c r="N371" s="106">
        <v>900</v>
      </c>
      <c r="O371" s="106">
        <v>140</v>
      </c>
      <c r="P371" s="106">
        <v>2.2999999999999998</v>
      </c>
      <c r="Q371" s="106">
        <v>0.4</v>
      </c>
      <c r="R371" s="106">
        <v>0.32</v>
      </c>
      <c r="S371" s="662">
        <v>0.41</v>
      </c>
      <c r="T371" s="662">
        <v>84</v>
      </c>
    </row>
    <row r="372" spans="2:20">
      <c r="B372" s="663" t="s">
        <v>17</v>
      </c>
      <c r="C372" s="664" t="s">
        <v>1533</v>
      </c>
      <c r="D372" s="583">
        <v>135</v>
      </c>
      <c r="E372" s="583">
        <v>-29</v>
      </c>
      <c r="F372" s="583">
        <v>-31</v>
      </c>
      <c r="G372" s="583">
        <v>30</v>
      </c>
      <c r="H372" s="583">
        <v>23</v>
      </c>
      <c r="I372" s="583">
        <v>4980</v>
      </c>
      <c r="J372" s="583">
        <v>23</v>
      </c>
      <c r="K372" s="583">
        <v>92</v>
      </c>
      <c r="L372" s="583">
        <v>640</v>
      </c>
      <c r="M372" s="583">
        <v>0.8</v>
      </c>
      <c r="N372" s="583">
        <v>825</v>
      </c>
      <c r="O372" s="583">
        <v>100</v>
      </c>
      <c r="P372" s="583">
        <v>2.6</v>
      </c>
      <c r="Q372" s="583">
        <v>0.4</v>
      </c>
      <c r="R372" s="583">
        <v>0.27</v>
      </c>
      <c r="S372" s="665">
        <v>0.35</v>
      </c>
      <c r="T372" s="665">
        <v>78</v>
      </c>
    </row>
    <row r="373" spans="2:20">
      <c r="B373" s="663" t="s">
        <v>17</v>
      </c>
      <c r="C373" s="663" t="s">
        <v>1534</v>
      </c>
      <c r="D373" s="106">
        <v>200</v>
      </c>
      <c r="E373" s="106">
        <v>-23</v>
      </c>
      <c r="F373" s="106">
        <v>-25</v>
      </c>
      <c r="G373" s="106">
        <v>30</v>
      </c>
      <c r="H373" s="106">
        <v>23</v>
      </c>
      <c r="I373" s="106">
        <v>4400</v>
      </c>
      <c r="J373" s="106">
        <v>25</v>
      </c>
      <c r="K373" s="106">
        <v>92</v>
      </c>
      <c r="L373" s="106">
        <v>710</v>
      </c>
      <c r="M373" s="106">
        <v>0.83</v>
      </c>
      <c r="N373" s="106">
        <v>840</v>
      </c>
      <c r="O373" s="106">
        <v>140</v>
      </c>
      <c r="P373" s="106">
        <v>2</v>
      </c>
      <c r="Q373" s="106">
        <v>0.4</v>
      </c>
      <c r="R373" s="106">
        <v>0.32</v>
      </c>
      <c r="S373" s="662">
        <v>0.41</v>
      </c>
      <c r="T373" s="662">
        <v>84</v>
      </c>
    </row>
    <row r="374" spans="2:20">
      <c r="B374" s="663" t="s">
        <v>17</v>
      </c>
      <c r="C374" s="664" t="s">
        <v>1535</v>
      </c>
      <c r="D374" s="583">
        <v>195</v>
      </c>
      <c r="E374" s="583">
        <v>-16</v>
      </c>
      <c r="F374" s="583">
        <v>-18</v>
      </c>
      <c r="G374" s="583">
        <v>31</v>
      </c>
      <c r="H374" s="583">
        <v>24</v>
      </c>
      <c r="I374" s="583">
        <v>3640</v>
      </c>
      <c r="J374" s="583">
        <v>25</v>
      </c>
      <c r="K374" s="583">
        <v>108</v>
      </c>
      <c r="L374" s="583">
        <v>810</v>
      </c>
      <c r="M374" s="583">
        <v>0.89</v>
      </c>
      <c r="N374" s="583">
        <v>920</v>
      </c>
      <c r="O374" s="583">
        <v>180</v>
      </c>
      <c r="P374" s="583">
        <v>1.3</v>
      </c>
      <c r="Q374" s="583">
        <v>0.4</v>
      </c>
      <c r="R374" s="583">
        <v>0.36</v>
      </c>
      <c r="S374" s="665">
        <v>0.47</v>
      </c>
      <c r="T374" s="665">
        <v>91</v>
      </c>
    </row>
    <row r="375" spans="2:20">
      <c r="B375" s="663" t="s">
        <v>17</v>
      </c>
      <c r="C375" s="663" t="s">
        <v>1536</v>
      </c>
      <c r="D375" s="106">
        <v>85</v>
      </c>
      <c r="E375" s="106">
        <v>-19</v>
      </c>
      <c r="F375" s="106">
        <v>-21</v>
      </c>
      <c r="G375" s="106">
        <v>30</v>
      </c>
      <c r="H375" s="106">
        <v>23</v>
      </c>
      <c r="I375" s="106">
        <v>3800</v>
      </c>
      <c r="J375" s="106">
        <v>23</v>
      </c>
      <c r="K375" s="106">
        <v>92</v>
      </c>
      <c r="L375" s="106">
        <v>730</v>
      </c>
      <c r="M375" s="106">
        <v>0.88</v>
      </c>
      <c r="N375" s="106">
        <v>825</v>
      </c>
      <c r="O375" s="106">
        <v>140</v>
      </c>
      <c r="P375" s="106">
        <v>1</v>
      </c>
      <c r="Q375" s="106">
        <v>0.4</v>
      </c>
      <c r="R375" s="106">
        <v>0.37</v>
      </c>
      <c r="S375" s="662">
        <v>0.48</v>
      </c>
      <c r="T375" s="662">
        <v>100</v>
      </c>
    </row>
    <row r="376" spans="2:20">
      <c r="B376" s="663" t="s">
        <v>17</v>
      </c>
      <c r="C376" s="663" t="s">
        <v>1537</v>
      </c>
      <c r="D376" s="106">
        <v>95</v>
      </c>
      <c r="E376" s="106">
        <v>-21</v>
      </c>
      <c r="F376" s="106">
        <v>-23</v>
      </c>
      <c r="G376" s="106">
        <v>29</v>
      </c>
      <c r="H376" s="106">
        <v>23</v>
      </c>
      <c r="I376" s="106">
        <v>3980</v>
      </c>
      <c r="J376" s="106">
        <v>23</v>
      </c>
      <c r="K376" s="106">
        <v>92</v>
      </c>
      <c r="L376" s="106">
        <v>770</v>
      </c>
      <c r="M376" s="106">
        <v>0.91</v>
      </c>
      <c r="N376" s="106">
        <v>940</v>
      </c>
      <c r="O376" s="106">
        <v>160</v>
      </c>
      <c r="P376" s="106">
        <v>2</v>
      </c>
      <c r="Q376" s="106">
        <v>0.4</v>
      </c>
      <c r="R376" s="106">
        <v>0.38</v>
      </c>
      <c r="S376" s="662">
        <v>0.49</v>
      </c>
      <c r="T376" s="662">
        <v>93</v>
      </c>
    </row>
    <row r="377" spans="2:20">
      <c r="B377" s="663" t="s">
        <v>17</v>
      </c>
      <c r="C377" s="664" t="s">
        <v>1538</v>
      </c>
      <c r="D377" s="583">
        <v>300</v>
      </c>
      <c r="E377" s="583">
        <v>-19</v>
      </c>
      <c r="F377" s="583">
        <v>-21</v>
      </c>
      <c r="G377" s="583">
        <v>29</v>
      </c>
      <c r="H377" s="583">
        <v>23</v>
      </c>
      <c r="I377" s="583">
        <v>4150</v>
      </c>
      <c r="J377" s="583">
        <v>28</v>
      </c>
      <c r="K377" s="583">
        <v>103</v>
      </c>
      <c r="L377" s="583">
        <v>820</v>
      </c>
      <c r="M377" s="583">
        <v>0.93</v>
      </c>
      <c r="N377" s="583">
        <v>950</v>
      </c>
      <c r="O377" s="583">
        <v>140</v>
      </c>
      <c r="P377" s="583">
        <v>1.9</v>
      </c>
      <c r="Q377" s="583">
        <v>0.4</v>
      </c>
      <c r="R377" s="583">
        <v>0.33</v>
      </c>
      <c r="S377" s="665">
        <v>0.42</v>
      </c>
      <c r="T377" s="665">
        <v>84</v>
      </c>
    </row>
    <row r="378" spans="2:20">
      <c r="B378" s="663" t="s">
        <v>17</v>
      </c>
      <c r="C378" s="663" t="s">
        <v>1539</v>
      </c>
      <c r="D378" s="106">
        <v>150</v>
      </c>
      <c r="E378" s="106">
        <v>-29</v>
      </c>
      <c r="F378" s="106">
        <v>-32</v>
      </c>
      <c r="G378" s="106">
        <v>30</v>
      </c>
      <c r="H378" s="106">
        <v>22</v>
      </c>
      <c r="I378" s="106">
        <v>4960</v>
      </c>
      <c r="J378" s="106">
        <v>23</v>
      </c>
      <c r="K378" s="106">
        <v>92</v>
      </c>
      <c r="L378" s="106">
        <v>650</v>
      </c>
      <c r="M378" s="106">
        <v>0.82</v>
      </c>
      <c r="N378" s="106">
        <v>850</v>
      </c>
      <c r="O378" s="106">
        <v>100</v>
      </c>
      <c r="P378" s="106">
        <v>2.5</v>
      </c>
      <c r="Q378" s="106">
        <v>0.4</v>
      </c>
      <c r="R378" s="106">
        <v>0.27</v>
      </c>
      <c r="S378" s="662">
        <v>0.35</v>
      </c>
      <c r="T378" s="662">
        <v>78</v>
      </c>
    </row>
    <row r="379" spans="2:20">
      <c r="B379" s="663" t="s">
        <v>17</v>
      </c>
      <c r="C379" s="663" t="s">
        <v>1540</v>
      </c>
      <c r="D379" s="106">
        <v>295</v>
      </c>
      <c r="E379" s="106">
        <v>-34</v>
      </c>
      <c r="F379" s="106">
        <v>-36</v>
      </c>
      <c r="G379" s="106">
        <v>29</v>
      </c>
      <c r="H379" s="106">
        <v>21</v>
      </c>
      <c r="I379" s="106">
        <v>6000</v>
      </c>
      <c r="J379" s="106">
        <v>20</v>
      </c>
      <c r="K379" s="106">
        <v>103</v>
      </c>
      <c r="L379" s="106">
        <v>560</v>
      </c>
      <c r="M379" s="106">
        <v>0.75</v>
      </c>
      <c r="N379" s="106">
        <v>875</v>
      </c>
      <c r="O379" s="106">
        <v>100</v>
      </c>
      <c r="P379" s="106">
        <v>2.9</v>
      </c>
      <c r="Q379" s="106">
        <v>0.3</v>
      </c>
      <c r="R379" s="106">
        <v>0.28999999999999998</v>
      </c>
      <c r="S379" s="662">
        <v>0.37</v>
      </c>
      <c r="T379" s="662">
        <v>81</v>
      </c>
    </row>
    <row r="380" spans="2:20">
      <c r="B380" s="663" t="s">
        <v>17</v>
      </c>
      <c r="C380" s="664" t="s">
        <v>1541</v>
      </c>
      <c r="D380" s="583">
        <v>195</v>
      </c>
      <c r="E380" s="583">
        <v>-15</v>
      </c>
      <c r="F380" s="583">
        <v>-17</v>
      </c>
      <c r="G380" s="583">
        <v>30</v>
      </c>
      <c r="H380" s="583">
        <v>24</v>
      </c>
      <c r="I380" s="583">
        <v>3800</v>
      </c>
      <c r="J380" s="583">
        <v>25</v>
      </c>
      <c r="K380" s="583">
        <v>92</v>
      </c>
      <c r="L380" s="583">
        <v>930</v>
      </c>
      <c r="M380" s="583">
        <v>1.05</v>
      </c>
      <c r="N380" s="583">
        <v>1000</v>
      </c>
      <c r="O380" s="583">
        <v>180</v>
      </c>
      <c r="P380" s="583">
        <v>1.2</v>
      </c>
      <c r="Q380" s="583">
        <v>0.4</v>
      </c>
      <c r="R380" s="583">
        <v>0.36</v>
      </c>
      <c r="S380" s="665">
        <v>0.47</v>
      </c>
      <c r="T380" s="665">
        <v>91</v>
      </c>
    </row>
    <row r="381" spans="2:20">
      <c r="B381" s="663" t="s">
        <v>17</v>
      </c>
      <c r="C381" s="663" t="s">
        <v>1542</v>
      </c>
      <c r="D381" s="106">
        <v>180</v>
      </c>
      <c r="E381" s="106">
        <v>-15</v>
      </c>
      <c r="F381" s="106">
        <v>-17</v>
      </c>
      <c r="G381" s="106">
        <v>30</v>
      </c>
      <c r="H381" s="106">
        <v>24</v>
      </c>
      <c r="I381" s="106">
        <v>3600</v>
      </c>
      <c r="J381" s="106">
        <v>23</v>
      </c>
      <c r="K381" s="106">
        <v>108</v>
      </c>
      <c r="L381" s="106">
        <v>850</v>
      </c>
      <c r="M381" s="106">
        <v>0.97</v>
      </c>
      <c r="N381" s="106">
        <v>1000</v>
      </c>
      <c r="O381" s="106">
        <v>160</v>
      </c>
      <c r="P381" s="106">
        <v>2.1</v>
      </c>
      <c r="Q381" s="106">
        <v>0.4</v>
      </c>
      <c r="R381" s="106">
        <v>0.36</v>
      </c>
      <c r="S381" s="662">
        <v>0.46</v>
      </c>
      <c r="T381" s="662">
        <v>91</v>
      </c>
    </row>
    <row r="382" spans="2:20">
      <c r="B382" s="663" t="s">
        <v>17</v>
      </c>
      <c r="C382" s="664" t="s">
        <v>1543</v>
      </c>
      <c r="D382" s="583">
        <v>205</v>
      </c>
      <c r="E382" s="583">
        <v>-17</v>
      </c>
      <c r="F382" s="583">
        <v>-19</v>
      </c>
      <c r="G382" s="583">
        <v>28</v>
      </c>
      <c r="H382" s="583">
        <v>22</v>
      </c>
      <c r="I382" s="583">
        <v>4100</v>
      </c>
      <c r="J382" s="583">
        <v>25</v>
      </c>
      <c r="K382" s="583">
        <v>92</v>
      </c>
      <c r="L382" s="583">
        <v>790</v>
      </c>
      <c r="M382" s="583">
        <v>0.94</v>
      </c>
      <c r="N382" s="583">
        <v>850</v>
      </c>
      <c r="O382" s="583">
        <v>180</v>
      </c>
      <c r="P382" s="583">
        <v>2.8</v>
      </c>
      <c r="Q382" s="583">
        <v>0.4</v>
      </c>
      <c r="R382" s="583">
        <v>0.43</v>
      </c>
      <c r="S382" s="665">
        <v>0.55000000000000004</v>
      </c>
      <c r="T382" s="665">
        <v>98</v>
      </c>
    </row>
    <row r="383" spans="2:20">
      <c r="B383" s="663" t="s">
        <v>17</v>
      </c>
      <c r="C383" s="663" t="s">
        <v>1544</v>
      </c>
      <c r="D383" s="106">
        <v>100</v>
      </c>
      <c r="E383" s="106">
        <v>-21</v>
      </c>
      <c r="F383" s="106">
        <v>-23</v>
      </c>
      <c r="G383" s="106">
        <v>29</v>
      </c>
      <c r="H383" s="106">
        <v>23</v>
      </c>
      <c r="I383" s="106">
        <v>3970</v>
      </c>
      <c r="J383" s="106">
        <v>23</v>
      </c>
      <c r="K383" s="106">
        <v>94</v>
      </c>
      <c r="L383" s="106">
        <v>760</v>
      </c>
      <c r="M383" s="106">
        <v>0.9</v>
      </c>
      <c r="N383" s="106">
        <v>825</v>
      </c>
      <c r="O383" s="106">
        <v>180</v>
      </c>
      <c r="P383" s="106">
        <v>1.2</v>
      </c>
      <c r="Q383" s="106">
        <v>0.4</v>
      </c>
      <c r="R383" s="106">
        <v>0.37</v>
      </c>
      <c r="S383" s="662">
        <v>0.48</v>
      </c>
      <c r="T383" s="662">
        <v>103</v>
      </c>
    </row>
    <row r="384" spans="2:20">
      <c r="B384" s="663" t="s">
        <v>17</v>
      </c>
      <c r="C384" s="664" t="s">
        <v>1545</v>
      </c>
      <c r="D384" s="583">
        <v>270</v>
      </c>
      <c r="E384" s="583">
        <v>-22</v>
      </c>
      <c r="F384" s="583">
        <v>-24</v>
      </c>
      <c r="G384" s="583">
        <v>30</v>
      </c>
      <c r="H384" s="583">
        <v>23</v>
      </c>
      <c r="I384" s="583">
        <v>4260</v>
      </c>
      <c r="J384" s="583">
        <v>25</v>
      </c>
      <c r="K384" s="583">
        <v>97</v>
      </c>
      <c r="L384" s="583">
        <v>720</v>
      </c>
      <c r="M384" s="583">
        <v>0.84</v>
      </c>
      <c r="N384" s="583">
        <v>850</v>
      </c>
      <c r="O384" s="583">
        <v>140</v>
      </c>
      <c r="P384" s="583">
        <v>2.4</v>
      </c>
      <c r="Q384" s="583">
        <v>0.4</v>
      </c>
      <c r="R384" s="583">
        <v>0.34</v>
      </c>
      <c r="S384" s="665">
        <v>0.44</v>
      </c>
      <c r="T384" s="665">
        <v>86</v>
      </c>
    </row>
    <row r="385" spans="2:20">
      <c r="B385" s="663" t="s">
        <v>17</v>
      </c>
      <c r="C385" s="663" t="s">
        <v>1546</v>
      </c>
      <c r="D385" s="106">
        <v>180</v>
      </c>
      <c r="E385" s="106">
        <v>-15</v>
      </c>
      <c r="F385" s="106">
        <v>-17</v>
      </c>
      <c r="G385" s="106">
        <v>31</v>
      </c>
      <c r="H385" s="106">
        <v>24</v>
      </c>
      <c r="I385" s="106">
        <v>3850</v>
      </c>
      <c r="J385" s="106">
        <v>25</v>
      </c>
      <c r="K385" s="106">
        <v>92</v>
      </c>
      <c r="L385" s="106">
        <v>940</v>
      </c>
      <c r="M385" s="106">
        <v>1.05</v>
      </c>
      <c r="N385" s="106">
        <v>975</v>
      </c>
      <c r="O385" s="106">
        <v>180</v>
      </c>
      <c r="P385" s="106">
        <v>1.2</v>
      </c>
      <c r="Q385" s="106">
        <v>0.4</v>
      </c>
      <c r="R385" s="106">
        <v>0.36</v>
      </c>
      <c r="S385" s="662">
        <v>0.47</v>
      </c>
      <c r="T385" s="662">
        <v>91</v>
      </c>
    </row>
    <row r="386" spans="2:20">
      <c r="B386" s="663" t="s">
        <v>17</v>
      </c>
      <c r="C386" s="664" t="s">
        <v>1547</v>
      </c>
      <c r="D386" s="583">
        <v>90</v>
      </c>
      <c r="E386" s="583">
        <v>-23</v>
      </c>
      <c r="F386" s="583">
        <v>-25</v>
      </c>
      <c r="G386" s="583">
        <v>29</v>
      </c>
      <c r="H386" s="583">
        <v>23</v>
      </c>
      <c r="I386" s="583">
        <v>4120</v>
      </c>
      <c r="J386" s="583">
        <v>25</v>
      </c>
      <c r="K386" s="583">
        <v>103</v>
      </c>
      <c r="L386" s="583">
        <v>770</v>
      </c>
      <c r="M386" s="583">
        <v>0.88</v>
      </c>
      <c r="N386" s="583">
        <v>975</v>
      </c>
      <c r="O386" s="583">
        <v>180</v>
      </c>
      <c r="P386" s="583">
        <v>2.2000000000000002</v>
      </c>
      <c r="Q386" s="583">
        <v>0.4</v>
      </c>
      <c r="R386" s="583">
        <v>0.34</v>
      </c>
      <c r="S386" s="665">
        <v>0.44</v>
      </c>
      <c r="T386" s="665">
        <v>86</v>
      </c>
    </row>
    <row r="387" spans="2:20">
      <c r="B387" s="663" t="s">
        <v>17</v>
      </c>
      <c r="C387" s="663" t="s">
        <v>1381</v>
      </c>
      <c r="D387" s="106">
        <v>280</v>
      </c>
      <c r="E387" s="106">
        <v>-18</v>
      </c>
      <c r="F387" s="106">
        <v>-20</v>
      </c>
      <c r="G387" s="106">
        <v>30</v>
      </c>
      <c r="H387" s="106">
        <v>23</v>
      </c>
      <c r="I387" s="106">
        <v>4000</v>
      </c>
      <c r="J387" s="106">
        <v>25</v>
      </c>
      <c r="K387" s="106">
        <v>97</v>
      </c>
      <c r="L387" s="106">
        <v>810</v>
      </c>
      <c r="M387" s="106">
        <v>0.92</v>
      </c>
      <c r="N387" s="106">
        <v>925</v>
      </c>
      <c r="O387" s="106">
        <v>160</v>
      </c>
      <c r="P387" s="106">
        <v>1.5</v>
      </c>
      <c r="Q387" s="106">
        <v>0.4</v>
      </c>
      <c r="R387" s="106">
        <v>0.33</v>
      </c>
      <c r="S387" s="662">
        <v>0.42</v>
      </c>
      <c r="T387" s="662">
        <v>78</v>
      </c>
    </row>
    <row r="388" spans="2:20">
      <c r="B388" s="663" t="s">
        <v>17</v>
      </c>
      <c r="C388" s="664" t="s">
        <v>1548</v>
      </c>
      <c r="D388" s="583">
        <v>475</v>
      </c>
      <c r="E388" s="583">
        <v>-34</v>
      </c>
      <c r="F388" s="583">
        <v>-37</v>
      </c>
      <c r="G388" s="583">
        <v>28</v>
      </c>
      <c r="H388" s="583">
        <v>22</v>
      </c>
      <c r="I388" s="583">
        <v>5900</v>
      </c>
      <c r="J388" s="583">
        <v>23</v>
      </c>
      <c r="K388" s="583">
        <v>97</v>
      </c>
      <c r="L388" s="583">
        <v>570</v>
      </c>
      <c r="M388" s="583">
        <v>0.75</v>
      </c>
      <c r="N388" s="583">
        <v>750</v>
      </c>
      <c r="O388" s="583">
        <v>120</v>
      </c>
      <c r="P388" s="583">
        <v>2.7</v>
      </c>
      <c r="Q388" s="583">
        <v>0.4</v>
      </c>
      <c r="R388" s="583">
        <v>0.23</v>
      </c>
      <c r="S388" s="665">
        <v>0.3</v>
      </c>
      <c r="T388" s="665">
        <v>69</v>
      </c>
    </row>
    <row r="389" spans="2:20">
      <c r="B389" s="663" t="s">
        <v>17</v>
      </c>
      <c r="C389" s="663" t="s">
        <v>1549</v>
      </c>
      <c r="D389" s="106">
        <v>270</v>
      </c>
      <c r="E389" s="106">
        <v>-28</v>
      </c>
      <c r="F389" s="106">
        <v>-30</v>
      </c>
      <c r="G389" s="106">
        <v>29</v>
      </c>
      <c r="H389" s="106">
        <v>21</v>
      </c>
      <c r="I389" s="106">
        <v>5200</v>
      </c>
      <c r="J389" s="106">
        <v>25</v>
      </c>
      <c r="K389" s="106">
        <v>92</v>
      </c>
      <c r="L389" s="106">
        <v>650</v>
      </c>
      <c r="M389" s="106">
        <v>0.8</v>
      </c>
      <c r="N389" s="106">
        <v>850</v>
      </c>
      <c r="O389" s="106">
        <v>180</v>
      </c>
      <c r="P389" s="106">
        <v>2.5</v>
      </c>
      <c r="Q389" s="106">
        <v>0.4</v>
      </c>
      <c r="R389" s="106">
        <v>0.35</v>
      </c>
      <c r="S389" s="662">
        <v>0.45</v>
      </c>
      <c r="T389" s="662">
        <v>86</v>
      </c>
    </row>
    <row r="390" spans="2:20">
      <c r="B390" s="663" t="s">
        <v>17</v>
      </c>
      <c r="C390" s="663" t="s">
        <v>1550</v>
      </c>
      <c r="D390" s="106">
        <v>360</v>
      </c>
      <c r="E390" s="106">
        <v>-35</v>
      </c>
      <c r="F390" s="106">
        <v>-37</v>
      </c>
      <c r="G390" s="106">
        <v>28</v>
      </c>
      <c r="H390" s="106">
        <v>21</v>
      </c>
      <c r="I390" s="106">
        <v>6220</v>
      </c>
      <c r="J390" s="106">
        <v>20</v>
      </c>
      <c r="K390" s="106">
        <v>92</v>
      </c>
      <c r="L390" s="106">
        <v>470</v>
      </c>
      <c r="M390" s="106">
        <v>0.69</v>
      </c>
      <c r="N390" s="106">
        <v>630</v>
      </c>
      <c r="O390" s="106">
        <v>120</v>
      </c>
      <c r="P390" s="106">
        <v>2.6</v>
      </c>
      <c r="Q390" s="106">
        <v>0.3</v>
      </c>
      <c r="R390" s="106">
        <v>0.23</v>
      </c>
      <c r="S390" s="662">
        <v>0.3</v>
      </c>
      <c r="T390" s="662">
        <v>70</v>
      </c>
    </row>
    <row r="391" spans="2:20">
      <c r="B391" s="663" t="s">
        <v>17</v>
      </c>
      <c r="C391" s="664" t="s">
        <v>1551</v>
      </c>
      <c r="D391" s="583">
        <v>115</v>
      </c>
      <c r="E391" s="583">
        <v>-27</v>
      </c>
      <c r="F391" s="583">
        <v>-30</v>
      </c>
      <c r="G391" s="583">
        <v>30</v>
      </c>
      <c r="H391" s="583">
        <v>23</v>
      </c>
      <c r="I391" s="583">
        <v>4900</v>
      </c>
      <c r="J391" s="583">
        <v>23</v>
      </c>
      <c r="K391" s="583">
        <v>97</v>
      </c>
      <c r="L391" s="583">
        <v>620</v>
      </c>
      <c r="M391" s="583">
        <v>0.75</v>
      </c>
      <c r="N391" s="583">
        <v>810</v>
      </c>
      <c r="O391" s="583">
        <v>140</v>
      </c>
      <c r="P391" s="583">
        <v>2.5</v>
      </c>
      <c r="Q391" s="583">
        <v>0.4</v>
      </c>
      <c r="R391" s="583">
        <v>0.27</v>
      </c>
      <c r="S391" s="665">
        <v>0.35</v>
      </c>
      <c r="T391" s="665">
        <v>78</v>
      </c>
    </row>
    <row r="392" spans="2:20">
      <c r="B392" s="663" t="s">
        <v>17</v>
      </c>
      <c r="C392" s="663" t="s">
        <v>1552</v>
      </c>
      <c r="D392" s="106">
        <v>230</v>
      </c>
      <c r="E392" s="106">
        <v>-21</v>
      </c>
      <c r="F392" s="106">
        <v>-23</v>
      </c>
      <c r="G392" s="106">
        <v>31</v>
      </c>
      <c r="H392" s="106">
        <v>24</v>
      </c>
      <c r="I392" s="106">
        <v>4000</v>
      </c>
      <c r="J392" s="106">
        <v>25</v>
      </c>
      <c r="K392" s="106">
        <v>97</v>
      </c>
      <c r="L392" s="106">
        <v>740</v>
      </c>
      <c r="M392" s="106">
        <v>0.83</v>
      </c>
      <c r="N392" s="106">
        <v>850</v>
      </c>
      <c r="O392" s="106">
        <v>140</v>
      </c>
      <c r="P392" s="106">
        <v>1.5</v>
      </c>
      <c r="Q392" s="106">
        <v>0.4</v>
      </c>
      <c r="R392" s="106">
        <v>0.34</v>
      </c>
      <c r="S392" s="662">
        <v>0.44</v>
      </c>
      <c r="T392" s="662">
        <v>96</v>
      </c>
    </row>
    <row r="393" spans="2:20">
      <c r="B393" s="663" t="s">
        <v>17</v>
      </c>
      <c r="C393" s="663" t="s">
        <v>1553</v>
      </c>
      <c r="D393" s="106">
        <v>190</v>
      </c>
      <c r="E393" s="106">
        <v>-15</v>
      </c>
      <c r="F393" s="106">
        <v>-17</v>
      </c>
      <c r="G393" s="106">
        <v>30</v>
      </c>
      <c r="H393" s="106">
        <v>24</v>
      </c>
      <c r="I393" s="106">
        <v>3600</v>
      </c>
      <c r="J393" s="106">
        <v>25</v>
      </c>
      <c r="K393" s="106">
        <v>108</v>
      </c>
      <c r="L393" s="106">
        <v>860</v>
      </c>
      <c r="M393" s="106">
        <v>0.98</v>
      </c>
      <c r="N393" s="106">
        <v>1000</v>
      </c>
      <c r="O393" s="106">
        <v>160</v>
      </c>
      <c r="P393" s="106">
        <v>2.2999999999999998</v>
      </c>
      <c r="Q393" s="106">
        <v>0.4</v>
      </c>
      <c r="R393" s="106">
        <v>0.36</v>
      </c>
      <c r="S393" s="662">
        <v>0.46</v>
      </c>
      <c r="T393" s="662">
        <v>91</v>
      </c>
    </row>
    <row r="394" spans="2:20">
      <c r="B394" s="663" t="s">
        <v>17</v>
      </c>
      <c r="C394" s="664" t="s">
        <v>1554</v>
      </c>
      <c r="D394" s="583">
        <v>50</v>
      </c>
      <c r="E394" s="583">
        <v>-26</v>
      </c>
      <c r="F394" s="583">
        <v>-28</v>
      </c>
      <c r="G394" s="583">
        <v>30</v>
      </c>
      <c r="H394" s="583">
        <v>23</v>
      </c>
      <c r="I394" s="583">
        <v>4600</v>
      </c>
      <c r="J394" s="583">
        <v>23</v>
      </c>
      <c r="K394" s="583">
        <v>92</v>
      </c>
      <c r="L394" s="583">
        <v>780</v>
      </c>
      <c r="M394" s="583">
        <v>0.89</v>
      </c>
      <c r="N394" s="583">
        <v>950</v>
      </c>
      <c r="O394" s="583">
        <v>160</v>
      </c>
      <c r="P394" s="583">
        <v>2.4</v>
      </c>
      <c r="Q394" s="583">
        <v>0.4</v>
      </c>
      <c r="R394" s="583">
        <v>0.31</v>
      </c>
      <c r="S394" s="665">
        <v>0.4</v>
      </c>
      <c r="T394" s="665">
        <v>84</v>
      </c>
    </row>
    <row r="395" spans="2:20">
      <c r="B395" s="663" t="s">
        <v>17</v>
      </c>
      <c r="C395" s="663" t="s">
        <v>1555</v>
      </c>
      <c r="D395" s="106">
        <v>190</v>
      </c>
      <c r="E395" s="106">
        <v>-16</v>
      </c>
      <c r="F395" s="106">
        <v>-18</v>
      </c>
      <c r="G395" s="106">
        <v>31</v>
      </c>
      <c r="H395" s="106">
        <v>24</v>
      </c>
      <c r="I395" s="106">
        <v>3750</v>
      </c>
      <c r="J395" s="106">
        <v>25</v>
      </c>
      <c r="K395" s="106">
        <v>100</v>
      </c>
      <c r="L395" s="106">
        <v>750</v>
      </c>
      <c r="M395" s="106">
        <v>0.87</v>
      </c>
      <c r="N395" s="106">
        <v>825</v>
      </c>
      <c r="O395" s="106">
        <v>180</v>
      </c>
      <c r="P395" s="106">
        <v>1.1000000000000001</v>
      </c>
      <c r="Q395" s="106">
        <v>0.4</v>
      </c>
      <c r="R395" s="106">
        <v>0.36</v>
      </c>
      <c r="S395" s="662">
        <v>0.47</v>
      </c>
      <c r="T395" s="662">
        <v>91</v>
      </c>
    </row>
    <row r="396" spans="2:20">
      <c r="B396" s="663" t="s">
        <v>17</v>
      </c>
      <c r="C396" s="664" t="s">
        <v>1556</v>
      </c>
      <c r="D396" s="583">
        <v>190</v>
      </c>
      <c r="E396" s="583">
        <v>-25</v>
      </c>
      <c r="F396" s="583">
        <v>-28</v>
      </c>
      <c r="G396" s="583">
        <v>29</v>
      </c>
      <c r="H396" s="583">
        <v>22</v>
      </c>
      <c r="I396" s="583">
        <v>4960</v>
      </c>
      <c r="J396" s="583">
        <v>23</v>
      </c>
      <c r="K396" s="583">
        <v>97</v>
      </c>
      <c r="L396" s="583">
        <v>660</v>
      </c>
      <c r="M396" s="583">
        <v>0.89</v>
      </c>
      <c r="N396" s="583">
        <v>950</v>
      </c>
      <c r="O396" s="583">
        <v>200</v>
      </c>
      <c r="P396" s="583">
        <v>3.1</v>
      </c>
      <c r="Q396" s="583">
        <v>0.4</v>
      </c>
      <c r="R396" s="583">
        <v>0.34</v>
      </c>
      <c r="S396" s="665">
        <v>0.44</v>
      </c>
      <c r="T396" s="665">
        <v>84</v>
      </c>
    </row>
    <row r="397" spans="2:20">
      <c r="B397" s="663" t="s">
        <v>17</v>
      </c>
      <c r="C397" s="664" t="s">
        <v>1557</v>
      </c>
      <c r="D397" s="583">
        <v>180</v>
      </c>
      <c r="E397" s="583">
        <v>-20</v>
      </c>
      <c r="F397" s="583">
        <v>-22</v>
      </c>
      <c r="G397" s="583">
        <v>31</v>
      </c>
      <c r="H397" s="583">
        <v>24</v>
      </c>
      <c r="I397" s="583">
        <v>3800</v>
      </c>
      <c r="J397" s="583">
        <v>25</v>
      </c>
      <c r="K397" s="583">
        <v>92</v>
      </c>
      <c r="L397" s="583">
        <v>730</v>
      </c>
      <c r="M397" s="583">
        <v>0.87</v>
      </c>
      <c r="N397" s="583">
        <v>825</v>
      </c>
      <c r="O397" s="583">
        <v>160</v>
      </c>
      <c r="P397" s="583">
        <v>1.2</v>
      </c>
      <c r="Q397" s="583">
        <v>0.4</v>
      </c>
      <c r="R397" s="583">
        <v>0.36</v>
      </c>
      <c r="S397" s="665">
        <v>0.47</v>
      </c>
      <c r="T397" s="665">
        <v>96</v>
      </c>
    </row>
    <row r="398" spans="2:20">
      <c r="B398" s="663" t="s">
        <v>17</v>
      </c>
      <c r="C398" s="663" t="s">
        <v>1558</v>
      </c>
      <c r="D398" s="106">
        <v>310</v>
      </c>
      <c r="E398" s="106">
        <v>-34</v>
      </c>
      <c r="F398" s="106">
        <v>-36</v>
      </c>
      <c r="G398" s="106">
        <v>27</v>
      </c>
      <c r="H398" s="106">
        <v>21</v>
      </c>
      <c r="I398" s="106">
        <v>5960</v>
      </c>
      <c r="J398" s="106">
        <v>20</v>
      </c>
      <c r="K398" s="106">
        <v>103</v>
      </c>
      <c r="L398" s="106">
        <v>600</v>
      </c>
      <c r="M398" s="106">
        <v>0.82</v>
      </c>
      <c r="N398" s="106">
        <v>850</v>
      </c>
      <c r="O398" s="106">
        <v>160</v>
      </c>
      <c r="P398" s="106">
        <v>3.3</v>
      </c>
      <c r="Q398" s="106">
        <v>0.4</v>
      </c>
      <c r="R398" s="106">
        <v>0.3</v>
      </c>
      <c r="S398" s="662">
        <v>0.39</v>
      </c>
      <c r="T398" s="662">
        <v>83</v>
      </c>
    </row>
    <row r="399" spans="2:20">
      <c r="B399" s="663" t="s">
        <v>17</v>
      </c>
      <c r="C399" s="664" t="s">
        <v>1559</v>
      </c>
      <c r="D399" s="583">
        <v>310</v>
      </c>
      <c r="E399" s="583">
        <v>-17</v>
      </c>
      <c r="F399" s="583">
        <v>-19</v>
      </c>
      <c r="G399" s="583">
        <v>30</v>
      </c>
      <c r="H399" s="583">
        <v>23</v>
      </c>
      <c r="I399" s="583">
        <v>4100</v>
      </c>
      <c r="J399" s="583">
        <v>25</v>
      </c>
      <c r="K399" s="583">
        <v>108</v>
      </c>
      <c r="L399" s="583">
        <v>810</v>
      </c>
      <c r="M399" s="583">
        <v>0.94</v>
      </c>
      <c r="N399" s="583">
        <v>1025</v>
      </c>
      <c r="O399" s="583">
        <v>160</v>
      </c>
      <c r="P399" s="583">
        <v>2.5</v>
      </c>
      <c r="Q399" s="583">
        <v>0.4</v>
      </c>
      <c r="R399" s="583">
        <v>0.37</v>
      </c>
      <c r="S399" s="665">
        <v>0.48</v>
      </c>
      <c r="T399" s="665">
        <v>96</v>
      </c>
    </row>
    <row r="400" spans="2:20">
      <c r="B400" s="663" t="s">
        <v>17</v>
      </c>
      <c r="C400" s="663" t="s">
        <v>1560</v>
      </c>
      <c r="D400" s="106">
        <v>495</v>
      </c>
      <c r="E400" s="106">
        <v>-22</v>
      </c>
      <c r="F400" s="106">
        <v>-24</v>
      </c>
      <c r="G400" s="106">
        <v>29</v>
      </c>
      <c r="H400" s="106">
        <v>23</v>
      </c>
      <c r="I400" s="106">
        <v>4700</v>
      </c>
      <c r="J400" s="106">
        <v>28</v>
      </c>
      <c r="K400" s="106">
        <v>108</v>
      </c>
      <c r="L400" s="106">
        <v>740</v>
      </c>
      <c r="M400" s="106">
        <v>0.88</v>
      </c>
      <c r="N400" s="106">
        <v>900</v>
      </c>
      <c r="O400" s="106">
        <v>150</v>
      </c>
      <c r="P400" s="106">
        <v>3.1</v>
      </c>
      <c r="Q400" s="106">
        <v>0.4</v>
      </c>
      <c r="R400" s="106">
        <v>0.31</v>
      </c>
      <c r="S400" s="662">
        <v>0.4</v>
      </c>
      <c r="T400" s="662">
        <v>74</v>
      </c>
    </row>
    <row r="401" spans="2:20">
      <c r="B401" s="663" t="s">
        <v>17</v>
      </c>
      <c r="C401" s="664" t="s">
        <v>1561</v>
      </c>
      <c r="D401" s="583">
        <v>210</v>
      </c>
      <c r="E401" s="583">
        <v>-17</v>
      </c>
      <c r="F401" s="583">
        <v>-19</v>
      </c>
      <c r="G401" s="583">
        <v>30</v>
      </c>
      <c r="H401" s="583">
        <v>24</v>
      </c>
      <c r="I401" s="583">
        <v>3700</v>
      </c>
      <c r="J401" s="583">
        <v>28</v>
      </c>
      <c r="K401" s="583">
        <v>113</v>
      </c>
      <c r="L401" s="583">
        <v>860</v>
      </c>
      <c r="M401" s="583">
        <v>0.97</v>
      </c>
      <c r="N401" s="583">
        <v>950</v>
      </c>
      <c r="O401" s="583">
        <v>160</v>
      </c>
      <c r="P401" s="583">
        <v>1.3</v>
      </c>
      <c r="Q401" s="583">
        <v>0.4</v>
      </c>
      <c r="R401" s="583">
        <v>0.35</v>
      </c>
      <c r="S401" s="665">
        <v>0.45</v>
      </c>
      <c r="T401" s="665">
        <v>86</v>
      </c>
    </row>
    <row r="402" spans="2:20">
      <c r="B402" s="663" t="s">
        <v>17</v>
      </c>
      <c r="C402" s="663" t="s">
        <v>1562</v>
      </c>
      <c r="D402" s="106">
        <v>375</v>
      </c>
      <c r="E402" s="106">
        <v>-34</v>
      </c>
      <c r="F402" s="106">
        <v>-36</v>
      </c>
      <c r="G402" s="106">
        <v>28</v>
      </c>
      <c r="H402" s="106">
        <v>22</v>
      </c>
      <c r="I402" s="106">
        <v>5950</v>
      </c>
      <c r="J402" s="106">
        <v>25</v>
      </c>
      <c r="K402" s="106">
        <v>97</v>
      </c>
      <c r="L402" s="106">
        <v>520</v>
      </c>
      <c r="M402" s="106">
        <v>0.69</v>
      </c>
      <c r="N402" s="106">
        <v>710</v>
      </c>
      <c r="O402" s="106">
        <v>100</v>
      </c>
      <c r="P402" s="106">
        <v>2.6</v>
      </c>
      <c r="Q402" s="106">
        <v>0.3</v>
      </c>
      <c r="R402" s="106">
        <v>0.23</v>
      </c>
      <c r="S402" s="662">
        <v>0.3</v>
      </c>
      <c r="T402" s="662">
        <v>69</v>
      </c>
    </row>
    <row r="403" spans="2:20">
      <c r="B403" s="663" t="s">
        <v>17</v>
      </c>
      <c r="C403" s="664" t="s">
        <v>1563</v>
      </c>
      <c r="D403" s="583">
        <v>130</v>
      </c>
      <c r="E403" s="583">
        <v>-25</v>
      </c>
      <c r="F403" s="583">
        <v>-27</v>
      </c>
      <c r="G403" s="583">
        <v>30</v>
      </c>
      <c r="H403" s="583">
        <v>23</v>
      </c>
      <c r="I403" s="583">
        <v>4540</v>
      </c>
      <c r="J403" s="583">
        <v>25</v>
      </c>
      <c r="K403" s="583">
        <v>92</v>
      </c>
      <c r="L403" s="583">
        <v>730</v>
      </c>
      <c r="M403" s="583">
        <v>0.84</v>
      </c>
      <c r="N403" s="583">
        <v>850</v>
      </c>
      <c r="O403" s="583">
        <v>140</v>
      </c>
      <c r="P403" s="583">
        <v>2.2999999999999998</v>
      </c>
      <c r="Q403" s="583">
        <v>0.4</v>
      </c>
      <c r="R403" s="583">
        <v>0.32</v>
      </c>
      <c r="S403" s="665">
        <v>0.41</v>
      </c>
      <c r="T403" s="665">
        <v>84</v>
      </c>
    </row>
    <row r="404" spans="2:20">
      <c r="B404" s="663" t="s">
        <v>17</v>
      </c>
      <c r="C404" s="663" t="s">
        <v>1564</v>
      </c>
      <c r="D404" s="106">
        <v>185</v>
      </c>
      <c r="E404" s="106">
        <v>-16</v>
      </c>
      <c r="F404" s="106">
        <v>-18</v>
      </c>
      <c r="G404" s="106">
        <v>30</v>
      </c>
      <c r="H404" s="106">
        <v>23</v>
      </c>
      <c r="I404" s="106">
        <v>3650</v>
      </c>
      <c r="J404" s="106">
        <v>23</v>
      </c>
      <c r="K404" s="106">
        <v>108</v>
      </c>
      <c r="L404" s="106">
        <v>800</v>
      </c>
      <c r="M404" s="106">
        <v>0.92</v>
      </c>
      <c r="N404" s="106">
        <v>900</v>
      </c>
      <c r="O404" s="106">
        <v>160</v>
      </c>
      <c r="P404" s="106">
        <v>1.5</v>
      </c>
      <c r="Q404" s="106">
        <v>0.4</v>
      </c>
      <c r="R404" s="106">
        <v>0.33</v>
      </c>
      <c r="S404" s="662">
        <v>0.42</v>
      </c>
      <c r="T404" s="662">
        <v>86</v>
      </c>
    </row>
    <row r="405" spans="2:20">
      <c r="B405" s="663" t="s">
        <v>17</v>
      </c>
      <c r="C405" s="664" t="s">
        <v>1565</v>
      </c>
      <c r="D405" s="583">
        <v>235</v>
      </c>
      <c r="E405" s="583">
        <v>-34</v>
      </c>
      <c r="F405" s="583">
        <v>-36</v>
      </c>
      <c r="G405" s="583">
        <v>29</v>
      </c>
      <c r="H405" s="583">
        <v>21</v>
      </c>
      <c r="I405" s="583">
        <v>6250</v>
      </c>
      <c r="J405" s="583">
        <v>20</v>
      </c>
      <c r="K405" s="583">
        <v>92</v>
      </c>
      <c r="L405" s="583">
        <v>560</v>
      </c>
      <c r="M405" s="583">
        <v>0.77</v>
      </c>
      <c r="N405" s="583">
        <v>850</v>
      </c>
      <c r="O405" s="106">
        <v>80</v>
      </c>
      <c r="P405" s="583">
        <v>2.7</v>
      </c>
      <c r="Q405" s="583">
        <v>0.3</v>
      </c>
      <c r="R405" s="583">
        <v>0.25</v>
      </c>
      <c r="S405" s="665">
        <v>0.32</v>
      </c>
      <c r="T405" s="665">
        <v>74</v>
      </c>
    </row>
    <row r="406" spans="2:20">
      <c r="B406" s="663" t="s">
        <v>17</v>
      </c>
      <c r="C406" s="663" t="s">
        <v>1566</v>
      </c>
      <c r="D406" s="106">
        <v>355</v>
      </c>
      <c r="E406" s="106">
        <v>-27</v>
      </c>
      <c r="F406" s="106">
        <v>-29</v>
      </c>
      <c r="G406" s="106">
        <v>29</v>
      </c>
      <c r="H406" s="106">
        <v>22</v>
      </c>
      <c r="I406" s="106">
        <v>5090</v>
      </c>
      <c r="J406" s="106">
        <v>25</v>
      </c>
      <c r="K406" s="106">
        <v>103</v>
      </c>
      <c r="L406" s="106">
        <v>830</v>
      </c>
      <c r="M406" s="106">
        <v>0.96</v>
      </c>
      <c r="N406" s="106">
        <v>975</v>
      </c>
      <c r="O406" s="106">
        <v>120</v>
      </c>
      <c r="P406" s="106">
        <v>2.8</v>
      </c>
      <c r="Q406" s="106">
        <v>0.4</v>
      </c>
      <c r="R406" s="106">
        <v>0.27</v>
      </c>
      <c r="S406" s="662">
        <v>0.35</v>
      </c>
      <c r="T406" s="662">
        <v>93</v>
      </c>
    </row>
    <row r="407" spans="2:20">
      <c r="B407" s="663" t="s">
        <v>17</v>
      </c>
      <c r="C407" s="664" t="s">
        <v>1567</v>
      </c>
      <c r="D407" s="583">
        <v>180</v>
      </c>
      <c r="E407" s="583">
        <v>-17</v>
      </c>
      <c r="F407" s="583">
        <v>-19</v>
      </c>
      <c r="G407" s="583">
        <v>28</v>
      </c>
      <c r="H407" s="583">
        <v>22</v>
      </c>
      <c r="I407" s="583">
        <v>4100</v>
      </c>
      <c r="J407" s="583">
        <v>25</v>
      </c>
      <c r="K407" s="583">
        <v>92</v>
      </c>
      <c r="L407" s="106">
        <v>800</v>
      </c>
      <c r="M407" s="583">
        <v>0.95</v>
      </c>
      <c r="N407" s="583">
        <v>830</v>
      </c>
      <c r="O407" s="583">
        <v>180</v>
      </c>
      <c r="P407" s="583">
        <v>2.7</v>
      </c>
      <c r="Q407" s="583">
        <v>0.4</v>
      </c>
      <c r="R407" s="583">
        <v>0.41</v>
      </c>
      <c r="S407" s="665">
        <v>0.53</v>
      </c>
      <c r="T407" s="665">
        <v>96</v>
      </c>
    </row>
    <row r="408" spans="2:20">
      <c r="B408" s="663" t="s">
        <v>17</v>
      </c>
      <c r="C408" s="663" t="s">
        <v>1568</v>
      </c>
      <c r="D408" s="106">
        <v>105</v>
      </c>
      <c r="E408" s="106">
        <v>-16</v>
      </c>
      <c r="F408" s="106">
        <v>-18</v>
      </c>
      <c r="G408" s="106">
        <v>30</v>
      </c>
      <c r="H408" s="106">
        <v>23</v>
      </c>
      <c r="I408" s="106">
        <v>3540</v>
      </c>
      <c r="J408" s="106">
        <v>23</v>
      </c>
      <c r="K408" s="106">
        <v>92</v>
      </c>
      <c r="L408" s="106">
        <v>770</v>
      </c>
      <c r="M408" s="106">
        <v>0.9</v>
      </c>
      <c r="N408" s="106">
        <v>850</v>
      </c>
      <c r="O408" s="106">
        <v>160</v>
      </c>
      <c r="P408" s="106">
        <v>1</v>
      </c>
      <c r="Q408" s="106">
        <v>0.4</v>
      </c>
      <c r="R408" s="106">
        <v>0.36</v>
      </c>
      <c r="S408" s="662">
        <v>0.46</v>
      </c>
      <c r="T408" s="662">
        <v>91</v>
      </c>
    </row>
    <row r="409" spans="2:20">
      <c r="B409" s="663" t="s">
        <v>17</v>
      </c>
      <c r="C409" s="664" t="s">
        <v>1569</v>
      </c>
      <c r="D409" s="583">
        <v>310</v>
      </c>
      <c r="E409" s="583">
        <v>-18</v>
      </c>
      <c r="F409" s="583">
        <v>-20</v>
      </c>
      <c r="G409" s="583">
        <v>30</v>
      </c>
      <c r="H409" s="583">
        <v>23</v>
      </c>
      <c r="I409" s="583">
        <v>4000</v>
      </c>
      <c r="J409" s="583">
        <v>28</v>
      </c>
      <c r="K409" s="583">
        <v>108</v>
      </c>
      <c r="L409" s="583">
        <v>820</v>
      </c>
      <c r="M409" s="583">
        <v>0.95</v>
      </c>
      <c r="N409" s="583">
        <v>1025</v>
      </c>
      <c r="O409" s="583">
        <v>160</v>
      </c>
      <c r="P409" s="583">
        <v>2.2000000000000002</v>
      </c>
      <c r="Q409" s="583">
        <v>0.4</v>
      </c>
      <c r="R409" s="583">
        <v>0.36</v>
      </c>
      <c r="S409" s="665">
        <v>0.47</v>
      </c>
      <c r="T409" s="665">
        <v>93</v>
      </c>
    </row>
    <row r="410" spans="2:20">
      <c r="B410" s="663" t="s">
        <v>17</v>
      </c>
      <c r="C410" s="663" t="s">
        <v>1570</v>
      </c>
      <c r="D410" s="106">
        <v>225</v>
      </c>
      <c r="E410" s="106">
        <v>-16</v>
      </c>
      <c r="F410" s="106">
        <v>-18</v>
      </c>
      <c r="G410" s="106">
        <v>31</v>
      </c>
      <c r="H410" s="106">
        <v>24</v>
      </c>
      <c r="I410" s="106">
        <v>3780</v>
      </c>
      <c r="J410" s="106">
        <v>25</v>
      </c>
      <c r="K410" s="106">
        <v>103</v>
      </c>
      <c r="L410" s="106">
        <v>900</v>
      </c>
      <c r="M410" s="106">
        <v>0.99</v>
      </c>
      <c r="N410" s="106">
        <v>975</v>
      </c>
      <c r="O410" s="106">
        <v>180</v>
      </c>
      <c r="P410" s="106">
        <v>1.4</v>
      </c>
      <c r="Q410" s="106">
        <v>0.4</v>
      </c>
      <c r="R410" s="106">
        <v>0.36</v>
      </c>
      <c r="S410" s="662">
        <v>0.47</v>
      </c>
      <c r="T410" s="662">
        <v>91</v>
      </c>
    </row>
    <row r="411" spans="2:20">
      <c r="B411" s="663" t="s">
        <v>17</v>
      </c>
      <c r="C411" s="664" t="s">
        <v>1571</v>
      </c>
      <c r="D411" s="583">
        <v>120</v>
      </c>
      <c r="E411" s="583">
        <v>-23</v>
      </c>
      <c r="F411" s="583">
        <v>-25</v>
      </c>
      <c r="G411" s="583">
        <v>30</v>
      </c>
      <c r="H411" s="583">
        <v>23</v>
      </c>
      <c r="I411" s="583">
        <v>4220</v>
      </c>
      <c r="J411" s="583">
        <v>25</v>
      </c>
      <c r="K411" s="583">
        <v>97</v>
      </c>
      <c r="L411" s="583">
        <v>740</v>
      </c>
      <c r="M411" s="583">
        <v>0.86</v>
      </c>
      <c r="N411" s="583">
        <v>850</v>
      </c>
      <c r="O411" s="583">
        <v>120</v>
      </c>
      <c r="P411" s="583">
        <v>1.7</v>
      </c>
      <c r="Q411" s="583">
        <v>0.4</v>
      </c>
      <c r="R411" s="583">
        <v>0.31</v>
      </c>
      <c r="S411" s="665">
        <v>0.4</v>
      </c>
      <c r="T411" s="665">
        <v>83</v>
      </c>
    </row>
    <row r="412" spans="2:20">
      <c r="B412" s="663" t="s">
        <v>17</v>
      </c>
      <c r="C412" s="663" t="s">
        <v>1572</v>
      </c>
      <c r="D412" s="106">
        <v>360</v>
      </c>
      <c r="E412" s="106">
        <v>-18</v>
      </c>
      <c r="F412" s="106">
        <v>-20</v>
      </c>
      <c r="G412" s="106">
        <v>29</v>
      </c>
      <c r="H412" s="106">
        <v>23</v>
      </c>
      <c r="I412" s="106">
        <v>4050</v>
      </c>
      <c r="J412" s="106">
        <v>28</v>
      </c>
      <c r="K412" s="106">
        <v>113</v>
      </c>
      <c r="L412" s="106">
        <v>820</v>
      </c>
      <c r="M412" s="106">
        <v>0.95</v>
      </c>
      <c r="N412" s="106">
        <v>1050</v>
      </c>
      <c r="O412" s="106">
        <v>160</v>
      </c>
      <c r="P412" s="106">
        <v>2.2999999999999998</v>
      </c>
      <c r="Q412" s="106">
        <v>0.4</v>
      </c>
      <c r="R412" s="106">
        <v>0.35</v>
      </c>
      <c r="S412" s="662">
        <v>0.45</v>
      </c>
      <c r="T412" s="662">
        <v>91</v>
      </c>
    </row>
    <row r="413" spans="2:20">
      <c r="B413" s="663" t="s">
        <v>17</v>
      </c>
      <c r="C413" s="664" t="s">
        <v>1573</v>
      </c>
      <c r="D413" s="583">
        <v>225</v>
      </c>
      <c r="E413" s="583">
        <v>-17</v>
      </c>
      <c r="F413" s="583">
        <v>-19</v>
      </c>
      <c r="G413" s="583">
        <v>31</v>
      </c>
      <c r="H413" s="583">
        <v>24</v>
      </c>
      <c r="I413" s="583">
        <v>3780</v>
      </c>
      <c r="J413" s="583">
        <v>25</v>
      </c>
      <c r="K413" s="583">
        <v>103</v>
      </c>
      <c r="L413" s="583">
        <v>770</v>
      </c>
      <c r="M413" s="583">
        <v>0.88</v>
      </c>
      <c r="N413" s="583">
        <v>950</v>
      </c>
      <c r="O413" s="583">
        <v>180</v>
      </c>
      <c r="P413" s="583">
        <v>1.9</v>
      </c>
      <c r="Q413" s="583">
        <v>0.4</v>
      </c>
      <c r="R413" s="583">
        <v>0.36</v>
      </c>
      <c r="S413" s="665">
        <v>0.47</v>
      </c>
      <c r="T413" s="665">
        <v>93</v>
      </c>
    </row>
    <row r="414" spans="2:20">
      <c r="B414" s="663" t="s">
        <v>17</v>
      </c>
      <c r="C414" s="663" t="s">
        <v>1574</v>
      </c>
      <c r="D414" s="106">
        <v>205</v>
      </c>
      <c r="E414" s="106">
        <v>-28</v>
      </c>
      <c r="F414" s="106">
        <v>-30</v>
      </c>
      <c r="G414" s="106">
        <v>29</v>
      </c>
      <c r="H414" s="106">
        <v>21</v>
      </c>
      <c r="I414" s="106">
        <v>5200</v>
      </c>
      <c r="J414" s="106">
        <v>25</v>
      </c>
      <c r="K414" s="106">
        <v>95</v>
      </c>
      <c r="L414" s="106">
        <v>700</v>
      </c>
      <c r="M414" s="106">
        <v>0.86</v>
      </c>
      <c r="N414" s="106">
        <v>910</v>
      </c>
      <c r="O414" s="106">
        <v>140</v>
      </c>
      <c r="P414" s="106">
        <v>2.4</v>
      </c>
      <c r="Q414" s="106">
        <v>0.4</v>
      </c>
      <c r="R414" s="106">
        <v>0.27</v>
      </c>
      <c r="S414" s="662">
        <v>0.35</v>
      </c>
      <c r="T414" s="662">
        <v>78</v>
      </c>
    </row>
    <row r="415" spans="2:20">
      <c r="B415" s="663" t="s">
        <v>17</v>
      </c>
      <c r="C415" s="664" t="s">
        <v>1575</v>
      </c>
      <c r="D415" s="583">
        <v>275</v>
      </c>
      <c r="E415" s="583">
        <v>-28</v>
      </c>
      <c r="F415" s="583">
        <v>-30</v>
      </c>
      <c r="G415" s="583">
        <v>29</v>
      </c>
      <c r="H415" s="583">
        <v>21</v>
      </c>
      <c r="I415" s="583">
        <v>5180</v>
      </c>
      <c r="J415" s="583">
        <v>25</v>
      </c>
      <c r="K415" s="583">
        <v>97</v>
      </c>
      <c r="L415" s="583">
        <v>650</v>
      </c>
      <c r="M415" s="583">
        <v>0.79</v>
      </c>
      <c r="N415" s="583">
        <v>875</v>
      </c>
      <c r="O415" s="583">
        <v>200</v>
      </c>
      <c r="P415" s="583">
        <v>2.5</v>
      </c>
      <c r="Q415" s="583">
        <v>0.4</v>
      </c>
      <c r="R415" s="583">
        <v>0.36</v>
      </c>
      <c r="S415" s="665">
        <v>0.46</v>
      </c>
      <c r="T415" s="665">
        <v>87</v>
      </c>
    </row>
    <row r="416" spans="2:20">
      <c r="B416" s="663" t="s">
        <v>17</v>
      </c>
      <c r="C416" s="663" t="s">
        <v>1576</v>
      </c>
      <c r="D416" s="106">
        <v>340</v>
      </c>
      <c r="E416" s="106">
        <v>-27</v>
      </c>
      <c r="F416" s="106">
        <v>-29</v>
      </c>
      <c r="G416" s="106">
        <v>29</v>
      </c>
      <c r="H416" s="106">
        <v>22</v>
      </c>
      <c r="I416" s="106">
        <v>5080</v>
      </c>
      <c r="J416" s="106">
        <v>25</v>
      </c>
      <c r="K416" s="106">
        <v>97</v>
      </c>
      <c r="L416" s="106">
        <v>840</v>
      </c>
      <c r="M416" s="106">
        <v>0.97</v>
      </c>
      <c r="N416" s="106">
        <v>975</v>
      </c>
      <c r="O416" s="106">
        <v>120</v>
      </c>
      <c r="P416" s="106">
        <v>2.8</v>
      </c>
      <c r="Q416" s="106">
        <v>0.4</v>
      </c>
      <c r="R416" s="106">
        <v>0.27</v>
      </c>
      <c r="S416" s="662">
        <v>0.35</v>
      </c>
      <c r="T416" s="662">
        <v>74</v>
      </c>
    </row>
    <row r="417" spans="2:20">
      <c r="B417" s="663" t="s">
        <v>17</v>
      </c>
      <c r="C417" s="664" t="s">
        <v>1577</v>
      </c>
      <c r="D417" s="583">
        <v>340</v>
      </c>
      <c r="E417" s="583">
        <v>-19</v>
      </c>
      <c r="F417" s="583">
        <v>-21</v>
      </c>
      <c r="G417" s="583">
        <v>29</v>
      </c>
      <c r="H417" s="583">
        <v>23</v>
      </c>
      <c r="I417" s="583">
        <v>4100</v>
      </c>
      <c r="J417" s="583">
        <v>28</v>
      </c>
      <c r="K417" s="583">
        <v>113</v>
      </c>
      <c r="L417" s="583">
        <v>820</v>
      </c>
      <c r="M417" s="583">
        <v>0.95</v>
      </c>
      <c r="N417" s="583">
        <v>1010</v>
      </c>
      <c r="O417" s="583">
        <v>160</v>
      </c>
      <c r="P417" s="583">
        <v>2.1</v>
      </c>
      <c r="Q417" s="583">
        <v>0.4</v>
      </c>
      <c r="R417" s="583">
        <v>0.35</v>
      </c>
      <c r="S417" s="665">
        <v>0.45</v>
      </c>
      <c r="T417" s="665">
        <v>91</v>
      </c>
    </row>
    <row r="418" spans="2:20">
      <c r="B418" s="663" t="s">
        <v>17</v>
      </c>
      <c r="C418" s="663" t="s">
        <v>1578</v>
      </c>
      <c r="D418" s="106">
        <v>300</v>
      </c>
      <c r="E418" s="106">
        <v>-30</v>
      </c>
      <c r="F418" s="106">
        <v>-33</v>
      </c>
      <c r="G418" s="106">
        <v>30</v>
      </c>
      <c r="H418" s="106">
        <v>22</v>
      </c>
      <c r="I418" s="106">
        <v>5420</v>
      </c>
      <c r="J418" s="106">
        <v>23</v>
      </c>
      <c r="K418" s="106">
        <v>92</v>
      </c>
      <c r="L418" s="106">
        <v>650</v>
      </c>
      <c r="M418" s="106">
        <v>0.82</v>
      </c>
      <c r="N418" s="106">
        <v>875</v>
      </c>
      <c r="O418" s="106">
        <v>120</v>
      </c>
      <c r="P418" s="106">
        <v>2.6</v>
      </c>
      <c r="Q418" s="106">
        <v>0.4</v>
      </c>
      <c r="R418" s="106">
        <v>0.28999999999999998</v>
      </c>
      <c r="S418" s="662">
        <v>0.37</v>
      </c>
      <c r="T418" s="662">
        <v>81</v>
      </c>
    </row>
    <row r="419" spans="2:20">
      <c r="B419" s="663" t="s">
        <v>17</v>
      </c>
      <c r="C419" s="664" t="s">
        <v>1579</v>
      </c>
      <c r="D419" s="583">
        <v>280</v>
      </c>
      <c r="E419" s="583">
        <v>-19</v>
      </c>
      <c r="F419" s="583">
        <v>-21</v>
      </c>
      <c r="G419" s="583">
        <v>30</v>
      </c>
      <c r="H419" s="583">
        <v>23</v>
      </c>
      <c r="I419" s="583">
        <v>3950</v>
      </c>
      <c r="J419" s="583">
        <v>28</v>
      </c>
      <c r="K419" s="583">
        <v>108</v>
      </c>
      <c r="L419" s="583">
        <v>820</v>
      </c>
      <c r="M419" s="583">
        <v>0.93</v>
      </c>
      <c r="N419" s="583">
        <v>975</v>
      </c>
      <c r="O419" s="583">
        <v>160</v>
      </c>
      <c r="P419" s="583">
        <v>1.9</v>
      </c>
      <c r="Q419" s="583">
        <v>0.4</v>
      </c>
      <c r="R419" s="583">
        <v>0.37</v>
      </c>
      <c r="S419" s="665">
        <v>0.48</v>
      </c>
      <c r="T419" s="665">
        <v>91</v>
      </c>
    </row>
    <row r="420" spans="2:20">
      <c r="B420" s="663" t="s">
        <v>17</v>
      </c>
      <c r="C420" s="663" t="s">
        <v>1580</v>
      </c>
      <c r="D420" s="106">
        <v>205</v>
      </c>
      <c r="E420" s="106">
        <v>-16</v>
      </c>
      <c r="F420" s="106">
        <v>-18</v>
      </c>
      <c r="G420" s="106">
        <v>31</v>
      </c>
      <c r="H420" s="106">
        <v>23</v>
      </c>
      <c r="I420" s="106">
        <v>3710</v>
      </c>
      <c r="J420" s="106">
        <v>25</v>
      </c>
      <c r="K420" s="106">
        <v>103</v>
      </c>
      <c r="L420" s="106">
        <v>810</v>
      </c>
      <c r="M420" s="106">
        <v>0.95</v>
      </c>
      <c r="N420" s="106">
        <v>900</v>
      </c>
      <c r="O420" s="106">
        <v>180</v>
      </c>
      <c r="P420" s="106">
        <v>2.1</v>
      </c>
      <c r="Q420" s="106">
        <v>0.4</v>
      </c>
      <c r="R420" s="106">
        <v>0.39</v>
      </c>
      <c r="S420" s="662">
        <v>0.5</v>
      </c>
      <c r="T420" s="662">
        <v>98</v>
      </c>
    </row>
    <row r="421" spans="2:20">
      <c r="B421" s="663" t="s">
        <v>17</v>
      </c>
      <c r="C421" s="664" t="s">
        <v>1581</v>
      </c>
      <c r="D421" s="583">
        <v>210</v>
      </c>
      <c r="E421" s="583">
        <v>-31</v>
      </c>
      <c r="F421" s="583">
        <v>-33</v>
      </c>
      <c r="G421" s="583">
        <v>29</v>
      </c>
      <c r="H421" s="583">
        <v>21</v>
      </c>
      <c r="I421" s="583">
        <v>5650</v>
      </c>
      <c r="J421" s="583">
        <v>23</v>
      </c>
      <c r="K421" s="583">
        <v>108</v>
      </c>
      <c r="L421" s="583">
        <v>560</v>
      </c>
      <c r="M421" s="583">
        <v>0.76</v>
      </c>
      <c r="N421" s="583">
        <v>710</v>
      </c>
      <c r="O421" s="583">
        <v>160</v>
      </c>
      <c r="P421" s="583">
        <v>2.9</v>
      </c>
      <c r="Q421" s="583">
        <v>0.4</v>
      </c>
      <c r="R421" s="583">
        <v>0.3</v>
      </c>
      <c r="S421" s="665">
        <v>0.39</v>
      </c>
      <c r="T421" s="665">
        <v>83</v>
      </c>
    </row>
    <row r="422" spans="2:20">
      <c r="B422" s="663" t="s">
        <v>17</v>
      </c>
      <c r="C422" s="663" t="s">
        <v>1582</v>
      </c>
      <c r="D422" s="106">
        <v>215</v>
      </c>
      <c r="E422" s="106">
        <v>-17</v>
      </c>
      <c r="F422" s="106">
        <v>-19</v>
      </c>
      <c r="G422" s="106">
        <v>30</v>
      </c>
      <c r="H422" s="106">
        <v>24</v>
      </c>
      <c r="I422" s="106">
        <v>3840</v>
      </c>
      <c r="J422" s="106">
        <v>25</v>
      </c>
      <c r="K422" s="106">
        <v>103</v>
      </c>
      <c r="L422" s="106">
        <v>880</v>
      </c>
      <c r="M422" s="106">
        <v>0.98</v>
      </c>
      <c r="N422" s="106">
        <v>980</v>
      </c>
      <c r="O422" s="106">
        <v>160</v>
      </c>
      <c r="P422" s="106">
        <v>1.3</v>
      </c>
      <c r="Q422" s="106">
        <v>0.4</v>
      </c>
      <c r="R422" s="106">
        <v>0.34</v>
      </c>
      <c r="S422" s="662">
        <v>0.44</v>
      </c>
      <c r="T422" s="662">
        <v>86</v>
      </c>
    </row>
    <row r="423" spans="2:20">
      <c r="B423" s="663" t="s">
        <v>17</v>
      </c>
      <c r="C423" s="664" t="s">
        <v>1583</v>
      </c>
      <c r="D423" s="583">
        <v>300</v>
      </c>
      <c r="E423" s="583">
        <v>-34</v>
      </c>
      <c r="F423" s="583">
        <v>-36</v>
      </c>
      <c r="G423" s="583">
        <v>29</v>
      </c>
      <c r="H423" s="583">
        <v>21</v>
      </c>
      <c r="I423" s="583">
        <v>5940</v>
      </c>
      <c r="J423" s="583">
        <v>20</v>
      </c>
      <c r="K423" s="583">
        <v>108</v>
      </c>
      <c r="L423" s="583">
        <v>560</v>
      </c>
      <c r="M423" s="583">
        <v>0.75</v>
      </c>
      <c r="N423" s="583">
        <v>875</v>
      </c>
      <c r="O423" s="583">
        <v>100</v>
      </c>
      <c r="P423" s="583">
        <v>3.1</v>
      </c>
      <c r="Q423" s="583">
        <v>0.3</v>
      </c>
      <c r="R423" s="583">
        <v>0.27</v>
      </c>
      <c r="S423" s="665">
        <v>0.35</v>
      </c>
      <c r="T423" s="665">
        <v>81</v>
      </c>
    </row>
    <row r="424" spans="2:20">
      <c r="B424" s="663" t="s">
        <v>17</v>
      </c>
      <c r="C424" s="663" t="s">
        <v>1584</v>
      </c>
      <c r="D424" s="106">
        <v>90</v>
      </c>
      <c r="E424" s="106">
        <v>-18</v>
      </c>
      <c r="F424" s="106">
        <v>-20</v>
      </c>
      <c r="G424" s="106">
        <v>31</v>
      </c>
      <c r="H424" s="106">
        <v>23</v>
      </c>
      <c r="I424" s="106">
        <v>3520</v>
      </c>
      <c r="J424" s="106">
        <v>25</v>
      </c>
      <c r="K424" s="106">
        <v>97</v>
      </c>
      <c r="L424" s="106">
        <v>720</v>
      </c>
      <c r="M424" s="106">
        <v>0.86</v>
      </c>
      <c r="N424" s="106">
        <v>820</v>
      </c>
      <c r="O424" s="106">
        <v>160</v>
      </c>
      <c r="P424" s="106">
        <v>0.9</v>
      </c>
      <c r="Q424" s="106">
        <v>0.4</v>
      </c>
      <c r="R424" s="106">
        <v>0.34</v>
      </c>
      <c r="S424" s="662">
        <v>0.44</v>
      </c>
      <c r="T424" s="662">
        <v>96</v>
      </c>
    </row>
    <row r="425" spans="2:20">
      <c r="B425" s="663" t="s">
        <v>17</v>
      </c>
      <c r="C425" s="663" t="s">
        <v>1585</v>
      </c>
      <c r="D425" s="106">
        <v>80</v>
      </c>
      <c r="E425" s="106">
        <v>-22</v>
      </c>
      <c r="F425" s="106">
        <v>-24</v>
      </c>
      <c r="G425" s="106">
        <v>29</v>
      </c>
      <c r="H425" s="106">
        <v>23</v>
      </c>
      <c r="I425" s="106">
        <v>4110</v>
      </c>
      <c r="J425" s="106">
        <v>23</v>
      </c>
      <c r="K425" s="106">
        <v>97</v>
      </c>
      <c r="L425" s="106">
        <v>760</v>
      </c>
      <c r="M425" s="106">
        <v>0.89</v>
      </c>
      <c r="N425" s="106">
        <v>850</v>
      </c>
      <c r="O425" s="106">
        <v>160</v>
      </c>
      <c r="P425" s="106">
        <v>1.6</v>
      </c>
      <c r="Q425" s="106">
        <v>0.4</v>
      </c>
      <c r="R425" s="106">
        <v>0.36</v>
      </c>
      <c r="S425" s="662">
        <v>0.47</v>
      </c>
      <c r="T425" s="662">
        <v>91</v>
      </c>
    </row>
    <row r="426" spans="2:20">
      <c r="B426" s="663" t="s">
        <v>17</v>
      </c>
      <c r="C426" s="664" t="s">
        <v>1586</v>
      </c>
      <c r="D426" s="583">
        <v>330</v>
      </c>
      <c r="E426" s="583">
        <v>-27</v>
      </c>
      <c r="F426" s="583">
        <v>-29</v>
      </c>
      <c r="G426" s="583">
        <v>29</v>
      </c>
      <c r="H426" s="583">
        <v>22</v>
      </c>
      <c r="I426" s="583">
        <v>5100</v>
      </c>
      <c r="J426" s="583">
        <v>25</v>
      </c>
      <c r="K426" s="583">
        <v>103</v>
      </c>
      <c r="L426" s="583">
        <v>780</v>
      </c>
      <c r="M426" s="583">
        <v>0.92</v>
      </c>
      <c r="N426" s="583">
        <v>975</v>
      </c>
      <c r="O426" s="583">
        <v>120</v>
      </c>
      <c r="P426" s="583">
        <v>2.7</v>
      </c>
      <c r="Q426" s="583">
        <v>0.4</v>
      </c>
      <c r="R426" s="583">
        <v>0.27</v>
      </c>
      <c r="S426" s="665">
        <v>0.35</v>
      </c>
      <c r="T426" s="665">
        <v>74</v>
      </c>
    </row>
    <row r="427" spans="2:20">
      <c r="B427" s="663" t="s">
        <v>17</v>
      </c>
      <c r="C427" s="663" t="s">
        <v>1587</v>
      </c>
      <c r="D427" s="106">
        <v>275</v>
      </c>
      <c r="E427" s="106">
        <v>-22</v>
      </c>
      <c r="F427" s="106">
        <v>-24</v>
      </c>
      <c r="G427" s="106">
        <v>30</v>
      </c>
      <c r="H427" s="106">
        <v>23</v>
      </c>
      <c r="I427" s="106">
        <v>4240</v>
      </c>
      <c r="J427" s="106">
        <v>25</v>
      </c>
      <c r="K427" s="106">
        <v>103</v>
      </c>
      <c r="L427" s="106">
        <v>700</v>
      </c>
      <c r="M427" s="106">
        <v>0.82</v>
      </c>
      <c r="N427" s="106">
        <v>850</v>
      </c>
      <c r="O427" s="106">
        <v>140</v>
      </c>
      <c r="P427" s="106">
        <v>2.4</v>
      </c>
      <c r="Q427" s="106">
        <v>0.4</v>
      </c>
      <c r="R427" s="106">
        <v>0.33</v>
      </c>
      <c r="S427" s="662">
        <v>0.42</v>
      </c>
      <c r="T427" s="662">
        <v>84</v>
      </c>
    </row>
    <row r="428" spans="2:20">
      <c r="B428" s="663" t="s">
        <v>17</v>
      </c>
      <c r="C428" s="664" t="s">
        <v>1588</v>
      </c>
      <c r="D428" s="583">
        <v>165</v>
      </c>
      <c r="E428" s="583">
        <v>-20</v>
      </c>
      <c r="F428" s="583">
        <v>-22</v>
      </c>
      <c r="G428" s="583">
        <v>31</v>
      </c>
      <c r="H428" s="583">
        <v>24</v>
      </c>
      <c r="I428" s="583">
        <v>4100</v>
      </c>
      <c r="J428" s="583">
        <v>26</v>
      </c>
      <c r="K428" s="583">
        <v>113</v>
      </c>
      <c r="L428" s="583">
        <v>700</v>
      </c>
      <c r="M428" s="583">
        <v>0.8</v>
      </c>
      <c r="N428" s="106">
        <v>800</v>
      </c>
      <c r="O428" s="583">
        <v>140</v>
      </c>
      <c r="P428" s="583">
        <v>1.1000000000000001</v>
      </c>
      <c r="Q428" s="583">
        <v>0.4</v>
      </c>
      <c r="R428" s="583">
        <v>0.34</v>
      </c>
      <c r="S428" s="665">
        <v>0.44</v>
      </c>
      <c r="T428" s="665">
        <v>91</v>
      </c>
    </row>
    <row r="429" spans="2:20">
      <c r="B429" s="663" t="s">
        <v>17</v>
      </c>
      <c r="C429" s="664" t="s">
        <v>1589</v>
      </c>
      <c r="D429" s="583">
        <v>215</v>
      </c>
      <c r="E429" s="583">
        <v>-15</v>
      </c>
      <c r="F429" s="583">
        <v>-17</v>
      </c>
      <c r="G429" s="583">
        <v>30</v>
      </c>
      <c r="H429" s="583">
        <v>24</v>
      </c>
      <c r="I429" s="583">
        <v>3680</v>
      </c>
      <c r="J429" s="583">
        <v>25</v>
      </c>
      <c r="K429" s="583">
        <v>113</v>
      </c>
      <c r="L429" s="583">
        <v>880</v>
      </c>
      <c r="M429" s="583">
        <v>0.99</v>
      </c>
      <c r="N429" s="583">
        <v>950</v>
      </c>
      <c r="O429" s="583">
        <v>160</v>
      </c>
      <c r="P429" s="583">
        <v>1.3</v>
      </c>
      <c r="Q429" s="583">
        <v>0.4</v>
      </c>
      <c r="R429" s="583">
        <v>0.36</v>
      </c>
      <c r="S429" s="665">
        <v>0.47</v>
      </c>
      <c r="T429" s="665">
        <v>91</v>
      </c>
    </row>
    <row r="430" spans="2:20">
      <c r="B430" s="663" t="s">
        <v>17</v>
      </c>
      <c r="C430" s="663" t="s">
        <v>1590</v>
      </c>
      <c r="D430" s="106">
        <v>275</v>
      </c>
      <c r="E430" s="106">
        <v>-18</v>
      </c>
      <c r="F430" s="106">
        <v>-20</v>
      </c>
      <c r="G430" s="106">
        <v>30</v>
      </c>
      <c r="H430" s="106">
        <v>22</v>
      </c>
      <c r="I430" s="106">
        <v>4300</v>
      </c>
      <c r="J430" s="106">
        <v>28</v>
      </c>
      <c r="K430" s="106">
        <v>103</v>
      </c>
      <c r="L430" s="106">
        <v>790</v>
      </c>
      <c r="M430" s="106">
        <v>0.92</v>
      </c>
      <c r="N430" s="106">
        <v>1025</v>
      </c>
      <c r="O430" s="106">
        <v>160</v>
      </c>
      <c r="P430" s="106">
        <v>2.7</v>
      </c>
      <c r="Q430" s="106">
        <v>0.4</v>
      </c>
      <c r="R430" s="106">
        <v>0.39</v>
      </c>
      <c r="S430" s="662">
        <v>0.5</v>
      </c>
      <c r="T430" s="662">
        <v>93</v>
      </c>
    </row>
    <row r="431" spans="2:20">
      <c r="B431" s="663" t="s">
        <v>17</v>
      </c>
      <c r="C431" s="664" t="s">
        <v>1591</v>
      </c>
      <c r="D431" s="583">
        <v>180</v>
      </c>
      <c r="E431" s="583">
        <v>-16</v>
      </c>
      <c r="F431" s="583">
        <v>-18</v>
      </c>
      <c r="G431" s="583">
        <v>31</v>
      </c>
      <c r="H431" s="583">
        <v>24</v>
      </c>
      <c r="I431" s="583">
        <v>3600</v>
      </c>
      <c r="J431" s="583">
        <v>28</v>
      </c>
      <c r="K431" s="583">
        <v>97</v>
      </c>
      <c r="L431" s="583">
        <v>760</v>
      </c>
      <c r="M431" s="583">
        <v>0.87</v>
      </c>
      <c r="N431" s="583">
        <v>825</v>
      </c>
      <c r="O431" s="583">
        <v>180</v>
      </c>
      <c r="P431" s="583">
        <v>0.9</v>
      </c>
      <c r="Q431" s="583">
        <v>0.4</v>
      </c>
      <c r="R431" s="583">
        <v>0.35</v>
      </c>
      <c r="S431" s="665">
        <v>0.45</v>
      </c>
      <c r="T431" s="665">
        <v>86</v>
      </c>
    </row>
    <row r="432" spans="2:20">
      <c r="B432" s="663" t="s">
        <v>17</v>
      </c>
      <c r="C432" s="663" t="s">
        <v>1503</v>
      </c>
      <c r="D432" s="106">
        <v>330</v>
      </c>
      <c r="E432" s="106">
        <v>-19</v>
      </c>
      <c r="F432" s="106">
        <v>-21</v>
      </c>
      <c r="G432" s="106">
        <v>29</v>
      </c>
      <c r="H432" s="106">
        <v>23</v>
      </c>
      <c r="I432" s="106">
        <v>4200</v>
      </c>
      <c r="J432" s="106">
        <v>28</v>
      </c>
      <c r="K432" s="106">
        <v>119</v>
      </c>
      <c r="L432" s="106">
        <v>780</v>
      </c>
      <c r="M432" s="106">
        <v>0.89</v>
      </c>
      <c r="N432" s="106">
        <v>925</v>
      </c>
      <c r="O432" s="106">
        <v>160</v>
      </c>
      <c r="P432" s="106">
        <v>2</v>
      </c>
      <c r="Q432" s="106">
        <v>0.4</v>
      </c>
      <c r="R432" s="106">
        <v>0.28999999999999998</v>
      </c>
      <c r="S432" s="662">
        <v>0.37</v>
      </c>
      <c r="T432" s="662">
        <v>81</v>
      </c>
    </row>
    <row r="433" spans="2:20">
      <c r="B433" s="663" t="s">
        <v>17</v>
      </c>
      <c r="C433" s="664" t="s">
        <v>1592</v>
      </c>
      <c r="D433" s="583">
        <v>240</v>
      </c>
      <c r="E433" s="583">
        <v>-17</v>
      </c>
      <c r="F433" s="583">
        <v>-19</v>
      </c>
      <c r="G433" s="583">
        <v>31</v>
      </c>
      <c r="H433" s="583">
        <v>24</v>
      </c>
      <c r="I433" s="583">
        <v>3740</v>
      </c>
      <c r="J433" s="583">
        <v>25</v>
      </c>
      <c r="K433" s="583">
        <v>108</v>
      </c>
      <c r="L433" s="583">
        <v>790</v>
      </c>
      <c r="M433" s="583">
        <v>0.9</v>
      </c>
      <c r="N433" s="583">
        <v>950</v>
      </c>
      <c r="O433" s="583">
        <v>160</v>
      </c>
      <c r="P433" s="583">
        <v>1.9</v>
      </c>
      <c r="Q433" s="583">
        <v>0.4</v>
      </c>
      <c r="R433" s="583">
        <v>0.36</v>
      </c>
      <c r="S433" s="665">
        <v>0.47</v>
      </c>
      <c r="T433" s="665">
        <v>91</v>
      </c>
    </row>
    <row r="434" spans="2:20">
      <c r="B434" s="663" t="s">
        <v>17</v>
      </c>
      <c r="C434" s="663" t="s">
        <v>1593</v>
      </c>
      <c r="D434" s="106">
        <v>290</v>
      </c>
      <c r="E434" s="106">
        <v>-34</v>
      </c>
      <c r="F434" s="106">
        <v>-36</v>
      </c>
      <c r="G434" s="106">
        <v>26</v>
      </c>
      <c r="H434" s="106">
        <v>21</v>
      </c>
      <c r="I434" s="106">
        <v>5840</v>
      </c>
      <c r="J434" s="106">
        <v>20</v>
      </c>
      <c r="K434" s="106">
        <v>93</v>
      </c>
      <c r="L434" s="106">
        <v>725</v>
      </c>
      <c r="M434" s="106">
        <v>0.93</v>
      </c>
      <c r="N434" s="106">
        <v>950</v>
      </c>
      <c r="O434" s="106">
        <v>160</v>
      </c>
      <c r="P434" s="106">
        <v>3.4</v>
      </c>
      <c r="Q434" s="106">
        <v>0.4</v>
      </c>
      <c r="R434" s="106">
        <v>0.3</v>
      </c>
      <c r="S434" s="662">
        <v>0.39</v>
      </c>
      <c r="T434" s="662">
        <v>83</v>
      </c>
    </row>
    <row r="435" spans="2:20">
      <c r="B435" s="663" t="s">
        <v>17</v>
      </c>
      <c r="C435" s="664" t="s">
        <v>1594</v>
      </c>
      <c r="D435" s="583">
        <v>180</v>
      </c>
      <c r="E435" s="583">
        <v>-15</v>
      </c>
      <c r="F435" s="583">
        <v>-17</v>
      </c>
      <c r="G435" s="583">
        <v>30</v>
      </c>
      <c r="H435" s="583">
        <v>23</v>
      </c>
      <c r="I435" s="583">
        <v>3670</v>
      </c>
      <c r="J435" s="583">
        <v>23</v>
      </c>
      <c r="K435" s="583">
        <v>103</v>
      </c>
      <c r="L435" s="583">
        <v>840</v>
      </c>
      <c r="M435" s="583">
        <v>0.96</v>
      </c>
      <c r="N435" s="583">
        <v>975</v>
      </c>
      <c r="O435" s="583">
        <v>160</v>
      </c>
      <c r="P435" s="583">
        <v>2</v>
      </c>
      <c r="Q435" s="583">
        <v>0.4</v>
      </c>
      <c r="R435" s="583">
        <v>0.33</v>
      </c>
      <c r="S435" s="665">
        <v>0.43</v>
      </c>
      <c r="T435" s="665">
        <v>86</v>
      </c>
    </row>
    <row r="436" spans="2:20">
      <c r="B436" s="663" t="s">
        <v>17</v>
      </c>
      <c r="C436" s="663" t="s">
        <v>1595</v>
      </c>
      <c r="D436" s="106">
        <v>215</v>
      </c>
      <c r="E436" s="106">
        <v>-16</v>
      </c>
      <c r="F436" s="106">
        <v>-18</v>
      </c>
      <c r="G436" s="106">
        <v>31</v>
      </c>
      <c r="H436" s="106">
        <v>24</v>
      </c>
      <c r="I436" s="106">
        <v>3700</v>
      </c>
      <c r="J436" s="106">
        <v>28</v>
      </c>
      <c r="K436" s="106">
        <v>103</v>
      </c>
      <c r="L436" s="106">
        <v>840</v>
      </c>
      <c r="M436" s="106">
        <v>0.95</v>
      </c>
      <c r="N436" s="106">
        <v>900</v>
      </c>
      <c r="O436" s="106">
        <v>180</v>
      </c>
      <c r="P436" s="106">
        <v>1.3</v>
      </c>
      <c r="Q436" s="106">
        <v>0.4</v>
      </c>
      <c r="R436" s="106">
        <v>0.36</v>
      </c>
      <c r="S436" s="662">
        <v>0.47</v>
      </c>
      <c r="T436" s="662">
        <v>91</v>
      </c>
    </row>
    <row r="437" spans="2:20">
      <c r="B437" s="663" t="s">
        <v>17</v>
      </c>
      <c r="C437" s="664" t="s">
        <v>1596</v>
      </c>
      <c r="D437" s="583">
        <v>85</v>
      </c>
      <c r="E437" s="583">
        <v>-20</v>
      </c>
      <c r="F437" s="583">
        <v>-22</v>
      </c>
      <c r="G437" s="583">
        <v>30</v>
      </c>
      <c r="H437" s="583">
        <v>23</v>
      </c>
      <c r="I437" s="583">
        <v>3820</v>
      </c>
      <c r="J437" s="583">
        <v>23</v>
      </c>
      <c r="K437" s="583">
        <v>86</v>
      </c>
      <c r="L437" s="583">
        <v>760</v>
      </c>
      <c r="M437" s="583">
        <v>0.9</v>
      </c>
      <c r="N437" s="583">
        <v>850</v>
      </c>
      <c r="O437" s="583">
        <v>160</v>
      </c>
      <c r="P437" s="583">
        <v>1.2</v>
      </c>
      <c r="Q437" s="583">
        <v>0.4</v>
      </c>
      <c r="R437" s="583">
        <v>0.37</v>
      </c>
      <c r="S437" s="665">
        <v>0.48</v>
      </c>
      <c r="T437" s="665">
        <v>100</v>
      </c>
    </row>
    <row r="438" spans="2:20">
      <c r="B438" s="663" t="s">
        <v>17</v>
      </c>
      <c r="C438" s="664" t="s">
        <v>1597</v>
      </c>
      <c r="D438" s="583">
        <v>375</v>
      </c>
      <c r="E438" s="583">
        <v>-39</v>
      </c>
      <c r="F438" s="583">
        <v>-42</v>
      </c>
      <c r="G438" s="583">
        <v>28</v>
      </c>
      <c r="H438" s="583">
        <v>21</v>
      </c>
      <c r="I438" s="583">
        <v>6150</v>
      </c>
      <c r="J438" s="583">
        <v>20</v>
      </c>
      <c r="K438" s="583">
        <v>92</v>
      </c>
      <c r="L438" s="583">
        <v>575</v>
      </c>
      <c r="M438" s="583">
        <v>0.8</v>
      </c>
      <c r="N438" s="583">
        <v>825</v>
      </c>
      <c r="O438" s="583">
        <v>100</v>
      </c>
      <c r="P438" s="583">
        <v>3.6</v>
      </c>
      <c r="Q438" s="583">
        <v>0.4</v>
      </c>
      <c r="R438" s="583">
        <v>0.23</v>
      </c>
      <c r="S438" s="665">
        <v>0.3</v>
      </c>
      <c r="T438" s="665">
        <v>69</v>
      </c>
    </row>
    <row r="439" spans="2:20">
      <c r="B439" s="663" t="s">
        <v>17</v>
      </c>
      <c r="C439" s="663" t="s">
        <v>1598</v>
      </c>
      <c r="D439" s="106">
        <v>185</v>
      </c>
      <c r="E439" s="106">
        <v>-19</v>
      </c>
      <c r="F439" s="106">
        <v>-21</v>
      </c>
      <c r="G439" s="106">
        <v>29</v>
      </c>
      <c r="H439" s="106">
        <v>22</v>
      </c>
      <c r="I439" s="106">
        <v>4300</v>
      </c>
      <c r="J439" s="106">
        <v>25</v>
      </c>
      <c r="K439" s="106">
        <v>103</v>
      </c>
      <c r="L439" s="106">
        <v>740</v>
      </c>
      <c r="M439" s="106">
        <v>0.91</v>
      </c>
      <c r="N439" s="106">
        <v>1000</v>
      </c>
      <c r="O439" s="106">
        <v>180</v>
      </c>
      <c r="P439" s="106">
        <v>2.7</v>
      </c>
      <c r="Q439" s="106">
        <v>0.4</v>
      </c>
      <c r="R439" s="106">
        <v>0.37</v>
      </c>
      <c r="S439" s="662">
        <v>0.48</v>
      </c>
      <c r="T439" s="662">
        <v>91</v>
      </c>
    </row>
    <row r="440" spans="2:20">
      <c r="B440" s="663" t="s">
        <v>17</v>
      </c>
      <c r="C440" s="664" t="s">
        <v>1505</v>
      </c>
      <c r="D440" s="583">
        <v>185</v>
      </c>
      <c r="E440" s="583">
        <v>-16</v>
      </c>
      <c r="F440" s="583">
        <v>-18</v>
      </c>
      <c r="G440" s="583">
        <v>32</v>
      </c>
      <c r="H440" s="583">
        <v>24</v>
      </c>
      <c r="I440" s="583">
        <v>3400</v>
      </c>
      <c r="J440" s="583">
        <v>28</v>
      </c>
      <c r="K440" s="583">
        <v>103</v>
      </c>
      <c r="L440" s="583">
        <v>800</v>
      </c>
      <c r="M440" s="583">
        <v>0.85</v>
      </c>
      <c r="N440" s="583">
        <v>900</v>
      </c>
      <c r="O440" s="583">
        <v>180</v>
      </c>
      <c r="P440" s="583">
        <v>0.8</v>
      </c>
      <c r="Q440" s="583">
        <v>0.4</v>
      </c>
      <c r="R440" s="583">
        <v>0.36</v>
      </c>
      <c r="S440" s="665">
        <v>0.47</v>
      </c>
      <c r="T440" s="665">
        <v>99</v>
      </c>
    </row>
    <row r="441" spans="2:20">
      <c r="B441" s="663" t="s">
        <v>17</v>
      </c>
      <c r="C441" s="663" t="s">
        <v>1599</v>
      </c>
      <c r="D441" s="106">
        <v>310</v>
      </c>
      <c r="E441" s="106">
        <v>-18</v>
      </c>
      <c r="F441" s="106">
        <v>-20</v>
      </c>
      <c r="G441" s="106">
        <v>30</v>
      </c>
      <c r="H441" s="106">
        <v>23</v>
      </c>
      <c r="I441" s="106">
        <v>4220</v>
      </c>
      <c r="J441" s="106">
        <v>28</v>
      </c>
      <c r="K441" s="106">
        <v>108</v>
      </c>
      <c r="L441" s="106">
        <v>780</v>
      </c>
      <c r="M441" s="106">
        <v>0.91</v>
      </c>
      <c r="N441" s="106">
        <v>1050</v>
      </c>
      <c r="O441" s="106">
        <v>160</v>
      </c>
      <c r="P441" s="106">
        <v>2.6</v>
      </c>
      <c r="Q441" s="106">
        <v>0.4</v>
      </c>
      <c r="R441" s="106">
        <v>0.39</v>
      </c>
      <c r="S441" s="662">
        <v>0.5</v>
      </c>
      <c r="T441" s="662">
        <v>93</v>
      </c>
    </row>
    <row r="442" spans="2:20">
      <c r="B442" s="663" t="s">
        <v>17</v>
      </c>
      <c r="C442" s="664" t="s">
        <v>1086</v>
      </c>
      <c r="D442" s="583">
        <v>300</v>
      </c>
      <c r="E442" s="583">
        <v>-19</v>
      </c>
      <c r="F442" s="583">
        <v>-21</v>
      </c>
      <c r="G442" s="583">
        <v>30</v>
      </c>
      <c r="H442" s="583">
        <v>23</v>
      </c>
      <c r="I442" s="583">
        <v>3910</v>
      </c>
      <c r="J442" s="583">
        <v>28</v>
      </c>
      <c r="K442" s="583">
        <v>113</v>
      </c>
      <c r="L442" s="583">
        <v>830</v>
      </c>
      <c r="M442" s="583">
        <v>0.94</v>
      </c>
      <c r="N442" s="583">
        <v>930</v>
      </c>
      <c r="O442" s="583">
        <v>160</v>
      </c>
      <c r="P442" s="583">
        <v>1.9</v>
      </c>
      <c r="Q442" s="583">
        <v>0.4</v>
      </c>
      <c r="R442" s="583">
        <v>0.34</v>
      </c>
      <c r="S442" s="665">
        <v>0.44</v>
      </c>
      <c r="T442" s="665">
        <v>81</v>
      </c>
    </row>
    <row r="443" spans="2:20">
      <c r="B443" s="663" t="s">
        <v>17</v>
      </c>
      <c r="C443" s="663" t="s">
        <v>1600</v>
      </c>
      <c r="D443" s="106">
        <v>215</v>
      </c>
      <c r="E443" s="106">
        <v>-16</v>
      </c>
      <c r="F443" s="106">
        <v>-18</v>
      </c>
      <c r="G443" s="106">
        <v>31</v>
      </c>
      <c r="H443" s="106">
        <v>24</v>
      </c>
      <c r="I443" s="106">
        <v>3700</v>
      </c>
      <c r="J443" s="106">
        <v>25</v>
      </c>
      <c r="K443" s="106">
        <v>103</v>
      </c>
      <c r="L443" s="106">
        <v>815</v>
      </c>
      <c r="M443" s="106">
        <v>0.92</v>
      </c>
      <c r="N443" s="106">
        <v>900</v>
      </c>
      <c r="O443" s="106">
        <v>180</v>
      </c>
      <c r="P443" s="106">
        <v>1.6</v>
      </c>
      <c r="Q443" s="106">
        <v>0.4</v>
      </c>
      <c r="R443" s="106">
        <v>0.36</v>
      </c>
      <c r="S443" s="662">
        <v>0.47</v>
      </c>
      <c r="T443" s="662">
        <v>91</v>
      </c>
    </row>
    <row r="444" spans="2:20">
      <c r="B444" s="129" t="s">
        <v>956</v>
      </c>
      <c r="C444" s="663" t="s">
        <v>812</v>
      </c>
      <c r="D444" s="106">
        <v>95</v>
      </c>
      <c r="E444" s="106">
        <v>-24</v>
      </c>
      <c r="F444" s="106">
        <v>-27</v>
      </c>
      <c r="G444" s="106">
        <v>30</v>
      </c>
      <c r="H444" s="106">
        <v>23</v>
      </c>
      <c r="I444" s="106">
        <v>4620</v>
      </c>
      <c r="J444" s="106">
        <v>21</v>
      </c>
      <c r="K444" s="106">
        <v>107</v>
      </c>
      <c r="L444" s="106">
        <v>860</v>
      </c>
      <c r="M444" s="106">
        <v>0.97</v>
      </c>
      <c r="N444" s="106">
        <v>1050</v>
      </c>
      <c r="O444" s="106">
        <v>180</v>
      </c>
      <c r="P444" s="106">
        <v>2.2999999999999998</v>
      </c>
      <c r="Q444" s="106">
        <v>0.4</v>
      </c>
      <c r="R444" s="106">
        <v>0.27</v>
      </c>
      <c r="S444" s="662">
        <v>0.35</v>
      </c>
      <c r="T444" s="662">
        <v>74</v>
      </c>
    </row>
    <row r="445" spans="2:20">
      <c r="B445" s="129" t="s">
        <v>956</v>
      </c>
      <c r="C445" s="664" t="s">
        <v>808</v>
      </c>
      <c r="D445" s="583">
        <v>110</v>
      </c>
      <c r="E445" s="583">
        <v>-31</v>
      </c>
      <c r="F445" s="583">
        <v>-33</v>
      </c>
      <c r="G445" s="583">
        <v>28</v>
      </c>
      <c r="H445" s="583">
        <v>22</v>
      </c>
      <c r="I445" s="583">
        <v>5800</v>
      </c>
      <c r="J445" s="583">
        <v>20</v>
      </c>
      <c r="K445" s="583">
        <v>91</v>
      </c>
      <c r="L445" s="583">
        <v>700</v>
      </c>
      <c r="M445" s="583">
        <v>0.86</v>
      </c>
      <c r="N445" s="583">
        <v>950</v>
      </c>
      <c r="O445" s="583">
        <v>160</v>
      </c>
      <c r="P445" s="583">
        <v>3.3</v>
      </c>
      <c r="Q445" s="583">
        <v>0.4</v>
      </c>
      <c r="R445" s="583">
        <v>0.27</v>
      </c>
      <c r="S445" s="665">
        <v>0.35</v>
      </c>
      <c r="T445" s="665">
        <v>74</v>
      </c>
    </row>
    <row r="446" spans="2:20">
      <c r="B446" s="129" t="s">
        <v>956</v>
      </c>
      <c r="C446" s="663" t="s">
        <v>851</v>
      </c>
      <c r="D446" s="106">
        <v>295</v>
      </c>
      <c r="E446" s="106">
        <v>-34</v>
      </c>
      <c r="F446" s="106">
        <v>-36</v>
      </c>
      <c r="G446" s="106">
        <v>28</v>
      </c>
      <c r="H446" s="106">
        <v>21</v>
      </c>
      <c r="I446" s="106">
        <v>6160</v>
      </c>
      <c r="J446" s="106">
        <v>20</v>
      </c>
      <c r="K446" s="106">
        <v>91</v>
      </c>
      <c r="L446" s="106">
        <v>670</v>
      </c>
      <c r="M446" s="106">
        <v>0.85</v>
      </c>
      <c r="N446" s="106">
        <v>920</v>
      </c>
      <c r="O446" s="106">
        <v>100</v>
      </c>
      <c r="P446" s="106">
        <v>3.2</v>
      </c>
      <c r="Q446" s="106">
        <v>0.3</v>
      </c>
      <c r="R446" s="106">
        <v>0.25</v>
      </c>
      <c r="S446" s="662">
        <v>0.32</v>
      </c>
      <c r="T446" s="662">
        <v>74</v>
      </c>
    </row>
    <row r="447" spans="2:20">
      <c r="B447" s="129" t="s">
        <v>956</v>
      </c>
      <c r="C447" s="663" t="s">
        <v>870</v>
      </c>
      <c r="D447" s="106">
        <v>35</v>
      </c>
      <c r="E447" s="106">
        <v>-25</v>
      </c>
      <c r="F447" s="106">
        <v>-28</v>
      </c>
      <c r="G447" s="106">
        <v>28</v>
      </c>
      <c r="H447" s="106">
        <v>23</v>
      </c>
      <c r="I447" s="106">
        <v>5130</v>
      </c>
      <c r="J447" s="106">
        <v>20</v>
      </c>
      <c r="K447" s="106">
        <v>102</v>
      </c>
      <c r="L447" s="106">
        <v>940</v>
      </c>
      <c r="M447" s="106">
        <v>1.06</v>
      </c>
      <c r="N447" s="106">
        <v>1200</v>
      </c>
      <c r="O447" s="106">
        <v>200</v>
      </c>
      <c r="P447" s="106">
        <v>3.4</v>
      </c>
      <c r="Q447" s="106">
        <v>0.6</v>
      </c>
      <c r="R447" s="106">
        <v>0.32</v>
      </c>
      <c r="S447" s="662">
        <v>0.41</v>
      </c>
      <c r="T447" s="662">
        <v>96</v>
      </c>
    </row>
    <row r="448" spans="2:20">
      <c r="B448" s="129" t="s">
        <v>956</v>
      </c>
      <c r="C448" s="663" t="s">
        <v>892</v>
      </c>
      <c r="D448" s="106">
        <v>90</v>
      </c>
      <c r="E448" s="106">
        <v>-25</v>
      </c>
      <c r="F448" s="106">
        <v>-28</v>
      </c>
      <c r="G448" s="106">
        <v>30</v>
      </c>
      <c r="H448" s="106">
        <v>23</v>
      </c>
      <c r="I448" s="106">
        <v>4520</v>
      </c>
      <c r="J448" s="106">
        <v>23</v>
      </c>
      <c r="K448" s="106">
        <v>91</v>
      </c>
      <c r="L448" s="106">
        <v>730</v>
      </c>
      <c r="M448" s="106">
        <v>0.84</v>
      </c>
      <c r="N448" s="106">
        <v>900</v>
      </c>
      <c r="O448" s="106">
        <v>160</v>
      </c>
      <c r="P448" s="106">
        <v>2.5</v>
      </c>
      <c r="Q448" s="106">
        <v>0.4</v>
      </c>
      <c r="R448" s="106">
        <v>0.32</v>
      </c>
      <c r="S448" s="662">
        <v>0.41</v>
      </c>
      <c r="T448" s="662">
        <v>84</v>
      </c>
    </row>
    <row r="449" spans="2:20">
      <c r="B449" s="129" t="s">
        <v>956</v>
      </c>
      <c r="C449" s="664" t="s">
        <v>913</v>
      </c>
      <c r="D449" s="583">
        <v>60</v>
      </c>
      <c r="E449" s="583">
        <v>-27</v>
      </c>
      <c r="F449" s="583">
        <v>-29</v>
      </c>
      <c r="G449" s="583">
        <v>25</v>
      </c>
      <c r="H449" s="583">
        <v>19</v>
      </c>
      <c r="I449" s="583">
        <v>6020</v>
      </c>
      <c r="J449" s="583">
        <v>16</v>
      </c>
      <c r="K449" s="583">
        <v>91</v>
      </c>
      <c r="L449" s="583">
        <v>680</v>
      </c>
      <c r="M449" s="583">
        <v>0.96</v>
      </c>
      <c r="N449" s="583">
        <v>1000</v>
      </c>
      <c r="O449" s="583">
        <v>220</v>
      </c>
      <c r="P449" s="583">
        <v>4.3</v>
      </c>
      <c r="Q449" s="583">
        <v>0.4</v>
      </c>
      <c r="R449" s="583">
        <v>0.39</v>
      </c>
      <c r="S449" s="665">
        <v>0.5</v>
      </c>
      <c r="T449" s="665">
        <v>103</v>
      </c>
    </row>
    <row r="450" spans="2:20">
      <c r="B450" s="129" t="s">
        <v>956</v>
      </c>
      <c r="C450" s="663" t="s">
        <v>927</v>
      </c>
      <c r="D450" s="106">
        <v>20</v>
      </c>
      <c r="E450" s="106">
        <v>-27</v>
      </c>
      <c r="F450" s="106">
        <v>-29</v>
      </c>
      <c r="G450" s="106">
        <v>28</v>
      </c>
      <c r="H450" s="106">
        <v>21</v>
      </c>
      <c r="I450" s="106">
        <v>5280</v>
      </c>
      <c r="J450" s="106">
        <v>18</v>
      </c>
      <c r="K450" s="106">
        <v>102</v>
      </c>
      <c r="L450" s="106">
        <v>730</v>
      </c>
      <c r="M450" s="106">
        <v>0.89</v>
      </c>
      <c r="N450" s="106">
        <v>1000</v>
      </c>
      <c r="O450" s="106">
        <v>180</v>
      </c>
      <c r="P450" s="106">
        <v>3.4</v>
      </c>
      <c r="Q450" s="106">
        <v>0.6</v>
      </c>
      <c r="R450" s="106">
        <v>0.37</v>
      </c>
      <c r="S450" s="662">
        <v>0.48</v>
      </c>
      <c r="T450" s="662">
        <v>98</v>
      </c>
    </row>
    <row r="451" spans="2:20">
      <c r="B451" s="129" t="s">
        <v>956</v>
      </c>
      <c r="C451" s="664" t="s">
        <v>946</v>
      </c>
      <c r="D451" s="583">
        <v>25</v>
      </c>
      <c r="E451" s="583">
        <v>-24</v>
      </c>
      <c r="F451" s="583">
        <v>-26</v>
      </c>
      <c r="G451" s="583">
        <v>30</v>
      </c>
      <c r="H451" s="583">
        <v>23</v>
      </c>
      <c r="I451" s="583">
        <v>4440</v>
      </c>
      <c r="J451" s="583">
        <v>23</v>
      </c>
      <c r="K451" s="583">
        <v>91</v>
      </c>
      <c r="L451" s="583">
        <v>780</v>
      </c>
      <c r="M451" s="583">
        <v>0.89</v>
      </c>
      <c r="N451" s="583">
        <v>950</v>
      </c>
      <c r="O451" s="583">
        <v>180</v>
      </c>
      <c r="P451" s="583">
        <v>2.2999999999999998</v>
      </c>
      <c r="Q451" s="583">
        <v>0.4</v>
      </c>
      <c r="R451" s="583">
        <v>0.33</v>
      </c>
      <c r="S451" s="665">
        <v>0.42</v>
      </c>
      <c r="T451" s="665">
        <v>84</v>
      </c>
    </row>
    <row r="452" spans="2:20">
      <c r="B452" s="129" t="s">
        <v>956</v>
      </c>
      <c r="C452" s="664" t="s">
        <v>964</v>
      </c>
      <c r="D452" s="583">
        <v>45</v>
      </c>
      <c r="E452" s="583">
        <v>-26</v>
      </c>
      <c r="F452" s="583">
        <v>-29</v>
      </c>
      <c r="G452" s="583">
        <v>28</v>
      </c>
      <c r="H452" s="583">
        <v>22</v>
      </c>
      <c r="I452" s="583">
        <v>5100</v>
      </c>
      <c r="J452" s="583">
        <v>20</v>
      </c>
      <c r="K452" s="583">
        <v>107</v>
      </c>
      <c r="L452" s="583">
        <v>980</v>
      </c>
      <c r="M452" s="583">
        <v>1.0900000000000001</v>
      </c>
      <c r="N452" s="583">
        <v>1200</v>
      </c>
      <c r="O452" s="583">
        <v>200</v>
      </c>
      <c r="P452" s="583">
        <v>3.4</v>
      </c>
      <c r="Q452" s="583">
        <v>0.6</v>
      </c>
      <c r="R452" s="583">
        <v>0.33</v>
      </c>
      <c r="S452" s="665">
        <v>0.42</v>
      </c>
      <c r="T452" s="665">
        <v>96</v>
      </c>
    </row>
    <row r="453" spans="2:20">
      <c r="B453" s="129" t="s">
        <v>956</v>
      </c>
      <c r="C453" s="663" t="s">
        <v>986</v>
      </c>
      <c r="D453" s="106">
        <v>55</v>
      </c>
      <c r="E453" s="106">
        <v>-24</v>
      </c>
      <c r="F453" s="106">
        <v>-26</v>
      </c>
      <c r="G453" s="106">
        <v>29</v>
      </c>
      <c r="H453" s="106">
        <v>23</v>
      </c>
      <c r="I453" s="106">
        <v>4420</v>
      </c>
      <c r="J453" s="106">
        <v>23</v>
      </c>
      <c r="K453" s="106">
        <v>91</v>
      </c>
      <c r="L453" s="106">
        <v>880</v>
      </c>
      <c r="M453" s="106">
        <v>0.99</v>
      </c>
      <c r="N453" s="106">
        <v>1260</v>
      </c>
      <c r="O453" s="106">
        <v>160</v>
      </c>
      <c r="P453" s="106">
        <v>2.1</v>
      </c>
      <c r="Q453" s="106">
        <v>0.4</v>
      </c>
      <c r="R453" s="106">
        <v>0.32</v>
      </c>
      <c r="S453" s="662">
        <v>0.41</v>
      </c>
      <c r="T453" s="662">
        <v>84</v>
      </c>
    </row>
    <row r="454" spans="2:20">
      <c r="B454" s="129" t="s">
        <v>956</v>
      </c>
      <c r="C454" s="664" t="s">
        <v>1006</v>
      </c>
      <c r="D454" s="583">
        <v>25</v>
      </c>
      <c r="E454" s="583">
        <v>-24</v>
      </c>
      <c r="F454" s="583">
        <v>-26</v>
      </c>
      <c r="G454" s="583">
        <v>30</v>
      </c>
      <c r="H454" s="583">
        <v>23</v>
      </c>
      <c r="I454" s="583">
        <v>4500</v>
      </c>
      <c r="J454" s="583">
        <v>23</v>
      </c>
      <c r="K454" s="583">
        <v>91</v>
      </c>
      <c r="L454" s="583">
        <v>840</v>
      </c>
      <c r="M454" s="583">
        <v>0.95</v>
      </c>
      <c r="N454" s="583">
        <v>1025</v>
      </c>
      <c r="O454" s="583">
        <v>180</v>
      </c>
      <c r="P454" s="583">
        <v>2.4</v>
      </c>
      <c r="Q454" s="583">
        <v>0.4</v>
      </c>
      <c r="R454" s="583">
        <v>0.28999999999999998</v>
      </c>
      <c r="S454" s="665">
        <v>0.37</v>
      </c>
      <c r="T454" s="665">
        <v>81</v>
      </c>
    </row>
    <row r="455" spans="2:20">
      <c r="B455" s="129" t="s">
        <v>956</v>
      </c>
      <c r="C455" s="663" t="s">
        <v>1018</v>
      </c>
      <c r="D455" s="106">
        <v>210</v>
      </c>
      <c r="E455" s="106">
        <v>-25</v>
      </c>
      <c r="F455" s="106">
        <v>-27</v>
      </c>
      <c r="G455" s="106">
        <v>29</v>
      </c>
      <c r="H455" s="106">
        <v>23</v>
      </c>
      <c r="I455" s="106">
        <v>4730</v>
      </c>
      <c r="J455" s="106">
        <v>23</v>
      </c>
      <c r="K455" s="106">
        <v>96</v>
      </c>
      <c r="L455" s="106">
        <v>990</v>
      </c>
      <c r="M455" s="106">
        <v>1.0900000000000001</v>
      </c>
      <c r="N455" s="106">
        <v>1240</v>
      </c>
      <c r="O455" s="106">
        <v>160</v>
      </c>
      <c r="P455" s="106">
        <v>2.5</v>
      </c>
      <c r="Q455" s="106">
        <v>0.4</v>
      </c>
      <c r="R455" s="106">
        <v>0.28999999999999998</v>
      </c>
      <c r="S455" s="662">
        <v>0.37</v>
      </c>
      <c r="T455" s="662">
        <v>81</v>
      </c>
    </row>
    <row r="456" spans="2:20">
      <c r="B456" s="129" t="s">
        <v>956</v>
      </c>
      <c r="C456" s="664" t="s">
        <v>1033</v>
      </c>
      <c r="D456" s="583">
        <v>15</v>
      </c>
      <c r="E456" s="583">
        <v>-24</v>
      </c>
      <c r="F456" s="583">
        <v>-26</v>
      </c>
      <c r="G456" s="583">
        <v>30</v>
      </c>
      <c r="H456" s="583">
        <v>23</v>
      </c>
      <c r="I456" s="583">
        <v>4420</v>
      </c>
      <c r="J456" s="583">
        <v>23</v>
      </c>
      <c r="K456" s="583">
        <v>91</v>
      </c>
      <c r="L456" s="583">
        <v>800</v>
      </c>
      <c r="M456" s="583">
        <v>0.9</v>
      </c>
      <c r="N456" s="583">
        <v>1025</v>
      </c>
      <c r="O456" s="583">
        <v>180</v>
      </c>
      <c r="P456" s="583">
        <v>2.4</v>
      </c>
      <c r="Q456" s="583">
        <v>0.4</v>
      </c>
      <c r="R456" s="583">
        <v>0.33</v>
      </c>
      <c r="S456" s="665">
        <v>0.42</v>
      </c>
      <c r="T456" s="665">
        <v>84</v>
      </c>
    </row>
    <row r="457" spans="2:20">
      <c r="B457" s="129" t="s">
        <v>956</v>
      </c>
      <c r="C457" s="663" t="s">
        <v>1047</v>
      </c>
      <c r="D457" s="106">
        <v>130</v>
      </c>
      <c r="E457" s="106">
        <v>-26</v>
      </c>
      <c r="F457" s="106">
        <v>-28</v>
      </c>
      <c r="G457" s="106">
        <v>30</v>
      </c>
      <c r="H457" s="106">
        <v>23</v>
      </c>
      <c r="I457" s="106">
        <v>4880</v>
      </c>
      <c r="J457" s="106">
        <v>23</v>
      </c>
      <c r="K457" s="106">
        <v>91</v>
      </c>
      <c r="L457" s="106">
        <v>810</v>
      </c>
      <c r="M457" s="106">
        <v>0.94</v>
      </c>
      <c r="N457" s="106">
        <v>990</v>
      </c>
      <c r="O457" s="106">
        <v>160</v>
      </c>
      <c r="P457" s="106">
        <v>2.6</v>
      </c>
      <c r="Q457" s="106">
        <v>0.4</v>
      </c>
      <c r="R457" s="106">
        <v>0.31</v>
      </c>
      <c r="S457" s="662">
        <v>0.4</v>
      </c>
      <c r="T457" s="662">
        <v>84</v>
      </c>
    </row>
    <row r="458" spans="2:20">
      <c r="B458" s="129" t="s">
        <v>956</v>
      </c>
      <c r="C458" s="664" t="s">
        <v>1061</v>
      </c>
      <c r="D458" s="583">
        <v>115</v>
      </c>
      <c r="E458" s="583">
        <v>-28</v>
      </c>
      <c r="F458" s="583">
        <v>-30</v>
      </c>
      <c r="G458" s="583">
        <v>30</v>
      </c>
      <c r="H458" s="583">
        <v>23</v>
      </c>
      <c r="I458" s="583">
        <v>4900</v>
      </c>
      <c r="J458" s="583">
        <v>23</v>
      </c>
      <c r="K458" s="583">
        <v>96</v>
      </c>
      <c r="L458" s="583">
        <v>700</v>
      </c>
      <c r="M458" s="583">
        <v>0.83</v>
      </c>
      <c r="N458" s="583">
        <v>850</v>
      </c>
      <c r="O458" s="583">
        <v>140</v>
      </c>
      <c r="P458" s="583">
        <v>2.6</v>
      </c>
      <c r="Q458" s="583">
        <v>0.4</v>
      </c>
      <c r="R458" s="583">
        <v>0.25</v>
      </c>
      <c r="S458" s="665">
        <v>0.32</v>
      </c>
      <c r="T458" s="665">
        <v>74</v>
      </c>
    </row>
    <row r="459" spans="2:20">
      <c r="B459" s="129" t="s">
        <v>956</v>
      </c>
      <c r="C459" s="663" t="s">
        <v>1077</v>
      </c>
      <c r="D459" s="106">
        <v>20</v>
      </c>
      <c r="E459" s="106">
        <v>-24</v>
      </c>
      <c r="F459" s="106">
        <v>-26</v>
      </c>
      <c r="G459" s="106">
        <v>30</v>
      </c>
      <c r="H459" s="106">
        <v>23</v>
      </c>
      <c r="I459" s="106">
        <v>4450</v>
      </c>
      <c r="J459" s="106">
        <v>23</v>
      </c>
      <c r="K459" s="106">
        <v>91</v>
      </c>
      <c r="L459" s="106">
        <v>850</v>
      </c>
      <c r="M459" s="106">
        <v>0.96</v>
      </c>
      <c r="N459" s="106">
        <v>1000</v>
      </c>
      <c r="O459" s="106">
        <v>160</v>
      </c>
      <c r="P459" s="106">
        <v>2.2999999999999998</v>
      </c>
      <c r="Q459" s="106">
        <v>0.4</v>
      </c>
      <c r="R459" s="106">
        <v>0.31</v>
      </c>
      <c r="S459" s="662">
        <v>0.4</v>
      </c>
      <c r="T459" s="662">
        <v>84</v>
      </c>
    </row>
    <row r="460" spans="2:20">
      <c r="B460" s="129" t="s">
        <v>956</v>
      </c>
      <c r="C460" s="664" t="s">
        <v>1089</v>
      </c>
      <c r="D460" s="583">
        <v>295</v>
      </c>
      <c r="E460" s="583">
        <v>-25</v>
      </c>
      <c r="F460" s="583">
        <v>-27</v>
      </c>
      <c r="G460" s="583">
        <v>28</v>
      </c>
      <c r="H460" s="583">
        <v>22</v>
      </c>
      <c r="I460" s="583">
        <v>4750</v>
      </c>
      <c r="J460" s="583">
        <v>23</v>
      </c>
      <c r="K460" s="583">
        <v>96</v>
      </c>
      <c r="L460" s="583">
        <v>860</v>
      </c>
      <c r="M460" s="583">
        <v>1</v>
      </c>
      <c r="N460" s="583">
        <v>1060</v>
      </c>
      <c r="O460" s="583">
        <v>160</v>
      </c>
      <c r="P460" s="583">
        <v>2.2999999999999998</v>
      </c>
      <c r="Q460" s="583">
        <v>0.6</v>
      </c>
      <c r="R460" s="583">
        <v>0.27</v>
      </c>
      <c r="S460" s="665">
        <v>0.35</v>
      </c>
      <c r="T460" s="665">
        <v>81</v>
      </c>
    </row>
    <row r="461" spans="2:20">
      <c r="B461" s="129" t="s">
        <v>956</v>
      </c>
      <c r="C461" s="663" t="s">
        <v>1101</v>
      </c>
      <c r="D461" s="106">
        <v>10</v>
      </c>
      <c r="E461" s="106">
        <v>-25</v>
      </c>
      <c r="F461" s="106">
        <v>-27</v>
      </c>
      <c r="G461" s="106">
        <v>30</v>
      </c>
      <c r="H461" s="106">
        <v>23</v>
      </c>
      <c r="I461" s="106">
        <v>4500</v>
      </c>
      <c r="J461" s="106">
        <v>20</v>
      </c>
      <c r="K461" s="106">
        <v>102</v>
      </c>
      <c r="L461" s="106">
        <v>810</v>
      </c>
      <c r="M461" s="106">
        <v>0.94</v>
      </c>
      <c r="N461" s="106">
        <v>1000</v>
      </c>
      <c r="O461" s="106">
        <v>180</v>
      </c>
      <c r="P461" s="106">
        <v>2.8</v>
      </c>
      <c r="Q461" s="106">
        <v>0.4</v>
      </c>
      <c r="R461" s="106">
        <v>0.33</v>
      </c>
      <c r="S461" s="662">
        <v>0.43</v>
      </c>
      <c r="T461" s="662">
        <v>87</v>
      </c>
    </row>
    <row r="462" spans="2:20">
      <c r="B462" s="129" t="s">
        <v>956</v>
      </c>
      <c r="C462" s="664" t="s">
        <v>1110</v>
      </c>
      <c r="D462" s="583">
        <v>120</v>
      </c>
      <c r="E462" s="583">
        <v>-25</v>
      </c>
      <c r="F462" s="583">
        <v>-27</v>
      </c>
      <c r="G462" s="583">
        <v>29</v>
      </c>
      <c r="H462" s="583">
        <v>23</v>
      </c>
      <c r="I462" s="583">
        <v>4540</v>
      </c>
      <c r="J462" s="583">
        <v>23</v>
      </c>
      <c r="K462" s="583">
        <v>91</v>
      </c>
      <c r="L462" s="583">
        <v>940</v>
      </c>
      <c r="M462" s="583">
        <v>1.04</v>
      </c>
      <c r="N462" s="583">
        <v>1150</v>
      </c>
      <c r="O462" s="583">
        <v>160</v>
      </c>
      <c r="P462" s="583">
        <v>2.2999999999999998</v>
      </c>
      <c r="Q462" s="583">
        <v>0.4</v>
      </c>
      <c r="R462" s="583">
        <v>0.32</v>
      </c>
      <c r="S462" s="665">
        <v>0.41</v>
      </c>
      <c r="T462" s="665">
        <v>84</v>
      </c>
    </row>
    <row r="463" spans="2:20">
      <c r="B463" s="129" t="s">
        <v>956</v>
      </c>
      <c r="C463" s="663" t="s">
        <v>1121</v>
      </c>
      <c r="D463" s="106">
        <v>25</v>
      </c>
      <c r="E463" s="106">
        <v>-25</v>
      </c>
      <c r="F463" s="106">
        <v>-27</v>
      </c>
      <c r="G463" s="106">
        <v>29</v>
      </c>
      <c r="H463" s="106">
        <v>23</v>
      </c>
      <c r="I463" s="106">
        <v>4440</v>
      </c>
      <c r="J463" s="106">
        <v>23</v>
      </c>
      <c r="K463" s="106">
        <v>96</v>
      </c>
      <c r="L463" s="106">
        <v>820</v>
      </c>
      <c r="M463" s="106">
        <v>0.92</v>
      </c>
      <c r="N463" s="106">
        <v>1025</v>
      </c>
      <c r="O463" s="106">
        <v>160</v>
      </c>
      <c r="P463" s="106">
        <v>2.4</v>
      </c>
      <c r="Q463" s="106">
        <v>0.4</v>
      </c>
      <c r="R463" s="106">
        <v>0.28999999999999998</v>
      </c>
      <c r="S463" s="662">
        <v>0.37</v>
      </c>
      <c r="T463" s="662">
        <v>84</v>
      </c>
    </row>
    <row r="464" spans="2:20">
      <c r="B464" s="129" t="s">
        <v>956</v>
      </c>
      <c r="C464" s="664" t="s">
        <v>1131</v>
      </c>
      <c r="D464" s="583">
        <v>120</v>
      </c>
      <c r="E464" s="583">
        <v>-32</v>
      </c>
      <c r="F464" s="583">
        <v>-34</v>
      </c>
      <c r="G464" s="583">
        <v>28</v>
      </c>
      <c r="H464" s="583">
        <v>22</v>
      </c>
      <c r="I464" s="583">
        <v>6250</v>
      </c>
      <c r="J464" s="583">
        <v>22</v>
      </c>
      <c r="K464" s="583">
        <v>91</v>
      </c>
      <c r="L464" s="583">
        <v>670</v>
      </c>
      <c r="M464" s="583">
        <v>0.85</v>
      </c>
      <c r="N464" s="583">
        <v>900</v>
      </c>
      <c r="O464" s="583">
        <v>140</v>
      </c>
      <c r="P464" s="583">
        <v>3.5</v>
      </c>
      <c r="Q464" s="583">
        <v>0.3</v>
      </c>
      <c r="R464" s="583">
        <v>0.27</v>
      </c>
      <c r="S464" s="665">
        <v>0.35</v>
      </c>
      <c r="T464" s="665">
        <v>78</v>
      </c>
    </row>
    <row r="465" spans="2:20">
      <c r="B465" s="129" t="s">
        <v>956</v>
      </c>
      <c r="C465" s="663" t="s">
        <v>1139</v>
      </c>
      <c r="D465" s="106">
        <v>25</v>
      </c>
      <c r="E465" s="106">
        <v>-24</v>
      </c>
      <c r="F465" s="106">
        <v>-26</v>
      </c>
      <c r="G465" s="106">
        <v>30</v>
      </c>
      <c r="H465" s="106">
        <v>23</v>
      </c>
      <c r="I465" s="106">
        <v>4400</v>
      </c>
      <c r="J465" s="106">
        <v>23</v>
      </c>
      <c r="K465" s="106">
        <v>91</v>
      </c>
      <c r="L465" s="106">
        <v>760</v>
      </c>
      <c r="M465" s="106">
        <v>0.85</v>
      </c>
      <c r="N465" s="106">
        <v>940</v>
      </c>
      <c r="O465" s="106">
        <v>180</v>
      </c>
      <c r="P465" s="106">
        <v>2.4</v>
      </c>
      <c r="Q465" s="106">
        <v>0.4</v>
      </c>
      <c r="R465" s="106">
        <v>0.33</v>
      </c>
      <c r="S465" s="662">
        <v>0.42</v>
      </c>
      <c r="T465" s="662">
        <v>84</v>
      </c>
    </row>
    <row r="466" spans="2:20">
      <c r="B466" s="129" t="s">
        <v>956</v>
      </c>
      <c r="C466" s="663" t="s">
        <v>1151</v>
      </c>
      <c r="D466" s="106">
        <v>85</v>
      </c>
      <c r="E466" s="106">
        <v>-26</v>
      </c>
      <c r="F466" s="106">
        <v>-28</v>
      </c>
      <c r="G466" s="106">
        <v>30</v>
      </c>
      <c r="H466" s="106">
        <v>23</v>
      </c>
      <c r="I466" s="106">
        <v>4700</v>
      </c>
      <c r="J466" s="106">
        <v>22</v>
      </c>
      <c r="K466" s="106">
        <v>107</v>
      </c>
      <c r="L466" s="106">
        <v>870</v>
      </c>
      <c r="M466" s="106">
        <v>0.98</v>
      </c>
      <c r="N466" s="106">
        <v>1075</v>
      </c>
      <c r="O466" s="106">
        <v>180</v>
      </c>
      <c r="P466" s="106">
        <v>2.5</v>
      </c>
      <c r="Q466" s="106">
        <v>0.4</v>
      </c>
      <c r="R466" s="106">
        <v>0.27</v>
      </c>
      <c r="S466" s="662">
        <v>0.35</v>
      </c>
      <c r="T466" s="662">
        <v>74</v>
      </c>
    </row>
    <row r="467" spans="2:20">
      <c r="B467" s="129" t="s">
        <v>956</v>
      </c>
      <c r="C467" s="664" t="s">
        <v>1160</v>
      </c>
      <c r="D467" s="583">
        <v>60</v>
      </c>
      <c r="E467" s="583">
        <v>-24</v>
      </c>
      <c r="F467" s="583">
        <v>-26</v>
      </c>
      <c r="G467" s="583">
        <v>29</v>
      </c>
      <c r="H467" s="583">
        <v>23</v>
      </c>
      <c r="I467" s="583">
        <v>4500</v>
      </c>
      <c r="J467" s="583">
        <v>23</v>
      </c>
      <c r="K467" s="583">
        <v>96</v>
      </c>
      <c r="L467" s="583">
        <v>910</v>
      </c>
      <c r="M467" s="583">
        <v>1.01</v>
      </c>
      <c r="N467" s="583">
        <v>1050</v>
      </c>
      <c r="O467" s="583">
        <v>180</v>
      </c>
      <c r="P467" s="583">
        <v>2.5</v>
      </c>
      <c r="Q467" s="583">
        <v>0.4</v>
      </c>
      <c r="R467" s="583">
        <v>0.28999999999999998</v>
      </c>
      <c r="S467" s="665">
        <v>0.37</v>
      </c>
      <c r="T467" s="665">
        <v>84</v>
      </c>
    </row>
    <row r="468" spans="2:20">
      <c r="B468" s="129" t="s">
        <v>956</v>
      </c>
      <c r="C468" s="663" t="s">
        <v>1169</v>
      </c>
      <c r="D468" s="106">
        <v>110</v>
      </c>
      <c r="E468" s="106">
        <v>-28</v>
      </c>
      <c r="F468" s="106">
        <v>-30</v>
      </c>
      <c r="G468" s="106">
        <v>30</v>
      </c>
      <c r="H468" s="106">
        <v>23</v>
      </c>
      <c r="I468" s="106">
        <v>4950</v>
      </c>
      <c r="J468" s="106">
        <v>23</v>
      </c>
      <c r="K468" s="106">
        <v>96</v>
      </c>
      <c r="L468" s="106">
        <v>720</v>
      </c>
      <c r="M468" s="106">
        <v>0.86</v>
      </c>
      <c r="N468" s="106">
        <v>900</v>
      </c>
      <c r="O468" s="106">
        <v>100</v>
      </c>
      <c r="P468" s="106">
        <v>2.5</v>
      </c>
      <c r="Q468" s="106">
        <v>0.4</v>
      </c>
      <c r="R468" s="106">
        <v>0.25</v>
      </c>
      <c r="S468" s="662">
        <v>0.32</v>
      </c>
      <c r="T468" s="662">
        <v>74</v>
      </c>
    </row>
    <row r="469" spans="2:20">
      <c r="B469" s="129" t="s">
        <v>956</v>
      </c>
      <c r="C469" s="663" t="s">
        <v>1174</v>
      </c>
      <c r="D469" s="106">
        <v>55</v>
      </c>
      <c r="E469" s="106">
        <v>-25</v>
      </c>
      <c r="F469" s="106" t="s">
        <v>1638</v>
      </c>
      <c r="G469" s="106">
        <v>26</v>
      </c>
      <c r="H469" s="106">
        <v>20</v>
      </c>
      <c r="I469" s="106">
        <v>5500</v>
      </c>
      <c r="J469" s="106">
        <v>19</v>
      </c>
      <c r="K469" s="106">
        <v>118</v>
      </c>
      <c r="L469" s="106">
        <v>760</v>
      </c>
      <c r="M469" s="106">
        <v>0.96</v>
      </c>
      <c r="N469" s="106">
        <v>1100</v>
      </c>
      <c r="O469" s="106">
        <v>300</v>
      </c>
      <c r="P469" s="106">
        <v>4.3</v>
      </c>
      <c r="Q469" s="106">
        <v>0.6</v>
      </c>
      <c r="R469" s="106">
        <v>0.37</v>
      </c>
      <c r="S469" s="662">
        <v>0.48</v>
      </c>
      <c r="T469" s="662">
        <v>117</v>
      </c>
    </row>
    <row r="470" spans="2:20">
      <c r="B470" s="129" t="s">
        <v>956</v>
      </c>
      <c r="C470" s="664" t="s">
        <v>1180</v>
      </c>
      <c r="D470" s="583">
        <v>95</v>
      </c>
      <c r="E470" s="583">
        <v>-25</v>
      </c>
      <c r="F470" s="583">
        <v>-28</v>
      </c>
      <c r="G470" s="583">
        <v>30</v>
      </c>
      <c r="H470" s="583">
        <v>23</v>
      </c>
      <c r="I470" s="583">
        <v>4600</v>
      </c>
      <c r="J470" s="583">
        <v>23</v>
      </c>
      <c r="K470" s="583">
        <v>91</v>
      </c>
      <c r="L470" s="583">
        <v>790</v>
      </c>
      <c r="M470" s="583">
        <v>0.92</v>
      </c>
      <c r="N470" s="583">
        <v>950</v>
      </c>
      <c r="O470" s="583">
        <v>160</v>
      </c>
      <c r="P470" s="583">
        <v>2.5</v>
      </c>
      <c r="Q470" s="583">
        <v>0.4</v>
      </c>
      <c r="R470" s="583">
        <v>0.32</v>
      </c>
      <c r="S470" s="665">
        <v>0.41</v>
      </c>
      <c r="T470" s="665">
        <v>84</v>
      </c>
    </row>
    <row r="471" spans="2:20">
      <c r="B471" s="129" t="s">
        <v>956</v>
      </c>
      <c r="C471" s="663" t="s">
        <v>1186</v>
      </c>
      <c r="D471" s="106">
        <v>175</v>
      </c>
      <c r="E471" s="106">
        <v>-28</v>
      </c>
      <c r="F471" s="106">
        <v>-31</v>
      </c>
      <c r="G471" s="106">
        <v>30</v>
      </c>
      <c r="H471" s="106">
        <v>23</v>
      </c>
      <c r="I471" s="106">
        <v>5080</v>
      </c>
      <c r="J471" s="106">
        <v>23</v>
      </c>
      <c r="K471" s="106">
        <v>96</v>
      </c>
      <c r="L471" s="106">
        <v>700</v>
      </c>
      <c r="M471" s="106">
        <v>0.85</v>
      </c>
      <c r="N471" s="106">
        <v>950</v>
      </c>
      <c r="O471" s="106">
        <v>140</v>
      </c>
      <c r="P471" s="106">
        <v>2.6</v>
      </c>
      <c r="Q471" s="106">
        <v>0.4</v>
      </c>
      <c r="R471" s="106">
        <v>0.25</v>
      </c>
      <c r="S471" s="662">
        <v>0.32</v>
      </c>
      <c r="T471" s="662">
        <v>74</v>
      </c>
    </row>
    <row r="472" spans="2:20">
      <c r="B472" s="129" t="s">
        <v>956</v>
      </c>
      <c r="C472" s="664" t="s">
        <v>1194</v>
      </c>
      <c r="D472" s="583">
        <v>120</v>
      </c>
      <c r="E472" s="583">
        <v>-25</v>
      </c>
      <c r="F472" s="583">
        <v>-27</v>
      </c>
      <c r="G472" s="583">
        <v>29</v>
      </c>
      <c r="H472" s="583">
        <v>23</v>
      </c>
      <c r="I472" s="583">
        <v>4500</v>
      </c>
      <c r="J472" s="583">
        <v>23</v>
      </c>
      <c r="K472" s="583">
        <v>102</v>
      </c>
      <c r="L472" s="583">
        <v>940</v>
      </c>
      <c r="M472" s="583">
        <v>1.04</v>
      </c>
      <c r="N472" s="583">
        <v>1175</v>
      </c>
      <c r="O472" s="583">
        <v>160</v>
      </c>
      <c r="P472" s="583">
        <v>2.2999999999999998</v>
      </c>
      <c r="Q472" s="583">
        <v>0.4</v>
      </c>
      <c r="R472" s="583">
        <v>0.27</v>
      </c>
      <c r="S472" s="665">
        <v>0.35</v>
      </c>
      <c r="T472" s="665">
        <v>78</v>
      </c>
    </row>
    <row r="473" spans="2:20">
      <c r="B473" s="129" t="s">
        <v>956</v>
      </c>
      <c r="C473" s="663" t="s">
        <v>1200</v>
      </c>
      <c r="D473" s="106">
        <v>30</v>
      </c>
      <c r="E473" s="106">
        <v>-27</v>
      </c>
      <c r="F473" s="106">
        <v>-29</v>
      </c>
      <c r="G473" s="106">
        <v>19</v>
      </c>
      <c r="H473" s="106">
        <v>16</v>
      </c>
      <c r="I473" s="106">
        <v>6150</v>
      </c>
      <c r="J473" s="106">
        <v>15</v>
      </c>
      <c r="K473" s="106">
        <v>96</v>
      </c>
      <c r="L473" s="106">
        <v>900</v>
      </c>
      <c r="M473" s="106">
        <v>1.18</v>
      </c>
      <c r="N473" s="106">
        <v>1150</v>
      </c>
      <c r="O473" s="106">
        <v>300</v>
      </c>
      <c r="P473" s="106">
        <v>4.9000000000000004</v>
      </c>
      <c r="Q473" s="106">
        <v>0.6</v>
      </c>
      <c r="R473" s="106">
        <v>0.56000000000000005</v>
      </c>
      <c r="S473" s="662">
        <v>0.72</v>
      </c>
      <c r="T473" s="662">
        <v>127</v>
      </c>
    </row>
    <row r="474" spans="2:20">
      <c r="B474" s="129" t="s">
        <v>956</v>
      </c>
      <c r="C474" s="664" t="s">
        <v>1206</v>
      </c>
      <c r="D474" s="583">
        <v>5</v>
      </c>
      <c r="E474" s="583">
        <v>-27</v>
      </c>
      <c r="F474" s="583">
        <v>-29</v>
      </c>
      <c r="G474" s="583">
        <v>22</v>
      </c>
      <c r="H474" s="583">
        <v>18</v>
      </c>
      <c r="I474" s="583">
        <v>6100</v>
      </c>
      <c r="J474" s="583">
        <v>15</v>
      </c>
      <c r="K474" s="583">
        <v>96</v>
      </c>
      <c r="L474" s="583">
        <v>780</v>
      </c>
      <c r="M474" s="583">
        <v>1.05</v>
      </c>
      <c r="N474" s="583">
        <v>1125</v>
      </c>
      <c r="O474" s="583">
        <v>300</v>
      </c>
      <c r="P474" s="583">
        <v>4.0999999999999996</v>
      </c>
      <c r="Q474" s="583">
        <v>0.6</v>
      </c>
      <c r="R474" s="583">
        <v>0.48</v>
      </c>
      <c r="S474" s="665">
        <v>0.63</v>
      </c>
      <c r="T474" s="665">
        <v>117</v>
      </c>
    </row>
    <row r="475" spans="2:20">
      <c r="B475" s="129" t="s">
        <v>956</v>
      </c>
      <c r="C475" s="663" t="s">
        <v>1211</v>
      </c>
      <c r="D475" s="106">
        <v>75</v>
      </c>
      <c r="E475" s="106">
        <v>-24</v>
      </c>
      <c r="F475" s="106" t="s">
        <v>1638</v>
      </c>
      <c r="G475" s="106">
        <v>30</v>
      </c>
      <c r="H475" s="106">
        <v>23</v>
      </c>
      <c r="I475" s="106">
        <v>4380</v>
      </c>
      <c r="J475" s="106">
        <v>23</v>
      </c>
      <c r="K475" s="106">
        <v>91</v>
      </c>
      <c r="L475" s="106">
        <v>770</v>
      </c>
      <c r="M475" s="106">
        <v>0.89</v>
      </c>
      <c r="N475" s="106">
        <v>1025</v>
      </c>
      <c r="O475" s="106">
        <v>160</v>
      </c>
      <c r="P475" s="106">
        <v>2.4</v>
      </c>
      <c r="Q475" s="106">
        <v>0.4</v>
      </c>
      <c r="R475" s="106">
        <v>0.31</v>
      </c>
      <c r="S475" s="662">
        <v>0.4</v>
      </c>
      <c r="T475" s="662">
        <v>84</v>
      </c>
    </row>
    <row r="476" spans="2:20">
      <c r="B476" s="129" t="s">
        <v>956</v>
      </c>
      <c r="C476" s="664" t="s">
        <v>1215</v>
      </c>
      <c r="D476" s="583">
        <v>65</v>
      </c>
      <c r="E476" s="583">
        <v>-25</v>
      </c>
      <c r="F476" s="583">
        <v>-28</v>
      </c>
      <c r="G476" s="583">
        <v>30</v>
      </c>
      <c r="H476" s="583">
        <v>23</v>
      </c>
      <c r="I476" s="583">
        <v>4550</v>
      </c>
      <c r="J476" s="583">
        <v>23</v>
      </c>
      <c r="K476" s="583">
        <v>91</v>
      </c>
      <c r="L476" s="583">
        <v>730</v>
      </c>
      <c r="M476" s="583">
        <v>0.84</v>
      </c>
      <c r="N476" s="583">
        <v>900</v>
      </c>
      <c r="O476" s="583">
        <v>160</v>
      </c>
      <c r="P476" s="583">
        <v>2.4</v>
      </c>
      <c r="Q476" s="583">
        <v>0.4</v>
      </c>
      <c r="R476" s="583">
        <v>0.32</v>
      </c>
      <c r="S476" s="665">
        <v>0.41</v>
      </c>
      <c r="T476" s="665">
        <v>84</v>
      </c>
    </row>
    <row r="477" spans="2:20">
      <c r="B477" s="129" t="s">
        <v>956</v>
      </c>
      <c r="C477" s="663" t="s">
        <v>1220</v>
      </c>
      <c r="D477" s="106">
        <v>45</v>
      </c>
      <c r="E477" s="106">
        <v>-26</v>
      </c>
      <c r="F477" s="106">
        <v>-28</v>
      </c>
      <c r="G477" s="106">
        <v>29</v>
      </c>
      <c r="H477" s="106">
        <v>23</v>
      </c>
      <c r="I477" s="106">
        <v>4720</v>
      </c>
      <c r="J477" s="106">
        <v>21</v>
      </c>
      <c r="K477" s="106">
        <v>102</v>
      </c>
      <c r="L477" s="106">
        <v>790</v>
      </c>
      <c r="M477" s="106">
        <v>0.93</v>
      </c>
      <c r="N477" s="106">
        <v>1000</v>
      </c>
      <c r="O477" s="106">
        <v>160</v>
      </c>
      <c r="P477" s="106">
        <v>3.1</v>
      </c>
      <c r="Q477" s="106">
        <v>0.4</v>
      </c>
      <c r="R477" s="106">
        <v>0.28000000000000003</v>
      </c>
      <c r="S477" s="662">
        <v>0.36</v>
      </c>
      <c r="T477" s="662">
        <v>79</v>
      </c>
    </row>
    <row r="478" spans="2:20">
      <c r="B478" s="129" t="s">
        <v>956</v>
      </c>
      <c r="C478" s="664" t="s">
        <v>1224</v>
      </c>
      <c r="D478" s="583">
        <v>25</v>
      </c>
      <c r="E478" s="583">
        <v>-37</v>
      </c>
      <c r="F478" s="583">
        <v>-39</v>
      </c>
      <c r="G478" s="583">
        <v>24</v>
      </c>
      <c r="H478" s="583">
        <v>17</v>
      </c>
      <c r="I478" s="583">
        <v>8550</v>
      </c>
      <c r="J478" s="583">
        <v>9</v>
      </c>
      <c r="K478" s="583">
        <v>54</v>
      </c>
      <c r="L478" s="583">
        <v>280</v>
      </c>
      <c r="M478" s="583">
        <v>0.8</v>
      </c>
      <c r="N478" s="583">
        <v>525</v>
      </c>
      <c r="O478" s="583">
        <v>260</v>
      </c>
      <c r="P478" s="583">
        <v>4.8</v>
      </c>
      <c r="Q478" s="583">
        <v>0.2</v>
      </c>
      <c r="R478" s="583">
        <v>0.47</v>
      </c>
      <c r="S478" s="665">
        <v>0.6</v>
      </c>
      <c r="T478" s="665">
        <v>112</v>
      </c>
    </row>
    <row r="479" spans="2:20">
      <c r="B479" s="129" t="s">
        <v>956</v>
      </c>
      <c r="C479" s="663" t="s">
        <v>1228</v>
      </c>
      <c r="D479" s="106">
        <v>20</v>
      </c>
      <c r="E479" s="106">
        <v>-36</v>
      </c>
      <c r="F479" s="106">
        <v>-38</v>
      </c>
      <c r="G479" s="106">
        <v>25</v>
      </c>
      <c r="H479" s="106">
        <v>17</v>
      </c>
      <c r="I479" s="106">
        <v>7990</v>
      </c>
      <c r="J479" s="106">
        <v>12</v>
      </c>
      <c r="K479" s="106">
        <v>80</v>
      </c>
      <c r="L479" s="106">
        <v>410</v>
      </c>
      <c r="M479" s="106">
        <v>0.85</v>
      </c>
      <c r="N479" s="106">
        <v>610</v>
      </c>
      <c r="O479" s="106">
        <v>180</v>
      </c>
      <c r="P479" s="106">
        <v>4.2</v>
      </c>
      <c r="Q479" s="106">
        <v>0.3</v>
      </c>
      <c r="R479" s="106">
        <v>0.43</v>
      </c>
      <c r="S479" s="662">
        <v>0.55000000000000004</v>
      </c>
      <c r="T479" s="662">
        <v>121</v>
      </c>
    </row>
    <row r="480" spans="2:20">
      <c r="B480" s="129" t="s">
        <v>956</v>
      </c>
      <c r="C480" s="663" t="s">
        <v>1232</v>
      </c>
      <c r="D480" s="106">
        <v>25</v>
      </c>
      <c r="E480" s="106">
        <v>-26</v>
      </c>
      <c r="F480" s="106">
        <v>-28</v>
      </c>
      <c r="G480" s="106">
        <v>28</v>
      </c>
      <c r="H480" s="106">
        <v>21</v>
      </c>
      <c r="I480" s="106">
        <v>5400</v>
      </c>
      <c r="J480" s="106">
        <v>18</v>
      </c>
      <c r="K480" s="106">
        <v>102</v>
      </c>
      <c r="L480" s="106">
        <v>640</v>
      </c>
      <c r="M480" s="106">
        <v>0.86</v>
      </c>
      <c r="N480" s="106">
        <v>900</v>
      </c>
      <c r="O480" s="106">
        <v>180</v>
      </c>
      <c r="P480" s="106">
        <v>3.1</v>
      </c>
      <c r="Q480" s="106">
        <v>0.6</v>
      </c>
      <c r="R480" s="106">
        <v>0.37</v>
      </c>
      <c r="S480" s="662">
        <v>0.48</v>
      </c>
      <c r="T480" s="662">
        <v>98</v>
      </c>
    </row>
    <row r="481" spans="2:20">
      <c r="B481" s="129" t="s">
        <v>956</v>
      </c>
      <c r="C481" s="664" t="s">
        <v>1236</v>
      </c>
      <c r="D481" s="583">
        <v>55</v>
      </c>
      <c r="E481" s="583">
        <v>-24</v>
      </c>
      <c r="F481" s="583">
        <v>-26</v>
      </c>
      <c r="G481" s="583">
        <v>28</v>
      </c>
      <c r="H481" s="583">
        <v>22</v>
      </c>
      <c r="I481" s="583">
        <v>5160</v>
      </c>
      <c r="J481" s="583">
        <v>18</v>
      </c>
      <c r="K481" s="583">
        <v>102</v>
      </c>
      <c r="L481" s="583">
        <v>675</v>
      </c>
      <c r="M481" s="583">
        <v>0.85</v>
      </c>
      <c r="N481" s="583">
        <v>965</v>
      </c>
      <c r="O481" s="583">
        <v>180</v>
      </c>
      <c r="P481" s="583">
        <v>3.2</v>
      </c>
      <c r="Q481" s="583">
        <v>0.6</v>
      </c>
      <c r="R481" s="583">
        <v>0.39</v>
      </c>
      <c r="S481" s="665">
        <v>0.5</v>
      </c>
      <c r="T481" s="665">
        <v>98</v>
      </c>
    </row>
    <row r="482" spans="2:20">
      <c r="B482" s="129" t="s">
        <v>956</v>
      </c>
      <c r="C482" s="664" t="s">
        <v>1241</v>
      </c>
      <c r="D482" s="583">
        <v>165</v>
      </c>
      <c r="E482" s="583">
        <v>-30</v>
      </c>
      <c r="F482" s="583">
        <v>-32</v>
      </c>
      <c r="G482" s="583">
        <v>29</v>
      </c>
      <c r="H482" s="583">
        <v>22</v>
      </c>
      <c r="I482" s="583">
        <v>5500</v>
      </c>
      <c r="J482" s="583">
        <v>23</v>
      </c>
      <c r="K482" s="583">
        <v>96</v>
      </c>
      <c r="L482" s="583">
        <v>720</v>
      </c>
      <c r="M482" s="583">
        <v>0.87</v>
      </c>
      <c r="N482" s="583">
        <v>930</v>
      </c>
      <c r="O482" s="583">
        <v>160</v>
      </c>
      <c r="P482" s="583">
        <v>3.4</v>
      </c>
      <c r="Q482" s="583">
        <v>0.4</v>
      </c>
      <c r="R482" s="583">
        <v>0.27</v>
      </c>
      <c r="S482" s="665">
        <v>0.35</v>
      </c>
      <c r="T482" s="665">
        <v>78</v>
      </c>
    </row>
    <row r="483" spans="2:20">
      <c r="B483" s="129" t="s">
        <v>956</v>
      </c>
      <c r="C483" s="664" t="s">
        <v>1245</v>
      </c>
      <c r="D483" s="583">
        <v>65</v>
      </c>
      <c r="E483" s="583">
        <v>-26</v>
      </c>
      <c r="F483" s="583">
        <v>-28</v>
      </c>
      <c r="G483" s="583">
        <v>29</v>
      </c>
      <c r="H483" s="583">
        <v>23</v>
      </c>
      <c r="I483" s="583">
        <v>4640</v>
      </c>
      <c r="J483" s="583">
        <v>23</v>
      </c>
      <c r="K483" s="583">
        <v>96</v>
      </c>
      <c r="L483" s="583">
        <v>910</v>
      </c>
      <c r="M483" s="583">
        <v>1.04</v>
      </c>
      <c r="N483" s="583">
        <v>1075</v>
      </c>
      <c r="O483" s="583">
        <v>160</v>
      </c>
      <c r="P483" s="583">
        <v>2.4</v>
      </c>
      <c r="Q483" s="583">
        <v>0.4</v>
      </c>
      <c r="R483" s="583">
        <v>0.31</v>
      </c>
      <c r="S483" s="665">
        <v>0.4</v>
      </c>
      <c r="T483" s="665">
        <v>84</v>
      </c>
    </row>
    <row r="484" spans="2:20">
      <c r="B484" s="129" t="s">
        <v>956</v>
      </c>
      <c r="C484" s="663" t="s">
        <v>1249</v>
      </c>
      <c r="D484" s="106">
        <v>420</v>
      </c>
      <c r="E484" s="106">
        <v>-27</v>
      </c>
      <c r="F484" s="106">
        <v>-29</v>
      </c>
      <c r="G484" s="106">
        <v>27</v>
      </c>
      <c r="H484" s="106">
        <v>22</v>
      </c>
      <c r="I484" s="106">
        <v>5180</v>
      </c>
      <c r="J484" s="106">
        <v>23</v>
      </c>
      <c r="K484" s="106">
        <v>91</v>
      </c>
      <c r="L484" s="106">
        <v>790</v>
      </c>
      <c r="M484" s="106">
        <v>0.94</v>
      </c>
      <c r="N484" s="106">
        <v>1025</v>
      </c>
      <c r="O484" s="106">
        <v>160</v>
      </c>
      <c r="P484" s="106">
        <v>3.2</v>
      </c>
      <c r="Q484" s="106">
        <v>0.6</v>
      </c>
      <c r="R484" s="106">
        <v>0.27</v>
      </c>
      <c r="S484" s="662">
        <v>0.35</v>
      </c>
      <c r="T484" s="662">
        <v>78</v>
      </c>
    </row>
    <row r="485" spans="2:20">
      <c r="B485" s="129" t="s">
        <v>956</v>
      </c>
      <c r="C485" s="664" t="s">
        <v>1255</v>
      </c>
      <c r="D485" s="583">
        <v>35</v>
      </c>
      <c r="E485" s="583">
        <v>-24</v>
      </c>
      <c r="F485" s="583">
        <v>-26</v>
      </c>
      <c r="G485" s="583">
        <v>29</v>
      </c>
      <c r="H485" s="583">
        <v>23</v>
      </c>
      <c r="I485" s="583">
        <v>4500</v>
      </c>
      <c r="J485" s="583">
        <v>23</v>
      </c>
      <c r="K485" s="583">
        <v>96</v>
      </c>
      <c r="L485" s="583">
        <v>830</v>
      </c>
      <c r="M485" s="583">
        <v>0.93</v>
      </c>
      <c r="N485" s="583">
        <v>1025</v>
      </c>
      <c r="O485" s="583">
        <v>160</v>
      </c>
      <c r="P485" s="583">
        <v>2.6</v>
      </c>
      <c r="Q485" s="583">
        <v>0.4</v>
      </c>
      <c r="R485" s="583">
        <v>0.33</v>
      </c>
      <c r="S485" s="665">
        <v>0.42</v>
      </c>
      <c r="T485" s="665">
        <v>84</v>
      </c>
    </row>
    <row r="486" spans="2:20">
      <c r="B486" s="129" t="s">
        <v>956</v>
      </c>
      <c r="C486" s="663" t="s">
        <v>1260</v>
      </c>
      <c r="D486" s="106">
        <v>35</v>
      </c>
      <c r="E486" s="106">
        <v>-24</v>
      </c>
      <c r="F486" s="106">
        <v>-26</v>
      </c>
      <c r="G486" s="106">
        <v>29</v>
      </c>
      <c r="H486" s="106">
        <v>23</v>
      </c>
      <c r="I486" s="106">
        <v>4450</v>
      </c>
      <c r="J486" s="106">
        <v>23</v>
      </c>
      <c r="K486" s="106">
        <v>91</v>
      </c>
      <c r="L486" s="106">
        <v>880</v>
      </c>
      <c r="M486" s="106">
        <v>0.99</v>
      </c>
      <c r="N486" s="106">
        <v>1010</v>
      </c>
      <c r="O486" s="106">
        <v>160</v>
      </c>
      <c r="P486" s="106">
        <v>2.2000000000000002</v>
      </c>
      <c r="Q486" s="106">
        <v>0.4</v>
      </c>
      <c r="R486" s="106">
        <v>0.32</v>
      </c>
      <c r="S486" s="662">
        <v>0.41</v>
      </c>
      <c r="T486" s="662">
        <v>84</v>
      </c>
    </row>
    <row r="487" spans="2:20">
      <c r="B487" s="129" t="s">
        <v>956</v>
      </c>
      <c r="C487" s="663" t="s">
        <v>1265</v>
      </c>
      <c r="D487" s="106">
        <v>155</v>
      </c>
      <c r="E487" s="106">
        <v>-28</v>
      </c>
      <c r="F487" s="106">
        <v>-30</v>
      </c>
      <c r="G487" s="106">
        <v>29</v>
      </c>
      <c r="H487" s="106">
        <v>22</v>
      </c>
      <c r="I487" s="106">
        <v>4700</v>
      </c>
      <c r="J487" s="106">
        <v>23</v>
      </c>
      <c r="K487" s="106">
        <v>96</v>
      </c>
      <c r="L487" s="106">
        <v>850</v>
      </c>
      <c r="M487" s="106">
        <v>0.98</v>
      </c>
      <c r="N487" s="106">
        <v>1100</v>
      </c>
      <c r="O487" s="106">
        <v>160</v>
      </c>
      <c r="P487" s="106">
        <v>2.1</v>
      </c>
      <c r="Q487" s="106">
        <v>0.6</v>
      </c>
      <c r="R487" s="106">
        <v>0.25</v>
      </c>
      <c r="S487" s="662">
        <v>0.32</v>
      </c>
      <c r="T487" s="662">
        <v>74</v>
      </c>
    </row>
    <row r="488" spans="2:20">
      <c r="B488" s="129" t="s">
        <v>956</v>
      </c>
      <c r="C488" s="664" t="s">
        <v>1269</v>
      </c>
      <c r="D488" s="583">
        <v>30</v>
      </c>
      <c r="E488" s="583">
        <v>-24</v>
      </c>
      <c r="F488" s="583">
        <v>-26</v>
      </c>
      <c r="G488" s="583">
        <v>29</v>
      </c>
      <c r="H488" s="583">
        <v>23</v>
      </c>
      <c r="I488" s="583">
        <v>4420</v>
      </c>
      <c r="J488" s="583">
        <v>23</v>
      </c>
      <c r="K488" s="583">
        <v>91</v>
      </c>
      <c r="L488" s="583">
        <v>800</v>
      </c>
      <c r="M488" s="583">
        <v>0.91</v>
      </c>
      <c r="N488" s="583">
        <v>950</v>
      </c>
      <c r="O488" s="583">
        <v>180</v>
      </c>
      <c r="P488" s="583">
        <v>2.2999999999999998</v>
      </c>
      <c r="Q488" s="583">
        <v>0.4</v>
      </c>
      <c r="R488" s="583">
        <v>0.33</v>
      </c>
      <c r="S488" s="665">
        <v>0.42</v>
      </c>
      <c r="T488" s="665">
        <v>84</v>
      </c>
    </row>
    <row r="489" spans="2:20">
      <c r="B489" s="129" t="s">
        <v>956</v>
      </c>
      <c r="C489" s="664" t="s">
        <v>1273</v>
      </c>
      <c r="D489" s="583">
        <v>50</v>
      </c>
      <c r="E489" s="583">
        <v>-25</v>
      </c>
      <c r="F489" s="583">
        <v>-28</v>
      </c>
      <c r="G489" s="583">
        <v>28</v>
      </c>
      <c r="H489" s="583">
        <v>22</v>
      </c>
      <c r="I489" s="583">
        <v>5050</v>
      </c>
      <c r="J489" s="583">
        <v>20</v>
      </c>
      <c r="K489" s="583">
        <v>107</v>
      </c>
      <c r="L489" s="583">
        <v>920</v>
      </c>
      <c r="M489" s="583">
        <v>1.04</v>
      </c>
      <c r="N489" s="583">
        <v>1200</v>
      </c>
      <c r="O489" s="583">
        <v>160</v>
      </c>
      <c r="P489" s="583">
        <v>3.3</v>
      </c>
      <c r="Q489" s="583">
        <v>0.6</v>
      </c>
      <c r="R489" s="583">
        <v>0.32</v>
      </c>
      <c r="S489" s="665">
        <v>0.41</v>
      </c>
      <c r="T489" s="665">
        <v>96</v>
      </c>
    </row>
    <row r="490" spans="2:20">
      <c r="B490" s="129" t="s">
        <v>956</v>
      </c>
      <c r="C490" s="664" t="s">
        <v>1280</v>
      </c>
      <c r="D490" s="583">
        <v>5</v>
      </c>
      <c r="E490" s="583">
        <v>-36</v>
      </c>
      <c r="F490" s="583">
        <v>-38</v>
      </c>
      <c r="G490" s="583">
        <v>21</v>
      </c>
      <c r="H490" s="583">
        <v>15</v>
      </c>
      <c r="I490" s="583">
        <v>9150</v>
      </c>
      <c r="J490" s="583">
        <v>9</v>
      </c>
      <c r="K490" s="583">
        <v>54</v>
      </c>
      <c r="L490" s="583">
        <v>270</v>
      </c>
      <c r="M490" s="583">
        <v>0.88</v>
      </c>
      <c r="N490" s="583">
        <v>420</v>
      </c>
      <c r="O490" s="583">
        <v>240</v>
      </c>
      <c r="P490" s="583">
        <v>4.0999999999999996</v>
      </c>
      <c r="Q490" s="583">
        <v>0.2</v>
      </c>
      <c r="R490" s="583">
        <v>0.47</v>
      </c>
      <c r="S490" s="665">
        <v>0.6</v>
      </c>
      <c r="T490" s="665">
        <v>125</v>
      </c>
    </row>
    <row r="491" spans="2:20">
      <c r="B491" s="129" t="s">
        <v>956</v>
      </c>
      <c r="C491" s="663" t="s">
        <v>1285</v>
      </c>
      <c r="D491" s="106">
        <v>100</v>
      </c>
      <c r="E491" s="106">
        <v>-26</v>
      </c>
      <c r="F491" s="106">
        <v>-29</v>
      </c>
      <c r="G491" s="106">
        <v>28</v>
      </c>
      <c r="H491" s="106">
        <v>22</v>
      </c>
      <c r="I491" s="106">
        <v>5200</v>
      </c>
      <c r="J491" s="106">
        <v>20</v>
      </c>
      <c r="K491" s="106">
        <v>102</v>
      </c>
      <c r="L491" s="106">
        <v>980</v>
      </c>
      <c r="M491" s="106">
        <v>1.0900000000000001</v>
      </c>
      <c r="N491" s="106">
        <v>1225</v>
      </c>
      <c r="O491" s="106">
        <v>200</v>
      </c>
      <c r="P491" s="106">
        <v>3.7</v>
      </c>
      <c r="Q491" s="106">
        <v>0.6</v>
      </c>
      <c r="R491" s="106">
        <v>0.32</v>
      </c>
      <c r="S491" s="662">
        <v>0.41</v>
      </c>
      <c r="T491" s="662">
        <v>96</v>
      </c>
    </row>
    <row r="492" spans="2:20">
      <c r="B492" s="129" t="s">
        <v>956</v>
      </c>
      <c r="C492" s="664" t="s">
        <v>1290</v>
      </c>
      <c r="D492" s="583">
        <v>15</v>
      </c>
      <c r="E492" s="583">
        <v>-25</v>
      </c>
      <c r="F492" s="583">
        <v>-28</v>
      </c>
      <c r="G492" s="583">
        <v>29</v>
      </c>
      <c r="H492" s="583">
        <v>23</v>
      </c>
      <c r="I492" s="583">
        <v>4900</v>
      </c>
      <c r="J492" s="583">
        <v>20</v>
      </c>
      <c r="K492" s="583">
        <v>102</v>
      </c>
      <c r="L492" s="583">
        <v>800</v>
      </c>
      <c r="M492" s="583">
        <v>0.93</v>
      </c>
      <c r="N492" s="583">
        <v>1025</v>
      </c>
      <c r="O492" s="583">
        <v>160</v>
      </c>
      <c r="P492" s="583">
        <v>2.9</v>
      </c>
      <c r="Q492" s="583">
        <v>0.4</v>
      </c>
      <c r="R492" s="583">
        <v>0.33</v>
      </c>
      <c r="S492" s="665">
        <v>0.43</v>
      </c>
      <c r="T492" s="665">
        <v>87</v>
      </c>
    </row>
    <row r="493" spans="2:20">
      <c r="B493" s="129" t="s">
        <v>956</v>
      </c>
      <c r="C493" s="663" t="s">
        <v>1294</v>
      </c>
      <c r="D493" s="106">
        <v>215</v>
      </c>
      <c r="E493" s="106">
        <v>-26</v>
      </c>
      <c r="F493" s="106">
        <v>-28</v>
      </c>
      <c r="G493" s="106">
        <v>29</v>
      </c>
      <c r="H493" s="106">
        <v>23</v>
      </c>
      <c r="I493" s="106">
        <v>4730</v>
      </c>
      <c r="J493" s="106">
        <v>23</v>
      </c>
      <c r="K493" s="106">
        <v>96</v>
      </c>
      <c r="L493" s="106">
        <v>860</v>
      </c>
      <c r="M493" s="106">
        <v>0.99</v>
      </c>
      <c r="N493" s="106">
        <v>1125</v>
      </c>
      <c r="O493" s="106">
        <v>160</v>
      </c>
      <c r="P493" s="106">
        <v>2.2999999999999998</v>
      </c>
      <c r="Q493" s="106">
        <v>0.4</v>
      </c>
      <c r="R493" s="106">
        <v>0.27</v>
      </c>
      <c r="S493" s="662">
        <v>0.35</v>
      </c>
      <c r="T493" s="662">
        <v>78</v>
      </c>
    </row>
    <row r="494" spans="2:20">
      <c r="B494" s="129" t="s">
        <v>956</v>
      </c>
      <c r="C494" s="664" t="s">
        <v>1300</v>
      </c>
      <c r="D494" s="583">
        <v>325</v>
      </c>
      <c r="E494" s="583">
        <v>-33</v>
      </c>
      <c r="F494" s="583">
        <v>-36</v>
      </c>
      <c r="G494" s="583">
        <v>29</v>
      </c>
      <c r="H494" s="583">
        <v>21</v>
      </c>
      <c r="I494" s="583">
        <v>6200</v>
      </c>
      <c r="J494" s="583">
        <v>20</v>
      </c>
      <c r="K494" s="583">
        <v>86</v>
      </c>
      <c r="L494" s="583">
        <v>640</v>
      </c>
      <c r="M494" s="583">
        <v>0.82</v>
      </c>
      <c r="N494" s="583">
        <v>900</v>
      </c>
      <c r="O494" s="583">
        <v>100</v>
      </c>
      <c r="P494" s="583">
        <v>3.3</v>
      </c>
      <c r="Q494" s="583">
        <v>0.3</v>
      </c>
      <c r="R494" s="583">
        <v>0.25</v>
      </c>
      <c r="S494" s="665">
        <v>0.32</v>
      </c>
      <c r="T494" s="665">
        <v>74</v>
      </c>
    </row>
    <row r="495" spans="2:20">
      <c r="B495" s="129" t="s">
        <v>956</v>
      </c>
      <c r="C495" s="663" t="s">
        <v>1305</v>
      </c>
      <c r="D495" s="106">
        <v>180</v>
      </c>
      <c r="E495" s="106">
        <v>-30</v>
      </c>
      <c r="F495" s="106">
        <v>-32</v>
      </c>
      <c r="G495" s="106">
        <v>29</v>
      </c>
      <c r="H495" s="106">
        <v>22</v>
      </c>
      <c r="I495" s="106">
        <v>5280</v>
      </c>
      <c r="J495" s="106">
        <v>23</v>
      </c>
      <c r="K495" s="106">
        <v>96</v>
      </c>
      <c r="L495" s="106">
        <v>700</v>
      </c>
      <c r="M495" s="106">
        <v>0.86</v>
      </c>
      <c r="N495" s="106">
        <v>900</v>
      </c>
      <c r="O495" s="106">
        <v>100</v>
      </c>
      <c r="P495" s="106">
        <v>2.4</v>
      </c>
      <c r="Q495" s="106">
        <v>0.4</v>
      </c>
      <c r="R495" s="106">
        <v>0.24</v>
      </c>
      <c r="S495" s="662">
        <v>0.31</v>
      </c>
      <c r="T495" s="662">
        <v>73</v>
      </c>
    </row>
    <row r="496" spans="2:20">
      <c r="B496" s="129" t="s">
        <v>956</v>
      </c>
      <c r="C496" s="664" t="s">
        <v>1311</v>
      </c>
      <c r="D496" s="583">
        <v>50</v>
      </c>
      <c r="E496" s="583">
        <v>-26</v>
      </c>
      <c r="F496" s="583">
        <v>-28</v>
      </c>
      <c r="G496" s="583">
        <v>30</v>
      </c>
      <c r="H496" s="583">
        <v>23</v>
      </c>
      <c r="I496" s="583">
        <v>4610</v>
      </c>
      <c r="J496" s="583">
        <v>23</v>
      </c>
      <c r="K496" s="583">
        <v>91</v>
      </c>
      <c r="L496" s="583">
        <v>790</v>
      </c>
      <c r="M496" s="583">
        <v>0.92</v>
      </c>
      <c r="N496" s="583">
        <v>975</v>
      </c>
      <c r="O496" s="583">
        <v>160</v>
      </c>
      <c r="P496" s="583">
        <v>2.4</v>
      </c>
      <c r="Q496" s="583">
        <v>0.4</v>
      </c>
      <c r="R496" s="583">
        <v>0.31</v>
      </c>
      <c r="S496" s="665">
        <v>0.4</v>
      </c>
      <c r="T496" s="665">
        <v>84</v>
      </c>
    </row>
    <row r="497" spans="2:20">
      <c r="B497" s="129" t="s">
        <v>956</v>
      </c>
      <c r="C497" s="663" t="s">
        <v>1318</v>
      </c>
      <c r="D497" s="106">
        <v>5</v>
      </c>
      <c r="E497" s="106">
        <v>-24</v>
      </c>
      <c r="F497" s="106">
        <v>-26</v>
      </c>
      <c r="G497" s="106">
        <v>24</v>
      </c>
      <c r="H497" s="106">
        <v>20</v>
      </c>
      <c r="I497" s="106">
        <v>5510</v>
      </c>
      <c r="J497" s="106">
        <v>18</v>
      </c>
      <c r="K497" s="106">
        <v>91</v>
      </c>
      <c r="L497" s="106">
        <v>640</v>
      </c>
      <c r="M497" s="106">
        <v>0.88</v>
      </c>
      <c r="N497" s="106">
        <v>1050</v>
      </c>
      <c r="O497" s="106">
        <v>220</v>
      </c>
      <c r="P497" s="106">
        <v>3.7</v>
      </c>
      <c r="Q497" s="106">
        <v>0.4</v>
      </c>
      <c r="R497" s="106">
        <v>0.47</v>
      </c>
      <c r="S497" s="662">
        <v>0.6</v>
      </c>
      <c r="T497" s="662">
        <v>103</v>
      </c>
    </row>
    <row r="498" spans="2:20">
      <c r="B498" s="129" t="s">
        <v>956</v>
      </c>
      <c r="C498" s="664" t="s">
        <v>1324</v>
      </c>
      <c r="D498" s="583">
        <v>90</v>
      </c>
      <c r="E498" s="583">
        <v>-24</v>
      </c>
      <c r="F498" s="583">
        <v>-26</v>
      </c>
      <c r="G498" s="583">
        <v>26</v>
      </c>
      <c r="H498" s="583">
        <v>21</v>
      </c>
      <c r="I498" s="583">
        <v>5370</v>
      </c>
      <c r="J498" s="583">
        <v>18</v>
      </c>
      <c r="K498" s="583">
        <v>91</v>
      </c>
      <c r="L498" s="583">
        <v>610</v>
      </c>
      <c r="M498" s="583">
        <v>0.84</v>
      </c>
      <c r="N498" s="583">
        <v>920</v>
      </c>
      <c r="O498" s="583">
        <v>220</v>
      </c>
      <c r="P498" s="583">
        <v>4.0999999999999996</v>
      </c>
      <c r="Q498" s="583">
        <v>0.4</v>
      </c>
      <c r="R498" s="583">
        <v>0.4</v>
      </c>
      <c r="S498" s="665">
        <v>0.52</v>
      </c>
      <c r="T498" s="665">
        <v>103</v>
      </c>
    </row>
    <row r="499" spans="2:20">
      <c r="B499" s="129" t="s">
        <v>956</v>
      </c>
      <c r="C499" s="663" t="s">
        <v>1327</v>
      </c>
      <c r="D499" s="106">
        <v>225</v>
      </c>
      <c r="E499" s="106">
        <v>-29</v>
      </c>
      <c r="F499" s="106">
        <v>-32</v>
      </c>
      <c r="G499" s="106">
        <v>29</v>
      </c>
      <c r="H499" s="106">
        <v>22</v>
      </c>
      <c r="I499" s="106">
        <v>5320</v>
      </c>
      <c r="J499" s="106">
        <v>24</v>
      </c>
      <c r="K499" s="106">
        <v>102</v>
      </c>
      <c r="L499" s="106">
        <v>790</v>
      </c>
      <c r="M499" s="106">
        <v>0.93</v>
      </c>
      <c r="N499" s="106">
        <v>1000</v>
      </c>
      <c r="O499" s="106">
        <v>160</v>
      </c>
      <c r="P499" s="106">
        <v>2.6</v>
      </c>
      <c r="Q499" s="106">
        <v>0.4</v>
      </c>
      <c r="R499" s="106">
        <v>0.23</v>
      </c>
      <c r="S499" s="662">
        <v>0.3</v>
      </c>
      <c r="T499" s="662">
        <v>73</v>
      </c>
    </row>
    <row r="500" spans="2:20">
      <c r="B500" s="129" t="s">
        <v>956</v>
      </c>
      <c r="C500" s="664" t="s">
        <v>1330</v>
      </c>
      <c r="D500" s="583">
        <v>10</v>
      </c>
      <c r="E500" s="583">
        <v>-25</v>
      </c>
      <c r="F500" s="583">
        <v>-28</v>
      </c>
      <c r="G500" s="583">
        <v>28</v>
      </c>
      <c r="H500" s="583">
        <v>22</v>
      </c>
      <c r="I500" s="583">
        <v>5090</v>
      </c>
      <c r="J500" s="583">
        <v>20</v>
      </c>
      <c r="K500" s="583">
        <v>102</v>
      </c>
      <c r="L500" s="583">
        <v>880</v>
      </c>
      <c r="M500" s="583">
        <v>1.01</v>
      </c>
      <c r="N500" s="583">
        <v>1090</v>
      </c>
      <c r="O500" s="583">
        <v>180</v>
      </c>
      <c r="P500" s="583">
        <v>2.9</v>
      </c>
      <c r="Q500" s="583">
        <v>0.6</v>
      </c>
      <c r="R500" s="583" t="s">
        <v>1639</v>
      </c>
      <c r="S500" s="665">
        <v>0.47</v>
      </c>
      <c r="T500" s="665">
        <v>98</v>
      </c>
    </row>
    <row r="501" spans="2:20">
      <c r="B501" s="129" t="s">
        <v>956</v>
      </c>
      <c r="C501" s="663" t="s">
        <v>1333</v>
      </c>
      <c r="D501" s="106">
        <v>20</v>
      </c>
      <c r="E501" s="106">
        <v>-23</v>
      </c>
      <c r="F501" s="106">
        <v>-26</v>
      </c>
      <c r="G501" s="106">
        <v>30</v>
      </c>
      <c r="H501" s="106">
        <v>23</v>
      </c>
      <c r="I501" s="106">
        <v>4200</v>
      </c>
      <c r="J501" s="106">
        <v>23</v>
      </c>
      <c r="K501" s="106">
        <v>96</v>
      </c>
      <c r="L501" s="106">
        <v>830</v>
      </c>
      <c r="M501" s="106">
        <v>0.93</v>
      </c>
      <c r="N501" s="106">
        <v>1025</v>
      </c>
      <c r="O501" s="106">
        <v>180</v>
      </c>
      <c r="P501" s="106">
        <v>2.6</v>
      </c>
      <c r="Q501" s="106">
        <v>0.4</v>
      </c>
      <c r="R501" s="106">
        <v>0.33</v>
      </c>
      <c r="S501" s="662">
        <v>0.42</v>
      </c>
      <c r="T501" s="662">
        <v>84</v>
      </c>
    </row>
    <row r="502" spans="2:20">
      <c r="B502" s="129" t="s">
        <v>956</v>
      </c>
      <c r="C502" s="663" t="s">
        <v>1336</v>
      </c>
      <c r="D502" s="106">
        <v>25</v>
      </c>
      <c r="E502" s="106">
        <v>-23</v>
      </c>
      <c r="F502" s="106">
        <v>-26</v>
      </c>
      <c r="G502" s="106">
        <v>30</v>
      </c>
      <c r="H502" s="106">
        <v>23</v>
      </c>
      <c r="I502" s="106">
        <v>4470</v>
      </c>
      <c r="J502" s="106">
        <v>23</v>
      </c>
      <c r="K502" s="106">
        <v>96</v>
      </c>
      <c r="L502" s="106">
        <v>830</v>
      </c>
      <c r="M502" s="106">
        <v>0.93</v>
      </c>
      <c r="N502" s="106">
        <v>1025</v>
      </c>
      <c r="O502" s="106">
        <v>180</v>
      </c>
      <c r="P502" s="106">
        <v>2.7</v>
      </c>
      <c r="Q502" s="106">
        <v>0.4</v>
      </c>
      <c r="R502" s="106">
        <v>0.33</v>
      </c>
      <c r="S502" s="662">
        <v>0.42</v>
      </c>
      <c r="T502" s="662">
        <v>84</v>
      </c>
    </row>
    <row r="503" spans="2:20">
      <c r="B503" s="129" t="s">
        <v>956</v>
      </c>
      <c r="C503" s="664" t="s">
        <v>1339</v>
      </c>
      <c r="D503" s="583">
        <v>20</v>
      </c>
      <c r="E503" s="583">
        <v>-24</v>
      </c>
      <c r="F503" s="583">
        <v>-26</v>
      </c>
      <c r="G503" s="583">
        <v>30</v>
      </c>
      <c r="H503" s="583">
        <v>23</v>
      </c>
      <c r="I503" s="583">
        <v>4470</v>
      </c>
      <c r="J503" s="583">
        <v>23</v>
      </c>
      <c r="K503" s="583">
        <v>96</v>
      </c>
      <c r="L503" s="583">
        <v>830</v>
      </c>
      <c r="M503" s="583">
        <v>0.93</v>
      </c>
      <c r="N503" s="583">
        <v>1025</v>
      </c>
      <c r="O503" s="583">
        <v>160</v>
      </c>
      <c r="P503" s="583">
        <v>2.6</v>
      </c>
      <c r="Q503" s="583">
        <v>0.4</v>
      </c>
      <c r="R503" s="583">
        <v>0.33</v>
      </c>
      <c r="S503" s="665">
        <v>0.42</v>
      </c>
      <c r="T503" s="665">
        <v>84</v>
      </c>
    </row>
    <row r="504" spans="2:20">
      <c r="B504" s="129" t="s">
        <v>956</v>
      </c>
      <c r="C504" s="664" t="s">
        <v>1342</v>
      </c>
      <c r="D504" s="583">
        <v>15</v>
      </c>
      <c r="E504" s="583">
        <v>-25</v>
      </c>
      <c r="F504" s="583">
        <v>-28</v>
      </c>
      <c r="G504" s="583">
        <v>29</v>
      </c>
      <c r="H504" s="583">
        <v>23</v>
      </c>
      <c r="I504" s="583">
        <v>4900</v>
      </c>
      <c r="J504" s="583">
        <v>20</v>
      </c>
      <c r="K504" s="583">
        <v>107</v>
      </c>
      <c r="L504" s="583">
        <v>860</v>
      </c>
      <c r="M504" s="583">
        <v>0.98</v>
      </c>
      <c r="N504" s="583">
        <v>1025</v>
      </c>
      <c r="O504" s="583">
        <v>160</v>
      </c>
      <c r="P504" s="583">
        <v>2.8</v>
      </c>
      <c r="Q504" s="583">
        <v>0.4</v>
      </c>
      <c r="R504" s="583">
        <v>0.33</v>
      </c>
      <c r="S504" s="665">
        <v>0.42</v>
      </c>
      <c r="T504" s="665">
        <v>86</v>
      </c>
    </row>
    <row r="505" spans="2:20">
      <c r="B505" s="129" t="s">
        <v>956</v>
      </c>
      <c r="C505" s="663" t="s">
        <v>1345</v>
      </c>
      <c r="D505" s="106">
        <v>545</v>
      </c>
      <c r="E505" s="106">
        <v>-39</v>
      </c>
      <c r="F505" s="106">
        <v>-41</v>
      </c>
      <c r="G505" s="106">
        <v>23</v>
      </c>
      <c r="H505" s="106">
        <v>19</v>
      </c>
      <c r="I505" s="106">
        <v>8100</v>
      </c>
      <c r="J505" s="106">
        <v>15</v>
      </c>
      <c r="K505" s="106">
        <v>70</v>
      </c>
      <c r="L505" s="106">
        <v>500</v>
      </c>
      <c r="M505" s="106">
        <v>0.89</v>
      </c>
      <c r="N505" s="106">
        <v>825</v>
      </c>
      <c r="O505" s="106">
        <v>140</v>
      </c>
      <c r="P505" s="106">
        <v>3.5</v>
      </c>
      <c r="Q505" s="106">
        <v>0.3</v>
      </c>
      <c r="R505" s="106">
        <v>0.28999999999999998</v>
      </c>
      <c r="S505" s="662">
        <v>0.37</v>
      </c>
      <c r="T505" s="662">
        <v>81</v>
      </c>
    </row>
    <row r="506" spans="2:20">
      <c r="B506" s="129" t="s">
        <v>956</v>
      </c>
      <c r="C506" s="664" t="s">
        <v>1348</v>
      </c>
      <c r="D506" s="583">
        <v>305</v>
      </c>
      <c r="E506" s="583">
        <v>-33</v>
      </c>
      <c r="F506" s="583">
        <v>-36</v>
      </c>
      <c r="G506" s="583">
        <v>29</v>
      </c>
      <c r="H506" s="583">
        <v>21</v>
      </c>
      <c r="I506" s="583">
        <v>6050</v>
      </c>
      <c r="J506" s="583">
        <v>20</v>
      </c>
      <c r="K506" s="583">
        <v>91</v>
      </c>
      <c r="L506" s="583">
        <v>650</v>
      </c>
      <c r="M506" s="583">
        <v>0.82</v>
      </c>
      <c r="N506" s="583">
        <v>875</v>
      </c>
      <c r="O506" s="583">
        <v>100</v>
      </c>
      <c r="P506" s="583">
        <v>3.2</v>
      </c>
      <c r="Q506" s="583">
        <v>0.3</v>
      </c>
      <c r="R506" s="583">
        <v>0.27</v>
      </c>
      <c r="S506" s="665">
        <v>0.35</v>
      </c>
      <c r="T506" s="665">
        <v>78</v>
      </c>
    </row>
    <row r="507" spans="2:20">
      <c r="B507" s="129" t="s">
        <v>956</v>
      </c>
      <c r="C507" s="663" t="s">
        <v>1351</v>
      </c>
      <c r="D507" s="106">
        <v>105</v>
      </c>
      <c r="E507" s="106">
        <v>-23</v>
      </c>
      <c r="F507" s="106">
        <v>-26</v>
      </c>
      <c r="G507" s="106">
        <v>30</v>
      </c>
      <c r="H507" s="106">
        <v>23</v>
      </c>
      <c r="I507" s="106">
        <v>4300</v>
      </c>
      <c r="J507" s="106">
        <v>23</v>
      </c>
      <c r="K507" s="106">
        <v>96</v>
      </c>
      <c r="L507" s="106">
        <v>820</v>
      </c>
      <c r="M507" s="106">
        <v>0.91</v>
      </c>
      <c r="N507" s="106">
        <v>1025</v>
      </c>
      <c r="O507" s="106">
        <v>180</v>
      </c>
      <c r="P507" s="106">
        <v>2.8</v>
      </c>
      <c r="Q507" s="106">
        <v>0.4</v>
      </c>
      <c r="R507" s="106">
        <v>0.33</v>
      </c>
      <c r="S507" s="662">
        <v>0.42</v>
      </c>
      <c r="T507" s="662">
        <v>84</v>
      </c>
    </row>
    <row r="508" spans="2:20">
      <c r="B508" s="129" t="s">
        <v>956</v>
      </c>
      <c r="C508" s="663" t="s">
        <v>1354</v>
      </c>
      <c r="D508" s="106">
        <v>5</v>
      </c>
      <c r="E508" s="106">
        <v>-21</v>
      </c>
      <c r="F508" s="106">
        <v>-24</v>
      </c>
      <c r="G508" s="106">
        <v>25</v>
      </c>
      <c r="H508" s="106">
        <v>19</v>
      </c>
      <c r="I508" s="106">
        <v>5400</v>
      </c>
      <c r="J508" s="106">
        <v>16</v>
      </c>
      <c r="K508" s="106">
        <v>107</v>
      </c>
      <c r="L508" s="106">
        <v>1000</v>
      </c>
      <c r="M508" s="106">
        <v>1.18</v>
      </c>
      <c r="N508" s="106">
        <v>1300</v>
      </c>
      <c r="O508" s="106">
        <v>300</v>
      </c>
      <c r="P508" s="106">
        <v>3.8</v>
      </c>
      <c r="Q508" s="106">
        <v>0.6</v>
      </c>
      <c r="R508" s="106">
        <v>0.56000000000000005</v>
      </c>
      <c r="S508" s="662">
        <v>0.72</v>
      </c>
      <c r="T508" s="662">
        <v>122</v>
      </c>
    </row>
    <row r="509" spans="2:20">
      <c r="B509" s="129" t="s">
        <v>956</v>
      </c>
      <c r="C509" s="664" t="s">
        <v>1357</v>
      </c>
      <c r="D509" s="583">
        <v>25</v>
      </c>
      <c r="E509" s="583">
        <v>-24</v>
      </c>
      <c r="F509" s="583">
        <v>-26</v>
      </c>
      <c r="G509" s="583">
        <v>30</v>
      </c>
      <c r="H509" s="583">
        <v>23</v>
      </c>
      <c r="I509" s="583">
        <v>4430</v>
      </c>
      <c r="J509" s="583">
        <v>23</v>
      </c>
      <c r="K509" s="583">
        <v>96</v>
      </c>
      <c r="L509" s="583">
        <v>800</v>
      </c>
      <c r="M509" s="583">
        <v>0.9</v>
      </c>
      <c r="N509" s="583">
        <v>960</v>
      </c>
      <c r="O509" s="583">
        <v>180</v>
      </c>
      <c r="P509" s="583">
        <v>2.4</v>
      </c>
      <c r="Q509" s="583">
        <v>0.4</v>
      </c>
      <c r="R509" s="583">
        <v>0.33</v>
      </c>
      <c r="S509" s="665">
        <v>0.42</v>
      </c>
      <c r="T509" s="665">
        <v>84</v>
      </c>
    </row>
    <row r="510" spans="2:20">
      <c r="B510" s="129" t="s">
        <v>956</v>
      </c>
      <c r="C510" s="664" t="s">
        <v>1360</v>
      </c>
      <c r="D510" s="583">
        <v>25</v>
      </c>
      <c r="E510" s="583">
        <v>-24</v>
      </c>
      <c r="F510" s="583">
        <v>-26</v>
      </c>
      <c r="G510" s="583">
        <v>29</v>
      </c>
      <c r="H510" s="583">
        <v>23</v>
      </c>
      <c r="I510" s="583">
        <v>4480</v>
      </c>
      <c r="J510" s="583">
        <v>23</v>
      </c>
      <c r="K510" s="583">
        <v>96</v>
      </c>
      <c r="L510" s="583">
        <v>780</v>
      </c>
      <c r="M510" s="583">
        <v>0.88</v>
      </c>
      <c r="N510" s="583">
        <v>950</v>
      </c>
      <c r="O510" s="583">
        <v>180</v>
      </c>
      <c r="P510" s="583">
        <v>2.2999999999999998</v>
      </c>
      <c r="Q510" s="583">
        <v>0.4</v>
      </c>
      <c r="R510" s="583">
        <v>0.33</v>
      </c>
      <c r="S510" s="665">
        <v>0.42</v>
      </c>
      <c r="T510" s="665">
        <v>84</v>
      </c>
    </row>
    <row r="511" spans="2:20">
      <c r="B511" s="129" t="s">
        <v>956</v>
      </c>
      <c r="C511" s="663" t="s">
        <v>1363</v>
      </c>
      <c r="D511" s="106">
        <v>145</v>
      </c>
      <c r="E511" s="106">
        <v>-26</v>
      </c>
      <c r="F511" s="106">
        <v>-28</v>
      </c>
      <c r="G511" s="106">
        <v>29</v>
      </c>
      <c r="H511" s="106">
        <v>23</v>
      </c>
      <c r="I511" s="106">
        <v>5100</v>
      </c>
      <c r="J511" s="106">
        <v>21</v>
      </c>
      <c r="K511" s="106">
        <v>107</v>
      </c>
      <c r="L511" s="106">
        <v>890</v>
      </c>
      <c r="M511" s="106">
        <v>1</v>
      </c>
      <c r="N511" s="106">
        <v>1150</v>
      </c>
      <c r="O511" s="106">
        <v>180</v>
      </c>
      <c r="P511" s="106">
        <v>2.8</v>
      </c>
      <c r="Q511" s="106">
        <v>0.6</v>
      </c>
      <c r="R511" s="106">
        <v>0.27</v>
      </c>
      <c r="S511" s="662">
        <v>0.35</v>
      </c>
      <c r="T511" s="662">
        <v>78</v>
      </c>
    </row>
    <row r="512" spans="2:20">
      <c r="B512" s="129" t="s">
        <v>956</v>
      </c>
      <c r="C512" s="664" t="s">
        <v>1366</v>
      </c>
      <c r="D512" s="583">
        <v>20</v>
      </c>
      <c r="E512" s="583">
        <v>-28</v>
      </c>
      <c r="F512" s="583">
        <v>-30</v>
      </c>
      <c r="G512" s="583">
        <v>25</v>
      </c>
      <c r="H512" s="583">
        <v>19</v>
      </c>
      <c r="I512" s="583">
        <v>6060</v>
      </c>
      <c r="J512" s="583">
        <v>15</v>
      </c>
      <c r="K512" s="583">
        <v>106</v>
      </c>
      <c r="L512" s="583">
        <v>730</v>
      </c>
      <c r="M512" s="583">
        <v>0.99</v>
      </c>
      <c r="N512" s="583">
        <v>1125</v>
      </c>
      <c r="O512" s="583">
        <v>300</v>
      </c>
      <c r="P512" s="583">
        <v>4.0999999999999996</v>
      </c>
      <c r="Q512" s="583">
        <v>0.4</v>
      </c>
      <c r="R512" s="583">
        <v>0.42</v>
      </c>
      <c r="S512" s="665">
        <v>0.54</v>
      </c>
      <c r="T512" s="665">
        <v>110</v>
      </c>
    </row>
    <row r="513" spans="2:20">
      <c r="B513" s="129" t="s">
        <v>956</v>
      </c>
      <c r="C513" s="663" t="s">
        <v>1369</v>
      </c>
      <c r="D513" s="106">
        <v>5</v>
      </c>
      <c r="E513" s="106">
        <v>-36</v>
      </c>
      <c r="F513" s="106">
        <v>-38</v>
      </c>
      <c r="G513" s="106">
        <v>23</v>
      </c>
      <c r="H513" s="106">
        <v>16</v>
      </c>
      <c r="I513" s="106">
        <v>9200</v>
      </c>
      <c r="J513" s="106">
        <v>7</v>
      </c>
      <c r="K513" s="106">
        <v>54</v>
      </c>
      <c r="L513" s="106">
        <v>210</v>
      </c>
      <c r="M513" s="106">
        <v>0.87</v>
      </c>
      <c r="N513" s="106">
        <v>375</v>
      </c>
      <c r="O513" s="106">
        <v>240</v>
      </c>
      <c r="P513" s="106">
        <v>4.5</v>
      </c>
      <c r="Q513" s="106">
        <v>0.2</v>
      </c>
      <c r="R513" s="106">
        <v>0.47</v>
      </c>
      <c r="S513" s="662">
        <v>0.6</v>
      </c>
      <c r="T513" s="662">
        <v>125</v>
      </c>
    </row>
    <row r="514" spans="2:20">
      <c r="B514" s="129" t="s">
        <v>956</v>
      </c>
      <c r="C514" s="663" t="s">
        <v>956</v>
      </c>
      <c r="D514" s="106">
        <v>120</v>
      </c>
      <c r="E514" s="106">
        <v>-25</v>
      </c>
      <c r="F514" s="106">
        <v>-28</v>
      </c>
      <c r="G514" s="106">
        <v>28</v>
      </c>
      <c r="H514" s="106">
        <v>22</v>
      </c>
      <c r="I514" s="106">
        <v>5080</v>
      </c>
      <c r="J514" s="106">
        <v>20</v>
      </c>
      <c r="K514" s="106">
        <v>107</v>
      </c>
      <c r="L514" s="106">
        <v>925</v>
      </c>
      <c r="M514" s="106">
        <v>1.04</v>
      </c>
      <c r="N514" s="106">
        <v>1210</v>
      </c>
      <c r="O514" s="106">
        <v>200</v>
      </c>
      <c r="P514" s="106">
        <v>3.6</v>
      </c>
      <c r="Q514" s="106">
        <v>0.6</v>
      </c>
      <c r="R514" s="106">
        <v>0.32</v>
      </c>
      <c r="S514" s="662">
        <v>0.41</v>
      </c>
      <c r="T514" s="662">
        <v>96</v>
      </c>
    </row>
    <row r="515" spans="2:20">
      <c r="B515" s="129" t="s">
        <v>956</v>
      </c>
      <c r="C515" s="664" t="s">
        <v>1374</v>
      </c>
      <c r="D515" s="583">
        <v>150</v>
      </c>
      <c r="E515" s="583">
        <v>-25</v>
      </c>
      <c r="F515" s="583">
        <v>-27</v>
      </c>
      <c r="G515" s="583">
        <v>29</v>
      </c>
      <c r="H515" s="583">
        <v>22</v>
      </c>
      <c r="I515" s="583">
        <v>4700</v>
      </c>
      <c r="J515" s="583">
        <v>23</v>
      </c>
      <c r="K515" s="583">
        <v>96</v>
      </c>
      <c r="L515" s="583">
        <v>870</v>
      </c>
      <c r="M515" s="583">
        <v>0.98</v>
      </c>
      <c r="N515" s="583">
        <v>1060</v>
      </c>
      <c r="O515" s="583">
        <v>160</v>
      </c>
      <c r="P515" s="583">
        <v>2.4</v>
      </c>
      <c r="Q515" s="583">
        <v>0.6</v>
      </c>
      <c r="R515" s="583">
        <v>0.25</v>
      </c>
      <c r="S515" s="665">
        <v>0.32</v>
      </c>
      <c r="T515" s="665">
        <v>74</v>
      </c>
    </row>
    <row r="516" spans="2:20">
      <c r="B516" s="129" t="s">
        <v>956</v>
      </c>
      <c r="C516" s="663" t="s">
        <v>1377</v>
      </c>
      <c r="D516" s="106">
        <v>30</v>
      </c>
      <c r="E516" s="106">
        <v>-25</v>
      </c>
      <c r="F516" s="106">
        <v>-27</v>
      </c>
      <c r="G516" s="106">
        <v>26</v>
      </c>
      <c r="H516" s="106">
        <v>20</v>
      </c>
      <c r="I516" s="106">
        <v>5300</v>
      </c>
      <c r="J516" s="106">
        <v>18</v>
      </c>
      <c r="K516" s="106">
        <v>91</v>
      </c>
      <c r="L516" s="106">
        <v>640</v>
      </c>
      <c r="M516" s="106">
        <v>0.84</v>
      </c>
      <c r="N516" s="106">
        <v>890</v>
      </c>
      <c r="O516" s="106">
        <v>200</v>
      </c>
      <c r="P516" s="106">
        <v>3.8</v>
      </c>
      <c r="Q516" s="106">
        <v>0.4</v>
      </c>
      <c r="R516" s="106">
        <v>0.4</v>
      </c>
      <c r="S516" s="662">
        <v>0.52</v>
      </c>
      <c r="T516" s="662">
        <v>103</v>
      </c>
    </row>
    <row r="517" spans="2:20">
      <c r="B517" s="129" t="s">
        <v>956</v>
      </c>
      <c r="C517" s="664" t="s">
        <v>1380</v>
      </c>
      <c r="D517" s="583">
        <v>55</v>
      </c>
      <c r="E517" s="583">
        <v>-25</v>
      </c>
      <c r="F517" s="583">
        <v>-27</v>
      </c>
      <c r="G517" s="583">
        <v>26</v>
      </c>
      <c r="H517" s="583">
        <v>21</v>
      </c>
      <c r="I517" s="583">
        <v>5380</v>
      </c>
      <c r="J517" s="583">
        <v>18</v>
      </c>
      <c r="K517" s="583">
        <v>91</v>
      </c>
      <c r="L517" s="583">
        <v>660</v>
      </c>
      <c r="M517" s="583">
        <v>0.84</v>
      </c>
      <c r="N517" s="583">
        <v>900</v>
      </c>
      <c r="O517" s="583">
        <v>180</v>
      </c>
      <c r="P517" s="583">
        <v>3.5</v>
      </c>
      <c r="Q517" s="583">
        <v>0.6</v>
      </c>
      <c r="R517" s="583">
        <v>0.39</v>
      </c>
      <c r="S517" s="665">
        <v>0.5</v>
      </c>
      <c r="T517" s="665">
        <v>99</v>
      </c>
    </row>
    <row r="518" spans="2:20">
      <c r="B518" s="129" t="s">
        <v>956</v>
      </c>
      <c r="C518" s="663" t="s">
        <v>1383</v>
      </c>
      <c r="D518" s="106">
        <v>100</v>
      </c>
      <c r="E518" s="106">
        <v>-31</v>
      </c>
      <c r="F518" s="106">
        <v>-33</v>
      </c>
      <c r="G518" s="106">
        <v>28</v>
      </c>
      <c r="H518" s="106">
        <v>21</v>
      </c>
      <c r="I518" s="106">
        <v>5750</v>
      </c>
      <c r="J518" s="106">
        <v>22</v>
      </c>
      <c r="K518" s="106">
        <v>91</v>
      </c>
      <c r="L518" s="106">
        <v>590</v>
      </c>
      <c r="M518" s="106">
        <v>0.77</v>
      </c>
      <c r="N518" s="106">
        <v>910</v>
      </c>
      <c r="O518" s="106">
        <v>140</v>
      </c>
      <c r="P518" s="106">
        <v>3.5</v>
      </c>
      <c r="Q518" s="106">
        <v>0.3</v>
      </c>
      <c r="R518" s="106">
        <v>0.27</v>
      </c>
      <c r="S518" s="662">
        <v>0.35</v>
      </c>
      <c r="T518" s="662">
        <v>78</v>
      </c>
    </row>
    <row r="519" spans="2:20">
      <c r="B519" s="129" t="s">
        <v>956</v>
      </c>
      <c r="C519" s="663" t="s">
        <v>1386</v>
      </c>
      <c r="D519" s="106">
        <v>25</v>
      </c>
      <c r="E519" s="106">
        <v>-24</v>
      </c>
      <c r="F519" s="106">
        <v>-26</v>
      </c>
      <c r="G519" s="106">
        <v>29</v>
      </c>
      <c r="H519" s="106">
        <v>23</v>
      </c>
      <c r="I519" s="106">
        <v>4550</v>
      </c>
      <c r="J519" s="106">
        <v>23</v>
      </c>
      <c r="K519" s="106">
        <v>96</v>
      </c>
      <c r="L519" s="106">
        <v>840</v>
      </c>
      <c r="M519" s="106">
        <v>0.97</v>
      </c>
      <c r="N519" s="106">
        <v>1050</v>
      </c>
      <c r="O519" s="106">
        <v>160</v>
      </c>
      <c r="P519" s="106">
        <v>2.6</v>
      </c>
      <c r="Q519" s="106">
        <v>0.4</v>
      </c>
      <c r="R519" s="106">
        <v>0.31</v>
      </c>
      <c r="S519" s="662">
        <v>0.4</v>
      </c>
      <c r="T519" s="662">
        <v>84</v>
      </c>
    </row>
    <row r="520" spans="2:20">
      <c r="B520" s="129" t="s">
        <v>956</v>
      </c>
      <c r="C520" s="664" t="s">
        <v>1389</v>
      </c>
      <c r="D520" s="583">
        <v>300</v>
      </c>
      <c r="E520" s="583">
        <v>-33</v>
      </c>
      <c r="F520" s="583">
        <v>-36</v>
      </c>
      <c r="G520" s="583">
        <v>29</v>
      </c>
      <c r="H520" s="583">
        <v>21</v>
      </c>
      <c r="I520" s="583">
        <v>6050</v>
      </c>
      <c r="J520" s="583">
        <v>20</v>
      </c>
      <c r="K520" s="583">
        <v>91</v>
      </c>
      <c r="L520" s="583">
        <v>650</v>
      </c>
      <c r="M520" s="583">
        <v>0.82</v>
      </c>
      <c r="N520" s="583">
        <v>900</v>
      </c>
      <c r="O520" s="583">
        <v>100</v>
      </c>
      <c r="P520" s="583">
        <v>3.1</v>
      </c>
      <c r="Q520" s="583">
        <v>0.3</v>
      </c>
      <c r="R520" s="583">
        <v>0.27</v>
      </c>
      <c r="S520" s="665">
        <v>0.35</v>
      </c>
      <c r="T520" s="665">
        <v>78</v>
      </c>
    </row>
    <row r="521" spans="2:20">
      <c r="B521" s="129" t="s">
        <v>956</v>
      </c>
      <c r="C521" s="663" t="s">
        <v>1392</v>
      </c>
      <c r="D521" s="106">
        <v>10</v>
      </c>
      <c r="E521" s="106">
        <v>-30</v>
      </c>
      <c r="F521" s="106">
        <v>-32</v>
      </c>
      <c r="G521" s="106">
        <v>28</v>
      </c>
      <c r="H521" s="106">
        <v>22</v>
      </c>
      <c r="I521" s="106">
        <v>5700</v>
      </c>
      <c r="J521" s="106">
        <v>18</v>
      </c>
      <c r="K521" s="106">
        <v>86</v>
      </c>
      <c r="L521" s="106">
        <v>710</v>
      </c>
      <c r="M521" s="106" t="s">
        <v>1640</v>
      </c>
      <c r="N521" s="106">
        <v>975</v>
      </c>
      <c r="O521" s="106">
        <v>140</v>
      </c>
      <c r="P521" s="106">
        <v>2.7</v>
      </c>
      <c r="Q521" s="106">
        <v>0.4</v>
      </c>
      <c r="R521" s="106">
        <v>0.28000000000000003</v>
      </c>
      <c r="S521" s="662">
        <v>0.36</v>
      </c>
      <c r="T521" s="662">
        <v>78</v>
      </c>
    </row>
    <row r="522" spans="2:20">
      <c r="B522" s="129" t="s">
        <v>956</v>
      </c>
      <c r="C522" s="664" t="s">
        <v>1392</v>
      </c>
      <c r="D522" s="583">
        <v>5</v>
      </c>
      <c r="E522" s="583">
        <v>-31</v>
      </c>
      <c r="F522" s="583">
        <v>-33</v>
      </c>
      <c r="G522" s="583">
        <v>28</v>
      </c>
      <c r="H522" s="583">
        <v>21</v>
      </c>
      <c r="I522" s="583">
        <v>5700</v>
      </c>
      <c r="J522" s="583">
        <v>18</v>
      </c>
      <c r="K522" s="583">
        <v>86</v>
      </c>
      <c r="L522" s="583">
        <v>690</v>
      </c>
      <c r="M522" s="583">
        <v>0.86</v>
      </c>
      <c r="N522" s="583">
        <v>925</v>
      </c>
      <c r="O522" s="583">
        <v>160</v>
      </c>
      <c r="P522" s="583">
        <v>2.7</v>
      </c>
      <c r="Q522" s="583">
        <v>0.4</v>
      </c>
      <c r="R522" s="583">
        <v>0.28999999999999998</v>
      </c>
      <c r="S522" s="665">
        <v>0.38</v>
      </c>
      <c r="T522" s="665">
        <v>78</v>
      </c>
    </row>
    <row r="523" spans="2:20">
      <c r="B523" s="129" t="s">
        <v>956</v>
      </c>
      <c r="C523" s="664" t="s">
        <v>1392</v>
      </c>
      <c r="D523" s="583">
        <v>135</v>
      </c>
      <c r="E523" s="583">
        <v>-30</v>
      </c>
      <c r="F523" s="583">
        <v>-32</v>
      </c>
      <c r="G523" s="583">
        <v>28</v>
      </c>
      <c r="H523" s="583">
        <v>22</v>
      </c>
      <c r="I523" s="583">
        <v>5650</v>
      </c>
      <c r="J523" s="583">
        <v>18</v>
      </c>
      <c r="K523" s="583">
        <v>86</v>
      </c>
      <c r="L523" s="583">
        <v>710</v>
      </c>
      <c r="M523" s="583">
        <v>0.87</v>
      </c>
      <c r="N523" s="583">
        <v>925</v>
      </c>
      <c r="O523" s="583">
        <v>160</v>
      </c>
      <c r="P523" s="583">
        <v>3.1</v>
      </c>
      <c r="Q523" s="583">
        <v>0.4</v>
      </c>
      <c r="R523" s="583">
        <v>0.27</v>
      </c>
      <c r="S523" s="665">
        <v>0.35</v>
      </c>
      <c r="T523" s="665">
        <v>78</v>
      </c>
    </row>
    <row r="524" spans="2:20">
      <c r="B524" s="129" t="s">
        <v>956</v>
      </c>
      <c r="C524" s="664" t="s">
        <v>1392</v>
      </c>
      <c r="D524" s="583">
        <v>140</v>
      </c>
      <c r="E524" s="583">
        <v>-30</v>
      </c>
      <c r="F524" s="583">
        <v>-32</v>
      </c>
      <c r="G524" s="583">
        <v>28</v>
      </c>
      <c r="H524" s="583">
        <v>22</v>
      </c>
      <c r="I524" s="583">
        <v>5650</v>
      </c>
      <c r="J524" s="583">
        <v>18</v>
      </c>
      <c r="K524" s="583">
        <v>86</v>
      </c>
      <c r="L524" s="583">
        <v>690</v>
      </c>
      <c r="M524" s="583">
        <v>0.86</v>
      </c>
      <c r="N524" s="583">
        <v>925</v>
      </c>
      <c r="O524" s="583">
        <v>160</v>
      </c>
      <c r="P524" s="583">
        <v>3.1</v>
      </c>
      <c r="Q524" s="583">
        <v>0.4</v>
      </c>
      <c r="R524" s="583">
        <v>0.27</v>
      </c>
      <c r="S524" s="665">
        <v>0.35</v>
      </c>
      <c r="T524" s="665">
        <v>78</v>
      </c>
    </row>
    <row r="525" spans="2:20">
      <c r="B525" s="129" t="s">
        <v>956</v>
      </c>
      <c r="C525" s="664" t="s">
        <v>1399</v>
      </c>
      <c r="D525" s="583">
        <v>35</v>
      </c>
      <c r="E525" s="583">
        <v>-25</v>
      </c>
      <c r="F525" s="583">
        <v>-27</v>
      </c>
      <c r="G525" s="583">
        <v>29</v>
      </c>
      <c r="H525" s="583">
        <v>23</v>
      </c>
      <c r="I525" s="583">
        <v>4500</v>
      </c>
      <c r="J525" s="583">
        <v>23</v>
      </c>
      <c r="K525" s="583">
        <v>96</v>
      </c>
      <c r="L525" s="583">
        <v>820</v>
      </c>
      <c r="M525" s="583">
        <v>0.92</v>
      </c>
      <c r="N525" s="583">
        <v>1025</v>
      </c>
      <c r="O525" s="583">
        <v>160</v>
      </c>
      <c r="P525" s="583">
        <v>2.4</v>
      </c>
      <c r="Q525" s="583">
        <v>0.4</v>
      </c>
      <c r="R525" s="583">
        <v>0.28999999999999998</v>
      </c>
      <c r="S525" s="665">
        <v>0.37</v>
      </c>
      <c r="T525" s="665">
        <v>84</v>
      </c>
    </row>
    <row r="526" spans="2:20">
      <c r="B526" s="129" t="s">
        <v>956</v>
      </c>
      <c r="C526" s="663" t="s">
        <v>1402</v>
      </c>
      <c r="D526" s="106">
        <v>35</v>
      </c>
      <c r="E526" s="106">
        <v>-24</v>
      </c>
      <c r="F526" s="106">
        <v>-26</v>
      </c>
      <c r="G526" s="106">
        <v>29</v>
      </c>
      <c r="H526" s="106">
        <v>23</v>
      </c>
      <c r="I526" s="106">
        <v>4450</v>
      </c>
      <c r="J526" s="106">
        <v>23</v>
      </c>
      <c r="K526" s="106">
        <v>91</v>
      </c>
      <c r="L526" s="106">
        <v>880</v>
      </c>
      <c r="M526" s="106">
        <v>0.99</v>
      </c>
      <c r="N526" s="106">
        <v>1010</v>
      </c>
      <c r="O526" s="106">
        <v>180</v>
      </c>
      <c r="P526" s="106">
        <v>2.2000000000000002</v>
      </c>
      <c r="Q526" s="106">
        <v>0.4</v>
      </c>
      <c r="R526" s="106">
        <v>0.32</v>
      </c>
      <c r="S526" s="662">
        <v>0.41</v>
      </c>
      <c r="T526" s="662">
        <v>84</v>
      </c>
    </row>
    <row r="527" spans="2:20">
      <c r="B527" s="129" t="s">
        <v>956</v>
      </c>
      <c r="C527" s="663" t="s">
        <v>1405</v>
      </c>
      <c r="D527" s="106">
        <v>50</v>
      </c>
      <c r="E527" s="106">
        <v>-23</v>
      </c>
      <c r="F527" s="106">
        <v>-25</v>
      </c>
      <c r="G527" s="106">
        <v>29</v>
      </c>
      <c r="H527" s="106">
        <v>23</v>
      </c>
      <c r="I527" s="106">
        <v>4400</v>
      </c>
      <c r="J527" s="106">
        <v>23</v>
      </c>
      <c r="K527" s="106">
        <v>96</v>
      </c>
      <c r="L527" s="106">
        <v>760</v>
      </c>
      <c r="M527" s="106">
        <v>0.87</v>
      </c>
      <c r="N527" s="106">
        <v>900</v>
      </c>
      <c r="O527" s="106">
        <v>180</v>
      </c>
      <c r="P527" s="106">
        <v>2.2999999999999998</v>
      </c>
      <c r="Q527" s="106">
        <v>0.4</v>
      </c>
      <c r="R527" s="106">
        <v>0.33</v>
      </c>
      <c r="S527" s="662">
        <v>0.42</v>
      </c>
      <c r="T527" s="662">
        <v>84</v>
      </c>
    </row>
    <row r="528" spans="2:20">
      <c r="B528" s="129" t="s">
        <v>956</v>
      </c>
      <c r="C528" s="663" t="s">
        <v>1408</v>
      </c>
      <c r="D528" s="106">
        <v>550</v>
      </c>
      <c r="E528" s="106">
        <v>-37</v>
      </c>
      <c r="F528" s="106">
        <v>-39</v>
      </c>
      <c r="G528" s="106">
        <v>24</v>
      </c>
      <c r="H528" s="106">
        <v>16</v>
      </c>
      <c r="I528" s="106">
        <v>8550</v>
      </c>
      <c r="J528" s="106">
        <v>13</v>
      </c>
      <c r="K528" s="106">
        <v>64</v>
      </c>
      <c r="L528" s="106">
        <v>410</v>
      </c>
      <c r="M528" s="106">
        <v>0.81</v>
      </c>
      <c r="N528" s="106">
        <v>800</v>
      </c>
      <c r="O528" s="106">
        <v>180</v>
      </c>
      <c r="P528" s="106">
        <v>4.5</v>
      </c>
      <c r="Q528" s="106">
        <v>0.3</v>
      </c>
      <c r="R528" s="106">
        <v>0.33</v>
      </c>
      <c r="S528" s="662">
        <v>0.42</v>
      </c>
      <c r="T528" s="662">
        <v>86</v>
      </c>
    </row>
    <row r="529" spans="2:20">
      <c r="B529" s="129" t="s">
        <v>956</v>
      </c>
      <c r="C529" s="664" t="s">
        <v>1411</v>
      </c>
      <c r="D529" s="583">
        <v>310</v>
      </c>
      <c r="E529" s="583">
        <v>-34</v>
      </c>
      <c r="F529" s="583">
        <v>-36</v>
      </c>
      <c r="G529" s="583">
        <v>29</v>
      </c>
      <c r="H529" s="583">
        <v>21</v>
      </c>
      <c r="I529" s="583">
        <v>6180</v>
      </c>
      <c r="J529" s="583">
        <v>22</v>
      </c>
      <c r="K529" s="583">
        <v>91</v>
      </c>
      <c r="L529" s="583">
        <v>740</v>
      </c>
      <c r="M529" s="583">
        <v>0.91</v>
      </c>
      <c r="N529" s="583">
        <v>925</v>
      </c>
      <c r="O529" s="583">
        <v>100</v>
      </c>
      <c r="P529" s="583">
        <v>3.3</v>
      </c>
      <c r="Q529" s="583">
        <v>0.3</v>
      </c>
      <c r="R529" s="583">
        <v>0.25</v>
      </c>
      <c r="S529" s="665">
        <v>0.32</v>
      </c>
      <c r="T529" s="665">
        <v>74</v>
      </c>
    </row>
    <row r="530" spans="2:20">
      <c r="B530" s="129" t="s">
        <v>956</v>
      </c>
      <c r="C530" s="663" t="s">
        <v>1414</v>
      </c>
      <c r="D530" s="106">
        <v>5</v>
      </c>
      <c r="E530" s="106">
        <v>-29</v>
      </c>
      <c r="F530" s="106">
        <v>-31</v>
      </c>
      <c r="G530" s="106">
        <v>24</v>
      </c>
      <c r="H530" s="106">
        <v>18</v>
      </c>
      <c r="I530" s="106">
        <v>6200</v>
      </c>
      <c r="J530" s="106">
        <v>15</v>
      </c>
      <c r="K530" s="106">
        <v>106</v>
      </c>
      <c r="L530" s="106">
        <v>760</v>
      </c>
      <c r="M530" s="106">
        <v>1.01</v>
      </c>
      <c r="N530" s="106">
        <v>1125</v>
      </c>
      <c r="O530" s="106">
        <v>300</v>
      </c>
      <c r="P530" s="106">
        <v>4.0999999999999996</v>
      </c>
      <c r="Q530" s="106">
        <v>0.4</v>
      </c>
      <c r="R530" s="106">
        <v>0.42</v>
      </c>
      <c r="S530" s="662">
        <v>0.54</v>
      </c>
      <c r="T530" s="662">
        <v>110</v>
      </c>
    </row>
    <row r="531" spans="2:20" ht="15.95" customHeight="1">
      <c r="B531" s="129" t="s">
        <v>956</v>
      </c>
      <c r="C531" s="664" t="s">
        <v>1417</v>
      </c>
      <c r="D531" s="583">
        <v>60</v>
      </c>
      <c r="E531" s="583">
        <v>-26</v>
      </c>
      <c r="F531" s="583">
        <v>-29</v>
      </c>
      <c r="G531" s="583">
        <v>29</v>
      </c>
      <c r="H531" s="583">
        <v>23</v>
      </c>
      <c r="I531" s="583">
        <v>5050</v>
      </c>
      <c r="J531" s="583">
        <v>22</v>
      </c>
      <c r="K531" s="583">
        <v>102</v>
      </c>
      <c r="L531" s="583">
        <v>820</v>
      </c>
      <c r="M531" s="583">
        <v>0.96</v>
      </c>
      <c r="N531" s="583">
        <v>1050</v>
      </c>
      <c r="O531" s="583">
        <v>180</v>
      </c>
      <c r="P531" s="583">
        <v>3.1</v>
      </c>
      <c r="Q531" s="583">
        <v>0.4</v>
      </c>
      <c r="R531" s="583">
        <v>0.27</v>
      </c>
      <c r="S531" s="665">
        <v>0.35</v>
      </c>
      <c r="T531" s="665">
        <v>78</v>
      </c>
    </row>
    <row r="532" spans="2:20">
      <c r="B532" s="129" t="s">
        <v>956</v>
      </c>
      <c r="C532" s="663" t="s">
        <v>1420</v>
      </c>
      <c r="D532" s="106">
        <v>170</v>
      </c>
      <c r="E532" s="106">
        <v>-27</v>
      </c>
      <c r="F532" s="106">
        <v>-30</v>
      </c>
      <c r="G532" s="106">
        <v>30</v>
      </c>
      <c r="H532" s="106">
        <v>23</v>
      </c>
      <c r="I532" s="106">
        <v>4880</v>
      </c>
      <c r="J532" s="106">
        <v>23</v>
      </c>
      <c r="K532" s="106">
        <v>96</v>
      </c>
      <c r="L532" s="106">
        <v>670</v>
      </c>
      <c r="M532" s="106">
        <v>0.79</v>
      </c>
      <c r="N532" s="106">
        <v>880</v>
      </c>
      <c r="O532" s="106">
        <v>160</v>
      </c>
      <c r="P532" s="106">
        <v>2.8</v>
      </c>
      <c r="Q532" s="106">
        <v>0.4</v>
      </c>
      <c r="R532" s="106">
        <v>0.27</v>
      </c>
      <c r="S532" s="662">
        <v>0.35</v>
      </c>
      <c r="T532" s="662">
        <v>78</v>
      </c>
    </row>
    <row r="533" spans="2:20">
      <c r="B533" s="129" t="s">
        <v>956</v>
      </c>
      <c r="C533" s="664" t="s">
        <v>1423</v>
      </c>
      <c r="D533" s="583">
        <v>185</v>
      </c>
      <c r="E533" s="583">
        <v>-28</v>
      </c>
      <c r="F533" s="583">
        <v>-30</v>
      </c>
      <c r="G533" s="583">
        <v>29</v>
      </c>
      <c r="H533" s="583">
        <v>23</v>
      </c>
      <c r="I533" s="583">
        <v>4700</v>
      </c>
      <c r="J533" s="583">
        <v>23</v>
      </c>
      <c r="K533" s="583">
        <v>96</v>
      </c>
      <c r="L533" s="583">
        <v>900</v>
      </c>
      <c r="M533" s="583">
        <v>1.03</v>
      </c>
      <c r="N533" s="583">
        <v>1100</v>
      </c>
      <c r="O533" s="583">
        <v>160</v>
      </c>
      <c r="P533" s="583">
        <v>2.2000000000000002</v>
      </c>
      <c r="Q533" s="583">
        <v>0.6</v>
      </c>
      <c r="R533" s="583">
        <v>0.25</v>
      </c>
      <c r="S533" s="665">
        <v>0.32</v>
      </c>
      <c r="T533" s="665">
        <v>74</v>
      </c>
    </row>
    <row r="534" spans="2:20">
      <c r="B534" s="129" t="s">
        <v>956</v>
      </c>
      <c r="C534" s="664" t="s">
        <v>1426</v>
      </c>
      <c r="D534" s="583">
        <v>10</v>
      </c>
      <c r="E534" s="583">
        <v>-25</v>
      </c>
      <c r="F534" s="583">
        <v>-28</v>
      </c>
      <c r="G534" s="583">
        <v>28</v>
      </c>
      <c r="H534" s="583">
        <v>23</v>
      </c>
      <c r="I534" s="583">
        <v>5070</v>
      </c>
      <c r="J534" s="583">
        <v>20</v>
      </c>
      <c r="K534" s="583">
        <v>107</v>
      </c>
      <c r="L534" s="583">
        <v>930</v>
      </c>
      <c r="M534" s="583">
        <v>1.05</v>
      </c>
      <c r="N534" s="583">
        <v>1200</v>
      </c>
      <c r="O534" s="583">
        <v>200</v>
      </c>
      <c r="P534" s="583">
        <v>3.1</v>
      </c>
      <c r="Q534" s="583">
        <v>0.6</v>
      </c>
      <c r="R534" s="583">
        <v>0.32</v>
      </c>
      <c r="S534" s="665">
        <v>0.41</v>
      </c>
      <c r="T534" s="665">
        <v>96</v>
      </c>
    </row>
    <row r="535" spans="2:20">
      <c r="B535" s="129" t="s">
        <v>956</v>
      </c>
      <c r="C535" s="663" t="s">
        <v>1429</v>
      </c>
      <c r="D535" s="106">
        <v>10</v>
      </c>
      <c r="E535" s="106">
        <v>-25</v>
      </c>
      <c r="F535" s="106">
        <v>-27</v>
      </c>
      <c r="G535" s="106">
        <v>29</v>
      </c>
      <c r="H535" s="106">
        <v>23</v>
      </c>
      <c r="I535" s="106">
        <v>4550</v>
      </c>
      <c r="J535" s="106">
        <v>20</v>
      </c>
      <c r="K535" s="106">
        <v>102</v>
      </c>
      <c r="L535" s="106">
        <v>800</v>
      </c>
      <c r="M535" s="106">
        <v>0.93</v>
      </c>
      <c r="N535" s="106">
        <v>975</v>
      </c>
      <c r="O535" s="106">
        <v>180</v>
      </c>
      <c r="P535" s="106">
        <v>2.8</v>
      </c>
      <c r="Q535" s="106">
        <v>0.4</v>
      </c>
      <c r="R535" s="106">
        <v>0.33</v>
      </c>
      <c r="S535" s="662">
        <v>0.43</v>
      </c>
      <c r="T535" s="662">
        <v>87</v>
      </c>
    </row>
    <row r="536" spans="2:20">
      <c r="B536" s="129" t="s">
        <v>956</v>
      </c>
      <c r="C536" s="664" t="s">
        <v>1432</v>
      </c>
      <c r="D536" s="583">
        <v>160</v>
      </c>
      <c r="E536" s="583">
        <v>-25</v>
      </c>
      <c r="F536" s="583">
        <v>-27</v>
      </c>
      <c r="G536" s="583">
        <v>29</v>
      </c>
      <c r="H536" s="583">
        <v>23</v>
      </c>
      <c r="I536" s="583">
        <v>4850</v>
      </c>
      <c r="J536" s="583">
        <v>23</v>
      </c>
      <c r="K536" s="583">
        <v>91</v>
      </c>
      <c r="L536" s="583">
        <v>900</v>
      </c>
      <c r="M536" s="583">
        <v>1.03</v>
      </c>
      <c r="N536" s="583">
        <v>1125</v>
      </c>
      <c r="O536" s="583">
        <v>160</v>
      </c>
      <c r="P536" s="583">
        <v>2</v>
      </c>
      <c r="Q536" s="583">
        <v>0.4</v>
      </c>
      <c r="R536" s="583">
        <v>0.27</v>
      </c>
      <c r="S536" s="665">
        <v>0.35</v>
      </c>
      <c r="T536" s="665">
        <v>81</v>
      </c>
    </row>
    <row r="537" spans="2:20">
      <c r="B537" s="129" t="s">
        <v>956</v>
      </c>
      <c r="C537" s="663" t="s">
        <v>1435</v>
      </c>
      <c r="D537" s="106">
        <v>360</v>
      </c>
      <c r="E537" s="106">
        <v>-28</v>
      </c>
      <c r="F537" s="106">
        <v>-30</v>
      </c>
      <c r="G537" s="106">
        <v>28</v>
      </c>
      <c r="H537" s="106">
        <v>22</v>
      </c>
      <c r="I537" s="106">
        <v>5390</v>
      </c>
      <c r="J537" s="106">
        <v>23</v>
      </c>
      <c r="K537" s="106">
        <v>96</v>
      </c>
      <c r="L537" s="106">
        <v>820</v>
      </c>
      <c r="M537" s="106">
        <v>1</v>
      </c>
      <c r="N537" s="106">
        <v>1170</v>
      </c>
      <c r="O537" s="106">
        <v>140</v>
      </c>
      <c r="P537" s="106">
        <v>3.4</v>
      </c>
      <c r="Q537" s="106">
        <v>0.4</v>
      </c>
      <c r="R537" s="106">
        <v>0.27</v>
      </c>
      <c r="S537" s="662">
        <v>0.35</v>
      </c>
      <c r="T537" s="662">
        <v>78</v>
      </c>
    </row>
    <row r="538" spans="2:20">
      <c r="B538" s="129" t="s">
        <v>956</v>
      </c>
      <c r="C538" s="663" t="s">
        <v>1438</v>
      </c>
      <c r="D538" s="106">
        <v>35</v>
      </c>
      <c r="E538" s="106">
        <v>-24</v>
      </c>
      <c r="F538" s="106">
        <v>-26</v>
      </c>
      <c r="G538" s="106">
        <v>29</v>
      </c>
      <c r="H538" s="106">
        <v>23</v>
      </c>
      <c r="I538" s="106">
        <v>4460</v>
      </c>
      <c r="J538" s="106">
        <v>23</v>
      </c>
      <c r="K538" s="106">
        <v>96</v>
      </c>
      <c r="L538" s="106">
        <v>780</v>
      </c>
      <c r="M538" s="106">
        <v>0.89</v>
      </c>
      <c r="N538" s="106">
        <v>960</v>
      </c>
      <c r="O538" s="106">
        <v>180</v>
      </c>
      <c r="P538" s="106">
        <v>2.2999999999999998</v>
      </c>
      <c r="Q538" s="106">
        <v>0.4</v>
      </c>
      <c r="R538" s="106">
        <v>0.33</v>
      </c>
      <c r="S538" s="662">
        <v>0.42</v>
      </c>
      <c r="T538" s="662">
        <v>84</v>
      </c>
    </row>
    <row r="539" spans="2:20">
      <c r="B539" s="129" t="s">
        <v>956</v>
      </c>
      <c r="C539" s="663" t="s">
        <v>1441</v>
      </c>
      <c r="D539" s="106">
        <v>115</v>
      </c>
      <c r="E539" s="106">
        <v>-25</v>
      </c>
      <c r="F539" s="106">
        <v>-28</v>
      </c>
      <c r="G539" s="106">
        <v>28</v>
      </c>
      <c r="H539" s="106">
        <v>23</v>
      </c>
      <c r="I539" s="106">
        <v>5100</v>
      </c>
      <c r="J539" s="106">
        <v>20</v>
      </c>
      <c r="K539" s="106">
        <v>107</v>
      </c>
      <c r="L539" s="106">
        <v>940</v>
      </c>
      <c r="M539" s="106">
        <v>1.06</v>
      </c>
      <c r="N539" s="106">
        <v>1200</v>
      </c>
      <c r="O539" s="106">
        <v>180</v>
      </c>
      <c r="P539" s="106">
        <v>3.7</v>
      </c>
      <c r="Q539" s="106">
        <v>0.6</v>
      </c>
      <c r="R539" s="106">
        <v>0.32</v>
      </c>
      <c r="S539" s="662">
        <v>0.41</v>
      </c>
      <c r="T539" s="662">
        <v>96</v>
      </c>
    </row>
    <row r="540" spans="2:20">
      <c r="B540" s="129" t="s">
        <v>956</v>
      </c>
      <c r="C540" s="664" t="s">
        <v>1444</v>
      </c>
      <c r="D540" s="583">
        <v>105</v>
      </c>
      <c r="E540" s="583">
        <v>-32</v>
      </c>
      <c r="F540" s="583">
        <v>-33</v>
      </c>
      <c r="G540" s="583">
        <v>28</v>
      </c>
      <c r="H540" s="583">
        <v>22</v>
      </c>
      <c r="I540" s="583">
        <v>5850</v>
      </c>
      <c r="J540" s="583">
        <v>22</v>
      </c>
      <c r="K540" s="583">
        <v>91</v>
      </c>
      <c r="L540" s="583">
        <v>570</v>
      </c>
      <c r="M540" s="583">
        <v>0.76</v>
      </c>
      <c r="N540" s="583">
        <v>900</v>
      </c>
      <c r="O540" s="583">
        <v>140</v>
      </c>
      <c r="P540" s="583">
        <v>3.5</v>
      </c>
      <c r="Q540" s="583">
        <v>0.3</v>
      </c>
      <c r="R540" s="583">
        <v>0.27</v>
      </c>
      <c r="S540" s="665">
        <v>0.35</v>
      </c>
      <c r="T540" s="665">
        <v>78</v>
      </c>
    </row>
    <row r="541" spans="2:20">
      <c r="B541" s="129" t="s">
        <v>956</v>
      </c>
      <c r="C541" s="663" t="s">
        <v>1446</v>
      </c>
      <c r="D541" s="106">
        <v>35</v>
      </c>
      <c r="E541" s="106">
        <v>-25</v>
      </c>
      <c r="F541" s="106">
        <v>-27</v>
      </c>
      <c r="G541" s="106">
        <v>26</v>
      </c>
      <c r="H541" s="106">
        <v>21</v>
      </c>
      <c r="I541" s="106">
        <v>5400</v>
      </c>
      <c r="J541" s="106">
        <v>18</v>
      </c>
      <c r="K541" s="106">
        <v>91</v>
      </c>
      <c r="L541" s="106">
        <v>660</v>
      </c>
      <c r="M541" s="106">
        <v>0.85</v>
      </c>
      <c r="N541" s="106">
        <v>925</v>
      </c>
      <c r="O541" s="106">
        <v>180</v>
      </c>
      <c r="P541" s="106">
        <v>3.2</v>
      </c>
      <c r="Q541" s="106">
        <v>0.6</v>
      </c>
      <c r="R541" s="106">
        <v>0.39</v>
      </c>
      <c r="S541" s="662">
        <v>0.5</v>
      </c>
      <c r="T541" s="662">
        <v>100</v>
      </c>
    </row>
    <row r="542" spans="2:20">
      <c r="B542" s="129" t="s">
        <v>956</v>
      </c>
      <c r="C542" s="663" t="s">
        <v>1449</v>
      </c>
      <c r="D542" s="106">
        <v>25</v>
      </c>
      <c r="E542" s="106">
        <v>-24</v>
      </c>
      <c r="F542" s="106">
        <v>-26</v>
      </c>
      <c r="G542" s="106">
        <v>30</v>
      </c>
      <c r="H542" s="106">
        <v>23</v>
      </c>
      <c r="I542" s="106">
        <v>4490</v>
      </c>
      <c r="J542" s="106">
        <v>23</v>
      </c>
      <c r="K542" s="106">
        <v>91</v>
      </c>
      <c r="L542" s="106">
        <v>820</v>
      </c>
      <c r="M542" s="106">
        <v>0.92</v>
      </c>
      <c r="N542" s="106">
        <v>1020</v>
      </c>
      <c r="O542" s="106">
        <v>180</v>
      </c>
      <c r="P542" s="106">
        <v>2.5</v>
      </c>
      <c r="Q542" s="106">
        <v>0.4</v>
      </c>
      <c r="R542" s="106">
        <v>0.33</v>
      </c>
      <c r="S542" s="662">
        <v>0.42</v>
      </c>
      <c r="T542" s="662">
        <v>84</v>
      </c>
    </row>
    <row r="543" spans="2:20">
      <c r="B543" s="129" t="s">
        <v>956</v>
      </c>
      <c r="C543" s="664" t="s">
        <v>1452</v>
      </c>
      <c r="D543" s="583">
        <v>310</v>
      </c>
      <c r="E543" s="583">
        <v>-26</v>
      </c>
      <c r="F543" s="583">
        <v>-28</v>
      </c>
      <c r="G543" s="583">
        <v>26</v>
      </c>
      <c r="H543" s="583">
        <v>21</v>
      </c>
      <c r="I543" s="583">
        <v>5520</v>
      </c>
      <c r="J543" s="583">
        <v>22</v>
      </c>
      <c r="K543" s="583">
        <v>91</v>
      </c>
      <c r="L543" s="583">
        <v>740</v>
      </c>
      <c r="M543" s="583">
        <v>0.9</v>
      </c>
      <c r="N543" s="583">
        <v>1025</v>
      </c>
      <c r="O543" s="583">
        <v>180</v>
      </c>
      <c r="P543" s="583">
        <v>4.4000000000000004</v>
      </c>
      <c r="Q543" s="583">
        <v>0.6</v>
      </c>
      <c r="R543" s="583">
        <v>0.31</v>
      </c>
      <c r="S543" s="665">
        <v>0.4</v>
      </c>
      <c r="T543" s="665">
        <v>90</v>
      </c>
    </row>
    <row r="544" spans="2:20">
      <c r="B544" s="129" t="s">
        <v>956</v>
      </c>
      <c r="C544" s="664" t="s">
        <v>1455</v>
      </c>
      <c r="D544" s="583">
        <v>35</v>
      </c>
      <c r="E544" s="583">
        <v>-24</v>
      </c>
      <c r="F544" s="583">
        <v>-27</v>
      </c>
      <c r="G544" s="583">
        <v>30</v>
      </c>
      <c r="H544" s="583">
        <v>23</v>
      </c>
      <c r="I544" s="583">
        <v>4500</v>
      </c>
      <c r="J544" s="583">
        <v>21</v>
      </c>
      <c r="K544" s="583">
        <v>91</v>
      </c>
      <c r="L544" s="583">
        <v>840</v>
      </c>
      <c r="M544" s="583">
        <v>0.95</v>
      </c>
      <c r="N544" s="583">
        <v>1030</v>
      </c>
      <c r="O544" s="583">
        <v>160</v>
      </c>
      <c r="P544" s="583">
        <v>2.2999999999999998</v>
      </c>
      <c r="Q544" s="583">
        <v>0.4</v>
      </c>
      <c r="R544" s="583">
        <v>0.27</v>
      </c>
      <c r="S544" s="665">
        <v>0.35</v>
      </c>
      <c r="T544" s="665">
        <v>78</v>
      </c>
    </row>
    <row r="545" spans="2:20">
      <c r="B545" s="129" t="s">
        <v>956</v>
      </c>
      <c r="C545" s="663" t="s">
        <v>1458</v>
      </c>
      <c r="D545" s="106">
        <v>95</v>
      </c>
      <c r="E545" s="106">
        <v>-26</v>
      </c>
      <c r="F545" s="106">
        <v>-28</v>
      </c>
      <c r="G545" s="106">
        <v>29</v>
      </c>
      <c r="H545" s="106">
        <v>23</v>
      </c>
      <c r="I545" s="106">
        <v>4820</v>
      </c>
      <c r="J545" s="106">
        <v>23</v>
      </c>
      <c r="K545" s="106">
        <v>96</v>
      </c>
      <c r="L545" s="106">
        <v>830</v>
      </c>
      <c r="M545" s="106">
        <v>0.97</v>
      </c>
      <c r="N545" s="106">
        <v>1025</v>
      </c>
      <c r="O545" s="106">
        <v>160</v>
      </c>
      <c r="P545" s="106">
        <v>2.7</v>
      </c>
      <c r="Q545" s="106">
        <v>0.4</v>
      </c>
      <c r="R545" s="106">
        <v>0.28999999999999998</v>
      </c>
      <c r="S545" s="662">
        <v>0.37</v>
      </c>
      <c r="T545" s="662">
        <v>81</v>
      </c>
    </row>
    <row r="546" spans="2:20">
      <c r="B546" s="129" t="s">
        <v>956</v>
      </c>
      <c r="C546" s="664" t="s">
        <v>1461</v>
      </c>
      <c r="D546" s="583">
        <v>230</v>
      </c>
      <c r="E546" s="583">
        <v>-29</v>
      </c>
      <c r="F546" s="583">
        <v>-31</v>
      </c>
      <c r="G546" s="583">
        <v>28</v>
      </c>
      <c r="H546" s="583">
        <v>22</v>
      </c>
      <c r="I546" s="583">
        <v>5250</v>
      </c>
      <c r="J546" s="583">
        <v>23</v>
      </c>
      <c r="K546" s="583">
        <v>96</v>
      </c>
      <c r="L546" s="583">
        <v>810</v>
      </c>
      <c r="M546" s="583">
        <v>0.99</v>
      </c>
      <c r="N546" s="583">
        <v>1025</v>
      </c>
      <c r="O546" s="583">
        <v>160</v>
      </c>
      <c r="P546" s="583">
        <v>2.8</v>
      </c>
      <c r="Q546" s="583">
        <v>0.4</v>
      </c>
      <c r="R546" s="583">
        <v>0.25</v>
      </c>
      <c r="S546" s="665">
        <v>0.33</v>
      </c>
      <c r="T546" s="665">
        <v>76</v>
      </c>
    </row>
    <row r="547" spans="2:20">
      <c r="B547" s="129" t="s">
        <v>956</v>
      </c>
      <c r="C547" s="663" t="s">
        <v>1464</v>
      </c>
      <c r="D547" s="106">
        <v>15</v>
      </c>
      <c r="E547" s="106">
        <v>-23</v>
      </c>
      <c r="F547" s="106">
        <v>-26</v>
      </c>
      <c r="G547" s="106">
        <v>30</v>
      </c>
      <c r="H547" s="106">
        <v>23</v>
      </c>
      <c r="I547" s="106">
        <v>4400</v>
      </c>
      <c r="J547" s="106">
        <v>23</v>
      </c>
      <c r="K547" s="106">
        <v>96</v>
      </c>
      <c r="L547" s="106">
        <v>810</v>
      </c>
      <c r="M547" s="106">
        <v>0.91</v>
      </c>
      <c r="N547" s="106">
        <v>1050</v>
      </c>
      <c r="O547" s="106">
        <v>160</v>
      </c>
      <c r="P547" s="106">
        <v>2.5</v>
      </c>
      <c r="Q547" s="106">
        <v>0.4</v>
      </c>
      <c r="R547" s="106">
        <v>0.33</v>
      </c>
      <c r="S547" s="662">
        <v>0.42</v>
      </c>
      <c r="T547" s="662">
        <v>84</v>
      </c>
    </row>
    <row r="548" spans="2:20">
      <c r="B548" s="129" t="s">
        <v>956</v>
      </c>
      <c r="C548" s="664" t="s">
        <v>1467</v>
      </c>
      <c r="D548" s="583">
        <v>45</v>
      </c>
      <c r="E548" s="583">
        <v>-23</v>
      </c>
      <c r="F548" s="583">
        <v>-26</v>
      </c>
      <c r="G548" s="583">
        <v>30</v>
      </c>
      <c r="H548" s="583">
        <v>23</v>
      </c>
      <c r="I548" s="583">
        <v>4270</v>
      </c>
      <c r="J548" s="583">
        <v>23</v>
      </c>
      <c r="K548" s="583">
        <v>96</v>
      </c>
      <c r="L548" s="583">
        <v>790</v>
      </c>
      <c r="M548" s="583">
        <v>0.89</v>
      </c>
      <c r="N548" s="583">
        <v>950</v>
      </c>
      <c r="O548" s="583">
        <v>160</v>
      </c>
      <c r="P548" s="583">
        <v>2.5</v>
      </c>
      <c r="Q548" s="583">
        <v>0.4</v>
      </c>
      <c r="R548" s="583">
        <v>0.33</v>
      </c>
      <c r="S548" s="665">
        <v>0.42</v>
      </c>
      <c r="T548" s="665">
        <v>84</v>
      </c>
    </row>
    <row r="549" spans="2:20">
      <c r="B549" s="129" t="s">
        <v>956</v>
      </c>
      <c r="C549" s="663" t="s">
        <v>1469</v>
      </c>
      <c r="D549" s="106">
        <v>60</v>
      </c>
      <c r="E549" s="106">
        <v>-24</v>
      </c>
      <c r="F549" s="106">
        <v>-26</v>
      </c>
      <c r="G549" s="106">
        <v>30</v>
      </c>
      <c r="H549" s="106">
        <v>23</v>
      </c>
      <c r="I549" s="106">
        <v>4520</v>
      </c>
      <c r="J549" s="106">
        <v>23</v>
      </c>
      <c r="K549" s="106">
        <v>96</v>
      </c>
      <c r="L549" s="106">
        <v>750</v>
      </c>
      <c r="M549" s="106">
        <v>0.85</v>
      </c>
      <c r="N549" s="106">
        <v>950</v>
      </c>
      <c r="O549" s="106">
        <v>180</v>
      </c>
      <c r="P549" s="106">
        <v>2.2999999999999998</v>
      </c>
      <c r="Q549" s="106">
        <v>0.4</v>
      </c>
      <c r="R549" s="106">
        <v>0.33</v>
      </c>
      <c r="S549" s="662">
        <v>0.42</v>
      </c>
      <c r="T549" s="662">
        <v>84</v>
      </c>
    </row>
    <row r="550" spans="2:20">
      <c r="B550" s="129" t="s">
        <v>956</v>
      </c>
      <c r="C550" s="664" t="s">
        <v>1471</v>
      </c>
      <c r="D550" s="583">
        <v>65</v>
      </c>
      <c r="E550" s="583">
        <v>-25</v>
      </c>
      <c r="F550" s="583">
        <v>-28</v>
      </c>
      <c r="G550" s="583">
        <v>28</v>
      </c>
      <c r="H550" s="583">
        <v>22</v>
      </c>
      <c r="I550" s="583">
        <v>4990</v>
      </c>
      <c r="J550" s="583">
        <v>20</v>
      </c>
      <c r="K550" s="583">
        <v>102</v>
      </c>
      <c r="L550" s="583">
        <v>890</v>
      </c>
      <c r="M550" s="583">
        <v>1.01</v>
      </c>
      <c r="N550" s="583">
        <v>1200</v>
      </c>
      <c r="O550" s="583">
        <v>200</v>
      </c>
      <c r="P550" s="583">
        <v>3.5</v>
      </c>
      <c r="Q550" s="583">
        <v>0.6</v>
      </c>
      <c r="R550" s="583">
        <v>0.33</v>
      </c>
      <c r="S550" s="665">
        <v>0.42</v>
      </c>
      <c r="T550" s="665">
        <v>93</v>
      </c>
    </row>
    <row r="551" spans="2:20">
      <c r="B551" s="129" t="s">
        <v>956</v>
      </c>
      <c r="C551" s="663" t="s">
        <v>1473</v>
      </c>
      <c r="D551" s="106">
        <v>185</v>
      </c>
      <c r="E551" s="106">
        <v>-25</v>
      </c>
      <c r="F551" s="106">
        <v>-27</v>
      </c>
      <c r="G551" s="106">
        <v>29</v>
      </c>
      <c r="H551" s="106">
        <v>23</v>
      </c>
      <c r="I551" s="106">
        <v>4600</v>
      </c>
      <c r="J551" s="106">
        <v>23</v>
      </c>
      <c r="K551" s="106">
        <v>96</v>
      </c>
      <c r="L551" s="106">
        <v>990</v>
      </c>
      <c r="M551" s="106">
        <v>1.0900000000000001</v>
      </c>
      <c r="N551" s="106">
        <v>1260</v>
      </c>
      <c r="O551" s="106">
        <v>160</v>
      </c>
      <c r="P551" s="106">
        <v>2.4</v>
      </c>
      <c r="Q551" s="106">
        <v>0.4</v>
      </c>
      <c r="R551" s="106">
        <v>0.32</v>
      </c>
      <c r="S551" s="662">
        <v>0.41</v>
      </c>
      <c r="T551" s="662">
        <v>84</v>
      </c>
    </row>
    <row r="552" spans="2:20">
      <c r="B552" s="129" t="s">
        <v>956</v>
      </c>
      <c r="C552" s="664" t="s">
        <v>1475</v>
      </c>
      <c r="D552" s="583">
        <v>65</v>
      </c>
      <c r="E552" s="583">
        <v>-26</v>
      </c>
      <c r="F552" s="583">
        <v>-28</v>
      </c>
      <c r="G552" s="583">
        <v>27</v>
      </c>
      <c r="H552" s="583">
        <v>21</v>
      </c>
      <c r="I552" s="583">
        <v>5450</v>
      </c>
      <c r="J552" s="583">
        <v>18</v>
      </c>
      <c r="K552" s="583">
        <v>96</v>
      </c>
      <c r="L552" s="583">
        <v>700</v>
      </c>
      <c r="M552" s="583">
        <v>0.88</v>
      </c>
      <c r="N552" s="583">
        <v>1000</v>
      </c>
      <c r="O552" s="583">
        <v>180</v>
      </c>
      <c r="P552" s="583">
        <v>3.7</v>
      </c>
      <c r="Q552" s="583">
        <v>0.4</v>
      </c>
      <c r="R552" s="583">
        <v>0.4</v>
      </c>
      <c r="S552" s="665">
        <v>0.52</v>
      </c>
      <c r="T552" s="665">
        <v>99</v>
      </c>
    </row>
    <row r="553" spans="2:20">
      <c r="B553" s="129" t="s">
        <v>956</v>
      </c>
      <c r="C553" s="663" t="s">
        <v>1477</v>
      </c>
      <c r="D553" s="106">
        <v>240</v>
      </c>
      <c r="E553" s="106">
        <v>-30</v>
      </c>
      <c r="F553" s="106">
        <v>-32</v>
      </c>
      <c r="G553" s="106">
        <v>30</v>
      </c>
      <c r="H553" s="106">
        <v>22</v>
      </c>
      <c r="I553" s="106">
        <v>5020</v>
      </c>
      <c r="J553" s="106">
        <v>23</v>
      </c>
      <c r="K553" s="106">
        <v>96</v>
      </c>
      <c r="L553" s="106">
        <v>730</v>
      </c>
      <c r="M553" s="106">
        <v>0.88</v>
      </c>
      <c r="N553" s="106">
        <v>940</v>
      </c>
      <c r="O553" s="106">
        <v>100</v>
      </c>
      <c r="P553" s="106">
        <v>2.5</v>
      </c>
      <c r="Q553" s="106">
        <v>0.4</v>
      </c>
      <c r="R553" s="106">
        <v>0.25</v>
      </c>
      <c r="S553" s="662">
        <v>0.32</v>
      </c>
      <c r="T553" s="662">
        <v>74</v>
      </c>
    </row>
    <row r="554" spans="2:20">
      <c r="B554" s="129" t="s">
        <v>956</v>
      </c>
      <c r="C554" s="664" t="s">
        <v>1479</v>
      </c>
      <c r="D554" s="583">
        <v>20</v>
      </c>
      <c r="E554" s="583">
        <v>-25</v>
      </c>
      <c r="F554" s="583">
        <v>-27</v>
      </c>
      <c r="G554" s="583">
        <v>29</v>
      </c>
      <c r="H554" s="583">
        <v>23</v>
      </c>
      <c r="I554" s="583">
        <v>4500</v>
      </c>
      <c r="J554" s="583">
        <v>23</v>
      </c>
      <c r="K554" s="583">
        <v>96</v>
      </c>
      <c r="L554" s="583">
        <v>830</v>
      </c>
      <c r="M554" s="583">
        <v>0.93</v>
      </c>
      <c r="N554" s="583">
        <v>1025</v>
      </c>
      <c r="O554" s="583">
        <v>160</v>
      </c>
      <c r="P554" s="583">
        <v>2.6</v>
      </c>
      <c r="Q554" s="583">
        <v>0.4</v>
      </c>
      <c r="R554" s="583">
        <v>0.31</v>
      </c>
      <c r="S554" s="665">
        <v>0.4</v>
      </c>
      <c r="T554" s="665">
        <v>84</v>
      </c>
    </row>
    <row r="555" spans="2:20">
      <c r="B555" s="129" t="s">
        <v>956</v>
      </c>
      <c r="C555" s="663" t="s">
        <v>1481</v>
      </c>
      <c r="D555" s="106">
        <v>330</v>
      </c>
      <c r="E555" s="106">
        <v>-26</v>
      </c>
      <c r="F555" s="106">
        <v>-28</v>
      </c>
      <c r="G555" s="106">
        <v>28</v>
      </c>
      <c r="H555" s="106">
        <v>22</v>
      </c>
      <c r="I555" s="106">
        <v>5120</v>
      </c>
      <c r="J555" s="106">
        <v>22</v>
      </c>
      <c r="K555" s="106">
        <v>107</v>
      </c>
      <c r="L555" s="106">
        <v>950</v>
      </c>
      <c r="M555" s="106">
        <v>1.06</v>
      </c>
      <c r="N555" s="106">
        <v>1230</v>
      </c>
      <c r="O555" s="106">
        <v>160</v>
      </c>
      <c r="P555" s="106">
        <v>3.5</v>
      </c>
      <c r="Q555" s="106">
        <v>0.6</v>
      </c>
      <c r="R555" s="106">
        <v>0.27</v>
      </c>
      <c r="S555" s="662">
        <v>0.35</v>
      </c>
      <c r="T555" s="662">
        <v>81</v>
      </c>
    </row>
    <row r="556" spans="2:20">
      <c r="B556" s="129" t="s">
        <v>956</v>
      </c>
      <c r="C556" s="664" t="s">
        <v>1483</v>
      </c>
      <c r="D556" s="583">
        <v>50</v>
      </c>
      <c r="E556" s="583">
        <v>-26</v>
      </c>
      <c r="F556" s="583">
        <v>-28</v>
      </c>
      <c r="G556" s="583">
        <v>30</v>
      </c>
      <c r="H556" s="583">
        <v>23</v>
      </c>
      <c r="I556" s="583">
        <v>4820</v>
      </c>
      <c r="J556" s="583">
        <v>23</v>
      </c>
      <c r="K556" s="583">
        <v>91</v>
      </c>
      <c r="L556" s="106">
        <v>800</v>
      </c>
      <c r="M556" s="583">
        <v>0.93</v>
      </c>
      <c r="N556" s="583">
        <v>950</v>
      </c>
      <c r="O556" s="583">
        <v>160</v>
      </c>
      <c r="P556" s="583">
        <v>2.4</v>
      </c>
      <c r="Q556" s="583">
        <v>0.4</v>
      </c>
      <c r="R556" s="583">
        <v>0.31</v>
      </c>
      <c r="S556" s="665">
        <v>0.4</v>
      </c>
      <c r="T556" s="665">
        <v>84</v>
      </c>
    </row>
    <row r="557" spans="2:20">
      <c r="B557" s="129" t="s">
        <v>956</v>
      </c>
      <c r="C557" s="663" t="s">
        <v>1485</v>
      </c>
      <c r="D557" s="106">
        <v>25</v>
      </c>
      <c r="E557" s="106">
        <v>-25</v>
      </c>
      <c r="F557" s="106">
        <v>-28</v>
      </c>
      <c r="G557" s="106">
        <v>29</v>
      </c>
      <c r="H557" s="106">
        <v>23</v>
      </c>
      <c r="I557" s="106">
        <v>4900</v>
      </c>
      <c r="J557" s="106">
        <v>20</v>
      </c>
      <c r="K557" s="106">
        <v>107</v>
      </c>
      <c r="L557" s="106">
        <v>860</v>
      </c>
      <c r="M557" s="106">
        <v>0.98</v>
      </c>
      <c r="N557" s="106">
        <v>1050</v>
      </c>
      <c r="O557" s="106">
        <v>180</v>
      </c>
      <c r="P557" s="106">
        <v>2.8</v>
      </c>
      <c r="Q557" s="106">
        <v>0.4</v>
      </c>
      <c r="R557" s="106">
        <v>0.33</v>
      </c>
      <c r="S557" s="662">
        <v>0.43</v>
      </c>
      <c r="T557" s="662">
        <v>87</v>
      </c>
    </row>
    <row r="558" spans="2:20">
      <c r="B558" s="129" t="s">
        <v>956</v>
      </c>
      <c r="C558" s="664" t="s">
        <v>1487</v>
      </c>
      <c r="D558" s="583">
        <v>245</v>
      </c>
      <c r="E558" s="583">
        <v>-26</v>
      </c>
      <c r="F558" s="583">
        <v>-28</v>
      </c>
      <c r="G558" s="583">
        <v>29</v>
      </c>
      <c r="H558" s="583">
        <v>22</v>
      </c>
      <c r="I558" s="583">
        <v>4800</v>
      </c>
      <c r="J558" s="583">
        <v>23</v>
      </c>
      <c r="K558" s="583">
        <v>96</v>
      </c>
      <c r="L558" s="583">
        <v>870</v>
      </c>
      <c r="M558" s="583">
        <v>0.98</v>
      </c>
      <c r="N558" s="583">
        <v>1050</v>
      </c>
      <c r="O558" s="583">
        <v>160</v>
      </c>
      <c r="P558" s="583">
        <v>2.8</v>
      </c>
      <c r="Q558" s="583">
        <v>0.6</v>
      </c>
      <c r="R558" s="583">
        <v>0.27</v>
      </c>
      <c r="S558" s="665">
        <v>0.35</v>
      </c>
      <c r="T558" s="665">
        <v>74</v>
      </c>
    </row>
    <row r="559" spans="2:20">
      <c r="B559" s="129" t="s">
        <v>956</v>
      </c>
      <c r="C559" s="664" t="s">
        <v>1489</v>
      </c>
      <c r="D559" s="583">
        <v>310</v>
      </c>
      <c r="E559" s="583">
        <v>-33</v>
      </c>
      <c r="F559" s="583">
        <v>-36</v>
      </c>
      <c r="G559" s="583">
        <v>29</v>
      </c>
      <c r="H559" s="583">
        <v>21</v>
      </c>
      <c r="I559" s="583">
        <v>6180</v>
      </c>
      <c r="J559" s="583">
        <v>20</v>
      </c>
      <c r="K559" s="583">
        <v>86</v>
      </c>
      <c r="L559" s="583">
        <v>640</v>
      </c>
      <c r="M559" s="583">
        <v>0.83</v>
      </c>
      <c r="N559" s="583">
        <v>925</v>
      </c>
      <c r="O559" s="583">
        <v>100</v>
      </c>
      <c r="P559" s="583">
        <v>3.4</v>
      </c>
      <c r="Q559" s="583">
        <v>0.3</v>
      </c>
      <c r="R559" s="583">
        <v>0.25</v>
      </c>
      <c r="S559" s="665">
        <v>0.32</v>
      </c>
      <c r="T559" s="665">
        <v>74</v>
      </c>
    </row>
    <row r="560" spans="2:20">
      <c r="B560" s="129" t="s">
        <v>956</v>
      </c>
      <c r="C560" s="663" t="s">
        <v>1491</v>
      </c>
      <c r="D560" s="106">
        <v>15</v>
      </c>
      <c r="E560" s="106">
        <v>-24</v>
      </c>
      <c r="F560" s="106">
        <v>-26</v>
      </c>
      <c r="G560" s="106">
        <v>30</v>
      </c>
      <c r="H560" s="106">
        <v>23</v>
      </c>
      <c r="I560" s="106">
        <v>4500</v>
      </c>
      <c r="J560" s="106">
        <v>23</v>
      </c>
      <c r="K560" s="106">
        <v>96</v>
      </c>
      <c r="L560" s="106">
        <v>810</v>
      </c>
      <c r="M560" s="106">
        <v>0.94</v>
      </c>
      <c r="N560" s="106">
        <v>1000</v>
      </c>
      <c r="O560" s="106">
        <v>160</v>
      </c>
      <c r="P560" s="106">
        <v>2.6</v>
      </c>
      <c r="Q560" s="106">
        <v>0.4</v>
      </c>
      <c r="R560" s="106">
        <v>0.31</v>
      </c>
      <c r="S560" s="662">
        <v>0.4</v>
      </c>
      <c r="T560" s="662">
        <v>84</v>
      </c>
    </row>
    <row r="561" spans="2:20">
      <c r="B561" s="129" t="s">
        <v>956</v>
      </c>
      <c r="C561" s="664" t="s">
        <v>1493</v>
      </c>
      <c r="D561" s="583">
        <v>15</v>
      </c>
      <c r="E561" s="583">
        <v>-24</v>
      </c>
      <c r="F561" s="583">
        <v>-26</v>
      </c>
      <c r="G561" s="583">
        <v>30</v>
      </c>
      <c r="H561" s="583">
        <v>23</v>
      </c>
      <c r="I561" s="583">
        <v>4450</v>
      </c>
      <c r="J561" s="583">
        <v>23</v>
      </c>
      <c r="K561" s="583">
        <v>96</v>
      </c>
      <c r="L561" s="583">
        <v>810</v>
      </c>
      <c r="M561" s="583">
        <v>0.94</v>
      </c>
      <c r="N561" s="583">
        <v>1000</v>
      </c>
      <c r="O561" s="583">
        <v>160</v>
      </c>
      <c r="P561" s="583">
        <v>2.7</v>
      </c>
      <c r="Q561" s="583">
        <v>0.4</v>
      </c>
      <c r="R561" s="583">
        <v>0.33</v>
      </c>
      <c r="S561" s="665">
        <v>0.43</v>
      </c>
      <c r="T561" s="665">
        <v>87</v>
      </c>
    </row>
    <row r="562" spans="2:20">
      <c r="B562" s="129" t="s">
        <v>956</v>
      </c>
      <c r="C562" s="663" t="s">
        <v>1495</v>
      </c>
      <c r="D562" s="106">
        <v>20</v>
      </c>
      <c r="E562" s="106">
        <v>-23</v>
      </c>
      <c r="F562" s="106">
        <v>-26</v>
      </c>
      <c r="G562" s="106">
        <v>30</v>
      </c>
      <c r="H562" s="106">
        <v>23</v>
      </c>
      <c r="I562" s="106">
        <v>4200</v>
      </c>
      <c r="J562" s="106">
        <v>23</v>
      </c>
      <c r="K562" s="106">
        <v>91</v>
      </c>
      <c r="L562" s="106">
        <v>780</v>
      </c>
      <c r="M562" s="106">
        <v>0.88</v>
      </c>
      <c r="N562" s="106">
        <v>1025</v>
      </c>
      <c r="O562" s="106">
        <v>180</v>
      </c>
      <c r="P562" s="106">
        <v>2.5</v>
      </c>
      <c r="Q562" s="106">
        <v>0.4</v>
      </c>
      <c r="R562" s="106">
        <v>0.33</v>
      </c>
      <c r="S562" s="662">
        <v>0.42</v>
      </c>
      <c r="T562" s="662">
        <v>84</v>
      </c>
    </row>
    <row r="563" spans="2:20">
      <c r="B563" s="129" t="s">
        <v>956</v>
      </c>
      <c r="C563" s="663" t="s">
        <v>1497</v>
      </c>
      <c r="D563" s="106">
        <v>125</v>
      </c>
      <c r="E563" s="106">
        <v>-26</v>
      </c>
      <c r="F563" s="106">
        <v>-28</v>
      </c>
      <c r="G563" s="106">
        <v>29</v>
      </c>
      <c r="H563" s="106">
        <v>23</v>
      </c>
      <c r="I563" s="106">
        <v>4900</v>
      </c>
      <c r="J563" s="106">
        <v>21</v>
      </c>
      <c r="K563" s="106">
        <v>102</v>
      </c>
      <c r="L563" s="106">
        <v>850</v>
      </c>
      <c r="M563" s="106">
        <v>0.97</v>
      </c>
      <c r="N563" s="106">
        <v>1100</v>
      </c>
      <c r="O563" s="106">
        <v>180</v>
      </c>
      <c r="P563" s="106">
        <v>2.6</v>
      </c>
      <c r="Q563" s="106">
        <v>0.6</v>
      </c>
      <c r="R563" s="106">
        <v>0.27</v>
      </c>
      <c r="S563" s="662">
        <v>0.35</v>
      </c>
      <c r="T563" s="662">
        <v>78</v>
      </c>
    </row>
    <row r="564" spans="2:20">
      <c r="B564" s="129" t="s">
        <v>956</v>
      </c>
      <c r="C564" s="664" t="s">
        <v>1499</v>
      </c>
      <c r="D564" s="583">
        <v>200</v>
      </c>
      <c r="E564" s="583">
        <v>-31</v>
      </c>
      <c r="F564" s="583">
        <v>-34</v>
      </c>
      <c r="G564" s="583">
        <v>30</v>
      </c>
      <c r="H564" s="583">
        <v>22</v>
      </c>
      <c r="I564" s="583">
        <v>5550</v>
      </c>
      <c r="J564" s="583">
        <v>23</v>
      </c>
      <c r="K564" s="583">
        <v>96</v>
      </c>
      <c r="L564" s="583">
        <v>630</v>
      </c>
      <c r="M564" s="583">
        <v>0.8</v>
      </c>
      <c r="N564" s="583">
        <v>825</v>
      </c>
      <c r="O564" s="583">
        <v>120</v>
      </c>
      <c r="P564" s="583">
        <v>2.2999999999999998</v>
      </c>
      <c r="Q564" s="583">
        <v>0.4</v>
      </c>
      <c r="R564" s="583">
        <v>0.31</v>
      </c>
      <c r="S564" s="665">
        <v>0.4</v>
      </c>
      <c r="T564" s="665">
        <v>84</v>
      </c>
    </row>
    <row r="565" spans="2:20">
      <c r="B565" s="129" t="s">
        <v>956</v>
      </c>
      <c r="C565" s="663" t="s">
        <v>1501</v>
      </c>
      <c r="D565" s="106">
        <v>120</v>
      </c>
      <c r="E565" s="106">
        <v>-27</v>
      </c>
      <c r="F565" s="106">
        <v>-30</v>
      </c>
      <c r="G565" s="106">
        <v>30</v>
      </c>
      <c r="H565" s="106">
        <v>23</v>
      </c>
      <c r="I565" s="106">
        <v>4820</v>
      </c>
      <c r="J565" s="106">
        <v>23</v>
      </c>
      <c r="K565" s="106">
        <v>91</v>
      </c>
      <c r="L565" s="106">
        <v>780</v>
      </c>
      <c r="M565" s="106">
        <v>0.91</v>
      </c>
      <c r="N565" s="106">
        <v>1020</v>
      </c>
      <c r="O565" s="106">
        <v>160</v>
      </c>
      <c r="P565" s="106">
        <v>2.4</v>
      </c>
      <c r="Q565" s="106">
        <v>0.4</v>
      </c>
      <c r="R565" s="106">
        <v>0.27</v>
      </c>
      <c r="S565" s="662">
        <v>0.34</v>
      </c>
      <c r="T565" s="662">
        <v>74</v>
      </c>
    </row>
    <row r="566" spans="2:20">
      <c r="B566" s="129" t="s">
        <v>956</v>
      </c>
      <c r="C566" s="664" t="s">
        <v>1503</v>
      </c>
      <c r="D566" s="583">
        <v>205</v>
      </c>
      <c r="E566" s="583">
        <v>-25</v>
      </c>
      <c r="F566" s="583">
        <v>-27</v>
      </c>
      <c r="G566" s="583">
        <v>29</v>
      </c>
      <c r="H566" s="583">
        <v>23</v>
      </c>
      <c r="I566" s="583">
        <v>4650</v>
      </c>
      <c r="J566" s="583">
        <v>23</v>
      </c>
      <c r="K566" s="583">
        <v>96</v>
      </c>
      <c r="L566" s="583">
        <v>980</v>
      </c>
      <c r="M566" s="583">
        <v>1.08</v>
      </c>
      <c r="N566" s="583">
        <v>1250</v>
      </c>
      <c r="O566" s="583">
        <v>160</v>
      </c>
      <c r="P566" s="583">
        <v>2.5</v>
      </c>
      <c r="Q566" s="583">
        <v>0.4</v>
      </c>
      <c r="R566" s="583">
        <v>0.27</v>
      </c>
      <c r="S566" s="665">
        <v>0.35</v>
      </c>
      <c r="T566" s="665">
        <v>81</v>
      </c>
    </row>
    <row r="567" spans="2:20">
      <c r="B567" s="129" t="s">
        <v>956</v>
      </c>
      <c r="C567" s="663" t="s">
        <v>1505</v>
      </c>
      <c r="D567" s="106">
        <v>150</v>
      </c>
      <c r="E567" s="106">
        <v>-25</v>
      </c>
      <c r="F567" s="106">
        <v>-27</v>
      </c>
      <c r="G567" s="106">
        <v>29</v>
      </c>
      <c r="H567" s="106">
        <v>23</v>
      </c>
      <c r="I567" s="106">
        <v>4700</v>
      </c>
      <c r="J567" s="106">
        <v>23</v>
      </c>
      <c r="K567" s="106">
        <v>96</v>
      </c>
      <c r="L567" s="106">
        <v>930</v>
      </c>
      <c r="M567" s="106">
        <v>1.04</v>
      </c>
      <c r="N567" s="106">
        <v>1075</v>
      </c>
      <c r="O567" s="106">
        <v>160</v>
      </c>
      <c r="P567" s="106">
        <v>2.2999999999999998</v>
      </c>
      <c r="Q567" s="106">
        <v>0.4</v>
      </c>
      <c r="R567" s="106">
        <v>0.25</v>
      </c>
      <c r="S567" s="662">
        <v>0.32</v>
      </c>
      <c r="T567" s="662">
        <v>99</v>
      </c>
    </row>
    <row r="568" spans="2:20">
      <c r="B568" s="664" t="s">
        <v>1641</v>
      </c>
      <c r="C568" s="663" t="s">
        <v>808</v>
      </c>
      <c r="D568" s="106">
        <v>5</v>
      </c>
      <c r="E568" s="106">
        <v>-21</v>
      </c>
      <c r="F568" s="106">
        <v>-23</v>
      </c>
      <c r="G568" s="106">
        <v>26</v>
      </c>
      <c r="H568" s="106">
        <v>20</v>
      </c>
      <c r="I568" s="106">
        <v>4500</v>
      </c>
      <c r="J568" s="106">
        <v>18</v>
      </c>
      <c r="K568" s="106">
        <v>144</v>
      </c>
      <c r="L568" s="106">
        <v>1175</v>
      </c>
      <c r="M568" s="106">
        <v>1.32</v>
      </c>
      <c r="N568" s="106">
        <v>1450</v>
      </c>
      <c r="O568" s="106">
        <v>260</v>
      </c>
      <c r="P568" s="106">
        <v>2.6</v>
      </c>
      <c r="Q568" s="106">
        <v>0.6</v>
      </c>
      <c r="R568" s="106">
        <v>0.37</v>
      </c>
      <c r="S568" s="662">
        <v>0.48</v>
      </c>
      <c r="T568" s="662">
        <v>74</v>
      </c>
    </row>
    <row r="569" spans="2:20">
      <c r="B569" s="664" t="s">
        <v>1641</v>
      </c>
      <c r="C569" s="664" t="s">
        <v>826</v>
      </c>
      <c r="D569" s="583">
        <v>10</v>
      </c>
      <c r="E569" s="583">
        <v>-23</v>
      </c>
      <c r="F569" s="583">
        <v>-26</v>
      </c>
      <c r="G569" s="583">
        <v>30</v>
      </c>
      <c r="H569" s="583">
        <v>22</v>
      </c>
      <c r="I569" s="583">
        <v>5020</v>
      </c>
      <c r="J569" s="583">
        <v>20</v>
      </c>
      <c r="K569" s="583">
        <v>106</v>
      </c>
      <c r="L569" s="583" t="s">
        <v>1637</v>
      </c>
      <c r="M569" s="583">
        <v>0.94</v>
      </c>
      <c r="N569" s="583">
        <v>1020</v>
      </c>
      <c r="O569" s="583">
        <v>180</v>
      </c>
      <c r="P569" s="583">
        <v>4.0999999999999996</v>
      </c>
      <c r="Q569" s="583">
        <v>0.6</v>
      </c>
      <c r="R569" s="583">
        <v>0.37</v>
      </c>
      <c r="S569" s="665">
        <v>0.48</v>
      </c>
      <c r="T569" s="665">
        <v>91</v>
      </c>
    </row>
    <row r="570" spans="2:20">
      <c r="B570" s="664" t="s">
        <v>1641</v>
      </c>
      <c r="C570" s="663" t="s">
        <v>847</v>
      </c>
      <c r="D570" s="106">
        <v>30</v>
      </c>
      <c r="E570" s="106">
        <v>-26</v>
      </c>
      <c r="F570" s="106">
        <v>-28</v>
      </c>
      <c r="G570" s="106">
        <v>29</v>
      </c>
      <c r="H570" s="106">
        <v>22</v>
      </c>
      <c r="I570" s="106">
        <v>5500</v>
      </c>
      <c r="J570" s="106">
        <v>20</v>
      </c>
      <c r="K570" s="106">
        <v>107</v>
      </c>
      <c r="L570" s="106">
        <v>725</v>
      </c>
      <c r="M570" s="106">
        <v>0.93</v>
      </c>
      <c r="N570" s="106">
        <v>1025</v>
      </c>
      <c r="O570" s="106">
        <v>180</v>
      </c>
      <c r="P570" s="106">
        <v>4.3</v>
      </c>
      <c r="Q570" s="106">
        <v>0.4</v>
      </c>
      <c r="R570" s="106">
        <v>0.35</v>
      </c>
      <c r="S570" s="662">
        <v>0.45</v>
      </c>
      <c r="T570" s="662">
        <v>96</v>
      </c>
    </row>
    <row r="571" spans="2:20">
      <c r="B571" s="664" t="s">
        <v>1641</v>
      </c>
      <c r="C571" s="664" t="s">
        <v>866</v>
      </c>
      <c r="D571" s="583">
        <v>160</v>
      </c>
      <c r="E571" s="583">
        <v>-27</v>
      </c>
      <c r="F571" s="583">
        <v>-29</v>
      </c>
      <c r="G571" s="583">
        <v>28</v>
      </c>
      <c r="H571" s="583">
        <v>22</v>
      </c>
      <c r="I571" s="583">
        <v>5320</v>
      </c>
      <c r="J571" s="583">
        <v>23</v>
      </c>
      <c r="K571" s="583">
        <v>91</v>
      </c>
      <c r="L571" s="583">
        <v>750</v>
      </c>
      <c r="M571" s="583">
        <v>0.94</v>
      </c>
      <c r="N571" s="583">
        <v>1000</v>
      </c>
      <c r="O571" s="583">
        <v>160</v>
      </c>
      <c r="P571" s="583">
        <v>3.4</v>
      </c>
      <c r="Q571" s="583">
        <v>0.6</v>
      </c>
      <c r="R571" s="583">
        <v>0.28999999999999998</v>
      </c>
      <c r="S571" s="665">
        <v>0.38</v>
      </c>
      <c r="T571" s="665">
        <v>86</v>
      </c>
    </row>
    <row r="572" spans="2:20">
      <c r="B572" s="664" t="s">
        <v>1641</v>
      </c>
      <c r="C572" s="663" t="s">
        <v>888</v>
      </c>
      <c r="D572" s="106">
        <v>15</v>
      </c>
      <c r="E572" s="106">
        <v>-24</v>
      </c>
      <c r="F572" s="106">
        <v>-27</v>
      </c>
      <c r="G572" s="106">
        <v>29</v>
      </c>
      <c r="H572" s="106">
        <v>22</v>
      </c>
      <c r="I572" s="106">
        <v>4670</v>
      </c>
      <c r="J572" s="106">
        <v>22</v>
      </c>
      <c r="K572" s="106">
        <v>112</v>
      </c>
      <c r="L572" s="106">
        <v>900</v>
      </c>
      <c r="M572" s="106">
        <v>1.02</v>
      </c>
      <c r="N572" s="106">
        <v>1100</v>
      </c>
      <c r="O572" s="106">
        <v>160</v>
      </c>
      <c r="P572" s="106">
        <v>3.1</v>
      </c>
      <c r="Q572" s="106">
        <v>0.6</v>
      </c>
      <c r="R572" s="106">
        <v>0.28999999999999998</v>
      </c>
      <c r="S572" s="662">
        <v>0.38</v>
      </c>
      <c r="T572" s="662">
        <v>84</v>
      </c>
    </row>
    <row r="573" spans="2:20">
      <c r="B573" s="664" t="s">
        <v>1641</v>
      </c>
      <c r="C573" s="664" t="s">
        <v>909</v>
      </c>
      <c r="D573" s="583">
        <v>20</v>
      </c>
      <c r="E573" s="583">
        <v>-24</v>
      </c>
      <c r="F573" s="583">
        <v>-26</v>
      </c>
      <c r="G573" s="583">
        <v>29</v>
      </c>
      <c r="H573" s="583">
        <v>22</v>
      </c>
      <c r="I573" s="583">
        <v>4460</v>
      </c>
      <c r="J573" s="583">
        <v>20</v>
      </c>
      <c r="K573" s="583">
        <v>112</v>
      </c>
      <c r="L573" s="583">
        <v>900</v>
      </c>
      <c r="M573" s="583">
        <v>1.04</v>
      </c>
      <c r="N573" s="583">
        <v>1125</v>
      </c>
      <c r="O573" s="583">
        <v>180</v>
      </c>
      <c r="P573" s="583">
        <v>2.8</v>
      </c>
      <c r="Q573" s="583">
        <v>0.6</v>
      </c>
      <c r="R573" s="583">
        <v>0.31</v>
      </c>
      <c r="S573" s="665">
        <v>0.4</v>
      </c>
      <c r="T573" s="665">
        <v>96</v>
      </c>
    </row>
    <row r="574" spans="2:20">
      <c r="B574" s="664" t="s">
        <v>1641</v>
      </c>
      <c r="C574" s="663" t="s">
        <v>923</v>
      </c>
      <c r="D574" s="106">
        <v>115</v>
      </c>
      <c r="E574" s="106">
        <v>-27</v>
      </c>
      <c r="F574" s="106">
        <v>-30</v>
      </c>
      <c r="G574" s="106">
        <v>28</v>
      </c>
      <c r="H574" s="106">
        <v>22</v>
      </c>
      <c r="I574" s="106">
        <v>5300</v>
      </c>
      <c r="J574" s="106">
        <v>23</v>
      </c>
      <c r="K574" s="106">
        <v>107</v>
      </c>
      <c r="L574" s="106">
        <v>850</v>
      </c>
      <c r="M574" s="106">
        <v>1</v>
      </c>
      <c r="N574" s="106">
        <v>1100</v>
      </c>
      <c r="O574" s="106">
        <v>160</v>
      </c>
      <c r="P574" s="106">
        <v>3.6</v>
      </c>
      <c r="Q574" s="106">
        <v>0.6</v>
      </c>
      <c r="R574" s="106">
        <v>0.28999999999999998</v>
      </c>
      <c r="S574" s="662">
        <v>0.38</v>
      </c>
      <c r="T574" s="662">
        <v>84</v>
      </c>
    </row>
    <row r="575" spans="2:20">
      <c r="B575" s="664" t="s">
        <v>1641</v>
      </c>
      <c r="C575" s="664" t="s">
        <v>942</v>
      </c>
      <c r="D575" s="583">
        <v>5</v>
      </c>
      <c r="E575" s="583">
        <v>-24</v>
      </c>
      <c r="F575" s="583">
        <v>-26</v>
      </c>
      <c r="G575" s="583">
        <v>30</v>
      </c>
      <c r="H575" s="583">
        <v>22</v>
      </c>
      <c r="I575" s="583">
        <v>4950</v>
      </c>
      <c r="J575" s="583">
        <v>20</v>
      </c>
      <c r="K575" s="583">
        <v>96</v>
      </c>
      <c r="L575" s="583">
        <v>825</v>
      </c>
      <c r="M575" s="583">
        <v>0.97</v>
      </c>
      <c r="N575" s="583">
        <v>1050</v>
      </c>
      <c r="O575" s="583">
        <v>200</v>
      </c>
      <c r="P575" s="583">
        <v>3.4</v>
      </c>
      <c r="Q575" s="583">
        <v>0.6</v>
      </c>
      <c r="R575" s="583">
        <v>0.32</v>
      </c>
      <c r="S575" s="665">
        <v>0.41</v>
      </c>
      <c r="T575" s="665">
        <v>84</v>
      </c>
    </row>
    <row r="576" spans="2:20">
      <c r="B576" s="664" t="s">
        <v>1641</v>
      </c>
      <c r="C576" s="663" t="s">
        <v>960</v>
      </c>
      <c r="D576" s="106">
        <v>20</v>
      </c>
      <c r="E576" s="106">
        <v>-23</v>
      </c>
      <c r="F576" s="106">
        <v>-25</v>
      </c>
      <c r="G576" s="106">
        <v>28</v>
      </c>
      <c r="H576" s="106">
        <v>21</v>
      </c>
      <c r="I576" s="106">
        <v>4680</v>
      </c>
      <c r="J576" s="106">
        <v>20</v>
      </c>
      <c r="K576" s="106">
        <v>112</v>
      </c>
      <c r="L576" s="106">
        <v>850</v>
      </c>
      <c r="M576" s="106">
        <v>1.02</v>
      </c>
      <c r="N576" s="106">
        <v>1175</v>
      </c>
      <c r="O576" s="106">
        <v>220</v>
      </c>
      <c r="P576" s="106">
        <v>3</v>
      </c>
      <c r="Q576" s="106">
        <v>0.6</v>
      </c>
      <c r="R576" s="106">
        <v>0.39</v>
      </c>
      <c r="S576" s="662">
        <v>0.5</v>
      </c>
      <c r="T576" s="662">
        <v>105</v>
      </c>
    </row>
    <row r="577" spans="2:20">
      <c r="B577" s="664" t="s">
        <v>1641</v>
      </c>
      <c r="C577" s="664" t="s">
        <v>982</v>
      </c>
      <c r="D577" s="583">
        <v>20</v>
      </c>
      <c r="E577" s="583">
        <v>-24</v>
      </c>
      <c r="F577" s="583">
        <v>-26</v>
      </c>
      <c r="G577" s="583">
        <v>29</v>
      </c>
      <c r="H577" s="583">
        <v>22</v>
      </c>
      <c r="I577" s="583">
        <v>4650</v>
      </c>
      <c r="J577" s="583">
        <v>22</v>
      </c>
      <c r="K577" s="583">
        <v>112</v>
      </c>
      <c r="L577" s="583">
        <v>900</v>
      </c>
      <c r="M577" s="583">
        <v>1.02</v>
      </c>
      <c r="N577" s="583">
        <v>1110</v>
      </c>
      <c r="O577" s="583">
        <v>160</v>
      </c>
      <c r="P577" s="583">
        <v>3</v>
      </c>
      <c r="Q577" s="583">
        <v>0.6</v>
      </c>
      <c r="R577" s="583">
        <v>0.3</v>
      </c>
      <c r="S577" s="665">
        <v>0.39</v>
      </c>
      <c r="T577" s="665">
        <v>93</v>
      </c>
    </row>
    <row r="578" spans="2:20">
      <c r="B578" s="664" t="s">
        <v>1641</v>
      </c>
      <c r="C578" s="663" t="s">
        <v>1002</v>
      </c>
      <c r="D578" s="106">
        <v>15</v>
      </c>
      <c r="E578" s="106">
        <v>-22</v>
      </c>
      <c r="F578" s="106">
        <v>-24</v>
      </c>
      <c r="G578" s="106">
        <v>27</v>
      </c>
      <c r="H578" s="106">
        <v>21</v>
      </c>
      <c r="I578" s="106">
        <v>4590</v>
      </c>
      <c r="J578" s="106">
        <v>18</v>
      </c>
      <c r="K578" s="106">
        <v>112</v>
      </c>
      <c r="L578" s="106">
        <v>975</v>
      </c>
      <c r="M578" s="106">
        <v>1.1399999999999999</v>
      </c>
      <c r="N578" s="106">
        <v>1175</v>
      </c>
      <c r="O578" s="106">
        <v>220</v>
      </c>
      <c r="P578" s="106">
        <v>2.5</v>
      </c>
      <c r="Q578" s="106">
        <v>0.6</v>
      </c>
      <c r="R578" s="106">
        <v>0.38</v>
      </c>
      <c r="S578" s="662">
        <v>0.49</v>
      </c>
      <c r="T578" s="662">
        <v>100</v>
      </c>
    </row>
    <row r="579" spans="2:20">
      <c r="B579" s="664" t="s">
        <v>1641</v>
      </c>
      <c r="C579" s="664" t="s">
        <v>1014</v>
      </c>
      <c r="D579" s="583">
        <v>35</v>
      </c>
      <c r="E579" s="583">
        <v>-22</v>
      </c>
      <c r="F579" s="583">
        <v>-24</v>
      </c>
      <c r="G579" s="583">
        <v>25</v>
      </c>
      <c r="H579" s="583">
        <v>20</v>
      </c>
      <c r="I579" s="583">
        <v>4680</v>
      </c>
      <c r="J579" s="583">
        <v>19</v>
      </c>
      <c r="K579" s="583">
        <v>123</v>
      </c>
      <c r="L579" s="583">
        <v>1000</v>
      </c>
      <c r="M579" s="583">
        <v>1.1499999999999999</v>
      </c>
      <c r="N579" s="583">
        <v>1200</v>
      </c>
      <c r="O579" s="583">
        <v>220</v>
      </c>
      <c r="P579" s="583">
        <v>2.8</v>
      </c>
      <c r="Q579" s="583">
        <v>0.6</v>
      </c>
      <c r="R579" s="583">
        <v>0.35</v>
      </c>
      <c r="S579" s="665">
        <v>0.45</v>
      </c>
      <c r="T579" s="665">
        <v>96</v>
      </c>
    </row>
    <row r="580" spans="2:20">
      <c r="B580" s="664" t="s">
        <v>1641</v>
      </c>
      <c r="C580" s="663" t="s">
        <v>1029</v>
      </c>
      <c r="D580" s="106">
        <v>35</v>
      </c>
      <c r="E580" s="106">
        <v>-21</v>
      </c>
      <c r="F580" s="106">
        <v>-23</v>
      </c>
      <c r="G580" s="106">
        <v>25</v>
      </c>
      <c r="H580" s="106">
        <v>20</v>
      </c>
      <c r="I580" s="106">
        <v>4680</v>
      </c>
      <c r="J580" s="106">
        <v>18</v>
      </c>
      <c r="K580" s="106">
        <v>123</v>
      </c>
      <c r="L580" s="106">
        <v>1000</v>
      </c>
      <c r="M580" s="106">
        <v>1.1499999999999999</v>
      </c>
      <c r="N580" s="106">
        <v>1200</v>
      </c>
      <c r="O580" s="106">
        <v>220</v>
      </c>
      <c r="P580" s="106">
        <v>2.8</v>
      </c>
      <c r="Q580" s="106">
        <v>0.6</v>
      </c>
      <c r="R580" s="106">
        <v>0.35</v>
      </c>
      <c r="S580" s="662">
        <v>0.45</v>
      </c>
      <c r="T580" s="662">
        <v>92</v>
      </c>
    </row>
    <row r="581" spans="2:20">
      <c r="B581" s="664" t="s">
        <v>1641</v>
      </c>
      <c r="C581" s="664" t="s">
        <v>1043</v>
      </c>
      <c r="D581" s="583">
        <v>5</v>
      </c>
      <c r="E581" s="583">
        <v>-22</v>
      </c>
      <c r="F581" s="583">
        <v>-24</v>
      </c>
      <c r="G581" s="583">
        <v>25</v>
      </c>
      <c r="H581" s="583">
        <v>20</v>
      </c>
      <c r="I581" s="583">
        <v>4570</v>
      </c>
      <c r="J581" s="583">
        <v>18</v>
      </c>
      <c r="K581" s="583">
        <v>139</v>
      </c>
      <c r="L581" s="583">
        <v>1100</v>
      </c>
      <c r="M581" s="583">
        <v>1.27</v>
      </c>
      <c r="N581" s="583">
        <v>1425</v>
      </c>
      <c r="O581" s="583">
        <v>260</v>
      </c>
      <c r="P581" s="583">
        <v>2.2999999999999998</v>
      </c>
      <c r="Q581" s="583">
        <v>0.6</v>
      </c>
      <c r="R581" s="583">
        <v>0.41</v>
      </c>
      <c r="S581" s="665">
        <v>0.53</v>
      </c>
      <c r="T581" s="665">
        <v>96</v>
      </c>
    </row>
    <row r="582" spans="2:20">
      <c r="B582" s="664" t="s">
        <v>1641</v>
      </c>
      <c r="C582" s="663" t="s">
        <v>1057</v>
      </c>
      <c r="D582" s="106">
        <v>5</v>
      </c>
      <c r="E582" s="106">
        <v>-22</v>
      </c>
      <c r="F582" s="106">
        <v>-24</v>
      </c>
      <c r="G582" s="106">
        <v>28</v>
      </c>
      <c r="H582" s="106">
        <v>21</v>
      </c>
      <c r="I582" s="106">
        <v>4930</v>
      </c>
      <c r="J582" s="106">
        <v>18</v>
      </c>
      <c r="K582" s="106">
        <v>96</v>
      </c>
      <c r="L582" s="106">
        <v>800</v>
      </c>
      <c r="M582" s="106">
        <v>0.98</v>
      </c>
      <c r="N582" s="106">
        <v>1050</v>
      </c>
      <c r="O582" s="106">
        <v>260</v>
      </c>
      <c r="P582" s="106">
        <v>3.4</v>
      </c>
      <c r="Q582" s="106">
        <v>0.6</v>
      </c>
      <c r="R582" s="106">
        <v>0.48</v>
      </c>
      <c r="S582" s="662">
        <v>0.63</v>
      </c>
      <c r="T582" s="662">
        <v>110</v>
      </c>
    </row>
    <row r="583" spans="2:20">
      <c r="B583" s="664" t="s">
        <v>1641</v>
      </c>
      <c r="C583" s="664" t="s">
        <v>1073</v>
      </c>
      <c r="D583" s="583">
        <v>20</v>
      </c>
      <c r="E583" s="583">
        <v>-24</v>
      </c>
      <c r="F583" s="583">
        <v>-26</v>
      </c>
      <c r="G583" s="583">
        <v>28</v>
      </c>
      <c r="H583" s="583">
        <v>22</v>
      </c>
      <c r="I583" s="583">
        <v>4700</v>
      </c>
      <c r="J583" s="583">
        <v>20</v>
      </c>
      <c r="K583" s="583">
        <v>123</v>
      </c>
      <c r="L583" s="583">
        <v>1000</v>
      </c>
      <c r="M583" s="583">
        <v>1.1499999999999999</v>
      </c>
      <c r="N583" s="583">
        <v>1160</v>
      </c>
      <c r="O583" s="583">
        <v>180</v>
      </c>
      <c r="P583" s="583">
        <v>2.9</v>
      </c>
      <c r="Q583" s="583">
        <v>0.6</v>
      </c>
      <c r="R583" s="583">
        <v>0.33</v>
      </c>
      <c r="S583" s="665">
        <v>0.42</v>
      </c>
      <c r="T583" s="665">
        <v>103</v>
      </c>
    </row>
    <row r="584" spans="2:20">
      <c r="B584" s="664" t="s">
        <v>1641</v>
      </c>
      <c r="C584" s="663" t="s">
        <v>1086</v>
      </c>
      <c r="D584" s="106">
        <v>60</v>
      </c>
      <c r="E584" s="106">
        <v>-26</v>
      </c>
      <c r="F584" s="106">
        <v>-29</v>
      </c>
      <c r="G584" s="106">
        <v>30</v>
      </c>
      <c r="H584" s="106">
        <v>22</v>
      </c>
      <c r="I584" s="106">
        <v>4910</v>
      </c>
      <c r="J584" s="106">
        <v>22</v>
      </c>
      <c r="K584" s="106">
        <v>107</v>
      </c>
      <c r="L584" s="106">
        <v>875</v>
      </c>
      <c r="M584" s="106">
        <v>0.99</v>
      </c>
      <c r="N584" s="106">
        <v>1100</v>
      </c>
      <c r="O584" s="106">
        <v>160</v>
      </c>
      <c r="P584" s="106">
        <v>3.1</v>
      </c>
      <c r="Q584" s="106">
        <v>0.6</v>
      </c>
      <c r="R584" s="106">
        <v>0.28999999999999998</v>
      </c>
      <c r="S584" s="662">
        <v>0.37</v>
      </c>
      <c r="T584" s="662">
        <v>81</v>
      </c>
    </row>
    <row r="585" spans="2:20">
      <c r="B585" s="664" t="s">
        <v>1642</v>
      </c>
      <c r="C585" s="663" t="s">
        <v>809</v>
      </c>
      <c r="D585" s="106">
        <v>25</v>
      </c>
      <c r="E585" s="106">
        <v>-21</v>
      </c>
      <c r="F585" s="106">
        <v>-24</v>
      </c>
      <c r="G585" s="106">
        <v>27</v>
      </c>
      <c r="H585" s="106">
        <v>21</v>
      </c>
      <c r="I585" s="106">
        <v>4500</v>
      </c>
      <c r="J585" s="106">
        <v>18</v>
      </c>
      <c r="K585" s="106">
        <v>118</v>
      </c>
      <c r="L585" s="106">
        <v>950</v>
      </c>
      <c r="M585" s="106">
        <v>1.1200000000000001</v>
      </c>
      <c r="N585" s="106">
        <v>1150</v>
      </c>
      <c r="O585" s="106">
        <v>220</v>
      </c>
      <c r="P585" s="106">
        <v>2.4</v>
      </c>
      <c r="Q585" s="106">
        <v>0.6</v>
      </c>
      <c r="R585" s="106">
        <v>0.37</v>
      </c>
      <c r="S585" s="662">
        <v>0.48</v>
      </c>
      <c r="T585" s="662">
        <v>100</v>
      </c>
    </row>
    <row r="586" spans="2:20">
      <c r="B586" s="664" t="s">
        <v>1642</v>
      </c>
      <c r="C586" s="664" t="s">
        <v>827</v>
      </c>
      <c r="D586" s="583">
        <v>10</v>
      </c>
      <c r="E586" s="583">
        <v>-17</v>
      </c>
      <c r="F586" s="583">
        <v>-20</v>
      </c>
      <c r="G586" s="583">
        <v>27</v>
      </c>
      <c r="H586" s="583">
        <v>21</v>
      </c>
      <c r="I586" s="583">
        <v>4510</v>
      </c>
      <c r="J586" s="583">
        <v>15</v>
      </c>
      <c r="K586" s="583">
        <v>123</v>
      </c>
      <c r="L586" s="583">
        <v>1100</v>
      </c>
      <c r="M586" s="583">
        <v>1.25</v>
      </c>
      <c r="N586" s="583">
        <v>1250</v>
      </c>
      <c r="O586" s="583">
        <v>240</v>
      </c>
      <c r="P586" s="583">
        <v>2.2999999999999998</v>
      </c>
      <c r="Q586" s="583">
        <v>0.6</v>
      </c>
      <c r="R586" s="583">
        <v>0.42</v>
      </c>
      <c r="S586" s="665">
        <v>0.54</v>
      </c>
      <c r="T586" s="665">
        <v>98</v>
      </c>
    </row>
    <row r="587" spans="2:20">
      <c r="B587" s="664" t="s">
        <v>1642</v>
      </c>
      <c r="C587" s="663" t="s">
        <v>848</v>
      </c>
      <c r="D587" s="106">
        <v>10</v>
      </c>
      <c r="E587" s="106">
        <v>-15</v>
      </c>
      <c r="F587" s="106">
        <v>-17</v>
      </c>
      <c r="G587" s="106">
        <v>27</v>
      </c>
      <c r="H587" s="106">
        <v>20</v>
      </c>
      <c r="I587" s="106">
        <v>4140</v>
      </c>
      <c r="J587" s="106">
        <v>16</v>
      </c>
      <c r="K587" s="106">
        <v>144</v>
      </c>
      <c r="L587" s="106">
        <v>1300</v>
      </c>
      <c r="M587" s="106">
        <v>1.45</v>
      </c>
      <c r="N587" s="106">
        <v>1475</v>
      </c>
      <c r="O587" s="106">
        <v>260</v>
      </c>
      <c r="P587" s="106">
        <v>1.9</v>
      </c>
      <c r="Q587" s="106">
        <v>0.6</v>
      </c>
      <c r="R587" s="106">
        <v>0.43</v>
      </c>
      <c r="S587" s="662">
        <v>0.55000000000000004</v>
      </c>
      <c r="T587" s="662">
        <v>100</v>
      </c>
    </row>
    <row r="588" spans="2:20">
      <c r="B588" s="664" t="s">
        <v>1642</v>
      </c>
      <c r="C588" s="664" t="s">
        <v>867</v>
      </c>
      <c r="D588" s="583">
        <v>5</v>
      </c>
      <c r="E588" s="583">
        <v>-13</v>
      </c>
      <c r="F588" s="583">
        <v>-15</v>
      </c>
      <c r="G588" s="583">
        <v>25</v>
      </c>
      <c r="H588" s="583">
        <v>20</v>
      </c>
      <c r="I588" s="583">
        <v>4400</v>
      </c>
      <c r="J588" s="583">
        <v>15</v>
      </c>
      <c r="K588" s="583">
        <v>123</v>
      </c>
      <c r="L588" s="583">
        <v>1325</v>
      </c>
      <c r="M588" s="583">
        <v>1.48</v>
      </c>
      <c r="N588" s="583">
        <v>1400</v>
      </c>
      <c r="O588" s="583">
        <v>260</v>
      </c>
      <c r="P588" s="583">
        <v>1.7</v>
      </c>
      <c r="Q588" s="583">
        <v>0.6</v>
      </c>
      <c r="R588" s="583">
        <v>0.48</v>
      </c>
      <c r="S588" s="665">
        <v>0.61</v>
      </c>
      <c r="T588" s="665">
        <v>105</v>
      </c>
    </row>
    <row r="589" spans="2:20">
      <c r="B589" s="664" t="s">
        <v>1642</v>
      </c>
      <c r="C589" s="663" t="s">
        <v>889</v>
      </c>
      <c r="D589" s="106">
        <v>10</v>
      </c>
      <c r="E589" s="106">
        <v>-16</v>
      </c>
      <c r="F589" s="106">
        <v>-18</v>
      </c>
      <c r="G589" s="106">
        <v>26</v>
      </c>
      <c r="H589" s="106">
        <v>20</v>
      </c>
      <c r="I589" s="106">
        <v>4100</v>
      </c>
      <c r="J589" s="106">
        <v>18</v>
      </c>
      <c r="K589" s="106">
        <v>144</v>
      </c>
      <c r="L589" s="106">
        <v>1250</v>
      </c>
      <c r="M589" s="106">
        <v>1.4</v>
      </c>
      <c r="N589" s="106">
        <v>1400</v>
      </c>
      <c r="O589" s="106">
        <v>280</v>
      </c>
      <c r="P589" s="106">
        <v>1.6</v>
      </c>
      <c r="Q589" s="106">
        <v>0.6</v>
      </c>
      <c r="R589" s="106">
        <v>0.45</v>
      </c>
      <c r="S589" s="662">
        <v>0.57999999999999996</v>
      </c>
      <c r="T589" s="662">
        <v>100</v>
      </c>
    </row>
    <row r="590" spans="2:20">
      <c r="B590" s="664" t="s">
        <v>1642</v>
      </c>
      <c r="C590" s="663" t="s">
        <v>910</v>
      </c>
      <c r="D590" s="106">
        <v>45</v>
      </c>
      <c r="E590" s="106">
        <v>-21</v>
      </c>
      <c r="F590" s="106">
        <v>-24</v>
      </c>
      <c r="G590" s="106">
        <v>27</v>
      </c>
      <c r="H590" s="106">
        <v>21</v>
      </c>
      <c r="I590" s="106">
        <v>4500</v>
      </c>
      <c r="J590" s="106">
        <v>18</v>
      </c>
      <c r="K590" s="106">
        <v>118</v>
      </c>
      <c r="L590" s="106">
        <v>1000</v>
      </c>
      <c r="M590" s="106">
        <v>1.1599999999999999</v>
      </c>
      <c r="N590" s="106">
        <v>1200</v>
      </c>
      <c r="O590" s="106">
        <v>240</v>
      </c>
      <c r="P590" s="106">
        <v>2.1</v>
      </c>
      <c r="Q590" s="106">
        <v>0.6</v>
      </c>
      <c r="R590" s="106">
        <v>0.37</v>
      </c>
      <c r="S590" s="662">
        <v>0.48</v>
      </c>
      <c r="T590" s="662">
        <v>98</v>
      </c>
    </row>
    <row r="591" spans="2:20">
      <c r="B591" s="664" t="s">
        <v>1642</v>
      </c>
      <c r="C591" s="664" t="s">
        <v>924</v>
      </c>
      <c r="D591" s="583">
        <v>35</v>
      </c>
      <c r="E591" s="583">
        <v>-15</v>
      </c>
      <c r="F591" s="583">
        <v>-17</v>
      </c>
      <c r="G591" s="583">
        <v>25</v>
      </c>
      <c r="H591" s="583">
        <v>20</v>
      </c>
      <c r="I591" s="583">
        <v>4020</v>
      </c>
      <c r="J591" s="583">
        <v>15</v>
      </c>
      <c r="K591" s="583">
        <v>130</v>
      </c>
      <c r="L591" s="583">
        <v>1100</v>
      </c>
      <c r="M591" s="583">
        <v>1.27</v>
      </c>
      <c r="N591" s="583">
        <v>1275</v>
      </c>
      <c r="O591" s="583">
        <v>260</v>
      </c>
      <c r="P591" s="583">
        <v>2.2000000000000002</v>
      </c>
      <c r="Q591" s="583">
        <v>0.6</v>
      </c>
      <c r="R591" s="583">
        <v>0.43</v>
      </c>
      <c r="S591" s="665">
        <v>0.55000000000000004</v>
      </c>
      <c r="T591" s="665">
        <v>98</v>
      </c>
    </row>
    <row r="592" spans="2:20">
      <c r="B592" s="664" t="s">
        <v>1642</v>
      </c>
      <c r="C592" s="663" t="s">
        <v>943</v>
      </c>
      <c r="D592" s="106">
        <v>28</v>
      </c>
      <c r="E592" s="106">
        <v>-18</v>
      </c>
      <c r="F592" s="106">
        <v>-20</v>
      </c>
      <c r="G592" s="106">
        <v>29</v>
      </c>
      <c r="H592" s="106">
        <v>22</v>
      </c>
      <c r="I592" s="106">
        <v>4140</v>
      </c>
      <c r="J592" s="106">
        <v>16</v>
      </c>
      <c r="K592" s="106">
        <v>118</v>
      </c>
      <c r="L592" s="106">
        <v>925</v>
      </c>
      <c r="M592" s="106">
        <v>1.05</v>
      </c>
      <c r="N592" s="106">
        <v>1100</v>
      </c>
      <c r="O592" s="106">
        <v>280</v>
      </c>
      <c r="P592" s="106">
        <v>2.7</v>
      </c>
      <c r="Q592" s="106">
        <v>0.6</v>
      </c>
      <c r="R592" s="106">
        <v>0.42</v>
      </c>
      <c r="S592" s="662">
        <v>0.54</v>
      </c>
      <c r="T592" s="662">
        <v>86</v>
      </c>
    </row>
    <row r="593" spans="2:20">
      <c r="B593" s="664" t="s">
        <v>1642</v>
      </c>
      <c r="C593" s="664" t="s">
        <v>961</v>
      </c>
      <c r="D593" s="583">
        <v>55</v>
      </c>
      <c r="E593" s="583">
        <v>-16</v>
      </c>
      <c r="F593" s="583">
        <v>-18</v>
      </c>
      <c r="G593" s="583">
        <v>26</v>
      </c>
      <c r="H593" s="583">
        <v>20</v>
      </c>
      <c r="I593" s="583">
        <v>4000</v>
      </c>
      <c r="J593" s="583">
        <v>17</v>
      </c>
      <c r="K593" s="583">
        <v>150</v>
      </c>
      <c r="L593" s="583">
        <v>1350</v>
      </c>
      <c r="M593" s="583">
        <v>1.49</v>
      </c>
      <c r="N593" s="583">
        <v>1500</v>
      </c>
      <c r="O593" s="583">
        <v>280</v>
      </c>
      <c r="P593" s="583">
        <v>1.9</v>
      </c>
      <c r="Q593" s="583">
        <v>0.6</v>
      </c>
      <c r="R593" s="583">
        <v>0.45</v>
      </c>
      <c r="S593" s="665">
        <v>0.57999999999999996</v>
      </c>
      <c r="T593" s="665">
        <v>100</v>
      </c>
    </row>
    <row r="594" spans="2:20">
      <c r="B594" s="664" t="s">
        <v>1642</v>
      </c>
      <c r="C594" s="663" t="s">
        <v>983</v>
      </c>
      <c r="D594" s="106">
        <v>25</v>
      </c>
      <c r="E594" s="106">
        <v>-18</v>
      </c>
      <c r="F594" s="106">
        <v>-20</v>
      </c>
      <c r="G594" s="106">
        <v>28</v>
      </c>
      <c r="H594" s="106">
        <v>21</v>
      </c>
      <c r="I594" s="106">
        <v>4130</v>
      </c>
      <c r="J594" s="106">
        <v>17</v>
      </c>
      <c r="K594" s="106">
        <v>118</v>
      </c>
      <c r="L594" s="106">
        <v>950</v>
      </c>
      <c r="M594" s="106">
        <v>1.0900000000000001</v>
      </c>
      <c r="N594" s="106">
        <v>1200</v>
      </c>
      <c r="O594" s="106">
        <v>260</v>
      </c>
      <c r="P594" s="106">
        <v>2.6</v>
      </c>
      <c r="Q594" s="106">
        <v>0.6</v>
      </c>
      <c r="R594" s="106">
        <v>0.42</v>
      </c>
      <c r="S594" s="662">
        <v>0.54</v>
      </c>
      <c r="T594" s="662">
        <v>96</v>
      </c>
    </row>
    <row r="595" spans="2:20">
      <c r="B595" s="664" t="s">
        <v>1642</v>
      </c>
      <c r="C595" s="663" t="s">
        <v>1003</v>
      </c>
      <c r="D595" s="106">
        <v>20</v>
      </c>
      <c r="E595" s="106">
        <v>-16</v>
      </c>
      <c r="F595" s="106">
        <v>-18</v>
      </c>
      <c r="G595" s="106">
        <v>27</v>
      </c>
      <c r="H595" s="106">
        <v>20</v>
      </c>
      <c r="I595" s="106">
        <v>3990</v>
      </c>
      <c r="J595" s="106">
        <v>16</v>
      </c>
      <c r="K595" s="106">
        <v>150</v>
      </c>
      <c r="L595" s="106">
        <v>1325</v>
      </c>
      <c r="M595" s="106">
        <v>1.48</v>
      </c>
      <c r="N595" s="106">
        <v>1425</v>
      </c>
      <c r="O595" s="106">
        <v>280</v>
      </c>
      <c r="P595" s="106">
        <v>1.7</v>
      </c>
      <c r="Q595" s="106">
        <v>0.6</v>
      </c>
      <c r="R595" s="106">
        <v>0.48</v>
      </c>
      <c r="S595" s="662">
        <v>0.61</v>
      </c>
      <c r="T595" s="662">
        <v>103</v>
      </c>
    </row>
    <row r="596" spans="2:20">
      <c r="B596" s="664" t="s">
        <v>1642</v>
      </c>
      <c r="C596" s="664" t="s">
        <v>1015</v>
      </c>
      <c r="D596" s="583">
        <v>5</v>
      </c>
      <c r="E596" s="583">
        <v>-14</v>
      </c>
      <c r="F596" s="583">
        <v>-16</v>
      </c>
      <c r="G596" s="583">
        <v>25</v>
      </c>
      <c r="H596" s="583">
        <v>20</v>
      </c>
      <c r="I596" s="583">
        <v>4000</v>
      </c>
      <c r="J596" s="583">
        <v>18</v>
      </c>
      <c r="K596" s="583">
        <v>139</v>
      </c>
      <c r="L596" s="583">
        <v>1250</v>
      </c>
      <c r="M596" s="583">
        <v>1.42</v>
      </c>
      <c r="N596" s="583">
        <v>1450</v>
      </c>
      <c r="O596" s="583">
        <v>280</v>
      </c>
      <c r="P596" s="583">
        <v>1.4</v>
      </c>
      <c r="Q596" s="583">
        <v>0.6</v>
      </c>
      <c r="R596" s="583">
        <v>0.47</v>
      </c>
      <c r="S596" s="665">
        <v>0.6</v>
      </c>
      <c r="T596" s="665">
        <v>103</v>
      </c>
    </row>
    <row r="597" spans="2:20">
      <c r="B597" s="664" t="s">
        <v>1642</v>
      </c>
      <c r="C597" s="663" t="s">
        <v>1030</v>
      </c>
      <c r="D597" s="106">
        <v>5</v>
      </c>
      <c r="E597" s="106">
        <v>-15</v>
      </c>
      <c r="F597" s="106">
        <v>-17</v>
      </c>
      <c r="G597" s="106">
        <v>26</v>
      </c>
      <c r="H597" s="106">
        <v>20</v>
      </c>
      <c r="I597" s="106">
        <v>4530</v>
      </c>
      <c r="J597" s="106">
        <v>15</v>
      </c>
      <c r="K597" s="106">
        <v>118</v>
      </c>
      <c r="L597" s="106">
        <v>1300</v>
      </c>
      <c r="M597" s="106">
        <v>1.46</v>
      </c>
      <c r="N597" s="106">
        <v>1500</v>
      </c>
      <c r="O597" s="106">
        <v>300</v>
      </c>
      <c r="P597" s="106">
        <v>2.1</v>
      </c>
      <c r="Q597" s="106">
        <v>0.7</v>
      </c>
      <c r="R597" s="106">
        <v>0.5</v>
      </c>
      <c r="S597" s="662">
        <v>0.65</v>
      </c>
      <c r="T597" s="662">
        <v>107</v>
      </c>
    </row>
    <row r="598" spans="2:20">
      <c r="B598" s="664" t="s">
        <v>1642</v>
      </c>
      <c r="C598" s="664" t="s">
        <v>1044</v>
      </c>
      <c r="D598" s="583">
        <v>25</v>
      </c>
      <c r="E598" s="583">
        <v>-15</v>
      </c>
      <c r="F598" s="583">
        <v>-17</v>
      </c>
      <c r="G598" s="583">
        <v>26</v>
      </c>
      <c r="H598" s="583">
        <v>20</v>
      </c>
      <c r="I598" s="583">
        <v>4140</v>
      </c>
      <c r="J598" s="583">
        <v>16</v>
      </c>
      <c r="K598" s="583">
        <v>144</v>
      </c>
      <c r="L598" s="583">
        <v>1300</v>
      </c>
      <c r="M598" s="583">
        <v>1.45</v>
      </c>
      <c r="N598" s="583">
        <v>1450</v>
      </c>
      <c r="O598" s="583">
        <v>260</v>
      </c>
      <c r="P598" s="583">
        <v>1.9</v>
      </c>
      <c r="Q598" s="583">
        <v>0.6</v>
      </c>
      <c r="R598" s="583">
        <v>0.48</v>
      </c>
      <c r="S598" s="665">
        <v>0.61</v>
      </c>
      <c r="T598" s="665">
        <v>103</v>
      </c>
    </row>
    <row r="599" spans="2:20">
      <c r="B599" s="664" t="s">
        <v>1642</v>
      </c>
      <c r="C599" s="663" t="s">
        <v>1058</v>
      </c>
      <c r="D599" s="106">
        <v>30</v>
      </c>
      <c r="E599" s="106">
        <v>-19</v>
      </c>
      <c r="F599" s="106">
        <v>-21</v>
      </c>
      <c r="G599" s="106">
        <v>27</v>
      </c>
      <c r="H599" s="106">
        <v>21</v>
      </c>
      <c r="I599" s="106">
        <v>4320</v>
      </c>
      <c r="J599" s="106">
        <v>15</v>
      </c>
      <c r="K599" s="106">
        <v>135</v>
      </c>
      <c r="L599" s="106">
        <v>975</v>
      </c>
      <c r="M599" s="106">
        <v>1.1299999999999999</v>
      </c>
      <c r="N599" s="106">
        <v>1200</v>
      </c>
      <c r="O599" s="106">
        <v>260</v>
      </c>
      <c r="P599" s="106">
        <v>2.2000000000000002</v>
      </c>
      <c r="Q599" s="106">
        <v>0.6</v>
      </c>
      <c r="R599" s="106">
        <v>0.43</v>
      </c>
      <c r="S599" s="662">
        <v>0.55000000000000004</v>
      </c>
      <c r="T599" s="662">
        <v>98</v>
      </c>
    </row>
    <row r="600" spans="2:20">
      <c r="B600" s="664" t="s">
        <v>1642</v>
      </c>
      <c r="C600" s="664" t="s">
        <v>1074</v>
      </c>
      <c r="D600" s="583">
        <v>20</v>
      </c>
      <c r="E600" s="583">
        <v>-16</v>
      </c>
      <c r="F600" s="583">
        <v>-19</v>
      </c>
      <c r="G600" s="583">
        <v>27</v>
      </c>
      <c r="H600" s="583">
        <v>21</v>
      </c>
      <c r="I600" s="583">
        <v>4500</v>
      </c>
      <c r="J600" s="583">
        <v>15</v>
      </c>
      <c r="K600" s="583">
        <v>123</v>
      </c>
      <c r="L600" s="583">
        <v>1200</v>
      </c>
      <c r="M600" s="583">
        <v>1.36</v>
      </c>
      <c r="N600" s="583">
        <v>1475</v>
      </c>
      <c r="O600" s="583">
        <v>300</v>
      </c>
      <c r="P600" s="583">
        <v>2.4</v>
      </c>
      <c r="Q600" s="583">
        <v>0.6</v>
      </c>
      <c r="R600" s="583">
        <v>0.46</v>
      </c>
      <c r="S600" s="665">
        <v>0.59</v>
      </c>
      <c r="T600" s="665">
        <v>103</v>
      </c>
    </row>
    <row r="601" spans="2:20">
      <c r="B601" s="664" t="s">
        <v>1642</v>
      </c>
      <c r="C601" s="663" t="s">
        <v>1087</v>
      </c>
      <c r="D601" s="106">
        <v>25</v>
      </c>
      <c r="E601" s="106">
        <v>-19</v>
      </c>
      <c r="F601" s="106">
        <v>-21</v>
      </c>
      <c r="G601" s="106">
        <v>27</v>
      </c>
      <c r="H601" s="106">
        <v>21</v>
      </c>
      <c r="I601" s="106">
        <v>4310</v>
      </c>
      <c r="J601" s="106">
        <v>15</v>
      </c>
      <c r="K601" s="106">
        <v>107</v>
      </c>
      <c r="L601" s="106">
        <v>950</v>
      </c>
      <c r="M601" s="106">
        <v>1.1100000000000001</v>
      </c>
      <c r="N601" s="106">
        <v>1175</v>
      </c>
      <c r="O601" s="106">
        <v>260</v>
      </c>
      <c r="P601" s="106">
        <v>2.2000000000000002</v>
      </c>
      <c r="Q601" s="106">
        <v>0.6</v>
      </c>
      <c r="R601" s="106">
        <v>0.43</v>
      </c>
      <c r="S601" s="662">
        <v>0.55000000000000004</v>
      </c>
      <c r="T601" s="662">
        <v>98</v>
      </c>
    </row>
    <row r="602" spans="2:20">
      <c r="B602" s="664" t="s">
        <v>1642</v>
      </c>
      <c r="C602" s="664" t="s">
        <v>1099</v>
      </c>
      <c r="D602" s="583">
        <v>40</v>
      </c>
      <c r="E602" s="583">
        <v>-17</v>
      </c>
      <c r="F602" s="583">
        <v>-19</v>
      </c>
      <c r="G602" s="583">
        <v>27</v>
      </c>
      <c r="H602" s="583">
        <v>21</v>
      </c>
      <c r="I602" s="583">
        <v>4500</v>
      </c>
      <c r="J602" s="583">
        <v>15</v>
      </c>
      <c r="K602" s="583">
        <v>128</v>
      </c>
      <c r="L602" s="583">
        <v>1325</v>
      </c>
      <c r="M602" s="583">
        <v>1.48</v>
      </c>
      <c r="N602" s="583">
        <v>1450</v>
      </c>
      <c r="O602" s="583">
        <v>260</v>
      </c>
      <c r="P602" s="583">
        <v>2.1</v>
      </c>
      <c r="Q602" s="583">
        <v>0.6</v>
      </c>
      <c r="R602" s="583">
        <v>0.56999999999999995</v>
      </c>
      <c r="S602" s="665">
        <v>0.74</v>
      </c>
      <c r="T602" s="665">
        <v>115</v>
      </c>
    </row>
    <row r="603" spans="2:20">
      <c r="B603" s="664" t="s">
        <v>1642</v>
      </c>
      <c r="C603" s="663" t="s">
        <v>1108</v>
      </c>
      <c r="D603" s="106">
        <v>185</v>
      </c>
      <c r="E603" s="106">
        <v>-20</v>
      </c>
      <c r="F603" s="106">
        <v>-23</v>
      </c>
      <c r="G603" s="106">
        <v>27</v>
      </c>
      <c r="H603" s="106">
        <v>21</v>
      </c>
      <c r="I603" s="106">
        <v>4540</v>
      </c>
      <c r="J603" s="106">
        <v>18</v>
      </c>
      <c r="K603" s="106">
        <v>118</v>
      </c>
      <c r="L603" s="106">
        <v>1075</v>
      </c>
      <c r="M603" s="106">
        <v>1.22</v>
      </c>
      <c r="N603" s="106">
        <v>1175</v>
      </c>
      <c r="O603" s="106">
        <v>220</v>
      </c>
      <c r="P603" s="106">
        <v>3.1</v>
      </c>
      <c r="Q603" s="106">
        <v>0.6</v>
      </c>
      <c r="R603" s="106">
        <v>0.37</v>
      </c>
      <c r="S603" s="662">
        <v>0.48</v>
      </c>
      <c r="T603" s="662">
        <v>98</v>
      </c>
    </row>
    <row r="604" spans="2:20">
      <c r="B604" s="664" t="s">
        <v>1642</v>
      </c>
      <c r="C604" s="664" t="s">
        <v>1119</v>
      </c>
      <c r="D604" s="583">
        <v>25</v>
      </c>
      <c r="E604" s="583">
        <v>-20</v>
      </c>
      <c r="F604" s="583">
        <v>-22</v>
      </c>
      <c r="G604" s="583">
        <v>27</v>
      </c>
      <c r="H604" s="583">
        <v>21</v>
      </c>
      <c r="I604" s="583">
        <v>4400</v>
      </c>
      <c r="J604" s="583">
        <v>18</v>
      </c>
      <c r="K604" s="583">
        <v>128</v>
      </c>
      <c r="L604" s="583">
        <v>1050</v>
      </c>
      <c r="M604" s="583">
        <v>1.2</v>
      </c>
      <c r="N604" s="583">
        <v>1250</v>
      </c>
      <c r="O604" s="583">
        <v>240</v>
      </c>
      <c r="P604" s="583">
        <v>1.8</v>
      </c>
      <c r="Q604" s="583">
        <v>0.6</v>
      </c>
      <c r="R604" s="583">
        <v>0.39</v>
      </c>
      <c r="S604" s="665">
        <v>0.5</v>
      </c>
      <c r="T604" s="665">
        <v>98</v>
      </c>
    </row>
    <row r="605" spans="2:20">
      <c r="B605" s="664" t="s">
        <v>1642</v>
      </c>
      <c r="C605" s="663" t="s">
        <v>1129</v>
      </c>
      <c r="D605" s="106">
        <v>5</v>
      </c>
      <c r="E605" s="106">
        <v>-16</v>
      </c>
      <c r="F605" s="106">
        <v>-19</v>
      </c>
      <c r="G605" s="106">
        <v>27</v>
      </c>
      <c r="H605" s="106">
        <v>21</v>
      </c>
      <c r="I605" s="106">
        <v>4530</v>
      </c>
      <c r="J605" s="106">
        <v>15</v>
      </c>
      <c r="K605" s="106">
        <v>123</v>
      </c>
      <c r="L605" s="106">
        <v>1200</v>
      </c>
      <c r="M605" s="106">
        <v>1.36</v>
      </c>
      <c r="N605" s="106">
        <v>1475</v>
      </c>
      <c r="O605" s="106">
        <v>300</v>
      </c>
      <c r="P605" s="106">
        <v>2.2999999999999998</v>
      </c>
      <c r="Q605" s="106">
        <v>0.6</v>
      </c>
      <c r="R605" s="106">
        <v>0.46</v>
      </c>
      <c r="S605" s="662">
        <v>0.59</v>
      </c>
      <c r="T605" s="662">
        <v>103</v>
      </c>
    </row>
    <row r="606" spans="2:20">
      <c r="B606" s="664" t="s">
        <v>1642</v>
      </c>
      <c r="C606" s="664" t="s">
        <v>1137</v>
      </c>
      <c r="D606" s="583">
        <v>25</v>
      </c>
      <c r="E606" s="583">
        <v>-20</v>
      </c>
      <c r="F606" s="583">
        <v>-23</v>
      </c>
      <c r="G606" s="583">
        <v>27</v>
      </c>
      <c r="H606" s="583">
        <v>21</v>
      </c>
      <c r="I606" s="583">
        <v>4380</v>
      </c>
      <c r="J606" s="583">
        <v>18</v>
      </c>
      <c r="K606" s="583">
        <v>118</v>
      </c>
      <c r="L606" s="583">
        <v>875</v>
      </c>
      <c r="M606" s="583">
        <v>1.05</v>
      </c>
      <c r="N606" s="583">
        <v>1150</v>
      </c>
      <c r="O606" s="583">
        <v>260</v>
      </c>
      <c r="P606" s="583">
        <v>2.2000000000000002</v>
      </c>
      <c r="Q606" s="583">
        <v>0.6</v>
      </c>
      <c r="R606" s="583">
        <v>0.43</v>
      </c>
      <c r="S606" s="665">
        <v>0.55000000000000004</v>
      </c>
      <c r="T606" s="665">
        <v>100</v>
      </c>
    </row>
    <row r="607" spans="2:20">
      <c r="B607" s="664" t="s">
        <v>1642</v>
      </c>
      <c r="C607" s="663" t="s">
        <v>1149</v>
      </c>
      <c r="D607" s="106">
        <v>25</v>
      </c>
      <c r="E607" s="106">
        <v>-20</v>
      </c>
      <c r="F607" s="106">
        <v>-22</v>
      </c>
      <c r="G607" s="106">
        <v>27</v>
      </c>
      <c r="H607" s="106">
        <v>21</v>
      </c>
      <c r="I607" s="106">
        <v>4500</v>
      </c>
      <c r="J607" s="106">
        <v>18</v>
      </c>
      <c r="K607" s="106">
        <v>118</v>
      </c>
      <c r="L607" s="106">
        <v>1000</v>
      </c>
      <c r="M607" s="106">
        <v>1.1599999999999999</v>
      </c>
      <c r="N607" s="106">
        <v>1175</v>
      </c>
      <c r="O607" s="106">
        <v>240</v>
      </c>
      <c r="P607" s="106">
        <v>2</v>
      </c>
      <c r="Q607" s="106">
        <v>0.6</v>
      </c>
      <c r="R607" s="106">
        <v>0.37</v>
      </c>
      <c r="S607" s="662">
        <v>0.48</v>
      </c>
      <c r="T607" s="662">
        <v>88</v>
      </c>
    </row>
    <row r="608" spans="2:20">
      <c r="B608" s="664" t="s">
        <v>1642</v>
      </c>
      <c r="C608" s="664" t="s">
        <v>1158</v>
      </c>
      <c r="D608" s="583">
        <v>35</v>
      </c>
      <c r="E608" s="583">
        <v>-19</v>
      </c>
      <c r="F608" s="583">
        <v>-21</v>
      </c>
      <c r="G608" s="583">
        <v>28</v>
      </c>
      <c r="H608" s="583">
        <v>21</v>
      </c>
      <c r="I608" s="583">
        <v>4140</v>
      </c>
      <c r="J608" s="583">
        <v>17</v>
      </c>
      <c r="K608" s="583">
        <v>118</v>
      </c>
      <c r="L608" s="583">
        <v>975</v>
      </c>
      <c r="M608" s="583">
        <v>1.1299999999999999</v>
      </c>
      <c r="N608" s="583">
        <v>1175</v>
      </c>
      <c r="O608" s="583">
        <v>260</v>
      </c>
      <c r="P608" s="583">
        <v>2.6</v>
      </c>
      <c r="Q608" s="583">
        <v>0.6</v>
      </c>
      <c r="R608" s="583">
        <v>0.42</v>
      </c>
      <c r="S608" s="665">
        <v>0.54</v>
      </c>
      <c r="T608" s="665">
        <v>96</v>
      </c>
    </row>
    <row r="609" spans="2:20">
      <c r="B609" s="664" t="s">
        <v>1642</v>
      </c>
      <c r="C609" s="663" t="s">
        <v>1167</v>
      </c>
      <c r="D609" s="106">
        <v>10</v>
      </c>
      <c r="E609" s="106">
        <v>-14</v>
      </c>
      <c r="F609" s="106">
        <v>-16</v>
      </c>
      <c r="G609" s="106">
        <v>22</v>
      </c>
      <c r="H609" s="106">
        <v>19</v>
      </c>
      <c r="I609" s="106">
        <v>3990</v>
      </c>
      <c r="J609" s="106">
        <v>19</v>
      </c>
      <c r="K609" s="106">
        <v>135</v>
      </c>
      <c r="L609" s="106">
        <v>1125</v>
      </c>
      <c r="M609" s="106">
        <v>1.32</v>
      </c>
      <c r="N609" s="106">
        <v>1260</v>
      </c>
      <c r="O609" s="106">
        <v>280</v>
      </c>
      <c r="P609" s="106">
        <v>1.8</v>
      </c>
      <c r="Q609" s="106">
        <v>0.6</v>
      </c>
      <c r="R609" s="106">
        <v>0.43</v>
      </c>
      <c r="S609" s="662">
        <v>0.56000000000000005</v>
      </c>
      <c r="T609" s="662">
        <v>102</v>
      </c>
    </row>
    <row r="610" spans="2:20">
      <c r="B610" s="664" t="s">
        <v>1643</v>
      </c>
      <c r="C610" s="663" t="s">
        <v>806</v>
      </c>
      <c r="D610" s="106">
        <v>5</v>
      </c>
      <c r="E610" s="106">
        <v>-20</v>
      </c>
      <c r="F610" s="106">
        <v>-22</v>
      </c>
      <c r="G610" s="106">
        <v>26</v>
      </c>
      <c r="H610" s="106">
        <v>21</v>
      </c>
      <c r="I610" s="106">
        <v>4460</v>
      </c>
      <c r="J610" s="106">
        <v>16</v>
      </c>
      <c r="K610" s="106">
        <v>107</v>
      </c>
      <c r="L610" s="106">
        <v>900</v>
      </c>
      <c r="M610" s="106">
        <v>1.0900000000000001</v>
      </c>
      <c r="N610" s="106">
        <v>1150</v>
      </c>
      <c r="O610" s="106">
        <v>350</v>
      </c>
      <c r="P610" s="106">
        <v>2.7</v>
      </c>
      <c r="Q610" s="106">
        <v>0.6</v>
      </c>
      <c r="R610" s="106">
        <v>0.43</v>
      </c>
      <c r="S610" s="662">
        <v>0.56000000000000005</v>
      </c>
      <c r="T610" s="662">
        <v>103</v>
      </c>
    </row>
    <row r="611" spans="2:20">
      <c r="B611" s="664" t="s">
        <v>1643</v>
      </c>
      <c r="C611" s="664" t="s">
        <v>824</v>
      </c>
      <c r="D611" s="583">
        <v>5</v>
      </c>
      <c r="E611" s="583">
        <v>-19</v>
      </c>
      <c r="F611" s="583">
        <v>-21</v>
      </c>
      <c r="G611" s="583">
        <v>27</v>
      </c>
      <c r="H611" s="583">
        <v>21</v>
      </c>
      <c r="I611" s="583">
        <v>4550</v>
      </c>
      <c r="J611" s="583">
        <v>15</v>
      </c>
      <c r="K611" s="583">
        <v>112</v>
      </c>
      <c r="L611" s="583">
        <v>950</v>
      </c>
      <c r="M611" s="583">
        <v>1.1399999999999999</v>
      </c>
      <c r="N611" s="583">
        <v>1130</v>
      </c>
      <c r="O611" s="583">
        <v>350</v>
      </c>
      <c r="P611" s="583">
        <v>2.7</v>
      </c>
      <c r="Q611" s="583">
        <v>0.6</v>
      </c>
      <c r="R611" s="583">
        <v>45</v>
      </c>
      <c r="S611" s="665">
        <v>0.57999999999999996</v>
      </c>
      <c r="T611" s="665">
        <v>98</v>
      </c>
    </row>
    <row r="612" spans="2:20">
      <c r="B612" s="664" t="s">
        <v>1643</v>
      </c>
      <c r="C612" s="663" t="s">
        <v>845</v>
      </c>
      <c r="D612" s="106">
        <v>10</v>
      </c>
      <c r="E612" s="106">
        <v>-20</v>
      </c>
      <c r="F612" s="106">
        <v>-22</v>
      </c>
      <c r="G612" s="106">
        <v>27</v>
      </c>
      <c r="H612" s="106">
        <v>21</v>
      </c>
      <c r="I612" s="106">
        <v>4600</v>
      </c>
      <c r="J612" s="106">
        <v>16</v>
      </c>
      <c r="K612" s="106">
        <v>112</v>
      </c>
      <c r="L612" s="106">
        <v>825</v>
      </c>
      <c r="M612" s="106">
        <v>1.03</v>
      </c>
      <c r="N612" s="106">
        <v>1060</v>
      </c>
      <c r="O612" s="106">
        <v>350</v>
      </c>
      <c r="P612" s="106">
        <v>3.1</v>
      </c>
      <c r="Q612" s="106">
        <v>0.6</v>
      </c>
      <c r="R612" s="106">
        <v>0.47</v>
      </c>
      <c r="S612" s="662">
        <v>0.6</v>
      </c>
      <c r="T612" s="662">
        <v>110</v>
      </c>
    </row>
    <row r="613" spans="2:20">
      <c r="B613" s="664" t="s">
        <v>1643</v>
      </c>
      <c r="C613" s="664" t="s">
        <v>864</v>
      </c>
      <c r="D613" s="583">
        <v>10</v>
      </c>
      <c r="E613" s="583">
        <v>-20</v>
      </c>
      <c r="F613" s="583">
        <v>-22</v>
      </c>
      <c r="G613" s="583">
        <v>27</v>
      </c>
      <c r="H613" s="583">
        <v>21</v>
      </c>
      <c r="I613" s="583">
        <v>4770</v>
      </c>
      <c r="J613" s="583">
        <v>16</v>
      </c>
      <c r="K613" s="583">
        <v>96</v>
      </c>
      <c r="L613" s="583">
        <v>800</v>
      </c>
      <c r="M613" s="583">
        <v>1.01</v>
      </c>
      <c r="N613" s="583">
        <v>1100</v>
      </c>
      <c r="O613" s="583">
        <v>350</v>
      </c>
      <c r="P613" s="583">
        <v>3.2</v>
      </c>
      <c r="Q613" s="583">
        <v>0.6</v>
      </c>
      <c r="R613" s="583">
        <v>0.51</v>
      </c>
      <c r="S613" s="665">
        <v>0.66</v>
      </c>
      <c r="T613" s="665">
        <v>117</v>
      </c>
    </row>
    <row r="614" spans="2:20">
      <c r="B614" s="663" t="s">
        <v>1644</v>
      </c>
      <c r="C614" s="664" t="s">
        <v>815</v>
      </c>
      <c r="D614" s="583">
        <v>15</v>
      </c>
      <c r="E614" s="583">
        <v>-12</v>
      </c>
      <c r="F614" s="583">
        <v>-14</v>
      </c>
      <c r="G614" s="583">
        <v>21</v>
      </c>
      <c r="H614" s="583">
        <v>18</v>
      </c>
      <c r="I614" s="583">
        <v>4600</v>
      </c>
      <c r="J614" s="583">
        <v>15</v>
      </c>
      <c r="K614" s="583">
        <v>107</v>
      </c>
      <c r="L614" s="583">
        <v>1250</v>
      </c>
      <c r="M614" s="583">
        <v>1.47</v>
      </c>
      <c r="N614" s="583">
        <v>1400</v>
      </c>
      <c r="O614" s="583">
        <v>400</v>
      </c>
      <c r="P614" s="583">
        <v>2.4</v>
      </c>
      <c r="Q614" s="583">
        <v>0.7</v>
      </c>
      <c r="R614" s="583">
        <v>0.57999999999999996</v>
      </c>
      <c r="S614" s="665">
        <v>0.75</v>
      </c>
      <c r="T614" s="665">
        <v>115</v>
      </c>
    </row>
    <row r="615" spans="2:20">
      <c r="B615" s="663" t="s">
        <v>1644</v>
      </c>
      <c r="C615" s="663" t="s">
        <v>832</v>
      </c>
      <c r="D615" s="106">
        <v>15</v>
      </c>
      <c r="E615" s="106">
        <v>-14</v>
      </c>
      <c r="F615" s="106">
        <v>-16</v>
      </c>
      <c r="G615" s="106">
        <v>24</v>
      </c>
      <c r="H615" s="106">
        <v>19</v>
      </c>
      <c r="I615" s="106">
        <v>5000</v>
      </c>
      <c r="J615" s="106">
        <v>18</v>
      </c>
      <c r="K615" s="106">
        <v>96</v>
      </c>
      <c r="L615" s="106">
        <v>825</v>
      </c>
      <c r="M615" s="106">
        <v>1.1100000000000001</v>
      </c>
      <c r="N615" s="106">
        <v>1010</v>
      </c>
      <c r="O615" s="106">
        <v>400</v>
      </c>
      <c r="P615" s="106">
        <v>3.1</v>
      </c>
      <c r="Q615" s="106">
        <v>0.6</v>
      </c>
      <c r="R615" s="106">
        <v>0.65</v>
      </c>
      <c r="S615" s="662">
        <v>0.84</v>
      </c>
      <c r="T615" s="662">
        <v>110</v>
      </c>
    </row>
    <row r="616" spans="2:20">
      <c r="B616" s="663" t="s">
        <v>1644</v>
      </c>
      <c r="C616" s="664" t="s">
        <v>854</v>
      </c>
      <c r="D616" s="583">
        <v>255</v>
      </c>
      <c r="E616" s="583">
        <v>-24</v>
      </c>
      <c r="F616" s="583">
        <v>-27</v>
      </c>
      <c r="G616" s="583">
        <v>27</v>
      </c>
      <c r="H616" s="583">
        <v>20</v>
      </c>
      <c r="I616" s="583">
        <v>5250</v>
      </c>
      <c r="J616" s="583">
        <v>13</v>
      </c>
      <c r="K616" s="583">
        <v>107</v>
      </c>
      <c r="L616" s="583">
        <v>850</v>
      </c>
      <c r="M616" s="583">
        <v>1.04</v>
      </c>
      <c r="N616" s="583">
        <v>1125</v>
      </c>
      <c r="O616" s="583">
        <v>200</v>
      </c>
      <c r="P616" s="583">
        <v>4.7</v>
      </c>
      <c r="Q616" s="583">
        <v>0.6</v>
      </c>
      <c r="R616" s="583">
        <v>0.47</v>
      </c>
      <c r="S616" s="665">
        <v>0.6</v>
      </c>
      <c r="T616" s="665">
        <v>103</v>
      </c>
    </row>
    <row r="617" spans="2:20">
      <c r="B617" s="663" t="s">
        <v>1644</v>
      </c>
      <c r="C617" s="663" t="s">
        <v>873</v>
      </c>
      <c r="D617" s="106">
        <v>5</v>
      </c>
      <c r="E617" s="106">
        <v>-29</v>
      </c>
      <c r="F617" s="106">
        <v>-31</v>
      </c>
      <c r="G617" s="106">
        <v>26</v>
      </c>
      <c r="H617" s="106">
        <v>16</v>
      </c>
      <c r="I617" s="106">
        <v>6900</v>
      </c>
      <c r="J617" s="106">
        <v>10</v>
      </c>
      <c r="K617" s="106">
        <v>106</v>
      </c>
      <c r="L617" s="106">
        <v>475</v>
      </c>
      <c r="M617" s="106">
        <v>0.94</v>
      </c>
      <c r="N617" s="106">
        <v>950</v>
      </c>
      <c r="O617" s="106">
        <v>350</v>
      </c>
      <c r="P617" s="106">
        <v>6.3</v>
      </c>
      <c r="Q617" s="106">
        <v>0.4</v>
      </c>
      <c r="R617" s="106">
        <v>0.47</v>
      </c>
      <c r="S617" s="662">
        <v>0.6</v>
      </c>
      <c r="T617" s="662">
        <v>108</v>
      </c>
    </row>
    <row r="618" spans="2:20">
      <c r="B618" s="663" t="s">
        <v>1644</v>
      </c>
      <c r="C618" s="664" t="s">
        <v>895</v>
      </c>
      <c r="D618" s="583">
        <v>5</v>
      </c>
      <c r="E618" s="583">
        <v>-11</v>
      </c>
      <c r="F618" s="583">
        <v>-13</v>
      </c>
      <c r="G618" s="583">
        <v>19</v>
      </c>
      <c r="H618" s="583">
        <v>18</v>
      </c>
      <c r="I618" s="583">
        <v>4900</v>
      </c>
      <c r="J618" s="583">
        <v>18</v>
      </c>
      <c r="K618" s="583">
        <v>130</v>
      </c>
      <c r="L618" s="583">
        <v>1425</v>
      </c>
      <c r="M618" s="583">
        <v>1.66</v>
      </c>
      <c r="N618" s="583">
        <v>1550</v>
      </c>
      <c r="O618" s="583">
        <v>400</v>
      </c>
      <c r="P618" s="583">
        <v>2.2999999999999998</v>
      </c>
      <c r="Q618" s="583">
        <v>0.7</v>
      </c>
      <c r="R618" s="583">
        <v>0.81</v>
      </c>
      <c r="S618" s="665">
        <v>1.05</v>
      </c>
      <c r="T618" s="665">
        <v>136</v>
      </c>
    </row>
    <row r="619" spans="2:20">
      <c r="B619" s="663" t="s">
        <v>1644</v>
      </c>
      <c r="C619" s="663" t="s">
        <v>916</v>
      </c>
      <c r="D619" s="106">
        <v>5</v>
      </c>
      <c r="E619" s="106">
        <v>-13</v>
      </c>
      <c r="F619" s="106">
        <v>-15</v>
      </c>
      <c r="G619" s="106">
        <v>19</v>
      </c>
      <c r="H619" s="106">
        <v>18</v>
      </c>
      <c r="I619" s="106">
        <v>5000</v>
      </c>
      <c r="J619" s="106">
        <v>13</v>
      </c>
      <c r="K619" s="106">
        <v>123</v>
      </c>
      <c r="L619" s="106">
        <v>1175</v>
      </c>
      <c r="M619" s="106">
        <v>1.43</v>
      </c>
      <c r="N619" s="106">
        <v>1520</v>
      </c>
      <c r="O619" s="106">
        <v>450</v>
      </c>
      <c r="P619" s="106">
        <v>3.6</v>
      </c>
      <c r="Q619" s="106">
        <v>0.7</v>
      </c>
      <c r="R619" s="106">
        <v>0.6</v>
      </c>
      <c r="S619" s="662">
        <v>0.78</v>
      </c>
      <c r="T619" s="662">
        <v>110</v>
      </c>
    </row>
    <row r="620" spans="2:20">
      <c r="B620" s="663" t="s">
        <v>1644</v>
      </c>
      <c r="C620" s="664" t="s">
        <v>930</v>
      </c>
      <c r="D620" s="583">
        <v>35</v>
      </c>
      <c r="E620" s="583">
        <v>-16</v>
      </c>
      <c r="F620" s="583">
        <v>-28</v>
      </c>
      <c r="G620" s="583">
        <v>26</v>
      </c>
      <c r="H620" s="583">
        <v>20</v>
      </c>
      <c r="I620" s="583">
        <v>4760</v>
      </c>
      <c r="J620" s="583">
        <v>13</v>
      </c>
      <c r="K620" s="583">
        <v>91</v>
      </c>
      <c r="L620" s="583">
        <v>875</v>
      </c>
      <c r="M620" s="583">
        <v>1.08</v>
      </c>
      <c r="N620" s="583">
        <v>1190</v>
      </c>
      <c r="O620" s="583">
        <v>300</v>
      </c>
      <c r="P620" s="583">
        <v>3.7</v>
      </c>
      <c r="Q620" s="583">
        <v>0.6</v>
      </c>
      <c r="R620" s="583">
        <v>0.43</v>
      </c>
      <c r="S620" s="665">
        <v>0.55000000000000004</v>
      </c>
      <c r="T620" s="665">
        <v>115</v>
      </c>
    </row>
    <row r="621" spans="2:20">
      <c r="B621" s="663" t="s">
        <v>1644</v>
      </c>
      <c r="C621" s="663" t="s">
        <v>949</v>
      </c>
      <c r="D621" s="106">
        <v>125</v>
      </c>
      <c r="E621" s="106">
        <v>-18</v>
      </c>
      <c r="F621" s="106">
        <v>-20</v>
      </c>
      <c r="G621" s="106">
        <v>27</v>
      </c>
      <c r="H621" s="106">
        <v>20</v>
      </c>
      <c r="I621" s="106">
        <v>5110</v>
      </c>
      <c r="J621" s="106">
        <v>18</v>
      </c>
      <c r="K621" s="106">
        <v>91</v>
      </c>
      <c r="L621" s="106">
        <v>775</v>
      </c>
      <c r="M621" s="106">
        <v>1.01</v>
      </c>
      <c r="N621" s="106">
        <v>1180</v>
      </c>
      <c r="O621" s="106">
        <v>280</v>
      </c>
      <c r="P621" s="106">
        <v>3.7</v>
      </c>
      <c r="Q621" s="106">
        <v>0.6</v>
      </c>
      <c r="R621" s="106">
        <v>0.47</v>
      </c>
      <c r="S621" s="662">
        <v>0.6</v>
      </c>
      <c r="T621" s="662">
        <v>103</v>
      </c>
    </row>
    <row r="622" spans="2:20">
      <c r="B622" s="663" t="s">
        <v>1644</v>
      </c>
      <c r="C622" s="664" t="s">
        <v>967</v>
      </c>
      <c r="D622" s="583">
        <v>5</v>
      </c>
      <c r="E622" s="583">
        <v>-14</v>
      </c>
      <c r="F622" s="583">
        <v>-15</v>
      </c>
      <c r="G622" s="583">
        <v>20</v>
      </c>
      <c r="H622" s="583">
        <v>18</v>
      </c>
      <c r="I622" s="583">
        <v>4550</v>
      </c>
      <c r="J622" s="583">
        <v>15</v>
      </c>
      <c r="K622" s="583">
        <v>123</v>
      </c>
      <c r="L622" s="583">
        <v>1350</v>
      </c>
      <c r="M622" s="583">
        <v>1.58</v>
      </c>
      <c r="N622" s="583">
        <v>1525</v>
      </c>
      <c r="O622" s="583">
        <v>400</v>
      </c>
      <c r="P622" s="583">
        <v>2.4</v>
      </c>
      <c r="Q622" s="583">
        <v>0.7</v>
      </c>
      <c r="R622" s="583">
        <v>0.56999999999999995</v>
      </c>
      <c r="S622" s="665">
        <v>0.74</v>
      </c>
      <c r="T622" s="665">
        <v>115</v>
      </c>
    </row>
    <row r="623" spans="2:20">
      <c r="B623" s="663" t="s">
        <v>1644</v>
      </c>
      <c r="C623" s="663" t="s">
        <v>989</v>
      </c>
      <c r="D623" s="106">
        <v>60</v>
      </c>
      <c r="E623" s="106">
        <v>-26</v>
      </c>
      <c r="F623" s="106">
        <v>-29</v>
      </c>
      <c r="G623" s="106">
        <v>27</v>
      </c>
      <c r="H623" s="106">
        <v>20</v>
      </c>
      <c r="I623" s="106">
        <v>5020</v>
      </c>
      <c r="J623" s="106">
        <v>15</v>
      </c>
      <c r="K623" s="106">
        <v>86</v>
      </c>
      <c r="L623" s="106">
        <v>775</v>
      </c>
      <c r="M623" s="106">
        <v>0.97</v>
      </c>
      <c r="N623" s="106">
        <v>1030</v>
      </c>
      <c r="O623" s="106">
        <v>240</v>
      </c>
      <c r="P623" s="106">
        <v>3.4</v>
      </c>
      <c r="Q623" s="106">
        <v>0.6</v>
      </c>
      <c r="R623" s="106">
        <v>0.47</v>
      </c>
      <c r="S623" s="662">
        <v>0.6</v>
      </c>
      <c r="T623" s="662">
        <v>84</v>
      </c>
    </row>
    <row r="624" spans="2:20">
      <c r="B624" s="663" t="s">
        <v>1644</v>
      </c>
      <c r="C624" s="664" t="s">
        <v>1009</v>
      </c>
      <c r="D624" s="583">
        <v>15</v>
      </c>
      <c r="E624" s="583">
        <v>-31</v>
      </c>
      <c r="F624" s="583">
        <v>-32</v>
      </c>
      <c r="G624" s="583">
        <v>27</v>
      </c>
      <c r="H624" s="583">
        <v>19</v>
      </c>
      <c r="I624" s="583">
        <v>6670</v>
      </c>
      <c r="J624" s="583">
        <v>18</v>
      </c>
      <c r="K624" s="583">
        <v>80</v>
      </c>
      <c r="L624" s="583">
        <v>575</v>
      </c>
      <c r="M624" s="583">
        <v>0.83</v>
      </c>
      <c r="N624" s="583">
        <v>960</v>
      </c>
      <c r="O624" s="583">
        <v>160</v>
      </c>
      <c r="P624" s="583">
        <v>5.3</v>
      </c>
      <c r="Q624" s="583">
        <v>0.4</v>
      </c>
      <c r="R624" s="583">
        <v>0.33</v>
      </c>
      <c r="S624" s="665">
        <v>0.42</v>
      </c>
      <c r="T624" s="665">
        <v>81</v>
      </c>
    </row>
    <row r="625" spans="2:20">
      <c r="B625" s="663" t="s">
        <v>1644</v>
      </c>
      <c r="C625" s="663" t="s">
        <v>1021</v>
      </c>
      <c r="D625" s="106">
        <v>550</v>
      </c>
      <c r="E625" s="106">
        <v>-36</v>
      </c>
      <c r="F625" s="106">
        <v>-38</v>
      </c>
      <c r="G625" s="106">
        <v>24</v>
      </c>
      <c r="H625" s="106">
        <v>17</v>
      </c>
      <c r="I625" s="106">
        <v>7710</v>
      </c>
      <c r="J625" s="106">
        <v>15</v>
      </c>
      <c r="K625" s="106">
        <v>70</v>
      </c>
      <c r="L625" s="106">
        <v>500</v>
      </c>
      <c r="M625" s="106">
        <v>0.82</v>
      </c>
      <c r="N625" s="106">
        <v>880</v>
      </c>
      <c r="O625" s="106">
        <v>140</v>
      </c>
      <c r="P625" s="106">
        <v>4.8</v>
      </c>
      <c r="Q625" s="106">
        <v>0.3</v>
      </c>
      <c r="R625" s="106">
        <v>0.31</v>
      </c>
      <c r="S625" s="662">
        <v>0.4</v>
      </c>
      <c r="T625" s="662">
        <v>84</v>
      </c>
    </row>
    <row r="626" spans="2:20">
      <c r="B626" s="663" t="s">
        <v>1644</v>
      </c>
      <c r="C626" s="664" t="s">
        <v>1036</v>
      </c>
      <c r="D626" s="583">
        <v>10</v>
      </c>
      <c r="E626" s="583">
        <v>-25</v>
      </c>
      <c r="F626" s="583">
        <v>-27</v>
      </c>
      <c r="G626" s="583">
        <v>22</v>
      </c>
      <c r="H626" s="583">
        <v>18</v>
      </c>
      <c r="I626" s="583">
        <v>6440</v>
      </c>
      <c r="J626" s="583">
        <v>13</v>
      </c>
      <c r="K626" s="583">
        <v>86</v>
      </c>
      <c r="L626" s="583">
        <v>800</v>
      </c>
      <c r="M626" s="583">
        <v>1.07</v>
      </c>
      <c r="N626" s="583">
        <v>1280</v>
      </c>
      <c r="O626" s="583">
        <v>450</v>
      </c>
      <c r="P626" s="583">
        <v>6.1</v>
      </c>
      <c r="Q626" s="583">
        <v>0.6</v>
      </c>
      <c r="R626" s="583">
        <v>0.67</v>
      </c>
      <c r="S626" s="665">
        <v>0.87</v>
      </c>
      <c r="T626" s="665">
        <v>121</v>
      </c>
    </row>
    <row r="627" spans="2:20">
      <c r="B627" s="663" t="s">
        <v>1644</v>
      </c>
      <c r="C627" s="663" t="s">
        <v>1050</v>
      </c>
      <c r="D627" s="106">
        <v>65</v>
      </c>
      <c r="E627" s="106">
        <v>-15</v>
      </c>
      <c r="F627" s="106">
        <v>-16</v>
      </c>
      <c r="G627" s="106">
        <v>24</v>
      </c>
      <c r="H627" s="106">
        <v>20</v>
      </c>
      <c r="I627" s="106">
        <v>4800</v>
      </c>
      <c r="J627" s="106">
        <v>18</v>
      </c>
      <c r="K627" s="106">
        <v>118</v>
      </c>
      <c r="L627" s="106">
        <v>1200</v>
      </c>
      <c r="M627" s="106">
        <v>1.41</v>
      </c>
      <c r="N627" s="106">
        <v>1575</v>
      </c>
      <c r="O627" s="106">
        <v>400</v>
      </c>
      <c r="P627" s="106">
        <v>2.9</v>
      </c>
      <c r="Q627" s="106">
        <v>0.7</v>
      </c>
      <c r="R627" s="106">
        <v>0.6</v>
      </c>
      <c r="S627" s="662">
        <v>0.78</v>
      </c>
      <c r="T627" s="662">
        <v>118</v>
      </c>
    </row>
    <row r="628" spans="2:20">
      <c r="B628" s="663" t="s">
        <v>1644</v>
      </c>
      <c r="C628" s="664" t="s">
        <v>1064</v>
      </c>
      <c r="D628" s="583">
        <v>25</v>
      </c>
      <c r="E628" s="583">
        <v>-16</v>
      </c>
      <c r="F628" s="583">
        <v>-18</v>
      </c>
      <c r="G628" s="583">
        <v>24</v>
      </c>
      <c r="H628" s="583">
        <v>19</v>
      </c>
      <c r="I628" s="583">
        <v>4850</v>
      </c>
      <c r="J628" s="583">
        <v>14</v>
      </c>
      <c r="K628" s="583">
        <v>102</v>
      </c>
      <c r="L628" s="583">
        <v>1000</v>
      </c>
      <c r="M628" s="583">
        <v>1.19</v>
      </c>
      <c r="N628" s="583">
        <v>1275</v>
      </c>
      <c r="O628" s="583">
        <v>350</v>
      </c>
      <c r="P628" s="583">
        <v>4.0999999999999996</v>
      </c>
      <c r="Q628" s="583">
        <v>0.6</v>
      </c>
      <c r="R628" s="583">
        <v>0.45</v>
      </c>
      <c r="S628" s="665">
        <v>0.57999999999999996</v>
      </c>
      <c r="T628" s="665">
        <v>117</v>
      </c>
    </row>
    <row r="629" spans="2:20">
      <c r="B629" s="663" t="s">
        <v>1644</v>
      </c>
      <c r="C629" s="663" t="s">
        <v>1080</v>
      </c>
      <c r="D629" s="106">
        <v>425</v>
      </c>
      <c r="E629" s="106">
        <v>-35</v>
      </c>
      <c r="F629" s="106">
        <v>-37</v>
      </c>
      <c r="G629" s="106">
        <v>24</v>
      </c>
      <c r="H629" s="106">
        <v>17</v>
      </c>
      <c r="I629" s="106">
        <v>7790</v>
      </c>
      <c r="J629" s="106">
        <v>15</v>
      </c>
      <c r="K629" s="106">
        <v>70</v>
      </c>
      <c r="L629" s="106">
        <v>500</v>
      </c>
      <c r="M629" s="106">
        <v>0.85</v>
      </c>
      <c r="N629" s="106">
        <v>950</v>
      </c>
      <c r="O629" s="106">
        <v>120</v>
      </c>
      <c r="P629" s="106">
        <v>4.8</v>
      </c>
      <c r="Q629" s="106">
        <v>0.4</v>
      </c>
      <c r="R629" s="106">
        <v>0.31</v>
      </c>
      <c r="S629" s="662">
        <v>0.4</v>
      </c>
      <c r="T629" s="662">
        <v>84</v>
      </c>
    </row>
    <row r="630" spans="2:20">
      <c r="B630" s="663" t="s">
        <v>1644</v>
      </c>
      <c r="C630" s="664" t="s">
        <v>1091</v>
      </c>
      <c r="D630" s="583">
        <v>75</v>
      </c>
      <c r="E630" s="583">
        <v>-15</v>
      </c>
      <c r="F630" s="583">
        <v>-17</v>
      </c>
      <c r="G630" s="583">
        <v>24</v>
      </c>
      <c r="H630" s="583">
        <v>20</v>
      </c>
      <c r="I630" s="583">
        <v>4750</v>
      </c>
      <c r="J630" s="583">
        <v>18</v>
      </c>
      <c r="K630" s="583">
        <v>112</v>
      </c>
      <c r="L630" s="583">
        <v>1125</v>
      </c>
      <c r="M630" s="583">
        <v>1.34</v>
      </c>
      <c r="N630" s="583">
        <v>1500</v>
      </c>
      <c r="O630" s="583">
        <v>400</v>
      </c>
      <c r="P630" s="583">
        <v>3</v>
      </c>
      <c r="Q630" s="583">
        <v>0.7</v>
      </c>
      <c r="R630" s="583">
        <v>0.57999999999999996</v>
      </c>
      <c r="S630" s="665">
        <v>0.75</v>
      </c>
      <c r="T630" s="665">
        <v>115</v>
      </c>
    </row>
    <row r="631" spans="2:20">
      <c r="B631" s="663" t="s">
        <v>1644</v>
      </c>
      <c r="C631" s="663" t="s">
        <v>1103</v>
      </c>
      <c r="D631" s="106">
        <v>550</v>
      </c>
      <c r="E631" s="106">
        <v>-36</v>
      </c>
      <c r="F631" s="106">
        <v>-38</v>
      </c>
      <c r="G631" s="106">
        <v>24</v>
      </c>
      <c r="H631" s="106">
        <v>17</v>
      </c>
      <c r="I631" s="106">
        <v>7710</v>
      </c>
      <c r="J631" s="106">
        <v>15</v>
      </c>
      <c r="K631" s="106">
        <v>70</v>
      </c>
      <c r="L631" s="106">
        <v>500</v>
      </c>
      <c r="M631" s="106">
        <v>0.82</v>
      </c>
      <c r="N631" s="106">
        <v>880</v>
      </c>
      <c r="O631" s="106">
        <v>140</v>
      </c>
      <c r="P631" s="106">
        <v>4.8</v>
      </c>
      <c r="Q631" s="106">
        <v>0.3</v>
      </c>
      <c r="R631" s="106">
        <v>0.31</v>
      </c>
      <c r="S631" s="662">
        <v>0.4</v>
      </c>
      <c r="T631" s="662">
        <v>84</v>
      </c>
    </row>
    <row r="632" spans="2:20">
      <c r="B632" s="664" t="s">
        <v>1025</v>
      </c>
      <c r="C632" s="663" t="s">
        <v>816</v>
      </c>
      <c r="D632" s="106">
        <v>920</v>
      </c>
      <c r="E632" s="106">
        <v>-44</v>
      </c>
      <c r="F632" s="106">
        <v>-46</v>
      </c>
      <c r="G632" s="106">
        <v>23</v>
      </c>
      <c r="H632" s="106">
        <v>15</v>
      </c>
      <c r="I632" s="106">
        <v>7500</v>
      </c>
      <c r="J632" s="106">
        <v>8</v>
      </c>
      <c r="K632" s="106">
        <v>43</v>
      </c>
      <c r="L632" s="106">
        <v>190</v>
      </c>
      <c r="M632" s="106">
        <v>0.56999999999999995</v>
      </c>
      <c r="N632" s="106">
        <v>275</v>
      </c>
      <c r="O632" s="106">
        <v>40</v>
      </c>
      <c r="P632" s="106">
        <v>1.9</v>
      </c>
      <c r="Q632" s="106">
        <v>0.1</v>
      </c>
      <c r="R632" s="106">
        <v>0.28999999999999998</v>
      </c>
      <c r="S632" s="662">
        <v>0.38</v>
      </c>
      <c r="T632" s="662">
        <v>82</v>
      </c>
    </row>
    <row r="633" spans="2:20">
      <c r="B633" s="664" t="s">
        <v>1025</v>
      </c>
      <c r="C633" s="664" t="s">
        <v>833</v>
      </c>
      <c r="D633" s="583">
        <v>330</v>
      </c>
      <c r="E633" s="583">
        <v>-50</v>
      </c>
      <c r="F633" s="583">
        <v>-51</v>
      </c>
      <c r="G633" s="583">
        <v>26</v>
      </c>
      <c r="H633" s="583">
        <v>16</v>
      </c>
      <c r="I633" s="583">
        <v>8120</v>
      </c>
      <c r="J633" s="583">
        <v>10</v>
      </c>
      <c r="K633" s="583">
        <v>49</v>
      </c>
      <c r="L633" s="583">
        <v>200</v>
      </c>
      <c r="M633" s="583">
        <v>0.56999999999999995</v>
      </c>
      <c r="N633" s="583">
        <v>350</v>
      </c>
      <c r="O633" s="583">
        <v>40</v>
      </c>
      <c r="P633" s="583">
        <v>2.9</v>
      </c>
      <c r="Q633" s="583">
        <v>0.1</v>
      </c>
      <c r="R633" s="583">
        <v>0.24</v>
      </c>
      <c r="S633" s="665">
        <v>0.31</v>
      </c>
      <c r="T633" s="665">
        <v>73</v>
      </c>
    </row>
    <row r="634" spans="2:20">
      <c r="B634" s="664" t="s">
        <v>1025</v>
      </c>
      <c r="C634" s="663" t="s">
        <v>855</v>
      </c>
      <c r="D634" s="106">
        <v>815</v>
      </c>
      <c r="E634" s="106">
        <v>-43</v>
      </c>
      <c r="F634" s="106">
        <v>-45</v>
      </c>
      <c r="G634" s="106">
        <v>23</v>
      </c>
      <c r="H634" s="106">
        <v>14</v>
      </c>
      <c r="I634" s="106">
        <v>7800</v>
      </c>
      <c r="J634" s="106">
        <v>8</v>
      </c>
      <c r="K634" s="106">
        <v>49</v>
      </c>
      <c r="L634" s="106">
        <v>190</v>
      </c>
      <c r="M634" s="106">
        <v>0.62</v>
      </c>
      <c r="N634" s="106">
        <v>300</v>
      </c>
      <c r="O634" s="106">
        <v>80</v>
      </c>
      <c r="P634" s="106">
        <v>1.9</v>
      </c>
      <c r="Q634" s="106">
        <v>0.1</v>
      </c>
      <c r="R634" s="106">
        <v>0.47</v>
      </c>
      <c r="S634" s="662">
        <v>0.6</v>
      </c>
      <c r="T634" s="662">
        <v>103</v>
      </c>
    </row>
    <row r="635" spans="2:20">
      <c r="B635" s="664" t="s">
        <v>1025</v>
      </c>
      <c r="C635" s="664" t="s">
        <v>874</v>
      </c>
      <c r="D635" s="583">
        <v>670</v>
      </c>
      <c r="E635" s="583">
        <v>-46</v>
      </c>
      <c r="F635" s="583">
        <v>-47</v>
      </c>
      <c r="G635" s="583">
        <v>25</v>
      </c>
      <c r="H635" s="583">
        <v>16</v>
      </c>
      <c r="I635" s="583">
        <v>7300</v>
      </c>
      <c r="J635" s="583">
        <v>10</v>
      </c>
      <c r="K635" s="583">
        <v>33</v>
      </c>
      <c r="L635" s="583">
        <v>215</v>
      </c>
      <c r="M635" s="583">
        <v>0.57999999999999996</v>
      </c>
      <c r="N635" s="583">
        <v>315</v>
      </c>
      <c r="O635" s="583">
        <v>40</v>
      </c>
      <c r="P635" s="583">
        <v>2.2999999999999998</v>
      </c>
      <c r="Q635" s="583">
        <v>0.1</v>
      </c>
      <c r="R635" s="583">
        <v>0.27</v>
      </c>
      <c r="S635" s="665">
        <v>0.35</v>
      </c>
      <c r="T635" s="665">
        <v>80</v>
      </c>
    </row>
    <row r="636" spans="2:20">
      <c r="B636" s="664" t="s">
        <v>1025</v>
      </c>
      <c r="C636" s="663" t="s">
        <v>896</v>
      </c>
      <c r="D636" s="106">
        <v>600</v>
      </c>
      <c r="E636" s="106">
        <v>-45</v>
      </c>
      <c r="F636" s="106">
        <v>-47</v>
      </c>
      <c r="G636" s="106">
        <v>24</v>
      </c>
      <c r="H636" s="106">
        <v>14</v>
      </c>
      <c r="I636" s="106">
        <v>7100</v>
      </c>
      <c r="J636" s="106">
        <v>8</v>
      </c>
      <c r="K636" s="106">
        <v>51</v>
      </c>
      <c r="L636" s="106">
        <v>145</v>
      </c>
      <c r="M636" s="106">
        <v>0.56000000000000005</v>
      </c>
      <c r="N636" s="106">
        <v>315</v>
      </c>
      <c r="O636" s="106">
        <v>180</v>
      </c>
      <c r="P636" s="106">
        <v>2.2000000000000002</v>
      </c>
      <c r="Q636" s="106">
        <v>0.1</v>
      </c>
      <c r="R636" s="106">
        <v>0.26</v>
      </c>
      <c r="S636" s="662">
        <v>0.34</v>
      </c>
      <c r="T636" s="662">
        <v>75</v>
      </c>
    </row>
    <row r="637" spans="2:20">
      <c r="B637" s="664" t="s">
        <v>1025</v>
      </c>
      <c r="C637" s="664" t="s">
        <v>917</v>
      </c>
      <c r="D637" s="583">
        <v>595</v>
      </c>
      <c r="E637" s="583">
        <v>-51</v>
      </c>
      <c r="F637" s="583">
        <v>-53</v>
      </c>
      <c r="G637" s="583">
        <v>23</v>
      </c>
      <c r="H637" s="583">
        <v>16</v>
      </c>
      <c r="I637" s="583">
        <v>8300</v>
      </c>
      <c r="J637" s="583">
        <v>8</v>
      </c>
      <c r="K637" s="583">
        <v>59</v>
      </c>
      <c r="L637" s="583">
        <v>290</v>
      </c>
      <c r="M637" s="583">
        <v>0.56999999999999995</v>
      </c>
      <c r="N637" s="583">
        <v>350</v>
      </c>
      <c r="O637" s="583">
        <v>40</v>
      </c>
      <c r="P637" s="583">
        <v>2.2000000000000002</v>
      </c>
      <c r="Q637" s="583">
        <v>0.1</v>
      </c>
      <c r="R637" s="583">
        <v>0.24</v>
      </c>
      <c r="S637" s="665">
        <v>0.31</v>
      </c>
      <c r="T637" s="665">
        <v>73</v>
      </c>
    </row>
    <row r="638" spans="2:20">
      <c r="B638" s="664" t="s">
        <v>1025</v>
      </c>
      <c r="C638" s="663" t="s">
        <v>931</v>
      </c>
      <c r="D638" s="106">
        <v>690</v>
      </c>
      <c r="E638" s="106">
        <v>-42</v>
      </c>
      <c r="F638" s="106">
        <v>-44</v>
      </c>
      <c r="G638" s="106">
        <v>24</v>
      </c>
      <c r="H638" s="106">
        <v>15</v>
      </c>
      <c r="I638" s="106">
        <v>6770</v>
      </c>
      <c r="J638" s="106">
        <v>10</v>
      </c>
      <c r="K638" s="106">
        <v>38</v>
      </c>
      <c r="L638" s="106">
        <v>200</v>
      </c>
      <c r="M638" s="106">
        <v>0.51</v>
      </c>
      <c r="N638" s="106">
        <v>340</v>
      </c>
      <c r="O638" s="106">
        <v>40</v>
      </c>
      <c r="P638" s="106">
        <v>3</v>
      </c>
      <c r="Q638" s="106">
        <v>0.1</v>
      </c>
      <c r="R638" s="106">
        <v>0.26</v>
      </c>
      <c r="S638" s="662">
        <v>0.34</v>
      </c>
      <c r="T638" s="662">
        <v>69</v>
      </c>
    </row>
    <row r="639" spans="2:20">
      <c r="B639" s="664" t="s">
        <v>1025</v>
      </c>
      <c r="C639" s="664" t="s">
        <v>950</v>
      </c>
      <c r="D639" s="583">
        <v>685</v>
      </c>
      <c r="E639" s="583">
        <v>-46</v>
      </c>
      <c r="F639" s="583">
        <v>-48</v>
      </c>
      <c r="G639" s="583">
        <v>26</v>
      </c>
      <c r="H639" s="583">
        <v>16</v>
      </c>
      <c r="I639" s="583">
        <v>7470</v>
      </c>
      <c r="J639" s="583">
        <v>10</v>
      </c>
      <c r="K639" s="583">
        <v>54</v>
      </c>
      <c r="L639" s="583">
        <v>250</v>
      </c>
      <c r="M639" s="583">
        <v>0.55000000000000004</v>
      </c>
      <c r="N639" s="583">
        <v>410</v>
      </c>
      <c r="O639" s="583">
        <v>60</v>
      </c>
      <c r="P639" s="583">
        <v>3.2</v>
      </c>
      <c r="Q639" s="583">
        <v>0.1</v>
      </c>
      <c r="R639" s="583">
        <v>0.27</v>
      </c>
      <c r="S639" s="665">
        <v>0.35</v>
      </c>
      <c r="T639" s="665">
        <v>78</v>
      </c>
    </row>
    <row r="640" spans="2:20">
      <c r="B640" s="664" t="s">
        <v>1025</v>
      </c>
      <c r="C640" s="663" t="s">
        <v>968</v>
      </c>
      <c r="D640" s="106">
        <v>655</v>
      </c>
      <c r="E640" s="106">
        <v>-41</v>
      </c>
      <c r="F640" s="106">
        <v>-43</v>
      </c>
      <c r="G640" s="106">
        <v>25</v>
      </c>
      <c r="H640" s="106">
        <v>15</v>
      </c>
      <c r="I640" s="106">
        <v>6580</v>
      </c>
      <c r="J640" s="106">
        <v>8</v>
      </c>
      <c r="K640" s="106">
        <v>43</v>
      </c>
      <c r="L640" s="106">
        <v>170</v>
      </c>
      <c r="M640" s="106">
        <v>0.49</v>
      </c>
      <c r="N640" s="106">
        <v>275</v>
      </c>
      <c r="O640" s="106">
        <v>40</v>
      </c>
      <c r="P640" s="106">
        <v>2</v>
      </c>
      <c r="Q640" s="106">
        <v>0.1</v>
      </c>
      <c r="R640" s="106">
        <v>0.28999999999999998</v>
      </c>
      <c r="S640" s="662">
        <v>0.38</v>
      </c>
      <c r="T640" s="662">
        <v>81</v>
      </c>
    </row>
    <row r="641" spans="2:20">
      <c r="B641" s="664" t="s">
        <v>1645</v>
      </c>
      <c r="C641" s="664" t="s">
        <v>814</v>
      </c>
      <c r="D641" s="583">
        <v>5</v>
      </c>
      <c r="E641" s="583">
        <v>-42</v>
      </c>
      <c r="F641" s="583">
        <v>-44</v>
      </c>
      <c r="G641" s="583">
        <v>26</v>
      </c>
      <c r="H641" s="583">
        <v>17</v>
      </c>
      <c r="I641" s="583">
        <v>9600</v>
      </c>
      <c r="J641" s="583">
        <v>6</v>
      </c>
      <c r="K641" s="583">
        <v>49</v>
      </c>
      <c r="L641" s="583">
        <v>115</v>
      </c>
      <c r="M641" s="583">
        <v>0.67</v>
      </c>
      <c r="N641" s="583">
        <v>250</v>
      </c>
      <c r="O641" s="583">
        <v>60</v>
      </c>
      <c r="P641" s="583">
        <v>2.8</v>
      </c>
      <c r="Q641" s="583">
        <v>0.1</v>
      </c>
      <c r="R641" s="583">
        <v>0.37</v>
      </c>
      <c r="S641" s="665">
        <v>0.48</v>
      </c>
      <c r="T641" s="665">
        <v>100</v>
      </c>
    </row>
    <row r="642" spans="2:20">
      <c r="B642" s="664" t="s">
        <v>1645</v>
      </c>
      <c r="C642" s="664" t="s">
        <v>831</v>
      </c>
      <c r="D642" s="583">
        <v>160</v>
      </c>
      <c r="E642" s="583">
        <v>-42</v>
      </c>
      <c r="F642" s="583">
        <v>-44</v>
      </c>
      <c r="G642" s="583">
        <v>25</v>
      </c>
      <c r="H642" s="583">
        <v>17</v>
      </c>
      <c r="I642" s="583">
        <v>8300</v>
      </c>
      <c r="J642" s="583">
        <v>10</v>
      </c>
      <c r="K642" s="583">
        <v>60</v>
      </c>
      <c r="L642" s="583">
        <v>175</v>
      </c>
      <c r="M642" s="583">
        <v>0.59</v>
      </c>
      <c r="N642" s="583">
        <v>275</v>
      </c>
      <c r="O642" s="583">
        <v>80</v>
      </c>
      <c r="P642" s="583">
        <v>2.2999999999999998</v>
      </c>
      <c r="Q642" s="583">
        <v>0.1</v>
      </c>
      <c r="R642" s="583">
        <v>0.36</v>
      </c>
      <c r="S642" s="665">
        <v>0.47</v>
      </c>
      <c r="T642" s="665">
        <v>91</v>
      </c>
    </row>
    <row r="643" spans="2:20">
      <c r="B643" s="664" t="s">
        <v>1645</v>
      </c>
      <c r="C643" s="663" t="s">
        <v>853</v>
      </c>
      <c r="D643" s="106">
        <v>100</v>
      </c>
      <c r="E643" s="106">
        <v>-43</v>
      </c>
      <c r="F643" s="106">
        <v>-45</v>
      </c>
      <c r="G643" s="106">
        <v>28</v>
      </c>
      <c r="H643" s="106">
        <v>18</v>
      </c>
      <c r="I643" s="106">
        <v>8700</v>
      </c>
      <c r="J643" s="106">
        <v>9</v>
      </c>
      <c r="K643" s="106">
        <v>60</v>
      </c>
      <c r="L643" s="106">
        <v>140</v>
      </c>
      <c r="M643" s="106">
        <v>0.6</v>
      </c>
      <c r="N643" s="106">
        <v>280</v>
      </c>
      <c r="O643" s="106">
        <v>80</v>
      </c>
      <c r="P643" s="106">
        <v>2.9</v>
      </c>
      <c r="Q643" s="106">
        <v>0.1</v>
      </c>
      <c r="R643" s="106">
        <v>0.34</v>
      </c>
      <c r="S643" s="662">
        <v>0.44</v>
      </c>
      <c r="T643" s="662">
        <v>105</v>
      </c>
    </row>
    <row r="644" spans="2:20">
      <c r="B644" s="664" t="s">
        <v>1645</v>
      </c>
      <c r="C644" s="664" t="s">
        <v>872</v>
      </c>
      <c r="D644" s="583">
        <v>25</v>
      </c>
      <c r="E644" s="583">
        <v>-44</v>
      </c>
      <c r="F644" s="583">
        <v>-46</v>
      </c>
      <c r="G644" s="583">
        <v>26</v>
      </c>
      <c r="H644" s="583">
        <v>17</v>
      </c>
      <c r="I644" s="583">
        <v>9150</v>
      </c>
      <c r="J644" s="583">
        <v>6</v>
      </c>
      <c r="K644" s="583">
        <v>50</v>
      </c>
      <c r="L644" s="583">
        <v>145</v>
      </c>
      <c r="M644" s="583">
        <v>0.67</v>
      </c>
      <c r="N644" s="583">
        <v>315</v>
      </c>
      <c r="O644" s="583">
        <v>60</v>
      </c>
      <c r="P644" s="583">
        <v>3.2</v>
      </c>
      <c r="Q644" s="583">
        <v>0.1</v>
      </c>
      <c r="R644" s="583">
        <v>0.31</v>
      </c>
      <c r="S644" s="665">
        <v>0.4</v>
      </c>
      <c r="T644" s="665">
        <v>90</v>
      </c>
    </row>
    <row r="645" spans="2:20">
      <c r="B645" s="664" t="s">
        <v>1645</v>
      </c>
      <c r="C645" s="663" t="s">
        <v>894</v>
      </c>
      <c r="D645" s="106">
        <v>150</v>
      </c>
      <c r="E645" s="106">
        <v>-40</v>
      </c>
      <c r="F645" s="106">
        <v>-43</v>
      </c>
      <c r="G645" s="106">
        <v>28</v>
      </c>
      <c r="H645" s="106">
        <v>18</v>
      </c>
      <c r="I645" s="106">
        <v>7620</v>
      </c>
      <c r="J645" s="106">
        <v>10</v>
      </c>
      <c r="K645" s="106">
        <v>71</v>
      </c>
      <c r="L645" s="106">
        <v>210</v>
      </c>
      <c r="M645" s="106">
        <v>0.56000000000000005</v>
      </c>
      <c r="N645" s="106">
        <v>350</v>
      </c>
      <c r="O645" s="106">
        <v>100</v>
      </c>
      <c r="P645" s="106">
        <v>2.4</v>
      </c>
      <c r="Q645" s="106">
        <v>0.1</v>
      </c>
      <c r="R645" s="106">
        <v>0.27</v>
      </c>
      <c r="S645" s="662">
        <v>0.35</v>
      </c>
      <c r="T645" s="662">
        <v>78</v>
      </c>
    </row>
    <row r="646" spans="2:20">
      <c r="B646" s="664" t="s">
        <v>1645</v>
      </c>
      <c r="C646" s="664" t="s">
        <v>915</v>
      </c>
      <c r="D646" s="583">
        <v>160</v>
      </c>
      <c r="E646" s="583">
        <v>-40</v>
      </c>
      <c r="F646" s="583">
        <v>-42</v>
      </c>
      <c r="G646" s="583">
        <v>26</v>
      </c>
      <c r="H646" s="583">
        <v>18</v>
      </c>
      <c r="I646" s="583">
        <v>7750</v>
      </c>
      <c r="J646" s="583">
        <v>10</v>
      </c>
      <c r="K646" s="583">
        <v>60</v>
      </c>
      <c r="L646" s="583">
        <v>175</v>
      </c>
      <c r="M646" s="583">
        <v>0.61</v>
      </c>
      <c r="N646" s="583">
        <v>300</v>
      </c>
      <c r="O646" s="583">
        <v>140</v>
      </c>
      <c r="P646" s="583">
        <v>2.2999999999999998</v>
      </c>
      <c r="Q646" s="583">
        <v>0.1</v>
      </c>
      <c r="R646" s="583">
        <v>0.3</v>
      </c>
      <c r="S646" s="665">
        <v>0.39</v>
      </c>
      <c r="T646" s="665">
        <v>84</v>
      </c>
    </row>
    <row r="647" spans="2:20">
      <c r="B647" s="664" t="s">
        <v>1645</v>
      </c>
      <c r="C647" s="663" t="s">
        <v>929</v>
      </c>
      <c r="D647" s="106">
        <v>120</v>
      </c>
      <c r="E647" s="106">
        <v>-42</v>
      </c>
      <c r="F647" s="106">
        <v>-44</v>
      </c>
      <c r="G647" s="106">
        <v>28</v>
      </c>
      <c r="H647" s="106">
        <v>19</v>
      </c>
      <c r="I647" s="106">
        <v>7660</v>
      </c>
      <c r="J647" s="106">
        <v>12</v>
      </c>
      <c r="K647" s="106">
        <v>76</v>
      </c>
      <c r="L647" s="106">
        <v>225</v>
      </c>
      <c r="M647" s="106">
        <v>0.56000000000000005</v>
      </c>
      <c r="N647" s="106">
        <v>360</v>
      </c>
      <c r="O647" s="106">
        <v>80</v>
      </c>
      <c r="P647" s="106">
        <v>2.2999999999999998</v>
      </c>
      <c r="Q647" s="106">
        <v>0.1</v>
      </c>
      <c r="R647" s="106">
        <v>0.3</v>
      </c>
      <c r="S647" s="662">
        <v>0.39</v>
      </c>
      <c r="T647" s="662">
        <v>84</v>
      </c>
    </row>
    <row r="648" spans="2:20">
      <c r="B648" s="664" t="s">
        <v>1645</v>
      </c>
      <c r="C648" s="664" t="s">
        <v>948</v>
      </c>
      <c r="D648" s="583">
        <v>205</v>
      </c>
      <c r="E648" s="583">
        <v>-41</v>
      </c>
      <c r="F648" s="583">
        <v>-43</v>
      </c>
      <c r="G648" s="583">
        <v>28</v>
      </c>
      <c r="H648" s="583">
        <v>19</v>
      </c>
      <c r="I648" s="583">
        <v>7300</v>
      </c>
      <c r="J648" s="583">
        <v>10</v>
      </c>
      <c r="K648" s="583">
        <v>65</v>
      </c>
      <c r="L648" s="583">
        <v>250</v>
      </c>
      <c r="M648" s="583">
        <v>0.56000000000000005</v>
      </c>
      <c r="N648" s="583">
        <v>350</v>
      </c>
      <c r="O648" s="583">
        <v>80</v>
      </c>
      <c r="P648" s="583">
        <v>2.2999999999999998</v>
      </c>
      <c r="Q648" s="583">
        <v>0.2</v>
      </c>
      <c r="R648" s="583">
        <v>0.3</v>
      </c>
      <c r="S648" s="665">
        <v>0.39</v>
      </c>
      <c r="T648" s="665">
        <v>84</v>
      </c>
    </row>
    <row r="649" spans="2:20">
      <c r="B649" s="664" t="s">
        <v>1645</v>
      </c>
      <c r="C649" s="663" t="s">
        <v>966</v>
      </c>
      <c r="D649" s="106">
        <v>45</v>
      </c>
      <c r="E649" s="106">
        <v>-38</v>
      </c>
      <c r="F649" s="106">
        <v>-41</v>
      </c>
      <c r="G649" s="106">
        <v>27</v>
      </c>
      <c r="H649" s="106">
        <v>18</v>
      </c>
      <c r="I649" s="106">
        <v>7550</v>
      </c>
      <c r="J649" s="106">
        <v>10</v>
      </c>
      <c r="K649" s="106">
        <v>60</v>
      </c>
      <c r="L649" s="106">
        <v>200</v>
      </c>
      <c r="M649" s="106">
        <v>0.62</v>
      </c>
      <c r="N649" s="106">
        <v>150</v>
      </c>
      <c r="O649" s="106">
        <v>140</v>
      </c>
      <c r="P649" s="106">
        <v>2.4</v>
      </c>
      <c r="Q649" s="106">
        <v>0.1</v>
      </c>
      <c r="R649" s="106">
        <v>0.27</v>
      </c>
      <c r="S649" s="662">
        <v>0.35</v>
      </c>
      <c r="T649" s="662">
        <v>78</v>
      </c>
    </row>
    <row r="650" spans="2:20">
      <c r="B650" s="664" t="s">
        <v>1645</v>
      </c>
      <c r="C650" s="663" t="s">
        <v>988</v>
      </c>
      <c r="D650" s="106">
        <v>45</v>
      </c>
      <c r="E650" s="106">
        <v>-43</v>
      </c>
      <c r="F650" s="106">
        <v>-45</v>
      </c>
      <c r="G650" s="106">
        <v>26</v>
      </c>
      <c r="H650" s="106">
        <v>17</v>
      </c>
      <c r="I650" s="106">
        <v>9600</v>
      </c>
      <c r="J650" s="106">
        <v>6</v>
      </c>
      <c r="K650" s="106">
        <v>49</v>
      </c>
      <c r="L650" s="106">
        <v>115</v>
      </c>
      <c r="M650" s="106">
        <v>0.67</v>
      </c>
      <c r="N650" s="106">
        <v>425</v>
      </c>
      <c r="O650" s="106">
        <v>60</v>
      </c>
      <c r="P650" s="106">
        <v>3.1</v>
      </c>
      <c r="Q650" s="106">
        <v>0.1</v>
      </c>
      <c r="R650" s="106">
        <v>0.37</v>
      </c>
      <c r="S650" s="662">
        <v>0.48</v>
      </c>
      <c r="T650" s="662">
        <v>103</v>
      </c>
    </row>
    <row r="651" spans="2:20">
      <c r="B651" s="664" t="s">
        <v>1645</v>
      </c>
      <c r="C651" s="664" t="s">
        <v>1008</v>
      </c>
      <c r="D651" s="583">
        <v>5</v>
      </c>
      <c r="E651" s="583">
        <v>-44</v>
      </c>
      <c r="F651" s="583">
        <v>-46</v>
      </c>
      <c r="G651" s="583">
        <v>11</v>
      </c>
      <c r="H651" s="583">
        <v>8</v>
      </c>
      <c r="I651" s="583">
        <v>12900</v>
      </c>
      <c r="J651" s="583">
        <v>3</v>
      </c>
      <c r="K651" s="583">
        <v>33</v>
      </c>
      <c r="L651" s="583">
        <v>25</v>
      </c>
      <c r="M651" s="583">
        <v>0.94</v>
      </c>
      <c r="N651" s="583">
        <v>100</v>
      </c>
      <c r="O651" s="583">
        <v>140</v>
      </c>
      <c r="P651" s="583">
        <v>1.5</v>
      </c>
      <c r="Q651" s="583">
        <v>0.1</v>
      </c>
      <c r="R651" s="583">
        <v>0.45</v>
      </c>
      <c r="S651" s="665">
        <v>0.57999999999999996</v>
      </c>
      <c r="T651" s="665">
        <v>107</v>
      </c>
    </row>
    <row r="652" spans="2:20">
      <c r="B652" s="664" t="s">
        <v>1645</v>
      </c>
      <c r="C652" s="663" t="s">
        <v>1020</v>
      </c>
      <c r="D652" s="106">
        <v>65</v>
      </c>
      <c r="E652" s="106">
        <v>-43</v>
      </c>
      <c r="F652" s="106">
        <v>-45</v>
      </c>
      <c r="G652" s="106">
        <v>28</v>
      </c>
      <c r="H652" s="106">
        <v>18</v>
      </c>
      <c r="I652" s="106">
        <v>8510</v>
      </c>
      <c r="J652" s="106">
        <v>9</v>
      </c>
      <c r="K652" s="106">
        <v>60</v>
      </c>
      <c r="L652" s="106">
        <v>165</v>
      </c>
      <c r="M652" s="106">
        <v>0.56999999999999995</v>
      </c>
      <c r="N652" s="106">
        <v>320</v>
      </c>
      <c r="O652" s="106">
        <v>80</v>
      </c>
      <c r="P652" s="106">
        <v>3</v>
      </c>
      <c r="Q652" s="106">
        <v>0.1</v>
      </c>
      <c r="R652" s="106">
        <v>0.34</v>
      </c>
      <c r="S652" s="662">
        <v>0.44</v>
      </c>
      <c r="T652" s="662">
        <v>105</v>
      </c>
    </row>
    <row r="653" spans="2:20">
      <c r="B653" s="664" t="s">
        <v>1645</v>
      </c>
      <c r="C653" s="663" t="s">
        <v>1035</v>
      </c>
      <c r="D653" s="106">
        <v>1340</v>
      </c>
      <c r="E653" s="106">
        <v>-49</v>
      </c>
      <c r="F653" s="106">
        <v>-51</v>
      </c>
      <c r="G653" s="106">
        <v>26</v>
      </c>
      <c r="H653" s="106">
        <v>16</v>
      </c>
      <c r="I653" s="106">
        <v>7700</v>
      </c>
      <c r="J653" s="106">
        <v>10</v>
      </c>
      <c r="K653" s="106">
        <v>44</v>
      </c>
      <c r="L653" s="106">
        <v>315</v>
      </c>
      <c r="M653" s="106">
        <v>0.75</v>
      </c>
      <c r="N653" s="106">
        <v>640</v>
      </c>
      <c r="O653" s="106">
        <v>40</v>
      </c>
      <c r="P653" s="106">
        <v>4.3</v>
      </c>
      <c r="Q653" s="106">
        <v>0.1</v>
      </c>
      <c r="R653" s="106">
        <v>0.34</v>
      </c>
      <c r="S653" s="662">
        <v>0.44</v>
      </c>
      <c r="T653" s="662">
        <v>78</v>
      </c>
    </row>
    <row r="654" spans="2:20">
      <c r="B654" s="664" t="s">
        <v>1645</v>
      </c>
      <c r="C654" s="664" t="s">
        <v>1049</v>
      </c>
      <c r="D654" s="583">
        <v>10</v>
      </c>
      <c r="E654" s="583">
        <v>-39</v>
      </c>
      <c r="F654" s="583">
        <v>-41</v>
      </c>
      <c r="G654" s="583">
        <v>18</v>
      </c>
      <c r="H654" s="583">
        <v>12</v>
      </c>
      <c r="I654" s="583">
        <v>10700</v>
      </c>
      <c r="J654" s="583">
        <v>3</v>
      </c>
      <c r="K654" s="583">
        <v>44</v>
      </c>
      <c r="L654" s="583">
        <v>80</v>
      </c>
      <c r="M654" s="583">
        <v>0.93</v>
      </c>
      <c r="N654" s="583">
        <v>250</v>
      </c>
      <c r="O654" s="583">
        <v>120</v>
      </c>
      <c r="P654" s="583">
        <v>2.1</v>
      </c>
      <c r="Q654" s="583">
        <v>0.1</v>
      </c>
      <c r="R654" s="583">
        <v>0.66</v>
      </c>
      <c r="S654" s="665">
        <v>0.86</v>
      </c>
      <c r="T654" s="665">
        <v>122</v>
      </c>
    </row>
    <row r="655" spans="2:20">
      <c r="B655" s="664" t="s">
        <v>1645</v>
      </c>
      <c r="C655" s="664" t="s">
        <v>1063</v>
      </c>
      <c r="D655" s="583">
        <v>80</v>
      </c>
      <c r="E655" s="583">
        <v>-42</v>
      </c>
      <c r="F655" s="583">
        <v>-44</v>
      </c>
      <c r="G655" s="583">
        <v>28</v>
      </c>
      <c r="H655" s="583">
        <v>18</v>
      </c>
      <c r="I655" s="583">
        <v>8050</v>
      </c>
      <c r="J655" s="583">
        <v>10</v>
      </c>
      <c r="K655" s="583">
        <v>54</v>
      </c>
      <c r="L655" s="583">
        <v>220</v>
      </c>
      <c r="M655" s="583">
        <v>0.57999999999999996</v>
      </c>
      <c r="N655" s="583">
        <v>350</v>
      </c>
      <c r="O655" s="583">
        <v>80</v>
      </c>
      <c r="P655" s="583">
        <v>2.8</v>
      </c>
      <c r="Q655" s="583">
        <v>0.1</v>
      </c>
      <c r="R655" s="583">
        <v>0.3</v>
      </c>
      <c r="S655" s="665">
        <v>0.39</v>
      </c>
      <c r="T655" s="665">
        <v>84</v>
      </c>
    </row>
    <row r="656" spans="2:20">
      <c r="B656" s="664" t="s">
        <v>1645</v>
      </c>
      <c r="C656" s="663" t="s">
        <v>1079</v>
      </c>
      <c r="D656" s="106">
        <v>160</v>
      </c>
      <c r="E656" s="106">
        <v>-41</v>
      </c>
      <c r="F656" s="106">
        <v>-44</v>
      </c>
      <c r="G656" s="106">
        <v>25</v>
      </c>
      <c r="H656" s="106">
        <v>17</v>
      </c>
      <c r="I656" s="106">
        <v>8170</v>
      </c>
      <c r="J656" s="106">
        <v>10</v>
      </c>
      <c r="K656" s="106">
        <v>60</v>
      </c>
      <c r="L656" s="106">
        <v>175</v>
      </c>
      <c r="M656" s="106">
        <v>0.57999999999999996</v>
      </c>
      <c r="N656" s="106">
        <v>275</v>
      </c>
      <c r="O656" s="106">
        <v>100</v>
      </c>
      <c r="P656" s="106">
        <v>2.2000000000000002</v>
      </c>
      <c r="Q656" s="106">
        <v>0.1</v>
      </c>
      <c r="R656" s="106">
        <v>0.36</v>
      </c>
      <c r="S656" s="662">
        <v>0.47</v>
      </c>
      <c r="T656" s="662">
        <v>91</v>
      </c>
    </row>
    <row r="657" spans="2:20">
      <c r="B657" s="664" t="s">
        <v>919</v>
      </c>
      <c r="C657" s="663" t="s">
        <v>810</v>
      </c>
      <c r="D657" s="106">
        <v>5</v>
      </c>
      <c r="E657" s="106">
        <v>-43</v>
      </c>
      <c r="F657" s="106">
        <v>-44</v>
      </c>
      <c r="G657" s="106">
        <v>13</v>
      </c>
      <c r="H657" s="106">
        <v>8</v>
      </c>
      <c r="I657" s="106">
        <v>13030</v>
      </c>
      <c r="J657" s="106">
        <v>3</v>
      </c>
      <c r="K657" s="106">
        <v>22</v>
      </c>
      <c r="L657" s="106">
        <v>20</v>
      </c>
      <c r="M657" s="106">
        <v>0.95</v>
      </c>
      <c r="N657" s="106">
        <v>150</v>
      </c>
      <c r="O657" s="106">
        <v>100</v>
      </c>
      <c r="P657" s="106">
        <v>2.6</v>
      </c>
      <c r="Q657" s="106">
        <v>0.1</v>
      </c>
      <c r="R657" s="106">
        <v>0.57999999999999996</v>
      </c>
      <c r="S657" s="662">
        <v>0.75</v>
      </c>
      <c r="T657" s="662">
        <v>115</v>
      </c>
    </row>
    <row r="658" spans="2:20">
      <c r="B658" s="664" t="s">
        <v>919</v>
      </c>
      <c r="C658" s="664" t="s">
        <v>828</v>
      </c>
      <c r="D658" s="583">
        <v>15</v>
      </c>
      <c r="E658" s="583">
        <v>-42</v>
      </c>
      <c r="F658" s="583">
        <v>-44</v>
      </c>
      <c r="G658" s="583">
        <v>14</v>
      </c>
      <c r="H658" s="583">
        <v>10</v>
      </c>
      <c r="I658" s="583">
        <v>11900</v>
      </c>
      <c r="J658" s="583">
        <v>3</v>
      </c>
      <c r="K658" s="583">
        <v>39</v>
      </c>
      <c r="L658" s="583">
        <v>60</v>
      </c>
      <c r="M658" s="583">
        <v>0.9</v>
      </c>
      <c r="N658" s="583">
        <v>150</v>
      </c>
      <c r="O658" s="583">
        <v>160</v>
      </c>
      <c r="P658" s="583">
        <v>2.4</v>
      </c>
      <c r="Q658" s="583">
        <v>0.1</v>
      </c>
      <c r="R658" s="583">
        <v>0.43</v>
      </c>
      <c r="S658" s="665">
        <v>0.55000000000000004</v>
      </c>
      <c r="T658" s="665">
        <v>98</v>
      </c>
    </row>
    <row r="659" spans="2:20">
      <c r="B659" s="664" t="s">
        <v>919</v>
      </c>
      <c r="C659" s="663" t="s">
        <v>849</v>
      </c>
      <c r="D659" s="106">
        <v>5</v>
      </c>
      <c r="E659" s="106">
        <v>-40</v>
      </c>
      <c r="F659" s="106">
        <v>-41</v>
      </c>
      <c r="G659" s="106">
        <v>22</v>
      </c>
      <c r="H659" s="106">
        <v>16</v>
      </c>
      <c r="I659" s="106">
        <v>9850</v>
      </c>
      <c r="J659" s="106">
        <v>8</v>
      </c>
      <c r="K659" s="106">
        <v>65</v>
      </c>
      <c r="L659" s="106">
        <v>225</v>
      </c>
      <c r="M659" s="106">
        <v>0.85</v>
      </c>
      <c r="N659" s="106">
        <v>300</v>
      </c>
      <c r="O659" s="106">
        <v>240</v>
      </c>
      <c r="P659" s="106">
        <v>3</v>
      </c>
      <c r="Q659" s="106">
        <v>0.2</v>
      </c>
      <c r="R659" s="106">
        <v>0.45</v>
      </c>
      <c r="S659" s="662">
        <v>0.57999999999999996</v>
      </c>
      <c r="T659" s="662">
        <v>108</v>
      </c>
    </row>
    <row r="660" spans="2:20">
      <c r="B660" s="664" t="s">
        <v>919</v>
      </c>
      <c r="C660" s="664" t="s">
        <v>868</v>
      </c>
      <c r="D660" s="583">
        <v>5</v>
      </c>
      <c r="E660" s="583">
        <v>-42</v>
      </c>
      <c r="F660" s="583">
        <v>-44</v>
      </c>
      <c r="G660" s="583">
        <v>23</v>
      </c>
      <c r="H660" s="583">
        <v>15</v>
      </c>
      <c r="I660" s="583">
        <v>10700</v>
      </c>
      <c r="J660" s="583">
        <v>5</v>
      </c>
      <c r="K660" s="583">
        <v>55</v>
      </c>
      <c r="L660" s="583">
        <v>160</v>
      </c>
      <c r="M660" s="583">
        <v>0.84</v>
      </c>
      <c r="N660" s="583">
        <v>260</v>
      </c>
      <c r="O660" s="583">
        <v>180</v>
      </c>
      <c r="P660" s="583">
        <v>3.4</v>
      </c>
      <c r="Q660" s="583">
        <v>0.2</v>
      </c>
      <c r="R660" s="583">
        <v>0.42</v>
      </c>
      <c r="S660" s="665">
        <v>0.54</v>
      </c>
      <c r="T660" s="665">
        <v>98</v>
      </c>
    </row>
    <row r="661" spans="2:20">
      <c r="B661" s="664" t="s">
        <v>919</v>
      </c>
      <c r="C661" s="663" t="s">
        <v>890</v>
      </c>
      <c r="D661" s="106">
        <v>15</v>
      </c>
      <c r="E661" s="106">
        <v>-41</v>
      </c>
      <c r="F661" s="106">
        <v>-44</v>
      </c>
      <c r="G661" s="106">
        <v>18</v>
      </c>
      <c r="H661" s="106">
        <v>13</v>
      </c>
      <c r="I661" s="106">
        <v>11670</v>
      </c>
      <c r="J661" s="106">
        <v>4</v>
      </c>
      <c r="K661" s="106">
        <v>38</v>
      </c>
      <c r="L661" s="106">
        <v>70</v>
      </c>
      <c r="M661" s="106">
        <v>0.89</v>
      </c>
      <c r="N661" s="106">
        <v>140</v>
      </c>
      <c r="O661" s="106">
        <v>100</v>
      </c>
      <c r="P661" s="106">
        <v>1.9</v>
      </c>
      <c r="Q661" s="106">
        <v>0.1</v>
      </c>
      <c r="R661" s="106">
        <v>0.42</v>
      </c>
      <c r="S661" s="662">
        <v>0.54</v>
      </c>
      <c r="T661" s="662">
        <v>78</v>
      </c>
    </row>
    <row r="662" spans="2:20">
      <c r="B662" s="664" t="s">
        <v>919</v>
      </c>
      <c r="C662" s="663" t="s">
        <v>911</v>
      </c>
      <c r="D662" s="106">
        <v>10</v>
      </c>
      <c r="E662" s="106">
        <v>-40</v>
      </c>
      <c r="F662" s="106">
        <v>-41</v>
      </c>
      <c r="G662" s="106">
        <v>20</v>
      </c>
      <c r="H662" s="106">
        <v>14</v>
      </c>
      <c r="I662" s="106">
        <v>10500</v>
      </c>
      <c r="J662" s="106">
        <v>5</v>
      </c>
      <c r="K662" s="106">
        <v>60</v>
      </c>
      <c r="L662" s="106">
        <v>175</v>
      </c>
      <c r="M662" s="106">
        <v>0.88</v>
      </c>
      <c r="N662" s="106">
        <v>270</v>
      </c>
      <c r="O662" s="106">
        <v>240</v>
      </c>
      <c r="P662" s="106">
        <v>3.6</v>
      </c>
      <c r="Q662" s="106">
        <v>0.2</v>
      </c>
      <c r="R662" s="106">
        <v>0.43</v>
      </c>
      <c r="S662" s="662">
        <v>0.56000000000000005</v>
      </c>
      <c r="T662" s="662">
        <v>100</v>
      </c>
    </row>
    <row r="663" spans="2:20">
      <c r="B663" s="664" t="s">
        <v>919</v>
      </c>
      <c r="C663" s="663" t="s">
        <v>925</v>
      </c>
      <c r="D663" s="106">
        <v>5</v>
      </c>
      <c r="E663" s="106">
        <v>-40</v>
      </c>
      <c r="F663" s="106">
        <v>-42</v>
      </c>
      <c r="G663" s="106">
        <v>14</v>
      </c>
      <c r="H663" s="106">
        <v>10</v>
      </c>
      <c r="I663" s="106">
        <v>11300</v>
      </c>
      <c r="J663" s="106">
        <v>5</v>
      </c>
      <c r="K663" s="106">
        <v>44</v>
      </c>
      <c r="L663" s="106">
        <v>55</v>
      </c>
      <c r="M663" s="106">
        <v>0.9</v>
      </c>
      <c r="N663" s="106">
        <v>225</v>
      </c>
      <c r="O663" s="106">
        <v>220</v>
      </c>
      <c r="P663" s="106">
        <v>4.2</v>
      </c>
      <c r="Q663" s="106">
        <v>0.2</v>
      </c>
      <c r="R663" s="106">
        <v>0.56000000000000005</v>
      </c>
      <c r="S663" s="662">
        <v>0.72</v>
      </c>
      <c r="T663" s="662">
        <v>124</v>
      </c>
    </row>
    <row r="664" spans="2:20">
      <c r="B664" s="664" t="s">
        <v>919</v>
      </c>
      <c r="C664" s="663" t="s">
        <v>944</v>
      </c>
      <c r="D664" s="106">
        <v>10</v>
      </c>
      <c r="E664" s="106">
        <v>-41</v>
      </c>
      <c r="F664" s="106">
        <v>-43</v>
      </c>
      <c r="G664" s="106">
        <v>23</v>
      </c>
      <c r="H664" s="106">
        <v>16</v>
      </c>
      <c r="I664" s="106">
        <v>10300</v>
      </c>
      <c r="J664" s="106">
        <v>6</v>
      </c>
      <c r="K664" s="106">
        <v>65</v>
      </c>
      <c r="L664" s="106">
        <v>140</v>
      </c>
      <c r="M664" s="106">
        <v>0.84</v>
      </c>
      <c r="N664" s="106">
        <v>150</v>
      </c>
      <c r="O664" s="106">
        <v>80</v>
      </c>
      <c r="P664" s="106">
        <v>3.4</v>
      </c>
      <c r="Q664" s="106">
        <v>0.1</v>
      </c>
      <c r="R664" s="106">
        <v>0.36</v>
      </c>
      <c r="S664" s="662">
        <v>0.46</v>
      </c>
      <c r="T664" s="662">
        <v>90</v>
      </c>
    </row>
    <row r="665" spans="2:20">
      <c r="B665" s="664" t="s">
        <v>919</v>
      </c>
      <c r="C665" s="663" t="s">
        <v>962</v>
      </c>
      <c r="D665" s="106">
        <v>15</v>
      </c>
      <c r="E665" s="106">
        <v>-41</v>
      </c>
      <c r="F665" s="106">
        <v>-42</v>
      </c>
      <c r="G665" s="106">
        <v>20</v>
      </c>
      <c r="H665" s="106">
        <v>14</v>
      </c>
      <c r="I665" s="106">
        <v>10720</v>
      </c>
      <c r="J665" s="106">
        <v>5</v>
      </c>
      <c r="K665" s="106">
        <v>65</v>
      </c>
      <c r="L665" s="106">
        <v>150</v>
      </c>
      <c r="M665" s="106">
        <v>0.87</v>
      </c>
      <c r="N665" s="106">
        <v>280</v>
      </c>
      <c r="O665" s="106">
        <v>200</v>
      </c>
      <c r="P665" s="106">
        <v>3.8</v>
      </c>
      <c r="Q665" s="106">
        <v>0.2</v>
      </c>
      <c r="R665" s="106">
        <v>0.54</v>
      </c>
      <c r="S665" s="662">
        <v>0.69</v>
      </c>
      <c r="T665" s="662">
        <v>132</v>
      </c>
    </row>
    <row r="666" spans="2:20">
      <c r="B666" s="664" t="s">
        <v>919</v>
      </c>
      <c r="C666" s="664" t="s">
        <v>984</v>
      </c>
      <c r="D666" s="583">
        <v>5</v>
      </c>
      <c r="E666" s="583">
        <v>-47</v>
      </c>
      <c r="F666" s="583">
        <v>-48</v>
      </c>
      <c r="G666" s="583">
        <v>12</v>
      </c>
      <c r="H666" s="583">
        <v>8</v>
      </c>
      <c r="I666" s="583">
        <v>13500</v>
      </c>
      <c r="J666" s="583">
        <v>3</v>
      </c>
      <c r="K666" s="583">
        <v>27</v>
      </c>
      <c r="L666" s="583">
        <v>25</v>
      </c>
      <c r="M666" s="583">
        <v>0.95</v>
      </c>
      <c r="N666" s="583">
        <v>70</v>
      </c>
      <c r="O666" s="583">
        <v>100</v>
      </c>
      <c r="P666" s="583">
        <v>1.6</v>
      </c>
      <c r="Q666" s="583">
        <v>0.1</v>
      </c>
      <c r="R666" s="583">
        <v>0.43</v>
      </c>
      <c r="S666" s="665">
        <v>0.55000000000000004</v>
      </c>
      <c r="T666" s="665">
        <v>107</v>
      </c>
    </row>
    <row r="667" spans="2:20">
      <c r="B667" s="664" t="s">
        <v>919</v>
      </c>
      <c r="C667" s="663" t="s">
        <v>1004</v>
      </c>
      <c r="D667" s="106">
        <v>45</v>
      </c>
      <c r="E667" s="106">
        <v>-40</v>
      </c>
      <c r="F667" s="106">
        <v>-41</v>
      </c>
      <c r="G667" s="106">
        <v>17</v>
      </c>
      <c r="H667" s="106">
        <v>12</v>
      </c>
      <c r="I667" s="106">
        <v>9980</v>
      </c>
      <c r="J667" s="106">
        <v>5</v>
      </c>
      <c r="K667" s="106">
        <v>58</v>
      </c>
      <c r="L667" s="106">
        <v>200</v>
      </c>
      <c r="M667" s="106">
        <v>0.86</v>
      </c>
      <c r="N667" s="106">
        <v>433</v>
      </c>
      <c r="O667" s="106">
        <v>200</v>
      </c>
      <c r="P667" s="106">
        <v>2.9</v>
      </c>
      <c r="Q667" s="106">
        <v>0.2</v>
      </c>
      <c r="R667" s="106">
        <v>0.45</v>
      </c>
      <c r="S667" s="662">
        <v>0.57999999999999996</v>
      </c>
      <c r="T667" s="662">
        <v>103</v>
      </c>
    </row>
    <row r="668" spans="2:20">
      <c r="B668" s="664" t="s">
        <v>919</v>
      </c>
      <c r="C668" s="664" t="s">
        <v>1016</v>
      </c>
      <c r="D668" s="583">
        <v>10</v>
      </c>
      <c r="E668" s="583">
        <v>-46</v>
      </c>
      <c r="F668" s="583">
        <v>-48</v>
      </c>
      <c r="G668" s="583">
        <v>12</v>
      </c>
      <c r="H668" s="583">
        <v>9</v>
      </c>
      <c r="I668" s="583">
        <v>13600</v>
      </c>
      <c r="J668" s="583">
        <v>3</v>
      </c>
      <c r="K668" s="583">
        <v>27</v>
      </c>
      <c r="L668" s="583">
        <v>25</v>
      </c>
      <c r="M668" s="583">
        <v>0.95</v>
      </c>
      <c r="N668" s="583">
        <v>75</v>
      </c>
      <c r="O668" s="583">
        <v>140</v>
      </c>
      <c r="P668" s="583">
        <v>1.9</v>
      </c>
      <c r="Q668" s="583">
        <v>0.1</v>
      </c>
      <c r="R668" s="583">
        <v>0.47</v>
      </c>
      <c r="S668" s="665">
        <v>0.6</v>
      </c>
      <c r="T668" s="665">
        <v>126</v>
      </c>
    </row>
    <row r="669" spans="2:20">
      <c r="B669" s="664" t="s">
        <v>919</v>
      </c>
      <c r="C669" s="663" t="s">
        <v>1031</v>
      </c>
      <c r="D669" s="106">
        <v>30</v>
      </c>
      <c r="E669" s="106">
        <v>-37</v>
      </c>
      <c r="F669" s="106">
        <v>-39</v>
      </c>
      <c r="G669" s="106">
        <v>16</v>
      </c>
      <c r="H669" s="106">
        <v>13</v>
      </c>
      <c r="I669" s="106">
        <v>10000</v>
      </c>
      <c r="J669" s="106">
        <v>5</v>
      </c>
      <c r="K669" s="106">
        <v>54</v>
      </c>
      <c r="L669" s="106">
        <v>175</v>
      </c>
      <c r="M669" s="106">
        <v>0.88</v>
      </c>
      <c r="N669" s="106">
        <v>325</v>
      </c>
      <c r="O669" s="106">
        <v>200</v>
      </c>
      <c r="P669" s="106">
        <v>4.7</v>
      </c>
      <c r="Q669" s="106">
        <v>0.2</v>
      </c>
      <c r="R669" s="106">
        <v>0.6</v>
      </c>
      <c r="S669" s="106">
        <v>0.78</v>
      </c>
      <c r="T669" s="106">
        <v>132</v>
      </c>
    </row>
    <row r="670" spans="2:20">
      <c r="B670" s="664" t="s">
        <v>919</v>
      </c>
      <c r="C670" s="664" t="s">
        <v>1045</v>
      </c>
      <c r="D670" s="583">
        <v>10</v>
      </c>
      <c r="E670" s="583">
        <v>-41</v>
      </c>
      <c r="F670" s="583">
        <v>-42</v>
      </c>
      <c r="G670" s="583">
        <v>21</v>
      </c>
      <c r="H670" s="583">
        <v>15</v>
      </c>
      <c r="I670" s="583">
        <v>10500</v>
      </c>
      <c r="J670" s="583">
        <v>5</v>
      </c>
      <c r="K670" s="583">
        <v>65</v>
      </c>
      <c r="L670" s="583">
        <v>180</v>
      </c>
      <c r="M670" s="583">
        <v>0.87</v>
      </c>
      <c r="N670" s="583">
        <v>250</v>
      </c>
      <c r="O670" s="583">
        <v>240</v>
      </c>
      <c r="P670" s="583">
        <v>3</v>
      </c>
      <c r="Q670" s="583">
        <v>0.2</v>
      </c>
      <c r="R670" s="583">
        <v>0.47</v>
      </c>
      <c r="S670" s="583">
        <v>0.6</v>
      </c>
      <c r="T670" s="583">
        <v>103</v>
      </c>
    </row>
    <row r="671" spans="2:20">
      <c r="B671" s="664" t="s">
        <v>919</v>
      </c>
      <c r="C671" s="664" t="s">
        <v>1059</v>
      </c>
      <c r="D671" s="583">
        <v>25</v>
      </c>
      <c r="E671" s="583">
        <v>-42</v>
      </c>
      <c r="F671" s="583">
        <v>-43</v>
      </c>
      <c r="G671" s="583">
        <v>11</v>
      </c>
      <c r="H671" s="583">
        <v>9</v>
      </c>
      <c r="I671" s="583">
        <v>12360</v>
      </c>
      <c r="J671" s="583">
        <v>3</v>
      </c>
      <c r="K671" s="583">
        <v>27</v>
      </c>
      <c r="L671" s="583">
        <v>50</v>
      </c>
      <c r="M671" s="583">
        <v>0.93</v>
      </c>
      <c r="N671" s="583">
        <v>140</v>
      </c>
      <c r="O671" s="583">
        <v>180</v>
      </c>
      <c r="P671" s="583">
        <v>2</v>
      </c>
      <c r="Q671" s="583">
        <v>0.1</v>
      </c>
      <c r="R671" s="583">
        <v>0.54</v>
      </c>
      <c r="S671" s="583">
        <v>0.69</v>
      </c>
      <c r="T671" s="583">
        <v>110</v>
      </c>
    </row>
    <row r="672" spans="2:20">
      <c r="B672" s="664" t="s">
        <v>919</v>
      </c>
      <c r="C672" s="663" t="s">
        <v>1075</v>
      </c>
      <c r="D672" s="106">
        <v>5</v>
      </c>
      <c r="E672" s="106">
        <v>-32</v>
      </c>
      <c r="F672" s="106">
        <v>-34</v>
      </c>
      <c r="G672" s="106">
        <v>12</v>
      </c>
      <c r="H672" s="106">
        <v>10</v>
      </c>
      <c r="I672" s="106">
        <v>9000</v>
      </c>
      <c r="J672" s="106">
        <v>5</v>
      </c>
      <c r="K672" s="106">
        <v>71</v>
      </c>
      <c r="L672" s="106">
        <v>240</v>
      </c>
      <c r="M672" s="106">
        <v>0.89</v>
      </c>
      <c r="N672" s="106">
        <v>550</v>
      </c>
      <c r="O672" s="106">
        <v>200</v>
      </c>
      <c r="P672" s="106">
        <v>5.5</v>
      </c>
      <c r="Q672" s="106">
        <v>0.2</v>
      </c>
      <c r="R672" s="106">
        <v>0.95</v>
      </c>
      <c r="S672" s="106">
        <v>1.23</v>
      </c>
      <c r="T672" s="106">
        <v>145</v>
      </c>
    </row>
    <row r="686" ht="15.95" customHeight="1"/>
  </sheetData>
  <sheetProtection algorithmName="SHA-512" hashValue="N/ZPSk7lAyrPGX2NQyaxF3KG65iKezXGvw0xlsqpOM/euRK2zKRrrHWTXzLHhnJelLfWrpu8elzo/o9WpcEq9w==" saltValue="vNOaPce1c/AG0VX8C+vJZw==" spinCount="100000" sheet="1" objects="1" scenarios="1"/>
  <autoFilter ref="B111:AB165" xr:uid="{4FFCF2A5-91FD-45C5-8F63-C5432B007B2B}"/>
  <sortState xmlns:xlrd2="http://schemas.microsoft.com/office/spreadsheetml/2017/richdata2" ref="B444:AB567">
    <sortCondition ref="C444:C567"/>
  </sortState>
  <mergeCells count="12">
    <mergeCell ref="T2:T4"/>
    <mergeCell ref="M2:M4"/>
    <mergeCell ref="N2:N4"/>
    <mergeCell ref="O2:O4"/>
    <mergeCell ref="P2:Q3"/>
    <mergeCell ref="R2:S3"/>
    <mergeCell ref="L2:L4"/>
    <mergeCell ref="E2:F2"/>
    <mergeCell ref="G2:H2"/>
    <mergeCell ref="I2:I4"/>
    <mergeCell ref="J2:J4"/>
    <mergeCell ref="K2:K4"/>
  </mergeCells>
  <phoneticPr fontId="33"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E582B-9529-486A-9BB1-B07E23BD5BDD}">
  <sheetPr published="0" codeName="Feuil6">
    <pageSetUpPr fitToPage="1"/>
  </sheetPr>
  <dimension ref="A2:AL680"/>
  <sheetViews>
    <sheetView topLeftCell="A380" workbookViewId="0">
      <selection activeCell="D191" sqref="D191"/>
    </sheetView>
  </sheetViews>
  <sheetFormatPr defaultColWidth="11.42578125" defaultRowHeight="14.45"/>
  <cols>
    <col min="1" max="1" width="6.85546875" customWidth="1"/>
    <col min="2" max="2" width="5" customWidth="1"/>
    <col min="3" max="3" width="5.5703125" customWidth="1"/>
    <col min="4" max="18" width="9" customWidth="1"/>
    <col min="20" max="20" width="1.140625" customWidth="1"/>
  </cols>
  <sheetData>
    <row r="2" spans="2:31">
      <c r="V2" s="1800" t="s">
        <v>1646</v>
      </c>
      <c r="W2" s="1800"/>
      <c r="X2" s="1800"/>
      <c r="Y2" s="1800"/>
      <c r="Z2" s="1804" t="s">
        <v>1647</v>
      </c>
      <c r="AA2" s="1804"/>
      <c r="AB2" s="1804"/>
      <c r="AC2" s="1804"/>
      <c r="AD2" s="1804"/>
      <c r="AE2" s="1804"/>
    </row>
    <row r="3" spans="2:31">
      <c r="X3" s="20"/>
      <c r="Z3" s="1805" t="s">
        <v>1648</v>
      </c>
      <c r="AA3" s="1805"/>
      <c r="AB3" s="1805"/>
      <c r="AC3" s="1805"/>
      <c r="AD3" s="1805"/>
      <c r="AE3" s="1805"/>
    </row>
    <row r="4" spans="2:31">
      <c r="X4" s="25"/>
      <c r="Z4" s="1806" t="s">
        <v>1649</v>
      </c>
      <c r="AA4" s="1806"/>
      <c r="AB4" s="1806"/>
      <c r="AC4" s="1806"/>
      <c r="AD4" s="1806"/>
      <c r="AE4" s="1806"/>
    </row>
    <row r="5" spans="2:31" ht="91.9">
      <c r="B5" s="596" t="s">
        <v>1650</v>
      </c>
    </row>
    <row r="9" spans="2:31" ht="25.9">
      <c r="B9" s="265"/>
      <c r="C9" s="264"/>
      <c r="D9" s="264"/>
      <c r="E9" s="264"/>
      <c r="F9" s="264"/>
      <c r="G9" s="264"/>
      <c r="H9" s="264"/>
      <c r="I9" s="264"/>
      <c r="J9" s="264"/>
      <c r="K9" s="264"/>
      <c r="L9" s="264"/>
      <c r="M9" s="264"/>
      <c r="N9" s="264"/>
      <c r="O9" s="264"/>
      <c r="P9" s="264"/>
      <c r="Q9" s="264"/>
      <c r="R9" s="264"/>
    </row>
    <row r="10" spans="2:31" ht="25.9" customHeight="1">
      <c r="B10" s="1859" t="s">
        <v>1651</v>
      </c>
      <c r="C10" s="1859"/>
      <c r="D10" s="1859"/>
      <c r="E10" s="1859"/>
      <c r="F10" s="1859"/>
      <c r="G10" s="1859"/>
      <c r="H10" s="1859"/>
      <c r="I10" s="1859"/>
      <c r="J10" s="1859"/>
      <c r="K10" s="1859"/>
      <c r="L10" s="1859"/>
      <c r="M10" s="1859"/>
      <c r="N10" s="1859"/>
      <c r="O10" s="1859"/>
      <c r="P10" s="1859"/>
      <c r="Q10" s="1859"/>
      <c r="R10" s="1859"/>
      <c r="S10" s="1859"/>
    </row>
    <row r="11" spans="2:31" ht="25.9" customHeight="1">
      <c r="B11" s="1859"/>
      <c r="C11" s="1859"/>
      <c r="D11" s="1859"/>
      <c r="E11" s="1859"/>
      <c r="F11" s="1859"/>
      <c r="G11" s="1859"/>
      <c r="H11" s="1859"/>
      <c r="I11" s="1859"/>
      <c r="J11" s="1859"/>
      <c r="K11" s="1859"/>
      <c r="L11" s="1859"/>
      <c r="M11" s="1859"/>
      <c r="N11" s="1859"/>
      <c r="O11" s="1859"/>
      <c r="P11" s="1859"/>
      <c r="Q11" s="1859"/>
      <c r="R11" s="1859"/>
      <c r="S11" s="1859"/>
    </row>
    <row r="12" spans="2:31" ht="6.6" customHeight="1"/>
    <row r="13" spans="2:31" s="15" customFormat="1" ht="24" customHeight="1"/>
    <row r="14" spans="2:31" s="15" customFormat="1" ht="24" customHeight="1"/>
    <row r="15" spans="2:31" s="15" customFormat="1" ht="24" customHeight="1"/>
    <row r="16" spans="2:31" ht="18">
      <c r="D16" s="1315" t="s">
        <v>1652</v>
      </c>
      <c r="E16" s="1315"/>
      <c r="F16" s="1315"/>
      <c r="G16" s="1315"/>
      <c r="H16" s="1315"/>
      <c r="I16" s="1315"/>
      <c r="J16" s="1315"/>
      <c r="K16" s="1315"/>
      <c r="L16" s="1315"/>
      <c r="M16" s="1315"/>
    </row>
    <row r="17" spans="2:15" ht="15" thickBot="1"/>
    <row r="18" spans="2:15" ht="15" thickTop="1">
      <c r="D18" s="1574" t="s">
        <v>1653</v>
      </c>
      <c r="E18" s="1856"/>
      <c r="F18" s="1808" t="s">
        <v>49</v>
      </c>
      <c r="G18" s="1809"/>
      <c r="H18" s="1809"/>
      <c r="I18" s="1809"/>
      <c r="J18" s="1864"/>
      <c r="K18" s="1865" t="s">
        <v>56</v>
      </c>
      <c r="L18" s="1809"/>
      <c r="M18" s="1866"/>
    </row>
    <row r="19" spans="2:15" ht="16.149999999999999" thickBot="1">
      <c r="D19" s="1857"/>
      <c r="E19" s="1858"/>
      <c r="F19" s="266">
        <v>2</v>
      </c>
      <c r="G19" s="267">
        <v>3</v>
      </c>
      <c r="H19" s="267">
        <v>4</v>
      </c>
      <c r="I19" s="267">
        <v>5</v>
      </c>
      <c r="J19" s="293">
        <v>6</v>
      </c>
      <c r="K19" s="296">
        <v>4</v>
      </c>
      <c r="L19" s="267">
        <v>5</v>
      </c>
      <c r="M19" s="268">
        <v>6</v>
      </c>
      <c r="O19" t="s">
        <v>1654</v>
      </c>
    </row>
    <row r="20" spans="2:15" ht="19.149999999999999" customHeight="1" thickTop="1">
      <c r="D20" s="1860" t="s">
        <v>1655</v>
      </c>
      <c r="E20" s="1861"/>
      <c r="F20" s="269">
        <v>1</v>
      </c>
      <c r="G20" s="270">
        <v>2</v>
      </c>
      <c r="H20" s="270">
        <v>3</v>
      </c>
      <c r="I20" s="270">
        <v>4</v>
      </c>
      <c r="J20" s="294">
        <v>5</v>
      </c>
      <c r="K20" s="297">
        <v>6</v>
      </c>
      <c r="L20" s="270">
        <v>7</v>
      </c>
      <c r="M20" s="272">
        <v>8</v>
      </c>
      <c r="O20" t="s">
        <v>1656</v>
      </c>
    </row>
    <row r="21" spans="2:15" ht="19.899999999999999" customHeight="1" thickBot="1">
      <c r="D21" s="1862" t="s">
        <v>1657</v>
      </c>
      <c r="E21" s="1863"/>
      <c r="F21" s="290">
        <v>9</v>
      </c>
      <c r="G21" s="291">
        <v>10</v>
      </c>
      <c r="H21" s="291">
        <v>11</v>
      </c>
      <c r="I21" s="291">
        <v>12</v>
      </c>
      <c r="J21" s="295">
        <v>13</v>
      </c>
      <c r="K21" s="298">
        <v>14</v>
      </c>
      <c r="L21" s="291">
        <v>15</v>
      </c>
      <c r="M21" s="292">
        <v>16</v>
      </c>
    </row>
    <row r="22" spans="2:15" ht="15" thickTop="1">
      <c r="D22" s="129"/>
      <c r="E22" s="129"/>
      <c r="F22" s="129"/>
      <c r="G22" s="129"/>
      <c r="H22" s="129"/>
      <c r="I22" s="129"/>
      <c r="J22" s="129"/>
      <c r="K22" s="129"/>
      <c r="L22" s="129"/>
      <c r="M22" s="129"/>
    </row>
    <row r="23" spans="2:15" ht="14.45" customHeight="1">
      <c r="D23" s="129"/>
      <c r="E23" s="129"/>
      <c r="F23" s="129"/>
      <c r="G23" s="129"/>
      <c r="H23" s="129"/>
      <c r="I23" s="129"/>
      <c r="J23" s="129"/>
      <c r="K23" s="129"/>
      <c r="L23" s="129"/>
      <c r="M23" s="129"/>
    </row>
    <row r="24" spans="2:15" ht="14.45" customHeight="1">
      <c r="D24" s="129"/>
      <c r="E24" s="129"/>
      <c r="F24" s="129"/>
      <c r="G24" s="129"/>
      <c r="H24" s="129"/>
      <c r="I24" s="129"/>
      <c r="J24" s="129"/>
      <c r="K24" s="129"/>
      <c r="L24" s="129"/>
      <c r="M24" s="129"/>
    </row>
    <row r="25" spans="2:15" ht="24.4" customHeight="1">
      <c r="B25" s="1807" t="s">
        <v>1658</v>
      </c>
      <c r="C25" s="1807"/>
      <c r="D25" s="1807"/>
      <c r="E25" s="1807"/>
      <c r="F25" s="1807"/>
      <c r="G25" s="129"/>
      <c r="H25" s="129"/>
      <c r="I25" s="129"/>
      <c r="J25" s="129"/>
      <c r="K25" s="129"/>
      <c r="L25" s="129"/>
      <c r="M25" s="129"/>
    </row>
    <row r="26" spans="2:15">
      <c r="D26" s="129"/>
      <c r="E26" s="129"/>
      <c r="F26" s="129"/>
      <c r="G26" s="129"/>
      <c r="H26" s="129"/>
      <c r="I26" s="129"/>
      <c r="J26" s="129"/>
      <c r="K26" s="129"/>
      <c r="L26" s="129"/>
      <c r="M26" s="129"/>
    </row>
    <row r="27" spans="2:15">
      <c r="D27" s="129"/>
      <c r="E27" s="129"/>
      <c r="F27" s="129"/>
      <c r="G27" s="129"/>
      <c r="H27" s="129"/>
      <c r="I27" s="129"/>
      <c r="J27" s="129"/>
      <c r="K27" s="129"/>
      <c r="L27" s="129"/>
      <c r="M27" s="129"/>
    </row>
    <row r="28" spans="2:15">
      <c r="B28" s="1800" t="s">
        <v>1646</v>
      </c>
      <c r="C28" s="1800"/>
      <c r="D28" s="1800"/>
      <c r="E28" s="1800"/>
      <c r="F28" s="1804" t="s">
        <v>1647</v>
      </c>
      <c r="G28" s="1804"/>
      <c r="H28" s="1804"/>
      <c r="I28" s="1804"/>
      <c r="J28" s="1804"/>
      <c r="K28" s="1804"/>
      <c r="L28" s="129"/>
      <c r="M28" s="129"/>
    </row>
    <row r="29" spans="2:15">
      <c r="D29" s="20"/>
      <c r="F29" s="1805" t="s">
        <v>1648</v>
      </c>
      <c r="G29" s="1805"/>
      <c r="H29" s="1805"/>
      <c r="I29" s="1805"/>
      <c r="J29" s="1805"/>
      <c r="K29" s="1805"/>
      <c r="L29" s="129"/>
      <c r="M29" s="129"/>
    </row>
    <row r="30" spans="2:15">
      <c r="D30" s="25"/>
      <c r="F30" s="1806" t="s">
        <v>1649</v>
      </c>
      <c r="G30" s="1806"/>
      <c r="H30" s="1806"/>
      <c r="I30" s="1806"/>
      <c r="J30" s="1806"/>
      <c r="K30" s="1806"/>
      <c r="L30" s="129"/>
      <c r="M30" s="129"/>
    </row>
    <row r="31" spans="2:15">
      <c r="D31" s="129"/>
      <c r="E31" s="129"/>
      <c r="F31" s="129"/>
      <c r="G31" s="129"/>
      <c r="H31" s="129"/>
      <c r="I31" s="129"/>
      <c r="J31" s="129"/>
      <c r="K31" s="129"/>
      <c r="L31" s="129"/>
      <c r="M31" s="129"/>
    </row>
    <row r="32" spans="2:15">
      <c r="D32" s="129"/>
      <c r="E32" s="129"/>
      <c r="F32" s="129"/>
      <c r="G32" s="129"/>
      <c r="H32" s="129"/>
      <c r="I32" s="129"/>
      <c r="J32" s="129"/>
      <c r="K32" s="129"/>
      <c r="L32" s="129"/>
      <c r="M32" s="129"/>
    </row>
    <row r="33" spans="2:38">
      <c r="D33" s="129"/>
      <c r="E33" s="129"/>
      <c r="F33" s="129"/>
      <c r="G33" s="129"/>
      <c r="H33" s="129"/>
      <c r="I33" s="129"/>
      <c r="J33" s="129"/>
      <c r="K33" s="129"/>
      <c r="L33" s="129"/>
      <c r="M33" s="129"/>
    </row>
    <row r="34" spans="2:38">
      <c r="D34" s="129"/>
      <c r="E34" s="129"/>
      <c r="F34" s="129"/>
      <c r="G34" s="129"/>
      <c r="H34" s="129"/>
      <c r="I34" s="129"/>
      <c r="J34" s="129"/>
      <c r="K34" s="129"/>
      <c r="L34" s="129"/>
      <c r="M34" s="129"/>
    </row>
    <row r="38" spans="2:38" ht="14.45" customHeight="1"/>
    <row r="39" spans="2:38" ht="14.45" customHeight="1">
      <c r="W39" s="30" t="s">
        <v>1659</v>
      </c>
      <c r="X39">
        <v>42.5</v>
      </c>
    </row>
    <row r="40" spans="2:38" ht="30.4" customHeight="1">
      <c r="B40" s="1854" t="s">
        <v>1660</v>
      </c>
      <c r="C40" s="1855"/>
      <c r="D40" s="1855"/>
      <c r="E40" s="1855"/>
      <c r="F40" s="1855"/>
      <c r="G40" s="1855"/>
      <c r="H40" s="1855"/>
      <c r="I40" s="1855"/>
      <c r="J40" s="1855"/>
      <c r="K40" s="1855"/>
      <c r="L40" s="1855"/>
      <c r="M40" s="1855"/>
      <c r="N40" s="1855"/>
      <c r="O40" s="1855"/>
      <c r="P40" s="1855"/>
      <c r="Q40" s="1855"/>
      <c r="R40" s="1855"/>
    </row>
    <row r="41" spans="2:38">
      <c r="W41" s="30" t="s">
        <v>1661</v>
      </c>
      <c r="X41">
        <v>12</v>
      </c>
    </row>
    <row r="42" spans="2:38" ht="26.45" thickBot="1">
      <c r="B42" s="1803" t="s">
        <v>1662</v>
      </c>
      <c r="C42" s="1803"/>
      <c r="D42" s="1803"/>
      <c r="E42" s="1803"/>
      <c r="F42" s="1803"/>
      <c r="G42" s="1803"/>
      <c r="H42" s="1803"/>
      <c r="I42" s="1803"/>
      <c r="J42" s="1803"/>
      <c r="K42" s="1803"/>
      <c r="L42" s="1803"/>
      <c r="M42" s="1803"/>
      <c r="N42" s="1803"/>
      <c r="O42" s="1803"/>
      <c r="P42" s="1803"/>
      <c r="Q42" s="1803"/>
      <c r="R42" s="1803"/>
    </row>
    <row r="43" spans="2:38" ht="15.6" thickTop="1" thickBot="1">
      <c r="U43" s="1808"/>
      <c r="V43" s="1809"/>
      <c r="W43" s="1606" t="s">
        <v>315</v>
      </c>
      <c r="X43" s="1606" t="s">
        <v>263</v>
      </c>
      <c r="Y43" s="1606"/>
      <c r="Z43" s="1606"/>
      <c r="AA43" s="1606"/>
      <c r="AB43" s="1606"/>
      <c r="AC43" s="1606"/>
      <c r="AD43" s="1606"/>
      <c r="AE43" s="1606"/>
      <c r="AF43" s="1606"/>
      <c r="AG43" s="1606"/>
      <c r="AH43" s="1606"/>
      <c r="AI43" s="1606"/>
      <c r="AJ43" s="1606"/>
      <c r="AK43" s="1606"/>
      <c r="AL43" s="1832"/>
    </row>
    <row r="44" spans="2:38" ht="21.6" thickTop="1">
      <c r="B44" s="1812"/>
      <c r="C44" s="1813"/>
      <c r="D44" s="1837" t="s">
        <v>263</v>
      </c>
      <c r="E44" s="1838"/>
      <c r="F44" s="1838"/>
      <c r="G44" s="1838"/>
      <c r="H44" s="1838"/>
      <c r="I44" s="1838"/>
      <c r="J44" s="1838"/>
      <c r="K44" s="1838"/>
      <c r="L44" s="1838"/>
      <c r="M44" s="1838"/>
      <c r="N44" s="1838"/>
      <c r="O44" s="1838"/>
      <c r="P44" s="1838"/>
      <c r="Q44" s="1838"/>
      <c r="R44" s="1839"/>
      <c r="U44" s="1810"/>
      <c r="V44" s="1811"/>
      <c r="W44" s="1571"/>
      <c r="X44" s="54"/>
      <c r="Y44" s="55"/>
      <c r="Z44" s="55"/>
      <c r="AA44" s="55"/>
      <c r="AB44" s="56"/>
      <c r="AC44" s="54"/>
      <c r="AD44" s="55"/>
      <c r="AE44" s="55"/>
      <c r="AF44" s="55"/>
      <c r="AG44" s="56"/>
      <c r="AH44" s="54"/>
      <c r="AI44" s="55"/>
      <c r="AJ44" s="55"/>
      <c r="AK44" s="55"/>
      <c r="AL44" s="57"/>
    </row>
    <row r="45" spans="2:38" ht="16.149999999999999" thickBot="1">
      <c r="B45" s="1814"/>
      <c r="C45" s="1397"/>
      <c r="D45" s="1840" t="s">
        <v>1663</v>
      </c>
      <c r="E45" s="1841"/>
      <c r="F45" s="1841"/>
      <c r="G45" s="1841"/>
      <c r="H45" s="1841"/>
      <c r="I45" s="1841" t="s">
        <v>321</v>
      </c>
      <c r="J45" s="1841"/>
      <c r="K45" s="1841"/>
      <c r="L45" s="1841"/>
      <c r="M45" s="1841"/>
      <c r="N45" s="1841" t="s">
        <v>322</v>
      </c>
      <c r="O45" s="1841"/>
      <c r="P45" s="1841"/>
      <c r="Q45" s="1841"/>
      <c r="R45" s="1842"/>
      <c r="U45" s="1646"/>
      <c r="V45" s="1113"/>
      <c r="W45" s="1603"/>
      <c r="X45" s="1833" t="s">
        <v>1663</v>
      </c>
      <c r="Y45" s="1834"/>
      <c r="Z45" s="1834"/>
      <c r="AA45" s="1834"/>
      <c r="AB45" s="1835"/>
      <c r="AC45" s="1833" t="s">
        <v>321</v>
      </c>
      <c r="AD45" s="1834"/>
      <c r="AE45" s="1834"/>
      <c r="AF45" s="1834"/>
      <c r="AG45" s="1835"/>
      <c r="AH45" s="1833" t="s">
        <v>322</v>
      </c>
      <c r="AI45" s="1834"/>
      <c r="AJ45" s="1834"/>
      <c r="AK45" s="1834"/>
      <c r="AL45" s="1836"/>
    </row>
    <row r="46" spans="2:38" ht="17.45">
      <c r="B46" s="1814"/>
      <c r="C46" s="1397"/>
      <c r="D46" s="1843" t="s">
        <v>1664</v>
      </c>
      <c r="E46" s="1844"/>
      <c r="F46" s="1844"/>
      <c r="G46" s="1844"/>
      <c r="H46" s="1845"/>
      <c r="I46" s="1846" t="s">
        <v>1664</v>
      </c>
      <c r="J46" s="1844"/>
      <c r="K46" s="1844"/>
      <c r="L46" s="1844"/>
      <c r="M46" s="1845"/>
      <c r="N46" s="1846" t="s">
        <v>1664</v>
      </c>
      <c r="O46" s="1844"/>
      <c r="P46" s="1844"/>
      <c r="Q46" s="1844"/>
      <c r="R46" s="1847"/>
      <c r="U46" s="1646"/>
      <c r="V46" s="1113"/>
      <c r="W46" s="29"/>
      <c r="X46" s="237"/>
      <c r="Y46" s="80"/>
      <c r="Z46" s="80"/>
      <c r="AA46" s="80"/>
      <c r="AB46" s="239"/>
      <c r="AC46" s="237"/>
      <c r="AD46" s="80"/>
      <c r="AE46" s="80"/>
      <c r="AF46" s="80"/>
      <c r="AG46" s="239"/>
      <c r="AH46" s="237"/>
      <c r="AI46" s="80"/>
      <c r="AJ46" s="80"/>
      <c r="AK46" s="80"/>
      <c r="AL46" s="238"/>
    </row>
    <row r="47" spans="2:38" ht="14.45" customHeight="1" thickBot="1">
      <c r="B47" s="1815"/>
      <c r="C47" s="1816"/>
      <c r="D47" s="74" t="s">
        <v>1665</v>
      </c>
      <c r="E47" s="50" t="s">
        <v>334</v>
      </c>
      <c r="F47" s="50" t="s">
        <v>335</v>
      </c>
      <c r="G47" s="50" t="s">
        <v>336</v>
      </c>
      <c r="H47" s="51" t="s">
        <v>337</v>
      </c>
      <c r="I47" s="49" t="s">
        <v>1665</v>
      </c>
      <c r="J47" s="50" t="s">
        <v>1666</v>
      </c>
      <c r="K47" s="50" t="s">
        <v>1667</v>
      </c>
      <c r="L47" s="50" t="s">
        <v>1668</v>
      </c>
      <c r="M47" s="52" t="s">
        <v>1669</v>
      </c>
      <c r="N47" s="49" t="s">
        <v>1670</v>
      </c>
      <c r="O47" s="50" t="s">
        <v>1666</v>
      </c>
      <c r="P47" s="50" t="s">
        <v>1667</v>
      </c>
      <c r="Q47" s="50" t="s">
        <v>1668</v>
      </c>
      <c r="R47" s="53" t="s">
        <v>1669</v>
      </c>
      <c r="U47" s="1646"/>
      <c r="V47" s="1113"/>
      <c r="W47" s="29" t="s">
        <v>333</v>
      </c>
      <c r="X47" s="28">
        <v>0.1875</v>
      </c>
      <c r="Y47" s="28" t="s">
        <v>334</v>
      </c>
      <c r="Z47" s="28" t="s">
        <v>335</v>
      </c>
      <c r="AA47" s="28" t="s">
        <v>336</v>
      </c>
      <c r="AB47" s="28" t="s">
        <v>337</v>
      </c>
      <c r="AC47" s="28">
        <v>0.1875</v>
      </c>
      <c r="AD47" s="28" t="s">
        <v>334</v>
      </c>
      <c r="AE47" s="28" t="s">
        <v>335</v>
      </c>
      <c r="AF47" s="28" t="s">
        <v>336</v>
      </c>
      <c r="AG47" s="28" t="s">
        <v>337</v>
      </c>
      <c r="AH47" s="28">
        <v>0.1875</v>
      </c>
      <c r="AI47" s="28" t="s">
        <v>334</v>
      </c>
      <c r="AJ47" s="28" t="s">
        <v>335</v>
      </c>
      <c r="AK47" s="28" t="s">
        <v>336</v>
      </c>
      <c r="AL47" s="40" t="s">
        <v>337</v>
      </c>
    </row>
    <row r="48" spans="2:38">
      <c r="B48" s="1848" t="s">
        <v>1671</v>
      </c>
      <c r="C48" s="69">
        <v>5</v>
      </c>
      <c r="D48" s="75">
        <f t="shared" ref="D48:D67" si="0">MIN($X$41,X48,$W48)</f>
        <v>0</v>
      </c>
      <c r="E48" s="59">
        <f t="shared" ref="E48:E67" si="1">MIN($X$41,Y48,$W48)</f>
        <v>0</v>
      </c>
      <c r="F48" s="59">
        <f t="shared" ref="F48:F67" si="2">MIN($X$41,Z48,$W48)</f>
        <v>0</v>
      </c>
      <c r="G48" s="59">
        <f t="shared" ref="G48:G67" si="3">MIN($X$41,AA48,$W48)</f>
        <v>0</v>
      </c>
      <c r="H48" s="59">
        <f t="shared" ref="H48:H67" si="4">MIN($X$41,AB48,$W48)</f>
        <v>0</v>
      </c>
      <c r="I48" s="46">
        <f t="shared" ref="I48:I67" si="5">MIN($X$41,AC48,$W48)</f>
        <v>0</v>
      </c>
      <c r="J48" s="59">
        <f t="shared" ref="J48:J67" si="6">MIN($X$41,AD48,$W48)</f>
        <v>0</v>
      </c>
      <c r="K48" s="59">
        <f t="shared" ref="K48:K67" si="7">MIN($X$41,AE48,$W48)</f>
        <v>0</v>
      </c>
      <c r="L48" s="59">
        <f t="shared" ref="L48:L67" si="8">MIN($X$41,AF48,$W48)</f>
        <v>0</v>
      </c>
      <c r="M48" s="59">
        <f t="shared" ref="M48:M67" si="9">MIN($X$41,AG48,$W48)</f>
        <v>0</v>
      </c>
      <c r="N48" s="46">
        <f t="shared" ref="N48:N67" si="10">MIN($X$41,AH48,$W48)</f>
        <v>0</v>
      </c>
      <c r="O48" s="59">
        <f t="shared" ref="O48:O67" si="11">MIN($X$41,AI48,$W48)</f>
        <v>0</v>
      </c>
      <c r="P48" s="59">
        <f t="shared" ref="P48:P67" si="12">MIN($X$41,AJ48,$W48)</f>
        <v>0</v>
      </c>
      <c r="Q48" s="59">
        <f t="shared" ref="Q48:Q67" si="13">MIN($X$41,AK48,$W48)</f>
        <v>0</v>
      </c>
      <c r="R48" s="62">
        <f t="shared" ref="R48:R67" si="14">MIN($X$41,AL48,$W48)</f>
        <v>0</v>
      </c>
      <c r="U48" s="1601" t="s">
        <v>314</v>
      </c>
      <c r="V48" s="28">
        <v>5</v>
      </c>
      <c r="W48" s="43" cm="1">
        <f t="array" ref="W48">VLOOKUP(MAX(IF('Courbe Déflexion'!$GF$25:$GF$305&lt;=V48,'Courbe Déflexion'!$GF$25:$GF$305)),'Courbe Déflexion'!$GF$25:$IA$305,9,0)</f>
        <v>0</v>
      </c>
      <c r="X48" s="43">
        <f>VLOOKUP(X$84,'Infos Techniques'!$B$7:$E$12,3,0)/($V48*$X$39/12)</f>
        <v>56.470588235294123</v>
      </c>
      <c r="Y48" s="43">
        <f>VLOOKUP(Y$84,'Infos Techniques'!$B$7:$E$12,3,0)/($V48*$X$39/12)</f>
        <v>38.964705882352945</v>
      </c>
      <c r="Z48" s="43">
        <f>VLOOKUP(Z$84,'Infos Techniques'!$B$7:$E$12,3,0)/($V48*$X$39/12)</f>
        <v>32.752941176470593</v>
      </c>
      <c r="AA48" s="43">
        <f>VLOOKUP(AA$84,'Infos Techniques'!$B$7:$E$12,3,0)/($V48*$X$39/12)</f>
        <v>23.378823529411765</v>
      </c>
      <c r="AB48" s="43">
        <f>VLOOKUP(AB$84,'Infos Techniques'!$B$7:$E$12,3,0)/($V48*$X$39/12)</f>
        <v>18.691764705882353</v>
      </c>
      <c r="AC48" s="43">
        <f>VLOOKUP(AC$84,'Infos Techniques'!$B$7:$E$12,2,0)/($V48*$X$39/12)</f>
        <v>67.764705882352942</v>
      </c>
      <c r="AD48" s="43">
        <f>VLOOKUP(AD$84,'Infos Techniques'!$B$7:$E$12,2,0)/($V48*$X$39/12)</f>
        <v>67.764705882352942</v>
      </c>
      <c r="AE48" s="43">
        <f>VLOOKUP(AE$84,'Infos Techniques'!$B$7:$E$12,2,0)/($V48*$X$39/12)</f>
        <v>65.505882352941185</v>
      </c>
      <c r="AF48" s="43">
        <f>VLOOKUP(AF$84,'Infos Techniques'!$B$7:$E$12,2,0)/($V48*$X$39/12)</f>
        <v>46.814117647058829</v>
      </c>
      <c r="AG48" s="43">
        <f>VLOOKUP(AG$84,'Infos Techniques'!$B$7:$E$12,2,0)/($V48*$X$39/12)</f>
        <v>37.440000000000005</v>
      </c>
      <c r="AH48" s="43">
        <f>VLOOKUP(AH$84,'Infos Techniques'!$B$7:$E$12,4,0)/($V48*$X$39/12)</f>
        <v>84.705882352941188</v>
      </c>
      <c r="AI48" s="43">
        <f>VLOOKUP(AI$84,'Infos Techniques'!$B$7:$E$12,4,0)/($V48*$X$39/12)</f>
        <v>84.705882352941188</v>
      </c>
      <c r="AJ48" s="43">
        <f>VLOOKUP(AJ$84,'Infos Techniques'!$B$7:$E$12,4,0)/($V48*$X$39/12)</f>
        <v>84.705882352941188</v>
      </c>
      <c r="AK48" s="247">
        <f>VLOOKUP(AK$84,'Infos Techniques'!$B$7:$E$12,4,0)/($V48*$X$39/12)</f>
        <v>46.814117647058829</v>
      </c>
      <c r="AL48" s="248">
        <f>VLOOKUP(AL$84,'Infos Techniques'!$B$7:$E$12,4,0)/($V48*$X$39/12)</f>
        <v>37.440000000000005</v>
      </c>
    </row>
    <row r="49" spans="2:38">
      <c r="B49" s="1849"/>
      <c r="C49" s="70">
        <v>10</v>
      </c>
      <c r="D49" s="76">
        <f t="shared" si="0"/>
        <v>0</v>
      </c>
      <c r="E49" s="43">
        <f t="shared" si="1"/>
        <v>0</v>
      </c>
      <c r="F49" s="43">
        <f t="shared" si="2"/>
        <v>0</v>
      </c>
      <c r="G49" s="43">
        <f t="shared" si="3"/>
        <v>0</v>
      </c>
      <c r="H49" s="43">
        <f t="shared" si="4"/>
        <v>0</v>
      </c>
      <c r="I49" s="47">
        <f t="shared" si="5"/>
        <v>0</v>
      </c>
      <c r="J49" s="43">
        <f t="shared" si="6"/>
        <v>0</v>
      </c>
      <c r="K49" s="43">
        <f t="shared" si="7"/>
        <v>0</v>
      </c>
      <c r="L49" s="43">
        <f t="shared" si="8"/>
        <v>0</v>
      </c>
      <c r="M49" s="43">
        <f t="shared" si="9"/>
        <v>0</v>
      </c>
      <c r="N49" s="47">
        <f t="shared" si="10"/>
        <v>0</v>
      </c>
      <c r="O49" s="43">
        <f t="shared" si="11"/>
        <v>0</v>
      </c>
      <c r="P49" s="43">
        <f t="shared" si="12"/>
        <v>0</v>
      </c>
      <c r="Q49" s="43">
        <f t="shared" si="13"/>
        <v>0</v>
      </c>
      <c r="R49" s="63">
        <f t="shared" si="14"/>
        <v>0</v>
      </c>
      <c r="U49" s="1601"/>
      <c r="V49" s="28">
        <v>10</v>
      </c>
      <c r="W49" s="43" cm="1">
        <f t="array" ref="W49">VLOOKUP(MAX(IF('Courbe Déflexion'!$GF$25:$GF$305&lt;=V49,'Courbe Déflexion'!$GF$25:$GF$305)),'Courbe Déflexion'!$GF$25:$IA$305,9,0)</f>
        <v>0</v>
      </c>
      <c r="X49" s="43">
        <f>VLOOKUP(X$84,'Infos Techniques'!$B$7:$E$12,3,0)/($V49*$X$39/12)</f>
        <v>28.235294117647062</v>
      </c>
      <c r="Y49" s="43">
        <f>VLOOKUP(Y$84,'Infos Techniques'!$B$7:$E$12,3,0)/($V49*$X$39/12)</f>
        <v>19.482352941176472</v>
      </c>
      <c r="Z49" s="43">
        <f>VLOOKUP(Z$84,'Infos Techniques'!$B$7:$E$12,3,0)/($V49*$X$39/12)</f>
        <v>16.376470588235296</v>
      </c>
      <c r="AA49" s="43">
        <f>VLOOKUP(AA$84,'Infos Techniques'!$B$7:$E$12,3,0)/($V49*$X$39/12)</f>
        <v>11.689411764705882</v>
      </c>
      <c r="AB49" s="43">
        <f>VLOOKUP(AB$84,'Infos Techniques'!$B$7:$E$12,3,0)/($V49*$X$39/12)</f>
        <v>9.3458823529411763</v>
      </c>
      <c r="AC49" s="43">
        <f>VLOOKUP(AC$84,'Infos Techniques'!$B$7:$E$12,2,0)/($V49*$X$39/12)</f>
        <v>33.882352941176471</v>
      </c>
      <c r="AD49" s="43">
        <f>VLOOKUP(AD$84,'Infos Techniques'!$B$7:$E$12,2,0)/($V49*$X$39/12)</f>
        <v>33.882352941176471</v>
      </c>
      <c r="AE49" s="43">
        <f>VLOOKUP(AE$84,'Infos Techniques'!$B$7:$E$12,2,0)/($V49*$X$39/12)</f>
        <v>32.752941176470593</v>
      </c>
      <c r="AF49" s="43">
        <f>VLOOKUP(AF$84,'Infos Techniques'!$B$7:$E$12,2,0)/($V49*$X$39/12)</f>
        <v>23.407058823529415</v>
      </c>
      <c r="AG49" s="43">
        <f>VLOOKUP(AG$84,'Infos Techniques'!$B$7:$E$12,2,0)/($V49*$X$39/12)</f>
        <v>18.720000000000002</v>
      </c>
      <c r="AH49" s="43">
        <f>VLOOKUP(AH$84,'Infos Techniques'!$B$7:$E$12,4,0)/($V49*$X$39/12)</f>
        <v>42.352941176470594</v>
      </c>
      <c r="AI49" s="43">
        <f>VLOOKUP(AI$84,'Infos Techniques'!$B$7:$E$12,4,0)/($V49*$X$39/12)</f>
        <v>42.352941176470594</v>
      </c>
      <c r="AJ49" s="43">
        <f>VLOOKUP(AJ$84,'Infos Techniques'!$B$7:$E$12,4,0)/($V49*$X$39/12)</f>
        <v>42.352941176470594</v>
      </c>
      <c r="AK49" s="247">
        <f>VLOOKUP(AK$84,'Infos Techniques'!$B$7:$E$12,4,0)/($V49*$X$39/12)</f>
        <v>23.407058823529415</v>
      </c>
      <c r="AL49" s="248">
        <f>VLOOKUP(AL$84,'Infos Techniques'!$B$7:$E$12,4,0)/($V49*$X$39/12)</f>
        <v>18.720000000000002</v>
      </c>
    </row>
    <row r="50" spans="2:38" ht="14.45" customHeight="1">
      <c r="B50" s="1849"/>
      <c r="C50" s="70">
        <v>15</v>
      </c>
      <c r="D50" s="76">
        <f t="shared" si="0"/>
        <v>6</v>
      </c>
      <c r="E50" s="43">
        <f t="shared" si="1"/>
        <v>6</v>
      </c>
      <c r="F50" s="43">
        <f t="shared" si="2"/>
        <v>6</v>
      </c>
      <c r="G50" s="43">
        <f t="shared" si="3"/>
        <v>6</v>
      </c>
      <c r="H50" s="43">
        <f t="shared" si="4"/>
        <v>6</v>
      </c>
      <c r="I50" s="47">
        <f t="shared" si="5"/>
        <v>6</v>
      </c>
      <c r="J50" s="43">
        <f t="shared" si="6"/>
        <v>6</v>
      </c>
      <c r="K50" s="43">
        <f t="shared" si="7"/>
        <v>6</v>
      </c>
      <c r="L50" s="43">
        <f t="shared" si="8"/>
        <v>6</v>
      </c>
      <c r="M50" s="43">
        <f t="shared" si="9"/>
        <v>6</v>
      </c>
      <c r="N50" s="47">
        <f t="shared" si="10"/>
        <v>6</v>
      </c>
      <c r="O50" s="43">
        <f t="shared" si="11"/>
        <v>6</v>
      </c>
      <c r="P50" s="43">
        <f t="shared" si="12"/>
        <v>6</v>
      </c>
      <c r="Q50" s="43">
        <f t="shared" si="13"/>
        <v>6</v>
      </c>
      <c r="R50" s="63">
        <f t="shared" si="14"/>
        <v>6</v>
      </c>
      <c r="U50" s="1601"/>
      <c r="V50" s="28">
        <v>15</v>
      </c>
      <c r="W50" s="43" cm="1">
        <f t="array" ref="W50">VLOOKUP(MAX(IF('Courbe Déflexion'!$GF$25:$GF$305&lt;=V50,'Courbe Déflexion'!$GF$25:$GF$305)),'Courbe Déflexion'!$GF$25:$IA$305,9,0)</f>
        <v>6</v>
      </c>
      <c r="X50" s="43">
        <f>VLOOKUP(X$84,'Infos Techniques'!$B$7:$E$12,3,0)/($V50*$X$39/12)</f>
        <v>18.823529411764707</v>
      </c>
      <c r="Y50" s="43">
        <f>VLOOKUP(Y$84,'Infos Techniques'!$B$7:$E$12,3,0)/($V50*$X$39/12)</f>
        <v>12.988235294117647</v>
      </c>
      <c r="Z50" s="43">
        <f>VLOOKUP(Z$84,'Infos Techniques'!$B$7:$E$12,3,0)/($V50*$X$39/12)</f>
        <v>10.91764705882353</v>
      </c>
      <c r="AA50" s="43">
        <f>VLOOKUP(AA$84,'Infos Techniques'!$B$7:$E$12,3,0)/($V50*$X$39/12)</f>
        <v>7.7929411764705883</v>
      </c>
      <c r="AB50" s="43">
        <f>VLOOKUP(AB$84,'Infos Techniques'!$B$7:$E$12,3,0)/($V50*$X$39/12)</f>
        <v>6.2305882352941175</v>
      </c>
      <c r="AC50" s="43">
        <f>VLOOKUP(AC$84,'Infos Techniques'!$B$7:$E$12,2,0)/($V50*$X$39/12)</f>
        <v>22.588235294117649</v>
      </c>
      <c r="AD50" s="43">
        <f>VLOOKUP(AD$84,'Infos Techniques'!$B$7:$E$12,2,0)/($V50*$X$39/12)</f>
        <v>22.588235294117649</v>
      </c>
      <c r="AE50" s="43">
        <f>VLOOKUP(AE$84,'Infos Techniques'!$B$7:$E$12,2,0)/($V50*$X$39/12)</f>
        <v>21.835294117647059</v>
      </c>
      <c r="AF50" s="43">
        <f>VLOOKUP(AF$84,'Infos Techniques'!$B$7:$E$12,2,0)/($V50*$X$39/12)</f>
        <v>15.604705882352942</v>
      </c>
      <c r="AG50" s="43">
        <f>VLOOKUP(AG$84,'Infos Techniques'!$B$7:$E$12,2,0)/($V50*$X$39/12)</f>
        <v>12.48</v>
      </c>
      <c r="AH50" s="43">
        <f>VLOOKUP(AH$84,'Infos Techniques'!$B$7:$E$12,4,0)/($V50*$X$39/12)</f>
        <v>28.235294117647058</v>
      </c>
      <c r="AI50" s="43">
        <f>VLOOKUP(AI$84,'Infos Techniques'!$B$7:$E$12,4,0)/($V50*$X$39/12)</f>
        <v>28.235294117647058</v>
      </c>
      <c r="AJ50" s="43">
        <f>VLOOKUP(AJ$84,'Infos Techniques'!$B$7:$E$12,4,0)/($V50*$X$39/12)</f>
        <v>28.235294117647058</v>
      </c>
      <c r="AK50" s="247">
        <f>VLOOKUP(AK$84,'Infos Techniques'!$B$7:$E$12,4,0)/($V50*$X$39/12)</f>
        <v>15.604705882352942</v>
      </c>
      <c r="AL50" s="248">
        <f>VLOOKUP(AL$84,'Infos Techniques'!$B$7:$E$12,4,0)/($V50*$X$39/12)</f>
        <v>12.48</v>
      </c>
    </row>
    <row r="51" spans="2:38">
      <c r="B51" s="1849"/>
      <c r="C51" s="70">
        <v>20</v>
      </c>
      <c r="D51" s="76">
        <f t="shared" si="0"/>
        <v>7</v>
      </c>
      <c r="E51" s="43">
        <f t="shared" si="1"/>
        <v>7</v>
      </c>
      <c r="F51" s="43">
        <f t="shared" si="2"/>
        <v>7</v>
      </c>
      <c r="G51" s="43">
        <f t="shared" si="3"/>
        <v>5.8447058823529412</v>
      </c>
      <c r="H51" s="43">
        <f t="shared" si="4"/>
        <v>4.6729411764705882</v>
      </c>
      <c r="I51" s="47">
        <f t="shared" si="5"/>
        <v>7</v>
      </c>
      <c r="J51" s="43">
        <f t="shared" si="6"/>
        <v>7</v>
      </c>
      <c r="K51" s="43">
        <f t="shared" si="7"/>
        <v>7</v>
      </c>
      <c r="L51" s="43">
        <f t="shared" si="8"/>
        <v>7</v>
      </c>
      <c r="M51" s="43">
        <f t="shared" si="9"/>
        <v>7</v>
      </c>
      <c r="N51" s="47">
        <f t="shared" si="10"/>
        <v>7</v>
      </c>
      <c r="O51" s="43">
        <f t="shared" si="11"/>
        <v>7</v>
      </c>
      <c r="P51" s="43">
        <f t="shared" si="12"/>
        <v>7</v>
      </c>
      <c r="Q51" s="43">
        <f t="shared" si="13"/>
        <v>7</v>
      </c>
      <c r="R51" s="63">
        <f t="shared" si="14"/>
        <v>7</v>
      </c>
      <c r="U51" s="1601"/>
      <c r="V51" s="28">
        <v>20</v>
      </c>
      <c r="W51" s="43" cm="1">
        <f t="array" ref="W51">VLOOKUP(MAX(IF('Courbe Déflexion'!$GF$25:$GF$305&lt;=V51,'Courbe Déflexion'!$GF$25:$GF$305)),'Courbe Déflexion'!$GF$25:$IA$305,9,0)</f>
        <v>7</v>
      </c>
      <c r="X51" s="43">
        <f>VLOOKUP(X$84,'Infos Techniques'!$B$7:$E$12,3,0)/($V51*$X$39/12)</f>
        <v>14.117647058823531</v>
      </c>
      <c r="Y51" s="43">
        <f>VLOOKUP(Y$84,'Infos Techniques'!$B$7:$E$12,3,0)/($V51*$X$39/12)</f>
        <v>9.7411764705882362</v>
      </c>
      <c r="Z51" s="43">
        <f>VLOOKUP(Z$84,'Infos Techniques'!$B$7:$E$12,3,0)/($V51*$X$39/12)</f>
        <v>8.1882352941176482</v>
      </c>
      <c r="AA51" s="43">
        <f>VLOOKUP(AA$84,'Infos Techniques'!$B$7:$E$12,3,0)/($V51*$X$39/12)</f>
        <v>5.8447058823529412</v>
      </c>
      <c r="AB51" s="43">
        <f>VLOOKUP(AB$84,'Infos Techniques'!$B$7:$E$12,3,0)/($V51*$X$39/12)</f>
        <v>4.6729411764705882</v>
      </c>
      <c r="AC51" s="43">
        <f>VLOOKUP(AC$84,'Infos Techniques'!$B$7:$E$12,2,0)/($V51*$X$39/12)</f>
        <v>16.941176470588236</v>
      </c>
      <c r="AD51" s="43">
        <f>VLOOKUP(AD$84,'Infos Techniques'!$B$7:$E$12,2,0)/($V51*$X$39/12)</f>
        <v>16.941176470588236</v>
      </c>
      <c r="AE51" s="43">
        <f>VLOOKUP(AE$84,'Infos Techniques'!$B$7:$E$12,2,0)/($V51*$X$39/12)</f>
        <v>16.376470588235296</v>
      </c>
      <c r="AF51" s="43">
        <f>VLOOKUP(AF$84,'Infos Techniques'!$B$7:$E$12,2,0)/($V51*$X$39/12)</f>
        <v>11.703529411764707</v>
      </c>
      <c r="AG51" s="43">
        <f>VLOOKUP(AG$84,'Infos Techniques'!$B$7:$E$12,2,0)/($V51*$X$39/12)</f>
        <v>9.3600000000000012</v>
      </c>
      <c r="AH51" s="43">
        <f>VLOOKUP(AH$84,'Infos Techniques'!$B$7:$E$12,4,0)/($V51*$X$39/12)</f>
        <v>21.176470588235297</v>
      </c>
      <c r="AI51" s="43">
        <f>VLOOKUP(AI$84,'Infos Techniques'!$B$7:$E$12,4,0)/($V51*$X$39/12)</f>
        <v>21.176470588235297</v>
      </c>
      <c r="AJ51" s="43">
        <f>VLOOKUP(AJ$84,'Infos Techniques'!$B$7:$E$12,4,0)/($V51*$X$39/12)</f>
        <v>21.176470588235297</v>
      </c>
      <c r="AK51" s="247">
        <f>VLOOKUP(AK$84,'Infos Techniques'!$B$7:$E$12,4,0)/($V51*$X$39/12)</f>
        <v>11.703529411764707</v>
      </c>
      <c r="AL51" s="248">
        <f>VLOOKUP(AL$84,'Infos Techniques'!$B$7:$E$12,4,0)/($V51*$X$39/12)</f>
        <v>9.3600000000000012</v>
      </c>
    </row>
    <row r="52" spans="2:38" ht="15" thickBot="1">
      <c r="B52" s="1849"/>
      <c r="C52" s="71">
        <v>25</v>
      </c>
      <c r="D52" s="77">
        <f t="shared" si="0"/>
        <v>8</v>
      </c>
      <c r="E52" s="60">
        <f t="shared" si="1"/>
        <v>7.7929411764705883</v>
      </c>
      <c r="F52" s="60">
        <f t="shared" si="2"/>
        <v>6.5505882352941169</v>
      </c>
      <c r="G52" s="60">
        <f t="shared" si="3"/>
        <v>4.6757647058823526</v>
      </c>
      <c r="H52" s="60">
        <f t="shared" si="4"/>
        <v>3.7383529411764704</v>
      </c>
      <c r="I52" s="58">
        <f t="shared" si="5"/>
        <v>8</v>
      </c>
      <c r="J52" s="60">
        <f t="shared" si="6"/>
        <v>8</v>
      </c>
      <c r="K52" s="60">
        <f t="shared" si="7"/>
        <v>8</v>
      </c>
      <c r="L52" s="60">
        <f t="shared" si="8"/>
        <v>8</v>
      </c>
      <c r="M52" s="60">
        <f t="shared" si="9"/>
        <v>7.4879999999999995</v>
      </c>
      <c r="N52" s="58">
        <f t="shared" si="10"/>
        <v>8</v>
      </c>
      <c r="O52" s="60">
        <f t="shared" si="11"/>
        <v>8</v>
      </c>
      <c r="P52" s="60">
        <f t="shared" si="12"/>
        <v>8</v>
      </c>
      <c r="Q52" s="60">
        <f t="shared" si="13"/>
        <v>8</v>
      </c>
      <c r="R52" s="64">
        <f t="shared" si="14"/>
        <v>7.4879999999999995</v>
      </c>
      <c r="U52" s="1601"/>
      <c r="V52" s="28">
        <v>25</v>
      </c>
      <c r="W52" s="43" cm="1">
        <f t="array" ref="W52">VLOOKUP(MAX(IF('Courbe Déflexion'!$GF$25:$GF$305&lt;=V52,'Courbe Déflexion'!$GF$25:$GF$305)),'Courbe Déflexion'!$GF$25:$IA$305,9,0)</f>
        <v>8</v>
      </c>
      <c r="X52" s="43">
        <f>VLOOKUP(X$84,'Infos Techniques'!$B$7:$E$12,3,0)/($V52*$X$39/12)</f>
        <v>11.294117647058822</v>
      </c>
      <c r="Y52" s="43">
        <f>VLOOKUP(Y$84,'Infos Techniques'!$B$7:$E$12,3,0)/($V52*$X$39/12)</f>
        <v>7.7929411764705883</v>
      </c>
      <c r="Z52" s="43">
        <f>VLOOKUP(Z$84,'Infos Techniques'!$B$7:$E$12,3,0)/($V52*$X$39/12)</f>
        <v>6.5505882352941169</v>
      </c>
      <c r="AA52" s="43">
        <f>VLOOKUP(AA$84,'Infos Techniques'!$B$7:$E$12,3,0)/($V52*$X$39/12)</f>
        <v>4.6757647058823526</v>
      </c>
      <c r="AB52" s="43">
        <f>VLOOKUP(AB$84,'Infos Techniques'!$B$7:$E$12,3,0)/($V52*$X$39/12)</f>
        <v>3.7383529411764704</v>
      </c>
      <c r="AC52" s="43">
        <f>VLOOKUP(AC$84,'Infos Techniques'!$B$7:$E$12,2,0)/($V52*$X$39/12)</f>
        <v>13.552941176470588</v>
      </c>
      <c r="AD52" s="43">
        <f>VLOOKUP(AD$84,'Infos Techniques'!$B$7:$E$12,2,0)/($V52*$X$39/12)</f>
        <v>13.552941176470588</v>
      </c>
      <c r="AE52" s="43">
        <f>VLOOKUP(AE$84,'Infos Techniques'!$B$7:$E$12,2,0)/($V52*$X$39/12)</f>
        <v>13.101176470588234</v>
      </c>
      <c r="AF52" s="43">
        <f>VLOOKUP(AF$84,'Infos Techniques'!$B$7:$E$12,2,0)/($V52*$X$39/12)</f>
        <v>9.3628235294117648</v>
      </c>
      <c r="AG52" s="43">
        <f>VLOOKUP(AG$84,'Infos Techniques'!$B$7:$E$12,2,0)/($V52*$X$39/12)</f>
        <v>7.4879999999999995</v>
      </c>
      <c r="AH52" s="43">
        <f>VLOOKUP(AH$84,'Infos Techniques'!$B$7:$E$12,4,0)/($V52*$X$39/12)</f>
        <v>16.941176470588236</v>
      </c>
      <c r="AI52" s="43">
        <f>VLOOKUP(AI$84,'Infos Techniques'!$B$7:$E$12,4,0)/($V52*$X$39/12)</f>
        <v>16.941176470588236</v>
      </c>
      <c r="AJ52" s="43">
        <f>VLOOKUP(AJ$84,'Infos Techniques'!$B$7:$E$12,4,0)/($V52*$X$39/12)</f>
        <v>16.941176470588236</v>
      </c>
      <c r="AK52" s="247">
        <f>VLOOKUP(AK$84,'Infos Techniques'!$B$7:$E$12,4,0)/($V52*$X$39/12)</f>
        <v>9.3628235294117648</v>
      </c>
      <c r="AL52" s="248">
        <f>VLOOKUP(AL$84,'Infos Techniques'!$B$7:$E$12,4,0)/($V52*$X$39/12)</f>
        <v>7.4879999999999995</v>
      </c>
    </row>
    <row r="53" spans="2:38">
      <c r="B53" s="1849"/>
      <c r="C53" s="69">
        <v>30</v>
      </c>
      <c r="D53" s="75">
        <f t="shared" si="0"/>
        <v>8</v>
      </c>
      <c r="E53" s="59">
        <f t="shared" si="1"/>
        <v>6.4941176470588236</v>
      </c>
      <c r="F53" s="59">
        <f t="shared" si="2"/>
        <v>5.4588235294117649</v>
      </c>
      <c r="G53" s="59">
        <f t="shared" si="3"/>
        <v>3.8964705882352941</v>
      </c>
      <c r="H53" s="59">
        <f t="shared" si="4"/>
        <v>3.1152941176470588</v>
      </c>
      <c r="I53" s="46">
        <f t="shared" si="5"/>
        <v>8</v>
      </c>
      <c r="J53" s="59">
        <f t="shared" si="6"/>
        <v>8</v>
      </c>
      <c r="K53" s="59">
        <f t="shared" si="7"/>
        <v>8</v>
      </c>
      <c r="L53" s="59">
        <f t="shared" si="8"/>
        <v>7.8023529411764709</v>
      </c>
      <c r="M53" s="59">
        <f t="shared" si="9"/>
        <v>6.24</v>
      </c>
      <c r="N53" s="46">
        <f t="shared" si="10"/>
        <v>8</v>
      </c>
      <c r="O53" s="59">
        <f t="shared" si="11"/>
        <v>8</v>
      </c>
      <c r="P53" s="59">
        <f t="shared" si="12"/>
        <v>8</v>
      </c>
      <c r="Q53" s="59">
        <f t="shared" si="13"/>
        <v>7.8023529411764709</v>
      </c>
      <c r="R53" s="62">
        <f t="shared" si="14"/>
        <v>6.24</v>
      </c>
      <c r="U53" s="1601"/>
      <c r="V53" s="28">
        <v>30</v>
      </c>
      <c r="W53" s="43" cm="1">
        <f t="array" ref="W53">VLOOKUP(MAX(IF('Courbe Déflexion'!$GF$25:$GF$305&lt;=V53,'Courbe Déflexion'!$GF$25:$GF$305)),'Courbe Déflexion'!$GF$25:$IA$305,9,0)</f>
        <v>8</v>
      </c>
      <c r="X53" s="43">
        <f>VLOOKUP(X$84,'Infos Techniques'!$B$7:$E$12,3,0)/($V53*$X$39/12)</f>
        <v>9.4117647058823533</v>
      </c>
      <c r="Y53" s="43">
        <f>VLOOKUP(Y$84,'Infos Techniques'!$B$7:$E$12,3,0)/($V53*$X$39/12)</f>
        <v>6.4941176470588236</v>
      </c>
      <c r="Z53" s="43">
        <f>VLOOKUP(Z$84,'Infos Techniques'!$B$7:$E$12,3,0)/($V53*$X$39/12)</f>
        <v>5.4588235294117649</v>
      </c>
      <c r="AA53" s="43">
        <f>VLOOKUP(AA$84,'Infos Techniques'!$B$7:$E$12,3,0)/($V53*$X$39/12)</f>
        <v>3.8964705882352941</v>
      </c>
      <c r="AB53" s="43">
        <f>VLOOKUP(AB$84,'Infos Techniques'!$B$7:$E$12,3,0)/($V53*$X$39/12)</f>
        <v>3.1152941176470588</v>
      </c>
      <c r="AC53" s="43">
        <f>VLOOKUP(AC$84,'Infos Techniques'!$B$7:$E$12,2,0)/($V53*$X$39/12)</f>
        <v>11.294117647058824</v>
      </c>
      <c r="AD53" s="43">
        <f>VLOOKUP(AD$84,'Infos Techniques'!$B$7:$E$12,2,0)/($V53*$X$39/12)</f>
        <v>11.294117647058824</v>
      </c>
      <c r="AE53" s="43">
        <f>VLOOKUP(AE$84,'Infos Techniques'!$B$7:$E$12,2,0)/($V53*$X$39/12)</f>
        <v>10.91764705882353</v>
      </c>
      <c r="AF53" s="43">
        <f>VLOOKUP(AF$84,'Infos Techniques'!$B$7:$E$12,2,0)/($V53*$X$39/12)</f>
        <v>7.8023529411764709</v>
      </c>
      <c r="AG53" s="43">
        <f>VLOOKUP(AG$84,'Infos Techniques'!$B$7:$E$12,2,0)/($V53*$X$39/12)</f>
        <v>6.24</v>
      </c>
      <c r="AH53" s="43">
        <f>VLOOKUP(AH$84,'Infos Techniques'!$B$7:$E$12,4,0)/($V53*$X$39/12)</f>
        <v>14.117647058823529</v>
      </c>
      <c r="AI53" s="43">
        <f>VLOOKUP(AI$84,'Infos Techniques'!$B$7:$E$12,4,0)/($V53*$X$39/12)</f>
        <v>14.117647058823529</v>
      </c>
      <c r="AJ53" s="43">
        <f>VLOOKUP(AJ$84,'Infos Techniques'!$B$7:$E$12,4,0)/($V53*$X$39/12)</f>
        <v>14.117647058823529</v>
      </c>
      <c r="AK53" s="247">
        <f>VLOOKUP(AK$84,'Infos Techniques'!$B$7:$E$12,4,0)/($V53*$X$39/12)</f>
        <v>7.8023529411764709</v>
      </c>
      <c r="AL53" s="248">
        <f>VLOOKUP(AL$84,'Infos Techniques'!$B$7:$E$12,4,0)/($V53*$X$39/12)</f>
        <v>6.24</v>
      </c>
    </row>
    <row r="54" spans="2:38">
      <c r="B54" s="1849"/>
      <c r="C54" s="70">
        <v>35</v>
      </c>
      <c r="D54" s="76">
        <f t="shared" si="0"/>
        <v>8.0672268907563023</v>
      </c>
      <c r="E54" s="43">
        <f t="shared" si="1"/>
        <v>5.5663865546218494</v>
      </c>
      <c r="F54" s="43">
        <f t="shared" si="2"/>
        <v>4.6789915966386557</v>
      </c>
      <c r="G54" s="43">
        <f t="shared" si="3"/>
        <v>3.3398319327731092</v>
      </c>
      <c r="H54" s="43">
        <f t="shared" si="4"/>
        <v>2.6702521008403362</v>
      </c>
      <c r="I54" s="47">
        <f t="shared" si="5"/>
        <v>8.6000000000000014</v>
      </c>
      <c r="J54" s="43">
        <f t="shared" si="6"/>
        <v>8.6000000000000014</v>
      </c>
      <c r="K54" s="43">
        <f t="shared" si="7"/>
        <v>8.6000000000000014</v>
      </c>
      <c r="L54" s="43">
        <f t="shared" si="8"/>
        <v>6.6877310924369748</v>
      </c>
      <c r="M54" s="43">
        <f t="shared" si="9"/>
        <v>5.3485714285714288</v>
      </c>
      <c r="N54" s="47">
        <f t="shared" si="10"/>
        <v>8.6000000000000014</v>
      </c>
      <c r="O54" s="43">
        <f t="shared" si="11"/>
        <v>8.6000000000000014</v>
      </c>
      <c r="P54" s="43">
        <f t="shared" si="12"/>
        <v>8.6000000000000014</v>
      </c>
      <c r="Q54" s="43">
        <f t="shared" si="13"/>
        <v>6.6877310924369748</v>
      </c>
      <c r="R54" s="63">
        <f t="shared" si="14"/>
        <v>5.3485714285714288</v>
      </c>
      <c r="U54" s="1601"/>
      <c r="V54" s="28">
        <v>35</v>
      </c>
      <c r="W54" s="43" cm="1">
        <f t="array" ref="W54">VLOOKUP(MAX(IF('Courbe Déflexion'!$GF$25:$GF$305&lt;=V54,'Courbe Déflexion'!$GF$25:$GF$305)),'Courbe Déflexion'!$GF$25:$IA$305,9,0)</f>
        <v>8.6000000000000014</v>
      </c>
      <c r="X54" s="43">
        <f>VLOOKUP(X$84,'Infos Techniques'!$B$7:$E$12,3,0)/($V54*$X$39/12)</f>
        <v>8.0672268907563023</v>
      </c>
      <c r="Y54" s="43">
        <f>VLOOKUP(Y$84,'Infos Techniques'!$B$7:$E$12,3,0)/($V54*$X$39/12)</f>
        <v>5.5663865546218494</v>
      </c>
      <c r="Z54" s="43">
        <f>VLOOKUP(Z$84,'Infos Techniques'!$B$7:$E$12,3,0)/($V54*$X$39/12)</f>
        <v>4.6789915966386557</v>
      </c>
      <c r="AA54" s="43">
        <f>VLOOKUP(AA$84,'Infos Techniques'!$B$7:$E$12,3,0)/($V54*$X$39/12)</f>
        <v>3.3398319327731092</v>
      </c>
      <c r="AB54" s="43">
        <f>VLOOKUP(AB$84,'Infos Techniques'!$B$7:$E$12,3,0)/($V54*$X$39/12)</f>
        <v>2.6702521008403362</v>
      </c>
      <c r="AC54" s="43">
        <f>VLOOKUP(AC$84,'Infos Techniques'!$B$7:$E$12,2,0)/($V54*$X$39/12)</f>
        <v>9.6806722689075642</v>
      </c>
      <c r="AD54" s="43">
        <f>VLOOKUP(AD$84,'Infos Techniques'!$B$7:$E$12,2,0)/($V54*$X$39/12)</f>
        <v>9.6806722689075642</v>
      </c>
      <c r="AE54" s="43">
        <f>VLOOKUP(AE$84,'Infos Techniques'!$B$7:$E$12,2,0)/($V54*$X$39/12)</f>
        <v>9.3579831932773114</v>
      </c>
      <c r="AF54" s="43">
        <f>VLOOKUP(AF$84,'Infos Techniques'!$B$7:$E$12,2,0)/($V54*$X$39/12)</f>
        <v>6.6877310924369748</v>
      </c>
      <c r="AG54" s="43">
        <f>VLOOKUP(AG$84,'Infos Techniques'!$B$7:$E$12,2,0)/($V54*$X$39/12)</f>
        <v>5.3485714285714288</v>
      </c>
      <c r="AH54" s="43">
        <f>VLOOKUP(AH$84,'Infos Techniques'!$B$7:$E$12,4,0)/($V54*$X$39/12)</f>
        <v>12.100840336134453</v>
      </c>
      <c r="AI54" s="43">
        <f>VLOOKUP(AI$84,'Infos Techniques'!$B$7:$E$12,4,0)/($V54*$X$39/12)</f>
        <v>12.100840336134453</v>
      </c>
      <c r="AJ54" s="43">
        <f>VLOOKUP(AJ$84,'Infos Techniques'!$B$7:$E$12,4,0)/($V54*$X$39/12)</f>
        <v>12.100840336134453</v>
      </c>
      <c r="AK54" s="247">
        <f>VLOOKUP(AK$84,'Infos Techniques'!$B$7:$E$12,4,0)/($V54*$X$39/12)</f>
        <v>6.6877310924369748</v>
      </c>
      <c r="AL54" s="248">
        <f>VLOOKUP(AL$84,'Infos Techniques'!$B$7:$E$12,4,0)/($V54*$X$39/12)</f>
        <v>5.3485714285714288</v>
      </c>
    </row>
    <row r="55" spans="2:38">
      <c r="B55" s="1849"/>
      <c r="C55" s="70">
        <v>40</v>
      </c>
      <c r="D55" s="76">
        <f t="shared" si="0"/>
        <v>7.0588235294117654</v>
      </c>
      <c r="E55" s="43">
        <f t="shared" si="1"/>
        <v>4.8705882352941181</v>
      </c>
      <c r="F55" s="43">
        <f t="shared" si="2"/>
        <v>4.0941176470588241</v>
      </c>
      <c r="G55" s="43">
        <f t="shared" si="3"/>
        <v>2.9223529411764706</v>
      </c>
      <c r="H55" s="43">
        <f t="shared" si="4"/>
        <v>2.3364705882352941</v>
      </c>
      <c r="I55" s="47">
        <f t="shared" si="5"/>
        <v>8.4705882352941178</v>
      </c>
      <c r="J55" s="43">
        <f t="shared" si="6"/>
        <v>8.4705882352941178</v>
      </c>
      <c r="K55" s="43">
        <f t="shared" si="7"/>
        <v>8.1882352941176482</v>
      </c>
      <c r="L55" s="43">
        <f t="shared" si="8"/>
        <v>5.8517647058823536</v>
      </c>
      <c r="M55" s="43">
        <f t="shared" si="9"/>
        <v>4.6800000000000006</v>
      </c>
      <c r="N55" s="47">
        <f t="shared" si="10"/>
        <v>9.5000000000000018</v>
      </c>
      <c r="O55" s="43">
        <f t="shared" si="11"/>
        <v>9.5000000000000018</v>
      </c>
      <c r="P55" s="43">
        <f t="shared" si="12"/>
        <v>9.5000000000000018</v>
      </c>
      <c r="Q55" s="43">
        <f t="shared" si="13"/>
        <v>5.8517647058823536</v>
      </c>
      <c r="R55" s="63">
        <f t="shared" si="14"/>
        <v>4.6800000000000006</v>
      </c>
      <c r="U55" s="1601"/>
      <c r="V55" s="28">
        <v>40</v>
      </c>
      <c r="W55" s="43" cm="1">
        <f t="array" ref="W55">VLOOKUP(MAX(IF('Courbe Déflexion'!$GF$25:$GF$305&lt;=V55,'Courbe Déflexion'!$GF$25:$GF$305)),'Courbe Déflexion'!$GF$25:$IA$305,9,0)</f>
        <v>9.5000000000000018</v>
      </c>
      <c r="X55" s="43">
        <f>VLOOKUP(X$84,'Infos Techniques'!$B$7:$E$12,3,0)/($V55*$X$39/12)</f>
        <v>7.0588235294117654</v>
      </c>
      <c r="Y55" s="43">
        <f>VLOOKUP(Y$84,'Infos Techniques'!$B$7:$E$12,3,0)/($V55*$X$39/12)</f>
        <v>4.8705882352941181</v>
      </c>
      <c r="Z55" s="43">
        <f>VLOOKUP(Z$84,'Infos Techniques'!$B$7:$E$12,3,0)/($V55*$X$39/12)</f>
        <v>4.0941176470588241</v>
      </c>
      <c r="AA55" s="43">
        <f>VLOOKUP(AA$84,'Infos Techniques'!$B$7:$E$12,3,0)/($V55*$X$39/12)</f>
        <v>2.9223529411764706</v>
      </c>
      <c r="AB55" s="43">
        <f>VLOOKUP(AB$84,'Infos Techniques'!$B$7:$E$12,3,0)/($V55*$X$39/12)</f>
        <v>2.3364705882352941</v>
      </c>
      <c r="AC55" s="43">
        <f>VLOOKUP(AC$84,'Infos Techniques'!$B$7:$E$12,2,0)/($V55*$X$39/12)</f>
        <v>8.4705882352941178</v>
      </c>
      <c r="AD55" s="43">
        <f>VLOOKUP(AD$84,'Infos Techniques'!$B$7:$E$12,2,0)/($V55*$X$39/12)</f>
        <v>8.4705882352941178</v>
      </c>
      <c r="AE55" s="43">
        <f>VLOOKUP(AE$84,'Infos Techniques'!$B$7:$E$12,2,0)/($V55*$X$39/12)</f>
        <v>8.1882352941176482</v>
      </c>
      <c r="AF55" s="43">
        <f>VLOOKUP(AF$84,'Infos Techniques'!$B$7:$E$12,2,0)/($V55*$X$39/12)</f>
        <v>5.8517647058823536</v>
      </c>
      <c r="AG55" s="43">
        <f>VLOOKUP(AG$84,'Infos Techniques'!$B$7:$E$12,2,0)/($V55*$X$39/12)</f>
        <v>4.6800000000000006</v>
      </c>
      <c r="AH55" s="43">
        <f>VLOOKUP(AH$84,'Infos Techniques'!$B$7:$E$12,4,0)/($V55*$X$39/12)</f>
        <v>10.588235294117649</v>
      </c>
      <c r="AI55" s="43">
        <f>VLOOKUP(AI$84,'Infos Techniques'!$B$7:$E$12,4,0)/($V55*$X$39/12)</f>
        <v>10.588235294117649</v>
      </c>
      <c r="AJ55" s="43">
        <f>VLOOKUP(AJ$84,'Infos Techniques'!$B$7:$E$12,4,0)/($V55*$X$39/12)</f>
        <v>10.588235294117649</v>
      </c>
      <c r="AK55" s="247">
        <f>VLOOKUP(AK$84,'Infos Techniques'!$B$7:$E$12,4,0)/($V55*$X$39/12)</f>
        <v>5.8517647058823536</v>
      </c>
      <c r="AL55" s="248">
        <f>VLOOKUP(AL$84,'Infos Techniques'!$B$7:$E$12,4,0)/($V55*$X$39/12)</f>
        <v>4.6800000000000006</v>
      </c>
    </row>
    <row r="56" spans="2:38">
      <c r="B56" s="1849"/>
      <c r="C56" s="70">
        <v>45</v>
      </c>
      <c r="D56" s="76">
        <f t="shared" si="0"/>
        <v>6.2745098039215685</v>
      </c>
      <c r="E56" s="43">
        <f t="shared" si="1"/>
        <v>4.3294117647058821</v>
      </c>
      <c r="F56" s="43">
        <f t="shared" si="2"/>
        <v>3.6392156862745098</v>
      </c>
      <c r="G56" s="43">
        <f t="shared" si="3"/>
        <v>2.5976470588235294</v>
      </c>
      <c r="H56" s="43">
        <f t="shared" si="4"/>
        <v>2.076862745098039</v>
      </c>
      <c r="I56" s="47">
        <f t="shared" si="5"/>
        <v>7.5294117647058822</v>
      </c>
      <c r="J56" s="43">
        <f t="shared" si="6"/>
        <v>7.5294117647058822</v>
      </c>
      <c r="K56" s="43">
        <f t="shared" si="7"/>
        <v>7.2784313725490195</v>
      </c>
      <c r="L56" s="43">
        <f t="shared" si="8"/>
        <v>5.20156862745098</v>
      </c>
      <c r="M56" s="43">
        <f t="shared" si="9"/>
        <v>4.16</v>
      </c>
      <c r="N56" s="47">
        <f t="shared" si="10"/>
        <v>9.4117647058823533</v>
      </c>
      <c r="O56" s="43">
        <f t="shared" si="11"/>
        <v>9.4117647058823533</v>
      </c>
      <c r="P56" s="43">
        <f t="shared" si="12"/>
        <v>9.4117647058823533</v>
      </c>
      <c r="Q56" s="43">
        <f t="shared" si="13"/>
        <v>5.20156862745098</v>
      </c>
      <c r="R56" s="63">
        <f t="shared" si="14"/>
        <v>4.16</v>
      </c>
      <c r="U56" s="1601"/>
      <c r="V56" s="28">
        <v>45</v>
      </c>
      <c r="W56" s="43" cm="1">
        <f t="array" ref="W56">VLOOKUP(MAX(IF('Courbe Déflexion'!$GF$25:$GF$305&lt;=V56,'Courbe Déflexion'!$GF$25:$GF$305)),'Courbe Déflexion'!$GF$25:$IA$305,9,0)</f>
        <v>10.500000000000002</v>
      </c>
      <c r="X56" s="43">
        <f>VLOOKUP(X$84,'Infos Techniques'!$B$7:$E$12,3,0)/($V56*$X$39/12)</f>
        <v>6.2745098039215685</v>
      </c>
      <c r="Y56" s="43">
        <f>VLOOKUP(Y$84,'Infos Techniques'!$B$7:$E$12,3,0)/($V56*$X$39/12)</f>
        <v>4.3294117647058821</v>
      </c>
      <c r="Z56" s="43">
        <f>VLOOKUP(Z$84,'Infos Techniques'!$B$7:$E$12,3,0)/($V56*$X$39/12)</f>
        <v>3.6392156862745098</v>
      </c>
      <c r="AA56" s="43">
        <f>VLOOKUP(AA$84,'Infos Techniques'!$B$7:$E$12,3,0)/($V56*$X$39/12)</f>
        <v>2.5976470588235294</v>
      </c>
      <c r="AB56" s="43">
        <f>VLOOKUP(AB$84,'Infos Techniques'!$B$7:$E$12,3,0)/($V56*$X$39/12)</f>
        <v>2.076862745098039</v>
      </c>
      <c r="AC56" s="43">
        <f>VLOOKUP(AC$84,'Infos Techniques'!$B$7:$E$12,2,0)/($V56*$X$39/12)</f>
        <v>7.5294117647058822</v>
      </c>
      <c r="AD56" s="43">
        <f>VLOOKUP(AD$84,'Infos Techniques'!$B$7:$E$12,2,0)/($V56*$X$39/12)</f>
        <v>7.5294117647058822</v>
      </c>
      <c r="AE56" s="43">
        <f>VLOOKUP(AE$84,'Infos Techniques'!$B$7:$E$12,2,0)/($V56*$X$39/12)</f>
        <v>7.2784313725490195</v>
      </c>
      <c r="AF56" s="43">
        <f>VLOOKUP(AF$84,'Infos Techniques'!$B$7:$E$12,2,0)/($V56*$X$39/12)</f>
        <v>5.20156862745098</v>
      </c>
      <c r="AG56" s="43">
        <f>VLOOKUP(AG$84,'Infos Techniques'!$B$7:$E$12,2,0)/($V56*$X$39/12)</f>
        <v>4.16</v>
      </c>
      <c r="AH56" s="43">
        <f>VLOOKUP(AH$84,'Infos Techniques'!$B$7:$E$12,4,0)/($V56*$X$39/12)</f>
        <v>9.4117647058823533</v>
      </c>
      <c r="AI56" s="43">
        <f>VLOOKUP(AI$84,'Infos Techniques'!$B$7:$E$12,4,0)/($V56*$X$39/12)</f>
        <v>9.4117647058823533</v>
      </c>
      <c r="AJ56" s="43">
        <f>VLOOKUP(AJ$84,'Infos Techniques'!$B$7:$E$12,4,0)/($V56*$X$39/12)</f>
        <v>9.4117647058823533</v>
      </c>
      <c r="AK56" s="247">
        <f>VLOOKUP(AK$84,'Infos Techniques'!$B$7:$E$12,4,0)/($V56*$X$39/12)</f>
        <v>5.20156862745098</v>
      </c>
      <c r="AL56" s="248">
        <f>VLOOKUP(AL$84,'Infos Techniques'!$B$7:$E$12,4,0)/($V56*$X$39/12)</f>
        <v>4.16</v>
      </c>
    </row>
    <row r="57" spans="2:38" ht="15" thickBot="1">
      <c r="B57" s="1849"/>
      <c r="C57" s="71">
        <v>50</v>
      </c>
      <c r="D57" s="77">
        <f t="shared" si="0"/>
        <v>5.6470588235294112</v>
      </c>
      <c r="E57" s="60">
        <f t="shared" si="1"/>
        <v>3.8964705882352941</v>
      </c>
      <c r="F57" s="60">
        <f t="shared" si="2"/>
        <v>3.2752941176470585</v>
      </c>
      <c r="G57" s="60">
        <f t="shared" si="3"/>
        <v>2.3378823529411763</v>
      </c>
      <c r="H57" s="60">
        <f t="shared" si="4"/>
        <v>1.8691764705882352</v>
      </c>
      <c r="I57" s="58">
        <f t="shared" si="5"/>
        <v>6.776470588235294</v>
      </c>
      <c r="J57" s="60">
        <f t="shared" si="6"/>
        <v>6.776470588235294</v>
      </c>
      <c r="K57" s="60">
        <f t="shared" si="7"/>
        <v>6.5505882352941169</v>
      </c>
      <c r="L57" s="60">
        <f t="shared" si="8"/>
        <v>4.6814117647058824</v>
      </c>
      <c r="M57" s="60">
        <f t="shared" si="9"/>
        <v>3.7439999999999998</v>
      </c>
      <c r="N57" s="58">
        <f t="shared" si="10"/>
        <v>8.4705882352941178</v>
      </c>
      <c r="O57" s="60">
        <f t="shared" si="11"/>
        <v>8.4705882352941178</v>
      </c>
      <c r="P57" s="60">
        <f t="shared" si="12"/>
        <v>8.4705882352941178</v>
      </c>
      <c r="Q57" s="60">
        <f t="shared" si="13"/>
        <v>4.6814117647058824</v>
      </c>
      <c r="R57" s="64">
        <f t="shared" si="14"/>
        <v>3.7439999999999998</v>
      </c>
      <c r="U57" s="1601"/>
      <c r="V57" s="28">
        <v>50</v>
      </c>
      <c r="W57" s="43" cm="1">
        <f t="array" ref="W57">VLOOKUP(MAX(IF('Courbe Déflexion'!$GF$25:$GF$305&lt;=V57,'Courbe Déflexion'!$GF$25:$GF$305)),'Courbe Déflexion'!$GF$25:$IA$305,9,0)</f>
        <v>12.200000000000003</v>
      </c>
      <c r="X57" s="43">
        <f>VLOOKUP(X$84,'Infos Techniques'!$B$7:$E$12,3,0)/($V57*$X$39/12)</f>
        <v>5.6470588235294112</v>
      </c>
      <c r="Y57" s="43">
        <f>VLOOKUP(Y$84,'Infos Techniques'!$B$7:$E$12,3,0)/($V57*$X$39/12)</f>
        <v>3.8964705882352941</v>
      </c>
      <c r="Z57" s="43">
        <f>VLOOKUP(Z$84,'Infos Techniques'!$B$7:$E$12,3,0)/($V57*$X$39/12)</f>
        <v>3.2752941176470585</v>
      </c>
      <c r="AA57" s="43">
        <f>VLOOKUP(AA$84,'Infos Techniques'!$B$7:$E$12,3,0)/($V57*$X$39/12)</f>
        <v>2.3378823529411763</v>
      </c>
      <c r="AB57" s="43">
        <f>VLOOKUP(AB$84,'Infos Techniques'!$B$7:$E$12,3,0)/($V57*$X$39/12)</f>
        <v>1.8691764705882352</v>
      </c>
      <c r="AC57" s="43">
        <f>VLOOKUP(AC$84,'Infos Techniques'!$B$7:$E$12,2,0)/($V57*$X$39/12)</f>
        <v>6.776470588235294</v>
      </c>
      <c r="AD57" s="43">
        <f>VLOOKUP(AD$84,'Infos Techniques'!$B$7:$E$12,2,0)/($V57*$X$39/12)</f>
        <v>6.776470588235294</v>
      </c>
      <c r="AE57" s="43">
        <f>VLOOKUP(AE$84,'Infos Techniques'!$B$7:$E$12,2,0)/($V57*$X$39/12)</f>
        <v>6.5505882352941169</v>
      </c>
      <c r="AF57" s="43">
        <f>VLOOKUP(AF$84,'Infos Techniques'!$B$7:$E$12,2,0)/($V57*$X$39/12)</f>
        <v>4.6814117647058824</v>
      </c>
      <c r="AG57" s="43">
        <f>VLOOKUP(AG$84,'Infos Techniques'!$B$7:$E$12,2,0)/($V57*$X$39/12)</f>
        <v>3.7439999999999998</v>
      </c>
      <c r="AH57" s="43">
        <f>VLOOKUP(AH$84,'Infos Techniques'!$B$7:$E$12,4,0)/($V57*$X$39/12)</f>
        <v>8.4705882352941178</v>
      </c>
      <c r="AI57" s="43">
        <f>VLOOKUP(AI$84,'Infos Techniques'!$B$7:$E$12,4,0)/($V57*$X$39/12)</f>
        <v>8.4705882352941178</v>
      </c>
      <c r="AJ57" s="43">
        <f>VLOOKUP(AJ$84,'Infos Techniques'!$B$7:$E$12,4,0)/($V57*$X$39/12)</f>
        <v>8.4705882352941178</v>
      </c>
      <c r="AK57" s="247">
        <f>VLOOKUP(AK$84,'Infos Techniques'!$B$7:$E$12,4,0)/($V57*$X$39/12)</f>
        <v>4.6814117647058824</v>
      </c>
      <c r="AL57" s="248">
        <f>VLOOKUP(AL$84,'Infos Techniques'!$B$7:$E$12,4,0)/($V57*$X$39/12)</f>
        <v>3.7439999999999998</v>
      </c>
    </row>
    <row r="58" spans="2:38">
      <c r="B58" s="1849"/>
      <c r="C58" s="69">
        <v>55</v>
      </c>
      <c r="D58" s="75">
        <f t="shared" si="0"/>
        <v>5.1336898395721926</v>
      </c>
      <c r="E58" s="59">
        <f t="shared" si="1"/>
        <v>3.542245989304813</v>
      </c>
      <c r="F58" s="59">
        <f t="shared" si="2"/>
        <v>2.9775401069518717</v>
      </c>
      <c r="G58" s="59">
        <f t="shared" si="3"/>
        <v>2.1253475935828878</v>
      </c>
      <c r="H58" s="59">
        <f t="shared" si="4"/>
        <v>1.6992513368983959</v>
      </c>
      <c r="I58" s="46">
        <f t="shared" si="5"/>
        <v>6.1604278074866317</v>
      </c>
      <c r="J58" s="59">
        <f t="shared" si="6"/>
        <v>6.1604278074866317</v>
      </c>
      <c r="K58" s="59">
        <f t="shared" si="7"/>
        <v>5.9550802139037433</v>
      </c>
      <c r="L58" s="59">
        <f t="shared" si="8"/>
        <v>4.2558288770053476</v>
      </c>
      <c r="M58" s="59">
        <f t="shared" si="9"/>
        <v>3.4036363636363638</v>
      </c>
      <c r="N58" s="46">
        <f t="shared" si="10"/>
        <v>7.7005347593582893</v>
      </c>
      <c r="O58" s="59">
        <f t="shared" si="11"/>
        <v>7.7005347593582893</v>
      </c>
      <c r="P58" s="59">
        <f t="shared" si="12"/>
        <v>7.7005347593582893</v>
      </c>
      <c r="Q58" s="59">
        <f t="shared" si="13"/>
        <v>4.2558288770053476</v>
      </c>
      <c r="R58" s="62">
        <f t="shared" si="14"/>
        <v>3.4036363636363638</v>
      </c>
      <c r="U58" s="1601"/>
      <c r="V58" s="28">
        <v>55</v>
      </c>
      <c r="W58" s="43" cm="1">
        <f t="array" ref="W58">VLOOKUP(MAX(IF('Courbe Déflexion'!$GF$25:$GF$305&lt;=V58,'Courbe Déflexion'!$GF$25:$GF$305)),'Courbe Déflexion'!$GF$25:$IA$305,9,0)</f>
        <v>13</v>
      </c>
      <c r="X58" s="43">
        <f>VLOOKUP(X$84,'Infos Techniques'!$B$7:$E$12,3,0)/($V58*$X$39/12)</f>
        <v>5.1336898395721926</v>
      </c>
      <c r="Y58" s="43">
        <f>VLOOKUP(Y$84,'Infos Techniques'!$B$7:$E$12,3,0)/($V58*$X$39/12)</f>
        <v>3.542245989304813</v>
      </c>
      <c r="Z58" s="43">
        <f>VLOOKUP(Z$84,'Infos Techniques'!$B$7:$E$12,3,0)/($V58*$X$39/12)</f>
        <v>2.9775401069518717</v>
      </c>
      <c r="AA58" s="43">
        <f>VLOOKUP(AA$84,'Infos Techniques'!$B$7:$E$12,3,0)/($V58*$X$39/12)</f>
        <v>2.1253475935828878</v>
      </c>
      <c r="AB58" s="43">
        <f>VLOOKUP(AB$84,'Infos Techniques'!$B$7:$E$12,3,0)/($V58*$X$39/12)</f>
        <v>1.6992513368983959</v>
      </c>
      <c r="AC58" s="43">
        <f>VLOOKUP(AC$84,'Infos Techniques'!$B$7:$E$12,2,0)/($V58*$X$39/12)</f>
        <v>6.1604278074866317</v>
      </c>
      <c r="AD58" s="43">
        <f>VLOOKUP(AD$84,'Infos Techniques'!$B$7:$E$12,2,0)/($V58*$X$39/12)</f>
        <v>6.1604278074866317</v>
      </c>
      <c r="AE58" s="43">
        <f>VLOOKUP(AE$84,'Infos Techniques'!$B$7:$E$12,2,0)/($V58*$X$39/12)</f>
        <v>5.9550802139037433</v>
      </c>
      <c r="AF58" s="43">
        <f>VLOOKUP(AF$84,'Infos Techniques'!$B$7:$E$12,2,0)/($V58*$X$39/12)</f>
        <v>4.2558288770053476</v>
      </c>
      <c r="AG58" s="43">
        <f>VLOOKUP(AG$84,'Infos Techniques'!$B$7:$E$12,2,0)/($V58*$X$39/12)</f>
        <v>3.4036363636363638</v>
      </c>
      <c r="AH58" s="43">
        <f>VLOOKUP(AH$84,'Infos Techniques'!$B$7:$E$12,4,0)/($V58*$X$39/12)</f>
        <v>7.7005347593582893</v>
      </c>
      <c r="AI58" s="43">
        <f>VLOOKUP(AI$84,'Infos Techniques'!$B$7:$E$12,4,0)/($V58*$X$39/12)</f>
        <v>7.7005347593582893</v>
      </c>
      <c r="AJ58" s="43">
        <f>VLOOKUP(AJ$84,'Infos Techniques'!$B$7:$E$12,4,0)/($V58*$X$39/12)</f>
        <v>7.7005347593582893</v>
      </c>
      <c r="AK58" s="247">
        <f>VLOOKUP(AK$84,'Infos Techniques'!$B$7:$E$12,4,0)/($V58*$X$39/12)</f>
        <v>4.2558288770053476</v>
      </c>
      <c r="AL58" s="248">
        <f>VLOOKUP(AL$84,'Infos Techniques'!$B$7:$E$12,4,0)/($V58*$X$39/12)</f>
        <v>3.4036363636363638</v>
      </c>
    </row>
    <row r="59" spans="2:38">
      <c r="B59" s="1849"/>
      <c r="C59" s="70">
        <v>60</v>
      </c>
      <c r="D59" s="76">
        <f t="shared" si="0"/>
        <v>4.7058823529411766</v>
      </c>
      <c r="E59" s="43">
        <f t="shared" si="1"/>
        <v>3.2470588235294118</v>
      </c>
      <c r="F59" s="43">
        <f t="shared" si="2"/>
        <v>2.7294117647058824</v>
      </c>
      <c r="G59" s="43">
        <f t="shared" si="3"/>
        <v>1.9482352941176471</v>
      </c>
      <c r="H59" s="43">
        <f t="shared" si="4"/>
        <v>1.5576470588235294</v>
      </c>
      <c r="I59" s="47">
        <f t="shared" si="5"/>
        <v>5.6470588235294121</v>
      </c>
      <c r="J59" s="43">
        <f t="shared" si="6"/>
        <v>5.6470588235294121</v>
      </c>
      <c r="K59" s="43">
        <f t="shared" si="7"/>
        <v>5.4588235294117649</v>
      </c>
      <c r="L59" s="43">
        <f t="shared" si="8"/>
        <v>3.9011764705882355</v>
      </c>
      <c r="M59" s="43">
        <f t="shared" si="9"/>
        <v>3.12</v>
      </c>
      <c r="N59" s="47">
        <f t="shared" si="10"/>
        <v>7.0588235294117645</v>
      </c>
      <c r="O59" s="43">
        <f t="shared" si="11"/>
        <v>7.0588235294117645</v>
      </c>
      <c r="P59" s="43">
        <f t="shared" si="12"/>
        <v>7.0588235294117645</v>
      </c>
      <c r="Q59" s="43">
        <f t="shared" si="13"/>
        <v>3.9011764705882355</v>
      </c>
      <c r="R59" s="63">
        <f t="shared" si="14"/>
        <v>3.12</v>
      </c>
      <c r="U59" s="1601"/>
      <c r="V59" s="28">
        <v>60</v>
      </c>
      <c r="W59" s="43" cm="1">
        <f t="array" ref="W59">VLOOKUP(MAX(IF('Courbe Déflexion'!$GF$25:$GF$305&lt;=V59,'Courbe Déflexion'!$GF$25:$GF$305)),'Courbe Déflexion'!$GF$25:$IA$305,9,0)</f>
        <v>13.8</v>
      </c>
      <c r="X59" s="43">
        <f>VLOOKUP(X$84,'Infos Techniques'!$B$7:$E$12,3,0)/($V59*$X$39/12)</f>
        <v>4.7058823529411766</v>
      </c>
      <c r="Y59" s="43">
        <f>VLOOKUP(Y$84,'Infos Techniques'!$B$7:$E$12,3,0)/($V59*$X$39/12)</f>
        <v>3.2470588235294118</v>
      </c>
      <c r="Z59" s="43">
        <f>VLOOKUP(Z$84,'Infos Techniques'!$B$7:$E$12,3,0)/($V59*$X$39/12)</f>
        <v>2.7294117647058824</v>
      </c>
      <c r="AA59" s="43">
        <f>VLOOKUP(AA$84,'Infos Techniques'!$B$7:$E$12,3,0)/($V59*$X$39/12)</f>
        <v>1.9482352941176471</v>
      </c>
      <c r="AB59" s="43">
        <f>VLOOKUP(AB$84,'Infos Techniques'!$B$7:$E$12,3,0)/($V59*$X$39/12)</f>
        <v>1.5576470588235294</v>
      </c>
      <c r="AC59" s="43">
        <f>VLOOKUP(AC$84,'Infos Techniques'!$B$7:$E$12,2,0)/($V59*$X$39/12)</f>
        <v>5.6470588235294121</v>
      </c>
      <c r="AD59" s="43">
        <f>VLOOKUP(AD$84,'Infos Techniques'!$B$7:$E$12,2,0)/($V59*$X$39/12)</f>
        <v>5.6470588235294121</v>
      </c>
      <c r="AE59" s="43">
        <f>VLOOKUP(AE$84,'Infos Techniques'!$B$7:$E$12,2,0)/($V59*$X$39/12)</f>
        <v>5.4588235294117649</v>
      </c>
      <c r="AF59" s="43">
        <f>VLOOKUP(AF$84,'Infos Techniques'!$B$7:$E$12,2,0)/($V59*$X$39/12)</f>
        <v>3.9011764705882355</v>
      </c>
      <c r="AG59" s="43">
        <f>VLOOKUP(AG$84,'Infos Techniques'!$B$7:$E$12,2,0)/($V59*$X$39/12)</f>
        <v>3.12</v>
      </c>
      <c r="AH59" s="43">
        <f>VLOOKUP(AH$84,'Infos Techniques'!$B$7:$E$12,4,0)/($V59*$X$39/12)</f>
        <v>7.0588235294117645</v>
      </c>
      <c r="AI59" s="43">
        <f>VLOOKUP(AI$84,'Infos Techniques'!$B$7:$E$12,4,0)/($V59*$X$39/12)</f>
        <v>7.0588235294117645</v>
      </c>
      <c r="AJ59" s="43">
        <f>VLOOKUP(AJ$84,'Infos Techniques'!$B$7:$E$12,4,0)/($V59*$X$39/12)</f>
        <v>7.0588235294117645</v>
      </c>
      <c r="AK59" s="247">
        <f>VLOOKUP(AK$84,'Infos Techniques'!$B$7:$E$12,4,0)/($V59*$X$39/12)</f>
        <v>3.9011764705882355</v>
      </c>
      <c r="AL59" s="248">
        <f>VLOOKUP(AL$84,'Infos Techniques'!$B$7:$E$12,4,0)/($V59*$X$39/12)</f>
        <v>3.12</v>
      </c>
    </row>
    <row r="60" spans="2:38">
      <c r="B60" s="1849"/>
      <c r="C60" s="70">
        <v>65</v>
      </c>
      <c r="D60" s="76">
        <f t="shared" si="0"/>
        <v>4.3438914027149318</v>
      </c>
      <c r="E60" s="43">
        <f t="shared" si="1"/>
        <v>2.9972850678733032</v>
      </c>
      <c r="F60" s="43">
        <f t="shared" si="2"/>
        <v>2.5194570135746606</v>
      </c>
      <c r="G60" s="43">
        <f t="shared" si="3"/>
        <v>1.7983710407239819</v>
      </c>
      <c r="H60" s="43">
        <f t="shared" si="4"/>
        <v>1.4378280542986426</v>
      </c>
      <c r="I60" s="47">
        <f t="shared" si="5"/>
        <v>5.2126696832579187</v>
      </c>
      <c r="J60" s="43">
        <f t="shared" si="6"/>
        <v>5.2126696832579187</v>
      </c>
      <c r="K60" s="43">
        <f t="shared" si="7"/>
        <v>5.0389140271493211</v>
      </c>
      <c r="L60" s="43">
        <f t="shared" si="8"/>
        <v>3.6010859728506786</v>
      </c>
      <c r="M60" s="43">
        <f t="shared" si="9"/>
        <v>2.88</v>
      </c>
      <c r="N60" s="47">
        <f t="shared" si="10"/>
        <v>6.5158371040723981</v>
      </c>
      <c r="O60" s="43">
        <f t="shared" si="11"/>
        <v>6.5158371040723981</v>
      </c>
      <c r="P60" s="43">
        <f t="shared" si="12"/>
        <v>6.5158371040723981</v>
      </c>
      <c r="Q60" s="43">
        <f t="shared" si="13"/>
        <v>3.6010859728506786</v>
      </c>
      <c r="R60" s="63">
        <f t="shared" si="14"/>
        <v>2.88</v>
      </c>
      <c r="U60" s="1601"/>
      <c r="V60" s="28">
        <v>65</v>
      </c>
      <c r="W60" s="43" cm="1">
        <f t="array" ref="W60">VLOOKUP(MAX(IF('Courbe Déflexion'!$GF$25:$GF$305&lt;=V60,'Courbe Déflexion'!$GF$25:$GF$305)),'Courbe Déflexion'!$GF$25:$IA$305,9,0)</f>
        <v>15.600000000000001</v>
      </c>
      <c r="X60" s="43">
        <f>VLOOKUP(X$84,'Infos Techniques'!$B$7:$E$12,3,0)/($V60*$X$39/12)</f>
        <v>4.3438914027149318</v>
      </c>
      <c r="Y60" s="43">
        <f>VLOOKUP(Y$84,'Infos Techniques'!$B$7:$E$12,3,0)/($V60*$X$39/12)</f>
        <v>2.9972850678733032</v>
      </c>
      <c r="Z60" s="43">
        <f>VLOOKUP(Z$84,'Infos Techniques'!$B$7:$E$12,3,0)/($V60*$X$39/12)</f>
        <v>2.5194570135746606</v>
      </c>
      <c r="AA60" s="43">
        <f>VLOOKUP(AA$84,'Infos Techniques'!$B$7:$E$12,3,0)/($V60*$X$39/12)</f>
        <v>1.7983710407239819</v>
      </c>
      <c r="AB60" s="43">
        <f>VLOOKUP(AB$84,'Infos Techniques'!$B$7:$E$12,3,0)/($V60*$X$39/12)</f>
        <v>1.4378280542986426</v>
      </c>
      <c r="AC60" s="43">
        <f>VLOOKUP(AC$84,'Infos Techniques'!$B$7:$E$12,2,0)/($V60*$X$39/12)</f>
        <v>5.2126696832579187</v>
      </c>
      <c r="AD60" s="43">
        <f>VLOOKUP(AD$84,'Infos Techniques'!$B$7:$E$12,2,0)/($V60*$X$39/12)</f>
        <v>5.2126696832579187</v>
      </c>
      <c r="AE60" s="43">
        <f>VLOOKUP(AE$84,'Infos Techniques'!$B$7:$E$12,2,0)/($V60*$X$39/12)</f>
        <v>5.0389140271493211</v>
      </c>
      <c r="AF60" s="43">
        <f>VLOOKUP(AF$84,'Infos Techniques'!$B$7:$E$12,2,0)/($V60*$X$39/12)</f>
        <v>3.6010859728506786</v>
      </c>
      <c r="AG60" s="43">
        <f>VLOOKUP(AG$84,'Infos Techniques'!$B$7:$E$12,2,0)/($V60*$X$39/12)</f>
        <v>2.88</v>
      </c>
      <c r="AH60" s="43">
        <f>VLOOKUP(AH$84,'Infos Techniques'!$B$7:$E$12,4,0)/($V60*$X$39/12)</f>
        <v>6.5158371040723981</v>
      </c>
      <c r="AI60" s="43">
        <f>VLOOKUP(AI$84,'Infos Techniques'!$B$7:$E$12,4,0)/($V60*$X$39/12)</f>
        <v>6.5158371040723981</v>
      </c>
      <c r="AJ60" s="43">
        <f>VLOOKUP(AJ$84,'Infos Techniques'!$B$7:$E$12,4,0)/($V60*$X$39/12)</f>
        <v>6.5158371040723981</v>
      </c>
      <c r="AK60" s="247">
        <f>VLOOKUP(AK$84,'Infos Techniques'!$B$7:$E$12,4,0)/($V60*$X$39/12)</f>
        <v>3.6010859728506786</v>
      </c>
      <c r="AL60" s="248">
        <f>VLOOKUP(AL$84,'Infos Techniques'!$B$7:$E$12,4,0)/($V60*$X$39/12)</f>
        <v>2.88</v>
      </c>
    </row>
    <row r="61" spans="2:38">
      <c r="B61" s="1849"/>
      <c r="C61" s="70">
        <v>70</v>
      </c>
      <c r="D61" s="76">
        <f t="shared" si="0"/>
        <v>4.0336134453781511</v>
      </c>
      <c r="E61" s="43">
        <f t="shared" si="1"/>
        <v>2.7831932773109247</v>
      </c>
      <c r="F61" s="43">
        <f t="shared" si="2"/>
        <v>2.3394957983193279</v>
      </c>
      <c r="G61" s="43">
        <f t="shared" si="3"/>
        <v>1.6699159663865546</v>
      </c>
      <c r="H61" s="43">
        <f t="shared" si="4"/>
        <v>1.3351260504201681</v>
      </c>
      <c r="I61" s="47">
        <f t="shared" si="5"/>
        <v>4.8403361344537821</v>
      </c>
      <c r="J61" s="43">
        <f t="shared" si="6"/>
        <v>4.8403361344537821</v>
      </c>
      <c r="K61" s="43">
        <f t="shared" si="7"/>
        <v>4.6789915966386557</v>
      </c>
      <c r="L61" s="43">
        <f t="shared" si="8"/>
        <v>3.3438655462184874</v>
      </c>
      <c r="M61" s="43">
        <f t="shared" si="9"/>
        <v>2.6742857142857144</v>
      </c>
      <c r="N61" s="47">
        <f t="shared" si="10"/>
        <v>6.0504201680672267</v>
      </c>
      <c r="O61" s="43">
        <f t="shared" si="11"/>
        <v>6.0504201680672267</v>
      </c>
      <c r="P61" s="43">
        <f t="shared" si="12"/>
        <v>6.0504201680672267</v>
      </c>
      <c r="Q61" s="43">
        <f t="shared" si="13"/>
        <v>3.3438655462184874</v>
      </c>
      <c r="R61" s="63">
        <f t="shared" si="14"/>
        <v>2.6742857142857144</v>
      </c>
      <c r="U61" s="1601"/>
      <c r="V61" s="28">
        <v>70</v>
      </c>
      <c r="W61" s="43" cm="1">
        <f t="array" ref="W61">VLOOKUP(MAX(IF('Courbe Déflexion'!$GF$25:$GF$305&lt;=V61,'Courbe Déflexion'!$GF$25:$GF$305)),'Courbe Déflexion'!$GF$25:$IA$305,9,0)</f>
        <v>16.599999999999994</v>
      </c>
      <c r="X61" s="43">
        <f>VLOOKUP(X$84,'Infos Techniques'!$B$7:$E$12,3,0)/($V61*$X$39/12)</f>
        <v>4.0336134453781511</v>
      </c>
      <c r="Y61" s="43">
        <f>VLOOKUP(Y$84,'Infos Techniques'!$B$7:$E$12,3,0)/($V61*$X$39/12)</f>
        <v>2.7831932773109247</v>
      </c>
      <c r="Z61" s="43">
        <f>VLOOKUP(Z$84,'Infos Techniques'!$B$7:$E$12,3,0)/($V61*$X$39/12)</f>
        <v>2.3394957983193279</v>
      </c>
      <c r="AA61" s="43">
        <f>VLOOKUP(AA$84,'Infos Techniques'!$B$7:$E$12,3,0)/($V61*$X$39/12)</f>
        <v>1.6699159663865546</v>
      </c>
      <c r="AB61" s="43">
        <f>VLOOKUP(AB$84,'Infos Techniques'!$B$7:$E$12,3,0)/($V61*$X$39/12)</f>
        <v>1.3351260504201681</v>
      </c>
      <c r="AC61" s="43">
        <f>VLOOKUP(AC$84,'Infos Techniques'!$B$7:$E$12,2,0)/($V61*$X$39/12)</f>
        <v>4.8403361344537821</v>
      </c>
      <c r="AD61" s="43">
        <f>VLOOKUP(AD$84,'Infos Techniques'!$B$7:$E$12,2,0)/($V61*$X$39/12)</f>
        <v>4.8403361344537821</v>
      </c>
      <c r="AE61" s="43">
        <f>VLOOKUP(AE$84,'Infos Techniques'!$B$7:$E$12,2,0)/($V61*$X$39/12)</f>
        <v>4.6789915966386557</v>
      </c>
      <c r="AF61" s="43">
        <f>VLOOKUP(AF$84,'Infos Techniques'!$B$7:$E$12,2,0)/($V61*$X$39/12)</f>
        <v>3.3438655462184874</v>
      </c>
      <c r="AG61" s="43">
        <f>VLOOKUP(AG$84,'Infos Techniques'!$B$7:$E$12,2,0)/($V61*$X$39/12)</f>
        <v>2.6742857142857144</v>
      </c>
      <c r="AH61" s="43">
        <f>VLOOKUP(AH$84,'Infos Techniques'!$B$7:$E$12,4,0)/($V61*$X$39/12)</f>
        <v>6.0504201680672267</v>
      </c>
      <c r="AI61" s="43">
        <f>VLOOKUP(AI$84,'Infos Techniques'!$B$7:$E$12,4,0)/($V61*$X$39/12)</f>
        <v>6.0504201680672267</v>
      </c>
      <c r="AJ61" s="43">
        <f>VLOOKUP(AJ$84,'Infos Techniques'!$B$7:$E$12,4,0)/($V61*$X$39/12)</f>
        <v>6.0504201680672267</v>
      </c>
      <c r="AK61" s="247">
        <f>VLOOKUP(AK$84,'Infos Techniques'!$B$7:$E$12,4,0)/($V61*$X$39/12)</f>
        <v>3.3438655462184874</v>
      </c>
      <c r="AL61" s="248">
        <f>VLOOKUP(AL$84,'Infos Techniques'!$B$7:$E$12,4,0)/($V61*$X$39/12)</f>
        <v>2.6742857142857144</v>
      </c>
    </row>
    <row r="62" spans="2:38" ht="15" thickBot="1">
      <c r="B62" s="1849"/>
      <c r="C62" s="71">
        <v>75</v>
      </c>
      <c r="D62" s="77">
        <f t="shared" si="0"/>
        <v>3.7647058823529411</v>
      </c>
      <c r="E62" s="60">
        <f t="shared" si="1"/>
        <v>2.5976470588235294</v>
      </c>
      <c r="F62" s="60">
        <f t="shared" si="2"/>
        <v>2.1835294117647059</v>
      </c>
      <c r="G62" s="60">
        <f t="shared" si="3"/>
        <v>1.5585882352941176</v>
      </c>
      <c r="H62" s="60">
        <f t="shared" si="4"/>
        <v>1.2461176470588236</v>
      </c>
      <c r="I62" s="58">
        <f t="shared" si="5"/>
        <v>4.5176470588235293</v>
      </c>
      <c r="J62" s="60">
        <f t="shared" si="6"/>
        <v>4.5176470588235293</v>
      </c>
      <c r="K62" s="60">
        <f t="shared" si="7"/>
        <v>4.3670588235294119</v>
      </c>
      <c r="L62" s="60">
        <f t="shared" si="8"/>
        <v>3.1209411764705881</v>
      </c>
      <c r="M62" s="60">
        <f t="shared" si="9"/>
        <v>2.496</v>
      </c>
      <c r="N62" s="58">
        <f t="shared" si="10"/>
        <v>5.6470588235294121</v>
      </c>
      <c r="O62" s="60">
        <f t="shared" si="11"/>
        <v>5.6470588235294121</v>
      </c>
      <c r="P62" s="60">
        <f t="shared" si="12"/>
        <v>5.6470588235294121</v>
      </c>
      <c r="Q62" s="60">
        <f t="shared" si="13"/>
        <v>3.1209411764705881</v>
      </c>
      <c r="R62" s="64">
        <f t="shared" si="14"/>
        <v>2.496</v>
      </c>
      <c r="U62" s="1601"/>
      <c r="V62" s="28">
        <v>75</v>
      </c>
      <c r="W62" s="43" cm="1">
        <f t="array" ref="W62">VLOOKUP(MAX(IF('Courbe Déflexion'!$GF$25:$GF$305&lt;=V62,'Courbe Déflexion'!$GF$25:$GF$305)),'Courbe Déflexion'!$GF$25:$IA$305,9,0)</f>
        <v>17.800000000000004</v>
      </c>
      <c r="X62" s="43">
        <f>VLOOKUP(X$84,'Infos Techniques'!$B$7:$E$12,3,0)/($V62*$X$39/12)</f>
        <v>3.7647058823529411</v>
      </c>
      <c r="Y62" s="43">
        <f>VLOOKUP(Y$84,'Infos Techniques'!$B$7:$E$12,3,0)/($V62*$X$39/12)</f>
        <v>2.5976470588235294</v>
      </c>
      <c r="Z62" s="43">
        <f>VLOOKUP(Z$84,'Infos Techniques'!$B$7:$E$12,3,0)/($V62*$X$39/12)</f>
        <v>2.1835294117647059</v>
      </c>
      <c r="AA62" s="43">
        <f>VLOOKUP(AA$84,'Infos Techniques'!$B$7:$E$12,3,0)/($V62*$X$39/12)</f>
        <v>1.5585882352941176</v>
      </c>
      <c r="AB62" s="43">
        <f>VLOOKUP(AB$84,'Infos Techniques'!$B$7:$E$12,3,0)/($V62*$X$39/12)</f>
        <v>1.2461176470588236</v>
      </c>
      <c r="AC62" s="43">
        <f>VLOOKUP(AC$84,'Infos Techniques'!$B$7:$E$12,2,0)/($V62*$X$39/12)</f>
        <v>4.5176470588235293</v>
      </c>
      <c r="AD62" s="43">
        <f>VLOOKUP(AD$84,'Infos Techniques'!$B$7:$E$12,2,0)/($V62*$X$39/12)</f>
        <v>4.5176470588235293</v>
      </c>
      <c r="AE62" s="43">
        <f>VLOOKUP(AE$84,'Infos Techniques'!$B$7:$E$12,2,0)/($V62*$X$39/12)</f>
        <v>4.3670588235294119</v>
      </c>
      <c r="AF62" s="43">
        <f>VLOOKUP(AF$84,'Infos Techniques'!$B$7:$E$12,2,0)/($V62*$X$39/12)</f>
        <v>3.1209411764705881</v>
      </c>
      <c r="AG62" s="43">
        <f>VLOOKUP(AG$84,'Infos Techniques'!$B$7:$E$12,2,0)/($V62*$X$39/12)</f>
        <v>2.496</v>
      </c>
      <c r="AH62" s="43">
        <f>VLOOKUP(AH$84,'Infos Techniques'!$B$7:$E$12,4,0)/($V62*$X$39/12)</f>
        <v>5.6470588235294121</v>
      </c>
      <c r="AI62" s="43">
        <f>VLOOKUP(AI$84,'Infos Techniques'!$B$7:$E$12,4,0)/($V62*$X$39/12)</f>
        <v>5.6470588235294121</v>
      </c>
      <c r="AJ62" s="43">
        <f>VLOOKUP(AJ$84,'Infos Techniques'!$B$7:$E$12,4,0)/($V62*$X$39/12)</f>
        <v>5.6470588235294121</v>
      </c>
      <c r="AK62" s="247">
        <f>VLOOKUP(AK$84,'Infos Techniques'!$B$7:$E$12,4,0)/($V62*$X$39/12)</f>
        <v>3.1209411764705881</v>
      </c>
      <c r="AL62" s="248">
        <f>VLOOKUP(AL$84,'Infos Techniques'!$B$7:$E$12,4,0)/($V62*$X$39/12)</f>
        <v>2.496</v>
      </c>
    </row>
    <row r="63" spans="2:38">
      <c r="B63" s="1849"/>
      <c r="C63" s="72">
        <v>80</v>
      </c>
      <c r="D63" s="78">
        <f t="shared" si="0"/>
        <v>3.5294117647058827</v>
      </c>
      <c r="E63" s="61">
        <f t="shared" si="1"/>
        <v>2.4352941176470591</v>
      </c>
      <c r="F63" s="61">
        <f t="shared" si="2"/>
        <v>2.047058823529412</v>
      </c>
      <c r="G63" s="61">
        <f t="shared" si="3"/>
        <v>1.4611764705882353</v>
      </c>
      <c r="H63" s="61">
        <f t="shared" si="4"/>
        <v>1.168235294117647</v>
      </c>
      <c r="I63" s="41">
        <f t="shared" si="5"/>
        <v>4.2352941176470589</v>
      </c>
      <c r="J63" s="61">
        <f t="shared" si="6"/>
        <v>4.2352941176470589</v>
      </c>
      <c r="K63" s="61">
        <f t="shared" si="7"/>
        <v>4.0941176470588241</v>
      </c>
      <c r="L63" s="61">
        <f t="shared" si="8"/>
        <v>2.9258823529411768</v>
      </c>
      <c r="M63" s="61">
        <f t="shared" si="9"/>
        <v>2.3400000000000003</v>
      </c>
      <c r="N63" s="41">
        <f t="shared" si="10"/>
        <v>5.2941176470588243</v>
      </c>
      <c r="O63" s="61">
        <f t="shared" si="11"/>
        <v>5.2941176470588243</v>
      </c>
      <c r="P63" s="61">
        <f t="shared" si="12"/>
        <v>5.2941176470588243</v>
      </c>
      <c r="Q63" s="61">
        <f t="shared" si="13"/>
        <v>2.9258823529411768</v>
      </c>
      <c r="R63" s="65">
        <f t="shared" si="14"/>
        <v>2.3400000000000003</v>
      </c>
      <c r="U63" s="1601"/>
      <c r="V63" s="28">
        <v>80</v>
      </c>
      <c r="W63" s="43" cm="1">
        <f t="array" ref="W63">VLOOKUP(MAX(IF('Courbe Déflexion'!$GF$25:$GF$305&lt;=V63,'Courbe Déflexion'!$GF$25:$GF$305)),'Courbe Déflexion'!$GF$25:$IA$305,9,0)</f>
        <v>19.200000000000006</v>
      </c>
      <c r="X63" s="43">
        <f>VLOOKUP(X$84,'Infos Techniques'!$B$7:$E$12,3,0)/($V63*$X$39/12)</f>
        <v>3.5294117647058827</v>
      </c>
      <c r="Y63" s="43">
        <f>VLOOKUP(Y$84,'Infos Techniques'!$B$7:$E$12,3,0)/($V63*$X$39/12)</f>
        <v>2.4352941176470591</v>
      </c>
      <c r="Z63" s="43">
        <f>VLOOKUP(Z$84,'Infos Techniques'!$B$7:$E$12,3,0)/($V63*$X$39/12)</f>
        <v>2.047058823529412</v>
      </c>
      <c r="AA63" s="43">
        <f>VLOOKUP(AA$84,'Infos Techniques'!$B$7:$E$12,3,0)/($V63*$X$39/12)</f>
        <v>1.4611764705882353</v>
      </c>
      <c r="AB63" s="43">
        <f>VLOOKUP(AB$84,'Infos Techniques'!$B$7:$E$12,3,0)/($V63*$X$39/12)</f>
        <v>1.168235294117647</v>
      </c>
      <c r="AC63" s="43">
        <f>VLOOKUP(AC$84,'Infos Techniques'!$B$7:$E$12,2,0)/($V63*$X$39/12)</f>
        <v>4.2352941176470589</v>
      </c>
      <c r="AD63" s="43">
        <f>VLOOKUP(AD$84,'Infos Techniques'!$B$7:$E$12,2,0)/($V63*$X$39/12)</f>
        <v>4.2352941176470589</v>
      </c>
      <c r="AE63" s="43">
        <f>VLOOKUP(AE$84,'Infos Techniques'!$B$7:$E$12,2,0)/($V63*$X$39/12)</f>
        <v>4.0941176470588241</v>
      </c>
      <c r="AF63" s="43">
        <f>VLOOKUP(AF$84,'Infos Techniques'!$B$7:$E$12,2,0)/($V63*$X$39/12)</f>
        <v>2.9258823529411768</v>
      </c>
      <c r="AG63" s="43">
        <f>VLOOKUP(AG$84,'Infos Techniques'!$B$7:$E$12,2,0)/($V63*$X$39/12)</f>
        <v>2.3400000000000003</v>
      </c>
      <c r="AH63" s="43">
        <f>VLOOKUP(AH$84,'Infos Techniques'!$B$7:$E$12,4,0)/($V63*$X$39/12)</f>
        <v>5.2941176470588243</v>
      </c>
      <c r="AI63" s="43">
        <f>VLOOKUP(AI$84,'Infos Techniques'!$B$7:$E$12,4,0)/($V63*$X$39/12)</f>
        <v>5.2941176470588243</v>
      </c>
      <c r="AJ63" s="43">
        <f>VLOOKUP(AJ$84,'Infos Techniques'!$B$7:$E$12,4,0)/($V63*$X$39/12)</f>
        <v>5.2941176470588243</v>
      </c>
      <c r="AK63" s="247">
        <f>VLOOKUP(AK$84,'Infos Techniques'!$B$7:$E$12,4,0)/($V63*$X$39/12)</f>
        <v>2.9258823529411768</v>
      </c>
      <c r="AL63" s="248">
        <f>VLOOKUP(AL$84,'Infos Techniques'!$B$7:$E$12,4,0)/($V63*$X$39/12)</f>
        <v>2.3400000000000003</v>
      </c>
    </row>
    <row r="64" spans="2:38">
      <c r="B64" s="1849"/>
      <c r="C64" s="70">
        <v>85</v>
      </c>
      <c r="D64" s="76">
        <f t="shared" si="0"/>
        <v>3.3217993079584773</v>
      </c>
      <c r="E64" s="43">
        <f t="shared" si="1"/>
        <v>2.2920415224913495</v>
      </c>
      <c r="F64" s="43">
        <f t="shared" si="2"/>
        <v>1.9266435986159169</v>
      </c>
      <c r="G64" s="43">
        <f t="shared" si="3"/>
        <v>1.3752249134948096</v>
      </c>
      <c r="H64" s="43">
        <f t="shared" si="4"/>
        <v>1.0995155709342559</v>
      </c>
      <c r="I64" s="47">
        <f t="shared" si="5"/>
        <v>3.9861591695501728</v>
      </c>
      <c r="J64" s="43">
        <f t="shared" si="6"/>
        <v>3.9861591695501728</v>
      </c>
      <c r="K64" s="43">
        <f t="shared" si="7"/>
        <v>3.8532871972318339</v>
      </c>
      <c r="L64" s="43">
        <f t="shared" si="8"/>
        <v>2.7537716262975778</v>
      </c>
      <c r="M64" s="43">
        <f t="shared" si="9"/>
        <v>2.2023529411764704</v>
      </c>
      <c r="N64" s="47">
        <f t="shared" si="10"/>
        <v>4.9826989619377162</v>
      </c>
      <c r="O64" s="43">
        <f t="shared" si="11"/>
        <v>4.9826989619377162</v>
      </c>
      <c r="P64" s="43">
        <f t="shared" si="12"/>
        <v>4.9826989619377162</v>
      </c>
      <c r="Q64" s="43">
        <f t="shared" si="13"/>
        <v>2.7537716262975778</v>
      </c>
      <c r="R64" s="63">
        <f t="shared" si="14"/>
        <v>2.2023529411764704</v>
      </c>
      <c r="U64" s="1601"/>
      <c r="V64" s="28">
        <v>85</v>
      </c>
      <c r="W64" s="43" cm="1">
        <f t="array" ref="W64">VLOOKUP(MAX(IF('Courbe Déflexion'!$GF$25:$GF$305&lt;=V64,'Courbe Déflexion'!$GF$25:$GF$305)),'Courbe Déflexion'!$GF$25:$IA$305,9,0)</f>
        <v>20.200000000000003</v>
      </c>
      <c r="X64" s="43">
        <f>VLOOKUP(X$84,'Infos Techniques'!$B$7:$E$12,3,0)/($V64*$X$39/12)</f>
        <v>3.3217993079584773</v>
      </c>
      <c r="Y64" s="43">
        <f>VLOOKUP(Y$84,'Infos Techniques'!$B$7:$E$12,3,0)/($V64*$X$39/12)</f>
        <v>2.2920415224913495</v>
      </c>
      <c r="Z64" s="43">
        <f>VLOOKUP(Z$84,'Infos Techniques'!$B$7:$E$12,3,0)/($V64*$X$39/12)</f>
        <v>1.9266435986159169</v>
      </c>
      <c r="AA64" s="43">
        <f>VLOOKUP(AA$84,'Infos Techniques'!$B$7:$E$12,3,0)/($V64*$X$39/12)</f>
        <v>1.3752249134948096</v>
      </c>
      <c r="AB64" s="43">
        <f>VLOOKUP(AB$84,'Infos Techniques'!$B$7:$E$12,3,0)/($V64*$X$39/12)</f>
        <v>1.0995155709342559</v>
      </c>
      <c r="AC64" s="43">
        <f>VLOOKUP(AC$84,'Infos Techniques'!$B$7:$E$12,2,0)/($V64*$X$39/12)</f>
        <v>3.9861591695501728</v>
      </c>
      <c r="AD64" s="43">
        <f>VLOOKUP(AD$84,'Infos Techniques'!$B$7:$E$12,2,0)/($V64*$X$39/12)</f>
        <v>3.9861591695501728</v>
      </c>
      <c r="AE64" s="43">
        <f>VLOOKUP(AE$84,'Infos Techniques'!$B$7:$E$12,2,0)/($V64*$X$39/12)</f>
        <v>3.8532871972318339</v>
      </c>
      <c r="AF64" s="43">
        <f>VLOOKUP(AF$84,'Infos Techniques'!$B$7:$E$12,2,0)/($V64*$X$39/12)</f>
        <v>2.7537716262975778</v>
      </c>
      <c r="AG64" s="43">
        <f>VLOOKUP(AG$84,'Infos Techniques'!$B$7:$E$12,2,0)/($V64*$X$39/12)</f>
        <v>2.2023529411764704</v>
      </c>
      <c r="AH64" s="43">
        <f>VLOOKUP(AH$84,'Infos Techniques'!$B$7:$E$12,4,0)/($V64*$X$39/12)</f>
        <v>4.9826989619377162</v>
      </c>
      <c r="AI64" s="43">
        <f>VLOOKUP(AI$84,'Infos Techniques'!$B$7:$E$12,4,0)/($V64*$X$39/12)</f>
        <v>4.9826989619377162</v>
      </c>
      <c r="AJ64" s="43">
        <f>VLOOKUP(AJ$84,'Infos Techniques'!$B$7:$E$12,4,0)/($V64*$X$39/12)</f>
        <v>4.9826989619377162</v>
      </c>
      <c r="AK64" s="247">
        <f>VLOOKUP(AK$84,'Infos Techniques'!$B$7:$E$12,4,0)/($V64*$X$39/12)</f>
        <v>2.7537716262975778</v>
      </c>
      <c r="AL64" s="248">
        <f>VLOOKUP(AL$84,'Infos Techniques'!$B$7:$E$12,4,0)/($V64*$X$39/12)</f>
        <v>2.2023529411764704</v>
      </c>
    </row>
    <row r="65" spans="2:38">
      <c r="B65" s="1849"/>
      <c r="C65" s="70">
        <v>90</v>
      </c>
      <c r="D65" s="76">
        <f t="shared" si="0"/>
        <v>3.1372549019607843</v>
      </c>
      <c r="E65" s="43">
        <f t="shared" si="1"/>
        <v>2.164705882352941</v>
      </c>
      <c r="F65" s="43">
        <f t="shared" si="2"/>
        <v>1.8196078431372549</v>
      </c>
      <c r="G65" s="43">
        <f t="shared" si="3"/>
        <v>1.2988235294117647</v>
      </c>
      <c r="H65" s="43">
        <f t="shared" si="4"/>
        <v>1.0384313725490195</v>
      </c>
      <c r="I65" s="47">
        <f t="shared" si="5"/>
        <v>3.7647058823529411</v>
      </c>
      <c r="J65" s="43">
        <f t="shared" si="6"/>
        <v>3.7647058823529411</v>
      </c>
      <c r="K65" s="43">
        <f t="shared" si="7"/>
        <v>3.6392156862745098</v>
      </c>
      <c r="L65" s="43">
        <f t="shared" si="8"/>
        <v>2.60078431372549</v>
      </c>
      <c r="M65" s="43">
        <f t="shared" si="9"/>
        <v>2.08</v>
      </c>
      <c r="N65" s="47">
        <f t="shared" si="10"/>
        <v>4.7058823529411766</v>
      </c>
      <c r="O65" s="43">
        <f t="shared" si="11"/>
        <v>4.7058823529411766</v>
      </c>
      <c r="P65" s="43">
        <f t="shared" si="12"/>
        <v>4.7058823529411766</v>
      </c>
      <c r="Q65" s="43">
        <f t="shared" si="13"/>
        <v>2.60078431372549</v>
      </c>
      <c r="R65" s="63">
        <f t="shared" si="14"/>
        <v>2.08</v>
      </c>
      <c r="U65" s="1601"/>
      <c r="V65" s="28">
        <v>90</v>
      </c>
      <c r="W65" s="43" cm="1">
        <f t="array" ref="W65">VLOOKUP(MAX(IF('Courbe Déflexion'!$GF$25:$GF$305&lt;=V65,'Courbe Déflexion'!$GF$25:$GF$305)),'Courbe Déflexion'!$GF$25:$IA$305,9,0)</f>
        <v>21.299999999999994</v>
      </c>
      <c r="X65" s="43">
        <f>VLOOKUP(X$84,'Infos Techniques'!$B$7:$E$12,3,0)/($V65*$X$39/12)</f>
        <v>3.1372549019607843</v>
      </c>
      <c r="Y65" s="43">
        <f>VLOOKUP(Y$84,'Infos Techniques'!$B$7:$E$12,3,0)/($V65*$X$39/12)</f>
        <v>2.164705882352941</v>
      </c>
      <c r="Z65" s="43">
        <f>VLOOKUP(Z$84,'Infos Techniques'!$B$7:$E$12,3,0)/($V65*$X$39/12)</f>
        <v>1.8196078431372549</v>
      </c>
      <c r="AA65" s="43">
        <f>VLOOKUP(AA$84,'Infos Techniques'!$B$7:$E$12,3,0)/($V65*$X$39/12)</f>
        <v>1.2988235294117647</v>
      </c>
      <c r="AB65" s="43">
        <f>VLOOKUP(AB$84,'Infos Techniques'!$B$7:$E$12,3,0)/($V65*$X$39/12)</f>
        <v>1.0384313725490195</v>
      </c>
      <c r="AC65" s="43">
        <f>VLOOKUP(AC$84,'Infos Techniques'!$B$7:$E$12,2,0)/($V65*$X$39/12)</f>
        <v>3.7647058823529411</v>
      </c>
      <c r="AD65" s="43">
        <f>VLOOKUP(AD$84,'Infos Techniques'!$B$7:$E$12,2,0)/($V65*$X$39/12)</f>
        <v>3.7647058823529411</v>
      </c>
      <c r="AE65" s="43">
        <f>VLOOKUP(AE$84,'Infos Techniques'!$B$7:$E$12,2,0)/($V65*$X$39/12)</f>
        <v>3.6392156862745098</v>
      </c>
      <c r="AF65" s="43">
        <f>VLOOKUP(AF$84,'Infos Techniques'!$B$7:$E$12,2,0)/($V65*$X$39/12)</f>
        <v>2.60078431372549</v>
      </c>
      <c r="AG65" s="43">
        <f>VLOOKUP(AG$84,'Infos Techniques'!$B$7:$E$12,2,0)/($V65*$X$39/12)</f>
        <v>2.08</v>
      </c>
      <c r="AH65" s="43">
        <f>VLOOKUP(AH$84,'Infos Techniques'!$B$7:$E$12,4,0)/($V65*$X$39/12)</f>
        <v>4.7058823529411766</v>
      </c>
      <c r="AI65" s="43">
        <f>VLOOKUP(AI$84,'Infos Techniques'!$B$7:$E$12,4,0)/($V65*$X$39/12)</f>
        <v>4.7058823529411766</v>
      </c>
      <c r="AJ65" s="43">
        <f>VLOOKUP(AJ$84,'Infos Techniques'!$B$7:$E$12,4,0)/($V65*$X$39/12)</f>
        <v>4.7058823529411766</v>
      </c>
      <c r="AK65" s="247">
        <f>VLOOKUP(AK$84,'Infos Techniques'!$B$7:$E$12,4,0)/($V65*$X$39/12)</f>
        <v>2.60078431372549</v>
      </c>
      <c r="AL65" s="248">
        <f>VLOOKUP(AL$84,'Infos Techniques'!$B$7:$E$12,4,0)/($V65*$X$39/12)</f>
        <v>2.08</v>
      </c>
    </row>
    <row r="66" spans="2:38">
      <c r="B66" s="1849"/>
      <c r="C66" s="70">
        <v>95</v>
      </c>
      <c r="D66" s="76">
        <f t="shared" si="0"/>
        <v>2.9721362229102168</v>
      </c>
      <c r="E66" s="43">
        <f t="shared" si="1"/>
        <v>2.0507739938080496</v>
      </c>
      <c r="F66" s="43">
        <f t="shared" si="2"/>
        <v>1.7238390092879259</v>
      </c>
      <c r="G66" s="43">
        <f t="shared" si="3"/>
        <v>1.2304643962848298</v>
      </c>
      <c r="H66" s="43">
        <f t="shared" si="4"/>
        <v>0.98377708978328182</v>
      </c>
      <c r="I66" s="47">
        <f t="shared" si="5"/>
        <v>3.5665634674922604</v>
      </c>
      <c r="J66" s="43">
        <f t="shared" si="6"/>
        <v>3.5665634674922604</v>
      </c>
      <c r="K66" s="43">
        <f t="shared" si="7"/>
        <v>3.4476780185758518</v>
      </c>
      <c r="L66" s="43">
        <f t="shared" si="8"/>
        <v>2.4639009287925697</v>
      </c>
      <c r="M66" s="43">
        <f t="shared" si="9"/>
        <v>1.9705263157894739</v>
      </c>
      <c r="N66" s="47">
        <f t="shared" si="10"/>
        <v>4.458204334365325</v>
      </c>
      <c r="O66" s="43">
        <f t="shared" si="11"/>
        <v>4.458204334365325</v>
      </c>
      <c r="P66" s="43">
        <f t="shared" si="12"/>
        <v>4.458204334365325</v>
      </c>
      <c r="Q66" s="43">
        <f t="shared" si="13"/>
        <v>2.4639009287925697</v>
      </c>
      <c r="R66" s="63">
        <f t="shared" si="14"/>
        <v>1.9705263157894739</v>
      </c>
      <c r="U66" s="1601"/>
      <c r="V66" s="260">
        <v>95</v>
      </c>
      <c r="W66" s="261" cm="1">
        <f t="array" ref="W66">VLOOKUP(MAX(IF('Courbe Déflexion'!$GF$25:$GF$305&lt;=V66,'Courbe Déflexion'!$GF$25:$GF$305)),'Courbe Déflexion'!$GF$25:$IA$305,9,0)</f>
        <v>22.799999999999997</v>
      </c>
      <c r="X66" s="261">
        <f>VLOOKUP(X$84,'Infos Techniques'!$B$7:$E$12,3,0)/($V66*$X$39/12)</f>
        <v>2.9721362229102168</v>
      </c>
      <c r="Y66" s="43">
        <f>VLOOKUP(Y$84,'Infos Techniques'!$B$7:$E$12,3,0)/($V66*$X$39/12)</f>
        <v>2.0507739938080496</v>
      </c>
      <c r="Z66" s="43">
        <f>VLOOKUP(Z$84,'Infos Techniques'!$B$7:$E$12,3,0)/($V66*$X$39/12)</f>
        <v>1.7238390092879259</v>
      </c>
      <c r="AA66" s="43">
        <f>VLOOKUP(AA$84,'Infos Techniques'!$B$7:$E$12,3,0)/($V66*$X$39/12)</f>
        <v>1.2304643962848298</v>
      </c>
      <c r="AB66" s="43">
        <f>VLOOKUP(AB$84,'Infos Techniques'!$B$7:$E$12,3,0)/($V66*$X$39/12)</f>
        <v>0.98377708978328182</v>
      </c>
      <c r="AC66" s="43">
        <f>VLOOKUP(AC$84,'Infos Techniques'!$B$7:$E$12,2,0)/($V66*$X$39/12)</f>
        <v>3.5665634674922604</v>
      </c>
      <c r="AD66" s="43">
        <f>VLOOKUP(AD$84,'Infos Techniques'!$B$7:$E$12,2,0)/($V66*$X$39/12)</f>
        <v>3.5665634674922604</v>
      </c>
      <c r="AE66" s="43">
        <f>VLOOKUP(AE$84,'Infos Techniques'!$B$7:$E$12,2,0)/($V66*$X$39/12)</f>
        <v>3.4476780185758518</v>
      </c>
      <c r="AF66" s="43">
        <f>VLOOKUP(AF$84,'Infos Techniques'!$B$7:$E$12,2,0)/($V66*$X$39/12)</f>
        <v>2.4639009287925697</v>
      </c>
      <c r="AG66" s="43">
        <f>VLOOKUP(AG$84,'Infos Techniques'!$B$7:$E$12,2,0)/($V66*$X$39/12)</f>
        <v>1.9705263157894739</v>
      </c>
      <c r="AH66" s="43">
        <f>VLOOKUP(AH$84,'Infos Techniques'!$B$7:$E$12,4,0)/($V66*$X$39/12)</f>
        <v>4.458204334365325</v>
      </c>
      <c r="AI66" s="43">
        <f>VLOOKUP(AI$84,'Infos Techniques'!$B$7:$E$12,4,0)/($V66*$X$39/12)</f>
        <v>4.458204334365325</v>
      </c>
      <c r="AJ66" s="43">
        <f>VLOOKUP(AJ$84,'Infos Techniques'!$B$7:$E$12,4,0)/($V66*$X$39/12)</f>
        <v>4.458204334365325</v>
      </c>
      <c r="AK66" s="247">
        <f>VLOOKUP(AK$84,'Infos Techniques'!$B$7:$E$12,4,0)/($V66*$X$39/12)</f>
        <v>2.4639009287925697</v>
      </c>
      <c r="AL66" s="248">
        <f>VLOOKUP(AL$84,'Infos Techniques'!$B$7:$E$12,4,0)/($V66*$X$39/12)</f>
        <v>1.9705263157894739</v>
      </c>
    </row>
    <row r="67" spans="2:38" ht="15" thickBot="1">
      <c r="B67" s="1850"/>
      <c r="C67" s="73">
        <v>100</v>
      </c>
      <c r="D67" s="79">
        <f t="shared" si="0"/>
        <v>2.8235294117647056</v>
      </c>
      <c r="E67" s="45">
        <f t="shared" si="1"/>
        <v>1.9482352941176471</v>
      </c>
      <c r="F67" s="45">
        <f t="shared" si="2"/>
        <v>1.6376470588235292</v>
      </c>
      <c r="G67" s="45">
        <f t="shared" si="3"/>
        <v>1.1689411764705882</v>
      </c>
      <c r="H67" s="45">
        <f t="shared" si="4"/>
        <v>0.93458823529411761</v>
      </c>
      <c r="I67" s="48">
        <f t="shared" si="5"/>
        <v>3.388235294117647</v>
      </c>
      <c r="J67" s="45">
        <f t="shared" si="6"/>
        <v>3.388235294117647</v>
      </c>
      <c r="K67" s="45">
        <f t="shared" si="7"/>
        <v>3.2752941176470585</v>
      </c>
      <c r="L67" s="45">
        <f t="shared" si="8"/>
        <v>2.3407058823529412</v>
      </c>
      <c r="M67" s="45">
        <f t="shared" si="9"/>
        <v>1.8719999999999999</v>
      </c>
      <c r="N67" s="48">
        <f t="shared" si="10"/>
        <v>4.2352941176470589</v>
      </c>
      <c r="O67" s="45">
        <f t="shared" si="11"/>
        <v>4.2352941176470589</v>
      </c>
      <c r="P67" s="45">
        <f t="shared" si="12"/>
        <v>4.2352941176470589</v>
      </c>
      <c r="Q67" s="45">
        <f t="shared" si="13"/>
        <v>2.3407058823529412</v>
      </c>
      <c r="R67" s="66">
        <f t="shared" si="14"/>
        <v>1.8719999999999999</v>
      </c>
      <c r="U67" s="1853"/>
      <c r="V67" s="44">
        <v>100</v>
      </c>
      <c r="W67" s="45" cm="1">
        <f t="array" ref="W67">VLOOKUP(MAX(IF('Courbe Déflexion'!$GF$25:$GF$305&lt;=V67,'Courbe Déflexion'!$GF$25:$GF$305)),'Courbe Déflexion'!$GF$25:$IA$305,9,0)</f>
        <v>24</v>
      </c>
      <c r="X67" s="45">
        <f>VLOOKUP(X$84,'Infos Techniques'!$B$7:$E$12,3,0)/($V67*$X$39/12)</f>
        <v>2.8235294117647056</v>
      </c>
      <c r="Y67" s="259">
        <f>VLOOKUP(Y$84,'Infos Techniques'!$B$7:$E$12,3,0)/($V67*$X$39/12)</f>
        <v>1.9482352941176471</v>
      </c>
      <c r="Z67" s="45">
        <f>VLOOKUP(Z$84,'Infos Techniques'!$B$7:$E$12,3,0)/($V67*$X$39/12)</f>
        <v>1.6376470588235292</v>
      </c>
      <c r="AA67" s="45">
        <f>VLOOKUP(AA$84,'Infos Techniques'!$B$7:$E$12,3,0)/($V67*$X$39/12)</f>
        <v>1.1689411764705882</v>
      </c>
      <c r="AB67" s="45">
        <f>VLOOKUP(AB$84,'Infos Techniques'!$B$7:$E$12,3,0)/($V67*$X$39/12)</f>
        <v>0.93458823529411761</v>
      </c>
      <c r="AC67" s="45">
        <f>VLOOKUP(AC$84,'Infos Techniques'!$B$7:$E$12,2,0)/($V67*$X$39/12)</f>
        <v>3.388235294117647</v>
      </c>
      <c r="AD67" s="45">
        <f>VLOOKUP(AD$84,'Infos Techniques'!$B$7:$E$12,2,0)/($V67*$X$39/12)</f>
        <v>3.388235294117647</v>
      </c>
      <c r="AE67" s="45">
        <f>VLOOKUP(AE$84,'Infos Techniques'!$B$7:$E$12,2,0)/($V67*$X$39/12)</f>
        <v>3.2752941176470585</v>
      </c>
      <c r="AF67" s="45">
        <f>VLOOKUP(AF$84,'Infos Techniques'!$B$7:$E$12,2,0)/($V67*$X$39/12)</f>
        <v>2.3407058823529412</v>
      </c>
      <c r="AG67" s="45">
        <f>VLOOKUP(AG$84,'Infos Techniques'!$B$7:$E$12,2,0)/($V67*$X$39/12)</f>
        <v>1.8719999999999999</v>
      </c>
      <c r="AH67" s="249">
        <f>VLOOKUP(AH$84,'Infos Techniques'!$B$7:$E$12,4,0)/($V67*$X$39/12)</f>
        <v>4.2352941176470589</v>
      </c>
      <c r="AI67" s="45">
        <f>VLOOKUP(AI$84,'Infos Techniques'!$B$7:$E$12,4,0)/($V67*$X$39/12)</f>
        <v>4.2352941176470589</v>
      </c>
      <c r="AJ67" s="45">
        <f>VLOOKUP(AJ$84,'Infos Techniques'!$B$7:$E$12,4,0)/($V67*$X$39/12)</f>
        <v>4.2352941176470589</v>
      </c>
      <c r="AK67" s="250">
        <f>VLOOKUP(AK$84,'Infos Techniques'!$B$7:$E$12,4,0)/($V67*$X$39/12)</f>
        <v>2.3407058823529412</v>
      </c>
      <c r="AL67" s="251">
        <f>VLOOKUP(AL$84,'Infos Techniques'!$B$7:$E$12,4,0)/($V67*$X$39/12)</f>
        <v>1.8719999999999999</v>
      </c>
    </row>
    <row r="68" spans="2:38" ht="15" thickTop="1"/>
    <row r="77" spans="2:38" ht="25.9">
      <c r="B77" s="1851" t="s">
        <v>1672</v>
      </c>
      <c r="C77" s="1852"/>
      <c r="D77" s="1852"/>
      <c r="E77" s="1852"/>
      <c r="F77" s="1852"/>
      <c r="G77" s="1852"/>
      <c r="H77" s="1852"/>
      <c r="I77" s="1852"/>
      <c r="J77" s="1852"/>
      <c r="K77" s="1852"/>
      <c r="L77" s="1852"/>
      <c r="M77" s="1852"/>
      <c r="N77" s="1852"/>
      <c r="O77" s="1852"/>
      <c r="P77" s="1852"/>
      <c r="Q77" s="1852"/>
      <c r="R77" s="1852"/>
    </row>
    <row r="78" spans="2:38" ht="25.9">
      <c r="B78" s="262"/>
      <c r="C78" s="263"/>
      <c r="D78" s="263"/>
      <c r="E78" s="263"/>
      <c r="F78" s="263"/>
      <c r="G78" s="263"/>
      <c r="H78" s="263"/>
      <c r="I78" s="263"/>
      <c r="J78" s="263"/>
      <c r="K78" s="263"/>
      <c r="L78" s="263"/>
      <c r="M78" s="263"/>
      <c r="N78" s="263"/>
      <c r="O78" s="263"/>
      <c r="P78" s="263"/>
      <c r="Q78" s="263"/>
      <c r="R78" s="263"/>
    </row>
    <row r="79" spans="2:38" ht="26.45" thickBot="1">
      <c r="B79" s="1803" t="s">
        <v>1662</v>
      </c>
      <c r="C79" s="1803"/>
      <c r="D79" s="1803"/>
      <c r="E79" s="1803"/>
      <c r="F79" s="1803"/>
      <c r="G79" s="1803"/>
      <c r="H79" s="1803"/>
      <c r="I79" s="1803"/>
      <c r="J79" s="1803"/>
      <c r="K79" s="1803"/>
      <c r="L79" s="1803"/>
      <c r="M79" s="1803"/>
      <c r="N79" s="1803"/>
      <c r="O79" s="1803"/>
      <c r="P79" s="1803"/>
      <c r="Q79" s="1803"/>
      <c r="R79" s="1803"/>
    </row>
    <row r="80" spans="2:38" ht="15.6" thickTop="1" thickBot="1">
      <c r="U80" s="1808"/>
      <c r="V80" s="1809"/>
      <c r="W80" s="1606" t="s">
        <v>315</v>
      </c>
      <c r="X80" s="1606" t="s">
        <v>263</v>
      </c>
      <c r="Y80" s="1606"/>
      <c r="Z80" s="1606"/>
      <c r="AA80" s="1606"/>
      <c r="AB80" s="1606"/>
      <c r="AC80" s="1606"/>
      <c r="AD80" s="1606"/>
      <c r="AE80" s="1606"/>
      <c r="AF80" s="1606"/>
      <c r="AG80" s="1606"/>
      <c r="AH80" s="1606"/>
      <c r="AI80" s="1606"/>
      <c r="AJ80" s="1606"/>
      <c r="AK80" s="1606"/>
      <c r="AL80" s="1832"/>
    </row>
    <row r="81" spans="2:38" ht="21.6" thickTop="1">
      <c r="B81" s="1812"/>
      <c r="C81" s="1813"/>
      <c r="D81" s="1837" t="s">
        <v>263</v>
      </c>
      <c r="E81" s="1838"/>
      <c r="F81" s="1838"/>
      <c r="G81" s="1838"/>
      <c r="H81" s="1838"/>
      <c r="I81" s="1838"/>
      <c r="J81" s="1838"/>
      <c r="K81" s="1838"/>
      <c r="L81" s="1838"/>
      <c r="M81" s="1838"/>
      <c r="N81" s="1838"/>
      <c r="O81" s="1838"/>
      <c r="P81" s="1838"/>
      <c r="Q81" s="1838"/>
      <c r="R81" s="1839"/>
      <c r="U81" s="1810"/>
      <c r="V81" s="1811"/>
      <c r="W81" s="1571"/>
      <c r="X81" s="54"/>
      <c r="Y81" s="55"/>
      <c r="Z81" s="55"/>
      <c r="AA81" s="55"/>
      <c r="AB81" s="56"/>
      <c r="AC81" s="54"/>
      <c r="AD81" s="55"/>
      <c r="AE81" s="55"/>
      <c r="AF81" s="55"/>
      <c r="AG81" s="56"/>
      <c r="AH81" s="54"/>
      <c r="AI81" s="55"/>
      <c r="AJ81" s="55"/>
      <c r="AK81" s="55"/>
      <c r="AL81" s="57"/>
    </row>
    <row r="82" spans="2:38" ht="16.149999999999999" thickBot="1">
      <c r="B82" s="1814"/>
      <c r="C82" s="1397"/>
      <c r="D82" s="1840" t="s">
        <v>1663</v>
      </c>
      <c r="E82" s="1841"/>
      <c r="F82" s="1841"/>
      <c r="G82" s="1841"/>
      <c r="H82" s="1841"/>
      <c r="I82" s="1841" t="s">
        <v>321</v>
      </c>
      <c r="J82" s="1841"/>
      <c r="K82" s="1841"/>
      <c r="L82" s="1841"/>
      <c r="M82" s="1841"/>
      <c r="N82" s="1841" t="s">
        <v>322</v>
      </c>
      <c r="O82" s="1841"/>
      <c r="P82" s="1841"/>
      <c r="Q82" s="1841"/>
      <c r="R82" s="1842"/>
      <c r="U82" s="1646"/>
      <c r="V82" s="1113"/>
      <c r="W82" s="1603"/>
      <c r="X82" s="1833" t="s">
        <v>1663</v>
      </c>
      <c r="Y82" s="1834"/>
      <c r="Z82" s="1834"/>
      <c r="AA82" s="1834"/>
      <c r="AB82" s="1835"/>
      <c r="AC82" s="1833" t="s">
        <v>321</v>
      </c>
      <c r="AD82" s="1834"/>
      <c r="AE82" s="1834"/>
      <c r="AF82" s="1834"/>
      <c r="AG82" s="1835"/>
      <c r="AH82" s="1833" t="s">
        <v>322</v>
      </c>
      <c r="AI82" s="1834"/>
      <c r="AJ82" s="1834"/>
      <c r="AK82" s="1834"/>
      <c r="AL82" s="1836"/>
    </row>
    <row r="83" spans="2:38" ht="17.45">
      <c r="B83" s="1814"/>
      <c r="C83" s="1397"/>
      <c r="D83" s="1843" t="s">
        <v>1664</v>
      </c>
      <c r="E83" s="1844"/>
      <c r="F83" s="1844"/>
      <c r="G83" s="1844"/>
      <c r="H83" s="1845"/>
      <c r="I83" s="1846" t="s">
        <v>1664</v>
      </c>
      <c r="J83" s="1844"/>
      <c r="K83" s="1844"/>
      <c r="L83" s="1844"/>
      <c r="M83" s="1845"/>
      <c r="N83" s="1846" t="s">
        <v>1664</v>
      </c>
      <c r="O83" s="1844"/>
      <c r="P83" s="1844"/>
      <c r="Q83" s="1844"/>
      <c r="R83" s="1847"/>
      <c r="U83" s="1646"/>
      <c r="V83" s="1113"/>
      <c r="W83" s="29"/>
      <c r="X83" s="237"/>
      <c r="Y83" s="80"/>
      <c r="Z83" s="80"/>
      <c r="AA83" s="80"/>
      <c r="AB83" s="239"/>
      <c r="AC83" s="237"/>
      <c r="AD83" s="80"/>
      <c r="AE83" s="80"/>
      <c r="AF83" s="80"/>
      <c r="AG83" s="239"/>
      <c r="AH83" s="237"/>
      <c r="AI83" s="80"/>
      <c r="AJ83" s="80"/>
      <c r="AK83" s="80"/>
      <c r="AL83" s="238"/>
    </row>
    <row r="84" spans="2:38" ht="15" thickBot="1">
      <c r="B84" s="1815"/>
      <c r="C84" s="1816"/>
      <c r="D84" s="74" t="s">
        <v>1665</v>
      </c>
      <c r="E84" s="50" t="s">
        <v>334</v>
      </c>
      <c r="F84" s="50" t="s">
        <v>335</v>
      </c>
      <c r="G84" s="50" t="s">
        <v>336</v>
      </c>
      <c r="H84" s="51" t="s">
        <v>337</v>
      </c>
      <c r="I84" s="49" t="s">
        <v>1665</v>
      </c>
      <c r="J84" s="50" t="s">
        <v>1666</v>
      </c>
      <c r="K84" s="50" t="s">
        <v>1667</v>
      </c>
      <c r="L84" s="50" t="s">
        <v>1668</v>
      </c>
      <c r="M84" s="52" t="s">
        <v>1669</v>
      </c>
      <c r="N84" s="49" t="s">
        <v>1670</v>
      </c>
      <c r="O84" s="50" t="s">
        <v>1666</v>
      </c>
      <c r="P84" s="50" t="s">
        <v>1667</v>
      </c>
      <c r="Q84" s="50" t="s">
        <v>1668</v>
      </c>
      <c r="R84" s="53" t="s">
        <v>1669</v>
      </c>
      <c r="U84" s="1646"/>
      <c r="V84" s="1113"/>
      <c r="W84" s="29" t="s">
        <v>333</v>
      </c>
      <c r="X84" s="28">
        <v>0.1875</v>
      </c>
      <c r="Y84" s="28" t="s">
        <v>334</v>
      </c>
      <c r="Z84" s="28" t="s">
        <v>335</v>
      </c>
      <c r="AA84" s="28" t="s">
        <v>336</v>
      </c>
      <c r="AB84" s="28" t="s">
        <v>337</v>
      </c>
      <c r="AC84" s="28">
        <v>0.1875</v>
      </c>
      <c r="AD84" s="28" t="s">
        <v>334</v>
      </c>
      <c r="AE84" s="28" t="s">
        <v>335</v>
      </c>
      <c r="AF84" s="28" t="s">
        <v>336</v>
      </c>
      <c r="AG84" s="28" t="s">
        <v>337</v>
      </c>
      <c r="AH84" s="28">
        <v>0.1875</v>
      </c>
      <c r="AI84" s="28" t="s">
        <v>334</v>
      </c>
      <c r="AJ84" s="28" t="s">
        <v>335</v>
      </c>
      <c r="AK84" s="28" t="s">
        <v>336</v>
      </c>
      <c r="AL84" s="40" t="s">
        <v>337</v>
      </c>
    </row>
    <row r="85" spans="2:38">
      <c r="B85" s="1848" t="s">
        <v>1671</v>
      </c>
      <c r="C85" s="69">
        <v>5</v>
      </c>
      <c r="D85" s="75">
        <f t="shared" ref="D85:D104" si="15">MIN($X$41,X85,$W85)</f>
        <v>0</v>
      </c>
      <c r="E85" s="59">
        <f t="shared" ref="E85:E104" si="16">MIN($X$41,Y85,$W85)</f>
        <v>0</v>
      </c>
      <c r="F85" s="59">
        <f t="shared" ref="F85:F104" si="17">MIN($X$41,Z85,$W85)</f>
        <v>0</v>
      </c>
      <c r="G85" s="59">
        <f t="shared" ref="G85:G104" si="18">MIN($X$41,AA85,$W85)</f>
        <v>0</v>
      </c>
      <c r="H85" s="59">
        <f t="shared" ref="H85:H104" si="19">MIN($X$41,AB85,$W85)</f>
        <v>0</v>
      </c>
      <c r="I85" s="46">
        <f t="shared" ref="I85:I104" si="20">MIN($X$41,AC85,$W85)</f>
        <v>0</v>
      </c>
      <c r="J85" s="59">
        <f t="shared" ref="J85:J104" si="21">MIN($X$41,AD85,$W85)</f>
        <v>0</v>
      </c>
      <c r="K85" s="59">
        <f t="shared" ref="K85:K104" si="22">MIN($X$41,AE85,$W85)</f>
        <v>0</v>
      </c>
      <c r="L85" s="59">
        <f t="shared" ref="L85:L104" si="23">MIN($X$41,AF85,$W85)</f>
        <v>0</v>
      </c>
      <c r="M85" s="59">
        <f t="shared" ref="M85:M104" si="24">MIN($X$41,AG85,$W85)</f>
        <v>0</v>
      </c>
      <c r="N85" s="46">
        <f t="shared" ref="N85:N104" si="25">MIN($X$41,AH85,$W85)</f>
        <v>0</v>
      </c>
      <c r="O85" s="59">
        <f t="shared" ref="O85:O104" si="26">MIN($X$41,AI85,$W85)</f>
        <v>0</v>
      </c>
      <c r="P85" s="59">
        <f t="shared" ref="P85:P104" si="27">MIN($X$41,AJ85,$W85)</f>
        <v>0</v>
      </c>
      <c r="Q85" s="59">
        <f t="shared" ref="Q85:Q104" si="28">MIN($X$41,AK85,$W85)</f>
        <v>0</v>
      </c>
      <c r="R85" s="62">
        <f t="shared" ref="R85:R104" si="29">MIN($X$41,AL85,$W85)</f>
        <v>0</v>
      </c>
      <c r="U85" s="1601" t="s">
        <v>314</v>
      </c>
      <c r="V85" s="28">
        <v>5</v>
      </c>
      <c r="W85" s="43" cm="1">
        <f t="array" ref="W85">VLOOKUP(MAX(IF('Courbe Déflexion'!$GG$25:$GG$305&lt;=V85,'Courbe Déflexion'!$GG$25:$GG$305)),'Courbe Déflexion'!$GG$25:$IA$305,8,0)</f>
        <v>0</v>
      </c>
      <c r="X85" s="43">
        <f>VLOOKUP(X$84,'Infos Techniques'!$B$7:$E$12,3,0)/($V85*$X$39/12)</f>
        <v>56.470588235294123</v>
      </c>
      <c r="Y85" s="43">
        <f>VLOOKUP(Y$84,'Infos Techniques'!$B$7:$E$12,3,0)/($V85*$X$39/12)</f>
        <v>38.964705882352945</v>
      </c>
      <c r="Z85" s="43">
        <f>VLOOKUP(Z$84,'Infos Techniques'!$B$7:$E$12,3,0)/($V85*$X$39/12)</f>
        <v>32.752941176470593</v>
      </c>
      <c r="AA85" s="43">
        <f>VLOOKUP(AA$84,'Infos Techniques'!$B$7:$E$12,3,0)/($V85*$X$39/12)</f>
        <v>23.378823529411765</v>
      </c>
      <c r="AB85" s="43">
        <f>VLOOKUP(AB$84,'Infos Techniques'!$B$7:$E$12,3,0)/($V85*$X$39/12)</f>
        <v>18.691764705882353</v>
      </c>
      <c r="AC85" s="43">
        <f>VLOOKUP(AC$84,'Infos Techniques'!$B$7:$E$12,2,0)/($V85*$X$39/12)</f>
        <v>67.764705882352942</v>
      </c>
      <c r="AD85" s="43">
        <f>VLOOKUP(AD$84,'Infos Techniques'!$B$7:$E$12,2,0)/($V85*$X$39/12)</f>
        <v>67.764705882352942</v>
      </c>
      <c r="AE85" s="43">
        <f>VLOOKUP(AE$84,'Infos Techniques'!$B$7:$E$12,2,0)/($V85*$X$39/12)</f>
        <v>65.505882352941185</v>
      </c>
      <c r="AF85" s="43">
        <f>VLOOKUP(AF$84,'Infos Techniques'!$B$7:$E$12,2,0)/($V85*$X$39/12)</f>
        <v>46.814117647058829</v>
      </c>
      <c r="AG85" s="43">
        <f>VLOOKUP(AG$84,'Infos Techniques'!$B$7:$E$12,2,0)/($V85*$X$39/12)</f>
        <v>37.440000000000005</v>
      </c>
      <c r="AH85" s="43">
        <f>VLOOKUP(AH$84,'Infos Techniques'!$B$7:$E$12,4,0)/($V85*$X$39/12)</f>
        <v>84.705882352941188</v>
      </c>
      <c r="AI85" s="43">
        <f>VLOOKUP(AI$84,'Infos Techniques'!$B$7:$E$12,4,0)/($V85*$X$39/12)</f>
        <v>84.705882352941188</v>
      </c>
      <c r="AJ85" s="43">
        <f>VLOOKUP(AJ$84,'Infos Techniques'!$B$7:$E$12,4,0)/($V85*$X$39/12)</f>
        <v>84.705882352941188</v>
      </c>
      <c r="AK85" s="247">
        <f>VLOOKUP(AK$84,'Infos Techniques'!$B$7:$E$12,4,0)/($V85*$X$39/12)</f>
        <v>46.814117647058829</v>
      </c>
      <c r="AL85" s="248">
        <f>VLOOKUP(AL$84,'Infos Techniques'!$B$7:$E$12,4,0)/($V85*$X$39/12)</f>
        <v>37.440000000000005</v>
      </c>
    </row>
    <row r="86" spans="2:38">
      <c r="B86" s="1849"/>
      <c r="C86" s="70">
        <v>10</v>
      </c>
      <c r="D86" s="76">
        <f t="shared" si="15"/>
        <v>0</v>
      </c>
      <c r="E86" s="43">
        <f t="shared" si="16"/>
        <v>0</v>
      </c>
      <c r="F86" s="43">
        <f t="shared" si="17"/>
        <v>0</v>
      </c>
      <c r="G86" s="43">
        <f t="shared" si="18"/>
        <v>0</v>
      </c>
      <c r="H86" s="43">
        <f t="shared" si="19"/>
        <v>0</v>
      </c>
      <c r="I86" s="47">
        <f t="shared" si="20"/>
        <v>0</v>
      </c>
      <c r="J86" s="43">
        <f t="shared" si="21"/>
        <v>0</v>
      </c>
      <c r="K86" s="43">
        <f t="shared" si="22"/>
        <v>0</v>
      </c>
      <c r="L86" s="43">
        <f t="shared" si="23"/>
        <v>0</v>
      </c>
      <c r="M86" s="43">
        <f t="shared" si="24"/>
        <v>0</v>
      </c>
      <c r="N86" s="47">
        <f t="shared" si="25"/>
        <v>0</v>
      </c>
      <c r="O86" s="43">
        <f t="shared" si="26"/>
        <v>0</v>
      </c>
      <c r="P86" s="43">
        <f t="shared" si="27"/>
        <v>0</v>
      </c>
      <c r="Q86" s="43">
        <f t="shared" si="28"/>
        <v>0</v>
      </c>
      <c r="R86" s="63">
        <f t="shared" si="29"/>
        <v>0</v>
      </c>
      <c r="U86" s="1601"/>
      <c r="V86" s="28">
        <v>10</v>
      </c>
      <c r="W86" s="43" cm="1">
        <f t="array" ref="W86">VLOOKUP(MAX(IF('Courbe Déflexion'!$GG$25:$GG$305&lt;=V86,'Courbe Déflexion'!$GG$25:$GG$305)),'Courbe Déflexion'!$GG$25:$IA$305,8,0)</f>
        <v>0</v>
      </c>
      <c r="X86" s="43">
        <f>VLOOKUP(X$84,'Infos Techniques'!$B$7:$E$12,3,0)/($V86*$X$39/12)</f>
        <v>28.235294117647062</v>
      </c>
      <c r="Y86" s="43">
        <f>VLOOKUP(Y$84,'Infos Techniques'!$B$7:$E$12,3,0)/($V86*$X$39/12)</f>
        <v>19.482352941176472</v>
      </c>
      <c r="Z86" s="43">
        <f>VLOOKUP(Z$84,'Infos Techniques'!$B$7:$E$12,3,0)/($V86*$X$39/12)</f>
        <v>16.376470588235296</v>
      </c>
      <c r="AA86" s="43">
        <f>VLOOKUP(AA$84,'Infos Techniques'!$B$7:$E$12,3,0)/($V86*$X$39/12)</f>
        <v>11.689411764705882</v>
      </c>
      <c r="AB86" s="43">
        <f>VLOOKUP(AB$84,'Infos Techniques'!$B$7:$E$12,3,0)/($V86*$X$39/12)</f>
        <v>9.3458823529411763</v>
      </c>
      <c r="AC86" s="43">
        <f>VLOOKUP(AC$84,'Infos Techniques'!$B$7:$E$12,2,0)/($V86*$X$39/12)</f>
        <v>33.882352941176471</v>
      </c>
      <c r="AD86" s="43">
        <f>VLOOKUP(AD$84,'Infos Techniques'!$B$7:$E$12,2,0)/($V86*$X$39/12)</f>
        <v>33.882352941176471</v>
      </c>
      <c r="AE86" s="43">
        <f>VLOOKUP(AE$84,'Infos Techniques'!$B$7:$E$12,2,0)/($V86*$X$39/12)</f>
        <v>32.752941176470593</v>
      </c>
      <c r="AF86" s="43">
        <f>VLOOKUP(AF$84,'Infos Techniques'!$B$7:$E$12,2,0)/($V86*$X$39/12)</f>
        <v>23.407058823529415</v>
      </c>
      <c r="AG86" s="43">
        <f>VLOOKUP(AG$84,'Infos Techniques'!$B$7:$E$12,2,0)/($V86*$X$39/12)</f>
        <v>18.720000000000002</v>
      </c>
      <c r="AH86" s="43">
        <f>VLOOKUP(AH$84,'Infos Techniques'!$B$7:$E$12,4,0)/($V86*$X$39/12)</f>
        <v>42.352941176470594</v>
      </c>
      <c r="AI86" s="43">
        <f>VLOOKUP(AI$84,'Infos Techniques'!$B$7:$E$12,4,0)/($V86*$X$39/12)</f>
        <v>42.352941176470594</v>
      </c>
      <c r="AJ86" s="43">
        <f>VLOOKUP(AJ$84,'Infos Techniques'!$B$7:$E$12,4,0)/($V86*$X$39/12)</f>
        <v>42.352941176470594</v>
      </c>
      <c r="AK86" s="247">
        <f>VLOOKUP(AK$84,'Infos Techniques'!$B$7:$E$12,4,0)/($V86*$X$39/12)</f>
        <v>23.407058823529415</v>
      </c>
      <c r="AL86" s="248">
        <f>VLOOKUP(AL$84,'Infos Techniques'!$B$7:$E$12,4,0)/($V86*$X$39/12)</f>
        <v>18.720000000000002</v>
      </c>
    </row>
    <row r="87" spans="2:38">
      <c r="B87" s="1849"/>
      <c r="C87" s="70">
        <v>15</v>
      </c>
      <c r="D87" s="76">
        <f t="shared" si="15"/>
        <v>6</v>
      </c>
      <c r="E87" s="43">
        <f t="shared" si="16"/>
        <v>6</v>
      </c>
      <c r="F87" s="43">
        <f t="shared" si="17"/>
        <v>6</v>
      </c>
      <c r="G87" s="43">
        <f t="shared" si="18"/>
        <v>6</v>
      </c>
      <c r="H87" s="43">
        <f t="shared" si="19"/>
        <v>6</v>
      </c>
      <c r="I87" s="47">
        <f t="shared" si="20"/>
        <v>6</v>
      </c>
      <c r="J87" s="43">
        <f t="shared" si="21"/>
        <v>6</v>
      </c>
      <c r="K87" s="43">
        <f t="shared" si="22"/>
        <v>6</v>
      </c>
      <c r="L87" s="43">
        <f t="shared" si="23"/>
        <v>6</v>
      </c>
      <c r="M87" s="43">
        <f t="shared" si="24"/>
        <v>6</v>
      </c>
      <c r="N87" s="47">
        <f t="shared" si="25"/>
        <v>6</v>
      </c>
      <c r="O87" s="43">
        <f t="shared" si="26"/>
        <v>6</v>
      </c>
      <c r="P87" s="43">
        <f t="shared" si="27"/>
        <v>6</v>
      </c>
      <c r="Q87" s="43">
        <f t="shared" si="28"/>
        <v>6</v>
      </c>
      <c r="R87" s="63">
        <f t="shared" si="29"/>
        <v>6</v>
      </c>
      <c r="U87" s="1601"/>
      <c r="V87" s="28">
        <v>15</v>
      </c>
      <c r="W87" s="43" cm="1">
        <f t="array" ref="W87">VLOOKUP(MAX(IF('Courbe Déflexion'!$GG$25:$GG$305&lt;=V87,'Courbe Déflexion'!$GG$25:$GG$305)),'Courbe Déflexion'!$GG$25:$IA$305,8,0)</f>
        <v>6</v>
      </c>
      <c r="X87" s="43">
        <f>VLOOKUP(X$84,'Infos Techniques'!$B$7:$E$12,3,0)/($V87*$X$39/12)</f>
        <v>18.823529411764707</v>
      </c>
      <c r="Y87" s="43">
        <f>VLOOKUP(Y$84,'Infos Techniques'!$B$7:$E$12,3,0)/($V87*$X$39/12)</f>
        <v>12.988235294117647</v>
      </c>
      <c r="Z87" s="43">
        <f>VLOOKUP(Z$84,'Infos Techniques'!$B$7:$E$12,3,0)/($V87*$X$39/12)</f>
        <v>10.91764705882353</v>
      </c>
      <c r="AA87" s="43">
        <f>VLOOKUP(AA$84,'Infos Techniques'!$B$7:$E$12,3,0)/($V87*$X$39/12)</f>
        <v>7.7929411764705883</v>
      </c>
      <c r="AB87" s="43">
        <f>VLOOKUP(AB$84,'Infos Techniques'!$B$7:$E$12,3,0)/($V87*$X$39/12)</f>
        <v>6.2305882352941175</v>
      </c>
      <c r="AC87" s="43">
        <f>VLOOKUP(AC$84,'Infos Techniques'!$B$7:$E$12,2,0)/($V87*$X$39/12)</f>
        <v>22.588235294117649</v>
      </c>
      <c r="AD87" s="43">
        <f>VLOOKUP(AD$84,'Infos Techniques'!$B$7:$E$12,2,0)/($V87*$X$39/12)</f>
        <v>22.588235294117649</v>
      </c>
      <c r="AE87" s="43">
        <f>VLOOKUP(AE$84,'Infos Techniques'!$B$7:$E$12,2,0)/($V87*$X$39/12)</f>
        <v>21.835294117647059</v>
      </c>
      <c r="AF87" s="43">
        <f>VLOOKUP(AF$84,'Infos Techniques'!$B$7:$E$12,2,0)/($V87*$X$39/12)</f>
        <v>15.604705882352942</v>
      </c>
      <c r="AG87" s="43">
        <f>VLOOKUP(AG$84,'Infos Techniques'!$B$7:$E$12,2,0)/($V87*$X$39/12)</f>
        <v>12.48</v>
      </c>
      <c r="AH87" s="43">
        <f>VLOOKUP(AH$84,'Infos Techniques'!$B$7:$E$12,4,0)/($V87*$X$39/12)</f>
        <v>28.235294117647058</v>
      </c>
      <c r="AI87" s="43">
        <f>VLOOKUP(AI$84,'Infos Techniques'!$B$7:$E$12,4,0)/($V87*$X$39/12)</f>
        <v>28.235294117647058</v>
      </c>
      <c r="AJ87" s="43">
        <f>VLOOKUP(AJ$84,'Infos Techniques'!$B$7:$E$12,4,0)/($V87*$X$39/12)</f>
        <v>28.235294117647058</v>
      </c>
      <c r="AK87" s="247">
        <f>VLOOKUP(AK$84,'Infos Techniques'!$B$7:$E$12,4,0)/($V87*$X$39/12)</f>
        <v>15.604705882352942</v>
      </c>
      <c r="AL87" s="248">
        <f>VLOOKUP(AL$84,'Infos Techniques'!$B$7:$E$12,4,0)/($V87*$X$39/12)</f>
        <v>12.48</v>
      </c>
    </row>
    <row r="88" spans="2:38">
      <c r="B88" s="1849"/>
      <c r="C88" s="70">
        <v>20</v>
      </c>
      <c r="D88" s="76">
        <f t="shared" si="15"/>
        <v>7</v>
      </c>
      <c r="E88" s="43">
        <f t="shared" si="16"/>
        <v>7</v>
      </c>
      <c r="F88" s="43">
        <f t="shared" si="17"/>
        <v>7</v>
      </c>
      <c r="G88" s="43">
        <f t="shared" si="18"/>
        <v>5.8447058823529412</v>
      </c>
      <c r="H88" s="43">
        <f t="shared" si="19"/>
        <v>4.6729411764705882</v>
      </c>
      <c r="I88" s="47">
        <f t="shared" si="20"/>
        <v>7</v>
      </c>
      <c r="J88" s="43">
        <f t="shared" si="21"/>
        <v>7</v>
      </c>
      <c r="K88" s="43">
        <f t="shared" si="22"/>
        <v>7</v>
      </c>
      <c r="L88" s="43">
        <f t="shared" si="23"/>
        <v>7</v>
      </c>
      <c r="M88" s="43">
        <f t="shared" si="24"/>
        <v>7</v>
      </c>
      <c r="N88" s="47">
        <f t="shared" si="25"/>
        <v>7</v>
      </c>
      <c r="O88" s="43">
        <f t="shared" si="26"/>
        <v>7</v>
      </c>
      <c r="P88" s="43">
        <f t="shared" si="27"/>
        <v>7</v>
      </c>
      <c r="Q88" s="43">
        <f t="shared" si="28"/>
        <v>7</v>
      </c>
      <c r="R88" s="63">
        <f t="shared" si="29"/>
        <v>7</v>
      </c>
      <c r="U88" s="1601"/>
      <c r="V88" s="28">
        <v>20</v>
      </c>
      <c r="W88" s="43" cm="1">
        <f t="array" ref="W88">VLOOKUP(MAX(IF('Courbe Déflexion'!$GG$25:$GG$305&lt;=V88,'Courbe Déflexion'!$GG$25:$GG$305)),'Courbe Déflexion'!$GG$25:$IA$305,8,0)</f>
        <v>7</v>
      </c>
      <c r="X88" s="43">
        <f>VLOOKUP(X$84,'Infos Techniques'!$B$7:$E$12,3,0)/($V88*$X$39/12)</f>
        <v>14.117647058823531</v>
      </c>
      <c r="Y88" s="43">
        <f>VLOOKUP(Y$84,'Infos Techniques'!$B$7:$E$12,3,0)/($V88*$X$39/12)</f>
        <v>9.7411764705882362</v>
      </c>
      <c r="Z88" s="43">
        <f>VLOOKUP(Z$84,'Infos Techniques'!$B$7:$E$12,3,0)/($V88*$X$39/12)</f>
        <v>8.1882352941176482</v>
      </c>
      <c r="AA88" s="43">
        <f>VLOOKUP(AA$84,'Infos Techniques'!$B$7:$E$12,3,0)/($V88*$X$39/12)</f>
        <v>5.8447058823529412</v>
      </c>
      <c r="AB88" s="43">
        <f>VLOOKUP(AB$84,'Infos Techniques'!$B$7:$E$12,3,0)/($V88*$X$39/12)</f>
        <v>4.6729411764705882</v>
      </c>
      <c r="AC88" s="43">
        <f>VLOOKUP(AC$84,'Infos Techniques'!$B$7:$E$12,2,0)/($V88*$X$39/12)</f>
        <v>16.941176470588236</v>
      </c>
      <c r="AD88" s="43">
        <f>VLOOKUP(AD$84,'Infos Techniques'!$B$7:$E$12,2,0)/($V88*$X$39/12)</f>
        <v>16.941176470588236</v>
      </c>
      <c r="AE88" s="43">
        <f>VLOOKUP(AE$84,'Infos Techniques'!$B$7:$E$12,2,0)/($V88*$X$39/12)</f>
        <v>16.376470588235296</v>
      </c>
      <c r="AF88" s="43">
        <f>VLOOKUP(AF$84,'Infos Techniques'!$B$7:$E$12,2,0)/($V88*$X$39/12)</f>
        <v>11.703529411764707</v>
      </c>
      <c r="AG88" s="43">
        <f>VLOOKUP(AG$84,'Infos Techniques'!$B$7:$E$12,2,0)/($V88*$X$39/12)</f>
        <v>9.3600000000000012</v>
      </c>
      <c r="AH88" s="43">
        <f>VLOOKUP(AH$84,'Infos Techniques'!$B$7:$E$12,4,0)/($V88*$X$39/12)</f>
        <v>21.176470588235297</v>
      </c>
      <c r="AI88" s="43">
        <f>VLOOKUP(AI$84,'Infos Techniques'!$B$7:$E$12,4,0)/($V88*$X$39/12)</f>
        <v>21.176470588235297</v>
      </c>
      <c r="AJ88" s="43">
        <f>VLOOKUP(AJ$84,'Infos Techniques'!$B$7:$E$12,4,0)/($V88*$X$39/12)</f>
        <v>21.176470588235297</v>
      </c>
      <c r="AK88" s="247">
        <f>VLOOKUP(AK$84,'Infos Techniques'!$B$7:$E$12,4,0)/($V88*$X$39/12)</f>
        <v>11.703529411764707</v>
      </c>
      <c r="AL88" s="248">
        <f>VLOOKUP(AL$84,'Infos Techniques'!$B$7:$E$12,4,0)/($V88*$X$39/12)</f>
        <v>9.3600000000000012</v>
      </c>
    </row>
    <row r="89" spans="2:38" ht="15" thickBot="1">
      <c r="B89" s="1849"/>
      <c r="C89" s="71">
        <v>25</v>
      </c>
      <c r="D89" s="77">
        <f t="shared" si="15"/>
        <v>8</v>
      </c>
      <c r="E89" s="60">
        <f t="shared" si="16"/>
        <v>7.7929411764705883</v>
      </c>
      <c r="F89" s="60">
        <f t="shared" si="17"/>
        <v>6.5505882352941169</v>
      </c>
      <c r="G89" s="60">
        <f t="shared" si="18"/>
        <v>4.6757647058823526</v>
      </c>
      <c r="H89" s="60">
        <f t="shared" si="19"/>
        <v>3.7383529411764704</v>
      </c>
      <c r="I89" s="58">
        <f t="shared" si="20"/>
        <v>8</v>
      </c>
      <c r="J89" s="60">
        <f t="shared" si="21"/>
        <v>8</v>
      </c>
      <c r="K89" s="60">
        <f t="shared" si="22"/>
        <v>8</v>
      </c>
      <c r="L89" s="60">
        <f t="shared" si="23"/>
        <v>8</v>
      </c>
      <c r="M89" s="60">
        <f t="shared" si="24"/>
        <v>7.4879999999999995</v>
      </c>
      <c r="N89" s="58">
        <f t="shared" si="25"/>
        <v>8</v>
      </c>
      <c r="O89" s="60">
        <f t="shared" si="26"/>
        <v>8</v>
      </c>
      <c r="P89" s="60">
        <f t="shared" si="27"/>
        <v>8</v>
      </c>
      <c r="Q89" s="60">
        <f t="shared" si="28"/>
        <v>8</v>
      </c>
      <c r="R89" s="64">
        <f t="shared" si="29"/>
        <v>7.4879999999999995</v>
      </c>
      <c r="U89" s="1601"/>
      <c r="V89" s="28">
        <v>25</v>
      </c>
      <c r="W89" s="43" cm="1">
        <f t="array" ref="W89">VLOOKUP(MAX(IF('Courbe Déflexion'!$GG$25:$GG$305&lt;=V89,'Courbe Déflexion'!$GG$25:$GG$305)),'Courbe Déflexion'!$GG$25:$IA$305,8,0)</f>
        <v>8</v>
      </c>
      <c r="X89" s="43">
        <f>VLOOKUP(X$84,'Infos Techniques'!$B$7:$E$12,3,0)/($V89*$X$39/12)</f>
        <v>11.294117647058822</v>
      </c>
      <c r="Y89" s="43">
        <f>VLOOKUP(Y$84,'Infos Techniques'!$B$7:$E$12,3,0)/($V89*$X$39/12)</f>
        <v>7.7929411764705883</v>
      </c>
      <c r="Z89" s="43">
        <f>VLOOKUP(Z$84,'Infos Techniques'!$B$7:$E$12,3,0)/($V89*$X$39/12)</f>
        <v>6.5505882352941169</v>
      </c>
      <c r="AA89" s="43">
        <f>VLOOKUP(AA$84,'Infos Techniques'!$B$7:$E$12,3,0)/($V89*$X$39/12)</f>
        <v>4.6757647058823526</v>
      </c>
      <c r="AB89" s="43">
        <f>VLOOKUP(AB$84,'Infos Techniques'!$B$7:$E$12,3,0)/($V89*$X$39/12)</f>
        <v>3.7383529411764704</v>
      </c>
      <c r="AC89" s="43">
        <f>VLOOKUP(AC$84,'Infos Techniques'!$B$7:$E$12,2,0)/($V89*$X$39/12)</f>
        <v>13.552941176470588</v>
      </c>
      <c r="AD89" s="43">
        <f>VLOOKUP(AD$84,'Infos Techniques'!$B$7:$E$12,2,0)/($V89*$X$39/12)</f>
        <v>13.552941176470588</v>
      </c>
      <c r="AE89" s="43">
        <f>VLOOKUP(AE$84,'Infos Techniques'!$B$7:$E$12,2,0)/($V89*$X$39/12)</f>
        <v>13.101176470588234</v>
      </c>
      <c r="AF89" s="43">
        <f>VLOOKUP(AF$84,'Infos Techniques'!$B$7:$E$12,2,0)/($V89*$X$39/12)</f>
        <v>9.3628235294117648</v>
      </c>
      <c r="AG89" s="43">
        <f>VLOOKUP(AG$84,'Infos Techniques'!$B$7:$E$12,2,0)/($V89*$X$39/12)</f>
        <v>7.4879999999999995</v>
      </c>
      <c r="AH89" s="43">
        <f>VLOOKUP(AH$84,'Infos Techniques'!$B$7:$E$12,4,0)/($V89*$X$39/12)</f>
        <v>16.941176470588236</v>
      </c>
      <c r="AI89" s="43">
        <f>VLOOKUP(AI$84,'Infos Techniques'!$B$7:$E$12,4,0)/($V89*$X$39/12)</f>
        <v>16.941176470588236</v>
      </c>
      <c r="AJ89" s="43">
        <f>VLOOKUP(AJ$84,'Infos Techniques'!$B$7:$E$12,4,0)/($V89*$X$39/12)</f>
        <v>16.941176470588236</v>
      </c>
      <c r="AK89" s="247">
        <f>VLOOKUP(AK$84,'Infos Techniques'!$B$7:$E$12,4,0)/($V89*$X$39/12)</f>
        <v>9.3628235294117648</v>
      </c>
      <c r="AL89" s="248">
        <f>VLOOKUP(AL$84,'Infos Techniques'!$B$7:$E$12,4,0)/($V89*$X$39/12)</f>
        <v>7.4879999999999995</v>
      </c>
    </row>
    <row r="90" spans="2:38">
      <c r="B90" s="1849"/>
      <c r="C90" s="69">
        <v>30</v>
      </c>
      <c r="D90" s="75">
        <f t="shared" si="15"/>
        <v>8</v>
      </c>
      <c r="E90" s="59">
        <f t="shared" si="16"/>
        <v>6.4941176470588236</v>
      </c>
      <c r="F90" s="59">
        <f t="shared" si="17"/>
        <v>5.4588235294117649</v>
      </c>
      <c r="G90" s="59">
        <f t="shared" si="18"/>
        <v>3.8964705882352941</v>
      </c>
      <c r="H90" s="59">
        <f t="shared" si="19"/>
        <v>3.1152941176470588</v>
      </c>
      <c r="I90" s="46">
        <f t="shared" si="20"/>
        <v>8</v>
      </c>
      <c r="J90" s="59">
        <f t="shared" si="21"/>
        <v>8</v>
      </c>
      <c r="K90" s="59">
        <f t="shared" si="22"/>
        <v>8</v>
      </c>
      <c r="L90" s="59">
        <f t="shared" si="23"/>
        <v>7.8023529411764709</v>
      </c>
      <c r="M90" s="59">
        <f t="shared" si="24"/>
        <v>6.24</v>
      </c>
      <c r="N90" s="46">
        <f t="shared" si="25"/>
        <v>8</v>
      </c>
      <c r="O90" s="59">
        <f t="shared" si="26"/>
        <v>8</v>
      </c>
      <c r="P90" s="59">
        <f t="shared" si="27"/>
        <v>8</v>
      </c>
      <c r="Q90" s="59">
        <f t="shared" si="28"/>
        <v>7.8023529411764709</v>
      </c>
      <c r="R90" s="62">
        <f t="shared" si="29"/>
        <v>6.24</v>
      </c>
      <c r="U90" s="1601"/>
      <c r="V90" s="28">
        <v>30</v>
      </c>
      <c r="W90" s="43" cm="1">
        <f t="array" ref="W90">VLOOKUP(MAX(IF('Courbe Déflexion'!$GG$25:$GG$305&lt;=V90,'Courbe Déflexion'!$GG$25:$GG$305)),'Courbe Déflexion'!$GG$25:$IA$305,8,0)</f>
        <v>8</v>
      </c>
      <c r="X90" s="43">
        <f>VLOOKUP(X$84,'Infos Techniques'!$B$7:$E$12,3,0)/($V90*$X$39/12)</f>
        <v>9.4117647058823533</v>
      </c>
      <c r="Y90" s="43">
        <f>VLOOKUP(Y$84,'Infos Techniques'!$B$7:$E$12,3,0)/($V90*$X$39/12)</f>
        <v>6.4941176470588236</v>
      </c>
      <c r="Z90" s="43">
        <f>VLOOKUP(Z$84,'Infos Techniques'!$B$7:$E$12,3,0)/($V90*$X$39/12)</f>
        <v>5.4588235294117649</v>
      </c>
      <c r="AA90" s="43">
        <f>VLOOKUP(AA$84,'Infos Techniques'!$B$7:$E$12,3,0)/($V90*$X$39/12)</f>
        <v>3.8964705882352941</v>
      </c>
      <c r="AB90" s="43">
        <f>VLOOKUP(AB$84,'Infos Techniques'!$B$7:$E$12,3,0)/($V90*$X$39/12)</f>
        <v>3.1152941176470588</v>
      </c>
      <c r="AC90" s="43">
        <f>VLOOKUP(AC$84,'Infos Techniques'!$B$7:$E$12,2,0)/($V90*$X$39/12)</f>
        <v>11.294117647058824</v>
      </c>
      <c r="AD90" s="43">
        <f>VLOOKUP(AD$84,'Infos Techniques'!$B$7:$E$12,2,0)/($V90*$X$39/12)</f>
        <v>11.294117647058824</v>
      </c>
      <c r="AE90" s="43">
        <f>VLOOKUP(AE$84,'Infos Techniques'!$B$7:$E$12,2,0)/($V90*$X$39/12)</f>
        <v>10.91764705882353</v>
      </c>
      <c r="AF90" s="43">
        <f>VLOOKUP(AF$84,'Infos Techniques'!$B$7:$E$12,2,0)/($V90*$X$39/12)</f>
        <v>7.8023529411764709</v>
      </c>
      <c r="AG90" s="43">
        <f>VLOOKUP(AG$84,'Infos Techniques'!$B$7:$E$12,2,0)/($V90*$X$39/12)</f>
        <v>6.24</v>
      </c>
      <c r="AH90" s="43">
        <f>VLOOKUP(AH$84,'Infos Techniques'!$B$7:$E$12,4,0)/($V90*$X$39/12)</f>
        <v>14.117647058823529</v>
      </c>
      <c r="AI90" s="43">
        <f>VLOOKUP(AI$84,'Infos Techniques'!$B$7:$E$12,4,0)/($V90*$X$39/12)</f>
        <v>14.117647058823529</v>
      </c>
      <c r="AJ90" s="43">
        <f>VLOOKUP(AJ$84,'Infos Techniques'!$B$7:$E$12,4,0)/($V90*$X$39/12)</f>
        <v>14.117647058823529</v>
      </c>
      <c r="AK90" s="247">
        <f>VLOOKUP(AK$84,'Infos Techniques'!$B$7:$E$12,4,0)/($V90*$X$39/12)</f>
        <v>7.8023529411764709</v>
      </c>
      <c r="AL90" s="248">
        <f>VLOOKUP(AL$84,'Infos Techniques'!$B$7:$E$12,4,0)/($V90*$X$39/12)</f>
        <v>6.24</v>
      </c>
    </row>
    <row r="91" spans="2:38">
      <c r="B91" s="1849"/>
      <c r="C91" s="70">
        <v>35</v>
      </c>
      <c r="D91" s="76">
        <f t="shared" si="15"/>
        <v>8.0672268907563023</v>
      </c>
      <c r="E91" s="43">
        <f t="shared" si="16"/>
        <v>5.5663865546218494</v>
      </c>
      <c r="F91" s="43">
        <f t="shared" si="17"/>
        <v>4.6789915966386557</v>
      </c>
      <c r="G91" s="43">
        <f t="shared" si="18"/>
        <v>3.3398319327731092</v>
      </c>
      <c r="H91" s="43">
        <f t="shared" si="19"/>
        <v>2.6702521008403362</v>
      </c>
      <c r="I91" s="47">
        <f t="shared" si="20"/>
        <v>8.6000000000000014</v>
      </c>
      <c r="J91" s="43">
        <f t="shared" si="21"/>
        <v>8.6000000000000014</v>
      </c>
      <c r="K91" s="43">
        <f t="shared" si="22"/>
        <v>8.6000000000000014</v>
      </c>
      <c r="L91" s="43">
        <f t="shared" si="23"/>
        <v>6.6877310924369748</v>
      </c>
      <c r="M91" s="43">
        <f t="shared" si="24"/>
        <v>5.3485714285714288</v>
      </c>
      <c r="N91" s="47">
        <f t="shared" si="25"/>
        <v>8.6000000000000014</v>
      </c>
      <c r="O91" s="43">
        <f t="shared" si="26"/>
        <v>8.6000000000000014</v>
      </c>
      <c r="P91" s="43">
        <f t="shared" si="27"/>
        <v>8.6000000000000014</v>
      </c>
      <c r="Q91" s="43">
        <f t="shared" si="28"/>
        <v>6.6877310924369748</v>
      </c>
      <c r="R91" s="63">
        <f t="shared" si="29"/>
        <v>5.3485714285714288</v>
      </c>
      <c r="U91" s="1601"/>
      <c r="V91" s="28">
        <v>35</v>
      </c>
      <c r="W91" s="43" cm="1">
        <f t="array" ref="W91">VLOOKUP(MAX(IF('Courbe Déflexion'!$GG$25:$GG$305&lt;=V91,'Courbe Déflexion'!$GG$25:$GG$305)),'Courbe Déflexion'!$GG$25:$IA$305,8,0)</f>
        <v>8.6000000000000014</v>
      </c>
      <c r="X91" s="43">
        <f>VLOOKUP(X$84,'Infos Techniques'!$B$7:$E$12,3,0)/($V91*$X$39/12)</f>
        <v>8.0672268907563023</v>
      </c>
      <c r="Y91" s="43">
        <f>VLOOKUP(Y$84,'Infos Techniques'!$B$7:$E$12,3,0)/($V91*$X$39/12)</f>
        <v>5.5663865546218494</v>
      </c>
      <c r="Z91" s="43">
        <f>VLOOKUP(Z$84,'Infos Techniques'!$B$7:$E$12,3,0)/($V91*$X$39/12)</f>
        <v>4.6789915966386557</v>
      </c>
      <c r="AA91" s="43">
        <f>VLOOKUP(AA$84,'Infos Techniques'!$B$7:$E$12,3,0)/($V91*$X$39/12)</f>
        <v>3.3398319327731092</v>
      </c>
      <c r="AB91" s="43">
        <f>VLOOKUP(AB$84,'Infos Techniques'!$B$7:$E$12,3,0)/($V91*$X$39/12)</f>
        <v>2.6702521008403362</v>
      </c>
      <c r="AC91" s="43">
        <f>VLOOKUP(AC$84,'Infos Techniques'!$B$7:$E$12,2,0)/($V91*$X$39/12)</f>
        <v>9.6806722689075642</v>
      </c>
      <c r="AD91" s="43">
        <f>VLOOKUP(AD$84,'Infos Techniques'!$B$7:$E$12,2,0)/($V91*$X$39/12)</f>
        <v>9.6806722689075642</v>
      </c>
      <c r="AE91" s="43">
        <f>VLOOKUP(AE$84,'Infos Techniques'!$B$7:$E$12,2,0)/($V91*$X$39/12)</f>
        <v>9.3579831932773114</v>
      </c>
      <c r="AF91" s="43">
        <f>VLOOKUP(AF$84,'Infos Techniques'!$B$7:$E$12,2,0)/($V91*$X$39/12)</f>
        <v>6.6877310924369748</v>
      </c>
      <c r="AG91" s="43">
        <f>VLOOKUP(AG$84,'Infos Techniques'!$B$7:$E$12,2,0)/($V91*$X$39/12)</f>
        <v>5.3485714285714288</v>
      </c>
      <c r="AH91" s="43">
        <f>VLOOKUP(AH$84,'Infos Techniques'!$B$7:$E$12,4,0)/($V91*$X$39/12)</f>
        <v>12.100840336134453</v>
      </c>
      <c r="AI91" s="43">
        <f>VLOOKUP(AI$84,'Infos Techniques'!$B$7:$E$12,4,0)/($V91*$X$39/12)</f>
        <v>12.100840336134453</v>
      </c>
      <c r="AJ91" s="43">
        <f>VLOOKUP(AJ$84,'Infos Techniques'!$B$7:$E$12,4,0)/($V91*$X$39/12)</f>
        <v>12.100840336134453</v>
      </c>
      <c r="AK91" s="247">
        <f>VLOOKUP(AK$84,'Infos Techniques'!$B$7:$E$12,4,0)/($V91*$X$39/12)</f>
        <v>6.6877310924369748</v>
      </c>
      <c r="AL91" s="248">
        <f>VLOOKUP(AL$84,'Infos Techniques'!$B$7:$E$12,4,0)/($V91*$X$39/12)</f>
        <v>5.3485714285714288</v>
      </c>
    </row>
    <row r="92" spans="2:38">
      <c r="B92" s="1849"/>
      <c r="C92" s="70">
        <v>40</v>
      </c>
      <c r="D92" s="76">
        <f t="shared" si="15"/>
        <v>7.0588235294117654</v>
      </c>
      <c r="E92" s="43">
        <f t="shared" si="16"/>
        <v>4.8705882352941181</v>
      </c>
      <c r="F92" s="43">
        <f t="shared" si="17"/>
        <v>4.0941176470588241</v>
      </c>
      <c r="G92" s="43">
        <f t="shared" si="18"/>
        <v>2.9223529411764706</v>
      </c>
      <c r="H92" s="43">
        <f t="shared" si="19"/>
        <v>2.3364705882352941</v>
      </c>
      <c r="I92" s="47">
        <f t="shared" si="20"/>
        <v>8.4705882352941178</v>
      </c>
      <c r="J92" s="43">
        <f t="shared" si="21"/>
        <v>8.4705882352941178</v>
      </c>
      <c r="K92" s="43">
        <f t="shared" si="22"/>
        <v>8.1882352941176482</v>
      </c>
      <c r="L92" s="43">
        <f t="shared" si="23"/>
        <v>5.8517647058823536</v>
      </c>
      <c r="M92" s="43">
        <f t="shared" si="24"/>
        <v>4.6800000000000006</v>
      </c>
      <c r="N92" s="47">
        <f t="shared" si="25"/>
        <v>9.5000000000000018</v>
      </c>
      <c r="O92" s="43">
        <f t="shared" si="26"/>
        <v>9.5000000000000018</v>
      </c>
      <c r="P92" s="43">
        <f t="shared" si="27"/>
        <v>9.5000000000000018</v>
      </c>
      <c r="Q92" s="43">
        <f t="shared" si="28"/>
        <v>5.8517647058823536</v>
      </c>
      <c r="R92" s="63">
        <f t="shared" si="29"/>
        <v>4.6800000000000006</v>
      </c>
      <c r="U92" s="1601"/>
      <c r="V92" s="28">
        <v>40</v>
      </c>
      <c r="W92" s="43" cm="1">
        <f t="array" ref="W92">VLOOKUP(MAX(IF('Courbe Déflexion'!$GG$25:$GG$305&lt;=V92,'Courbe Déflexion'!$GG$25:$GG$305)),'Courbe Déflexion'!$GG$25:$IA$305,8,0)</f>
        <v>9.5000000000000018</v>
      </c>
      <c r="X92" s="43">
        <f>VLOOKUP(X$84,'Infos Techniques'!$B$7:$E$12,3,0)/($V92*$X$39/12)</f>
        <v>7.0588235294117654</v>
      </c>
      <c r="Y92" s="43">
        <f>VLOOKUP(Y$84,'Infos Techniques'!$B$7:$E$12,3,0)/($V92*$X$39/12)</f>
        <v>4.8705882352941181</v>
      </c>
      <c r="Z92" s="43">
        <f>VLOOKUP(Z$84,'Infos Techniques'!$B$7:$E$12,3,0)/($V92*$X$39/12)</f>
        <v>4.0941176470588241</v>
      </c>
      <c r="AA92" s="43">
        <f>VLOOKUP(AA$84,'Infos Techniques'!$B$7:$E$12,3,0)/($V92*$X$39/12)</f>
        <v>2.9223529411764706</v>
      </c>
      <c r="AB92" s="43">
        <f>VLOOKUP(AB$84,'Infos Techniques'!$B$7:$E$12,3,0)/($V92*$X$39/12)</f>
        <v>2.3364705882352941</v>
      </c>
      <c r="AC92" s="43">
        <f>VLOOKUP(AC$84,'Infos Techniques'!$B$7:$E$12,2,0)/($V92*$X$39/12)</f>
        <v>8.4705882352941178</v>
      </c>
      <c r="AD92" s="43">
        <f>VLOOKUP(AD$84,'Infos Techniques'!$B$7:$E$12,2,0)/($V92*$X$39/12)</f>
        <v>8.4705882352941178</v>
      </c>
      <c r="AE92" s="43">
        <f>VLOOKUP(AE$84,'Infos Techniques'!$B$7:$E$12,2,0)/($V92*$X$39/12)</f>
        <v>8.1882352941176482</v>
      </c>
      <c r="AF92" s="43">
        <f>VLOOKUP(AF$84,'Infos Techniques'!$B$7:$E$12,2,0)/($V92*$X$39/12)</f>
        <v>5.8517647058823536</v>
      </c>
      <c r="AG92" s="43">
        <f>VLOOKUP(AG$84,'Infos Techniques'!$B$7:$E$12,2,0)/($V92*$X$39/12)</f>
        <v>4.6800000000000006</v>
      </c>
      <c r="AH92" s="43">
        <f>VLOOKUP(AH$84,'Infos Techniques'!$B$7:$E$12,4,0)/($V92*$X$39/12)</f>
        <v>10.588235294117649</v>
      </c>
      <c r="AI92" s="43">
        <f>VLOOKUP(AI$84,'Infos Techniques'!$B$7:$E$12,4,0)/($V92*$X$39/12)</f>
        <v>10.588235294117649</v>
      </c>
      <c r="AJ92" s="43">
        <f>VLOOKUP(AJ$84,'Infos Techniques'!$B$7:$E$12,4,0)/($V92*$X$39/12)</f>
        <v>10.588235294117649</v>
      </c>
      <c r="AK92" s="247">
        <f>VLOOKUP(AK$84,'Infos Techniques'!$B$7:$E$12,4,0)/($V92*$X$39/12)</f>
        <v>5.8517647058823536</v>
      </c>
      <c r="AL92" s="248">
        <f>VLOOKUP(AL$84,'Infos Techniques'!$B$7:$E$12,4,0)/($V92*$X$39/12)</f>
        <v>4.6800000000000006</v>
      </c>
    </row>
    <row r="93" spans="2:38">
      <c r="B93" s="1849"/>
      <c r="C93" s="70">
        <v>45</v>
      </c>
      <c r="D93" s="76">
        <f t="shared" si="15"/>
        <v>6.2745098039215685</v>
      </c>
      <c r="E93" s="43">
        <f t="shared" si="16"/>
        <v>4.3294117647058821</v>
      </c>
      <c r="F93" s="43">
        <f t="shared" si="17"/>
        <v>3.6392156862745098</v>
      </c>
      <c r="G93" s="43">
        <f t="shared" si="18"/>
        <v>2.5976470588235294</v>
      </c>
      <c r="H93" s="43">
        <f t="shared" si="19"/>
        <v>2.076862745098039</v>
      </c>
      <c r="I93" s="47">
        <f t="shared" si="20"/>
        <v>7.5294117647058822</v>
      </c>
      <c r="J93" s="43">
        <f t="shared" si="21"/>
        <v>7.5294117647058822</v>
      </c>
      <c r="K93" s="43">
        <f t="shared" si="22"/>
        <v>7.2784313725490195</v>
      </c>
      <c r="L93" s="43">
        <f t="shared" si="23"/>
        <v>5.20156862745098</v>
      </c>
      <c r="M93" s="43">
        <f t="shared" si="24"/>
        <v>4.16</v>
      </c>
      <c r="N93" s="47">
        <f t="shared" si="25"/>
        <v>9.4117647058823533</v>
      </c>
      <c r="O93" s="43">
        <f t="shared" si="26"/>
        <v>9.4117647058823533</v>
      </c>
      <c r="P93" s="43">
        <f t="shared" si="27"/>
        <v>9.4117647058823533</v>
      </c>
      <c r="Q93" s="43">
        <f t="shared" si="28"/>
        <v>5.20156862745098</v>
      </c>
      <c r="R93" s="63">
        <f t="shared" si="29"/>
        <v>4.16</v>
      </c>
      <c r="U93" s="1601"/>
      <c r="V93" s="28">
        <v>45</v>
      </c>
      <c r="W93" s="43" cm="1">
        <f t="array" ref="W93">VLOOKUP(MAX(IF('Courbe Déflexion'!$GG$25:$GG$305&lt;=V93,'Courbe Déflexion'!$GG$25:$GG$305)),'Courbe Déflexion'!$GG$25:$IA$305,8,0)</f>
        <v>10.500000000000002</v>
      </c>
      <c r="X93" s="43">
        <f>VLOOKUP(X$84,'Infos Techniques'!$B$7:$E$12,3,0)/($V93*$X$39/12)</f>
        <v>6.2745098039215685</v>
      </c>
      <c r="Y93" s="43">
        <f>VLOOKUP(Y$84,'Infos Techniques'!$B$7:$E$12,3,0)/($V93*$X$39/12)</f>
        <v>4.3294117647058821</v>
      </c>
      <c r="Z93" s="43">
        <f>VLOOKUP(Z$84,'Infos Techniques'!$B$7:$E$12,3,0)/($V93*$X$39/12)</f>
        <v>3.6392156862745098</v>
      </c>
      <c r="AA93" s="43">
        <f>VLOOKUP(AA$84,'Infos Techniques'!$B$7:$E$12,3,0)/($V93*$X$39/12)</f>
        <v>2.5976470588235294</v>
      </c>
      <c r="AB93" s="43">
        <f>VLOOKUP(AB$84,'Infos Techniques'!$B$7:$E$12,3,0)/($V93*$X$39/12)</f>
        <v>2.076862745098039</v>
      </c>
      <c r="AC93" s="43">
        <f>VLOOKUP(AC$84,'Infos Techniques'!$B$7:$E$12,2,0)/($V93*$X$39/12)</f>
        <v>7.5294117647058822</v>
      </c>
      <c r="AD93" s="43">
        <f>VLOOKUP(AD$84,'Infos Techniques'!$B$7:$E$12,2,0)/($V93*$X$39/12)</f>
        <v>7.5294117647058822</v>
      </c>
      <c r="AE93" s="43">
        <f>VLOOKUP(AE$84,'Infos Techniques'!$B$7:$E$12,2,0)/($V93*$X$39/12)</f>
        <v>7.2784313725490195</v>
      </c>
      <c r="AF93" s="43">
        <f>VLOOKUP(AF$84,'Infos Techniques'!$B$7:$E$12,2,0)/($V93*$X$39/12)</f>
        <v>5.20156862745098</v>
      </c>
      <c r="AG93" s="43">
        <f>VLOOKUP(AG$84,'Infos Techniques'!$B$7:$E$12,2,0)/($V93*$X$39/12)</f>
        <v>4.16</v>
      </c>
      <c r="AH93" s="43">
        <f>VLOOKUP(AH$84,'Infos Techniques'!$B$7:$E$12,4,0)/($V93*$X$39/12)</f>
        <v>9.4117647058823533</v>
      </c>
      <c r="AI93" s="43">
        <f>VLOOKUP(AI$84,'Infos Techniques'!$B$7:$E$12,4,0)/($V93*$X$39/12)</f>
        <v>9.4117647058823533</v>
      </c>
      <c r="AJ93" s="43">
        <f>VLOOKUP(AJ$84,'Infos Techniques'!$B$7:$E$12,4,0)/($V93*$X$39/12)</f>
        <v>9.4117647058823533</v>
      </c>
      <c r="AK93" s="247">
        <f>VLOOKUP(AK$84,'Infos Techniques'!$B$7:$E$12,4,0)/($V93*$X$39/12)</f>
        <v>5.20156862745098</v>
      </c>
      <c r="AL93" s="248">
        <f>VLOOKUP(AL$84,'Infos Techniques'!$B$7:$E$12,4,0)/($V93*$X$39/12)</f>
        <v>4.16</v>
      </c>
    </row>
    <row r="94" spans="2:38" ht="15" thickBot="1">
      <c r="B94" s="1849"/>
      <c r="C94" s="71">
        <v>50</v>
      </c>
      <c r="D94" s="77">
        <f t="shared" si="15"/>
        <v>5.6470588235294112</v>
      </c>
      <c r="E94" s="60">
        <f t="shared" si="16"/>
        <v>3.8964705882352941</v>
      </c>
      <c r="F94" s="60">
        <f t="shared" si="17"/>
        <v>3.2752941176470585</v>
      </c>
      <c r="G94" s="60">
        <f t="shared" si="18"/>
        <v>2.3378823529411763</v>
      </c>
      <c r="H94" s="60">
        <f t="shared" si="19"/>
        <v>1.8691764705882352</v>
      </c>
      <c r="I94" s="58">
        <f t="shared" si="20"/>
        <v>6.776470588235294</v>
      </c>
      <c r="J94" s="60">
        <f t="shared" si="21"/>
        <v>6.776470588235294</v>
      </c>
      <c r="K94" s="60">
        <f t="shared" si="22"/>
        <v>6.5505882352941169</v>
      </c>
      <c r="L94" s="60">
        <f t="shared" si="23"/>
        <v>4.6814117647058824</v>
      </c>
      <c r="M94" s="60">
        <f t="shared" si="24"/>
        <v>3.7439999999999998</v>
      </c>
      <c r="N94" s="58">
        <f t="shared" si="25"/>
        <v>8.4705882352941178</v>
      </c>
      <c r="O94" s="60">
        <f t="shared" si="26"/>
        <v>8.4705882352941178</v>
      </c>
      <c r="P94" s="60">
        <f t="shared" si="27"/>
        <v>8.4705882352941178</v>
      </c>
      <c r="Q94" s="60">
        <f t="shared" si="28"/>
        <v>4.6814117647058824</v>
      </c>
      <c r="R94" s="64">
        <f t="shared" si="29"/>
        <v>3.7439999999999998</v>
      </c>
      <c r="U94" s="1601"/>
      <c r="V94" s="28">
        <v>50</v>
      </c>
      <c r="W94" s="43" cm="1">
        <f t="array" ref="W94">VLOOKUP(MAX(IF('Courbe Déflexion'!$GG$25:$GG$305&lt;=V94,'Courbe Déflexion'!$GG$25:$GG$305)),'Courbe Déflexion'!$GG$25:$IA$305,8,0)</f>
        <v>12.200000000000003</v>
      </c>
      <c r="X94" s="43">
        <f>VLOOKUP(X$84,'Infos Techniques'!$B$7:$E$12,3,0)/($V94*$X$39/12)</f>
        <v>5.6470588235294112</v>
      </c>
      <c r="Y94" s="43">
        <f>VLOOKUP(Y$84,'Infos Techniques'!$B$7:$E$12,3,0)/($V94*$X$39/12)</f>
        <v>3.8964705882352941</v>
      </c>
      <c r="Z94" s="43">
        <f>VLOOKUP(Z$84,'Infos Techniques'!$B$7:$E$12,3,0)/($V94*$X$39/12)</f>
        <v>3.2752941176470585</v>
      </c>
      <c r="AA94" s="43">
        <f>VLOOKUP(AA$84,'Infos Techniques'!$B$7:$E$12,3,0)/($V94*$X$39/12)</f>
        <v>2.3378823529411763</v>
      </c>
      <c r="AB94" s="43">
        <f>VLOOKUP(AB$84,'Infos Techniques'!$B$7:$E$12,3,0)/($V94*$X$39/12)</f>
        <v>1.8691764705882352</v>
      </c>
      <c r="AC94" s="43">
        <f>VLOOKUP(AC$84,'Infos Techniques'!$B$7:$E$12,2,0)/($V94*$X$39/12)</f>
        <v>6.776470588235294</v>
      </c>
      <c r="AD94" s="43">
        <f>VLOOKUP(AD$84,'Infos Techniques'!$B$7:$E$12,2,0)/($V94*$X$39/12)</f>
        <v>6.776470588235294</v>
      </c>
      <c r="AE94" s="43">
        <f>VLOOKUP(AE$84,'Infos Techniques'!$B$7:$E$12,2,0)/($V94*$X$39/12)</f>
        <v>6.5505882352941169</v>
      </c>
      <c r="AF94" s="43">
        <f>VLOOKUP(AF$84,'Infos Techniques'!$B$7:$E$12,2,0)/($V94*$X$39/12)</f>
        <v>4.6814117647058824</v>
      </c>
      <c r="AG94" s="43">
        <f>VLOOKUP(AG$84,'Infos Techniques'!$B$7:$E$12,2,0)/($V94*$X$39/12)</f>
        <v>3.7439999999999998</v>
      </c>
      <c r="AH94" s="43">
        <f>VLOOKUP(AH$84,'Infos Techniques'!$B$7:$E$12,4,0)/($V94*$X$39/12)</f>
        <v>8.4705882352941178</v>
      </c>
      <c r="AI94" s="43">
        <f>VLOOKUP(AI$84,'Infos Techniques'!$B$7:$E$12,4,0)/($V94*$X$39/12)</f>
        <v>8.4705882352941178</v>
      </c>
      <c r="AJ94" s="43">
        <f>VLOOKUP(AJ$84,'Infos Techniques'!$B$7:$E$12,4,0)/($V94*$X$39/12)</f>
        <v>8.4705882352941178</v>
      </c>
      <c r="AK94" s="247">
        <f>VLOOKUP(AK$84,'Infos Techniques'!$B$7:$E$12,4,0)/($V94*$X$39/12)</f>
        <v>4.6814117647058824</v>
      </c>
      <c r="AL94" s="248">
        <f>VLOOKUP(AL$84,'Infos Techniques'!$B$7:$E$12,4,0)/($V94*$X$39/12)</f>
        <v>3.7439999999999998</v>
      </c>
    </row>
    <row r="95" spans="2:38">
      <c r="B95" s="1849"/>
      <c r="C95" s="69">
        <v>55</v>
      </c>
      <c r="D95" s="75">
        <f t="shared" si="15"/>
        <v>5.1336898395721926</v>
      </c>
      <c r="E95" s="59">
        <f t="shared" si="16"/>
        <v>3.542245989304813</v>
      </c>
      <c r="F95" s="59">
        <f t="shared" si="17"/>
        <v>2.9775401069518717</v>
      </c>
      <c r="G95" s="59">
        <f t="shared" si="18"/>
        <v>2.1253475935828878</v>
      </c>
      <c r="H95" s="59">
        <f t="shared" si="19"/>
        <v>1.6992513368983959</v>
      </c>
      <c r="I95" s="46">
        <f t="shared" si="20"/>
        <v>6.1604278074866317</v>
      </c>
      <c r="J95" s="59">
        <f t="shared" si="21"/>
        <v>6.1604278074866317</v>
      </c>
      <c r="K95" s="59">
        <f t="shared" si="22"/>
        <v>5.9550802139037433</v>
      </c>
      <c r="L95" s="59">
        <f t="shared" si="23"/>
        <v>4.2558288770053476</v>
      </c>
      <c r="M95" s="59">
        <f t="shared" si="24"/>
        <v>3.4036363636363638</v>
      </c>
      <c r="N95" s="46">
        <f t="shared" si="25"/>
        <v>7.7005347593582893</v>
      </c>
      <c r="O95" s="59">
        <f t="shared" si="26"/>
        <v>7.7005347593582893</v>
      </c>
      <c r="P95" s="59">
        <f t="shared" si="27"/>
        <v>7.7005347593582893</v>
      </c>
      <c r="Q95" s="59">
        <f t="shared" si="28"/>
        <v>4.2558288770053476</v>
      </c>
      <c r="R95" s="62">
        <f t="shared" si="29"/>
        <v>3.4036363636363638</v>
      </c>
      <c r="U95" s="1601"/>
      <c r="V95" s="28">
        <v>55</v>
      </c>
      <c r="W95" s="43" cm="1">
        <f t="array" ref="W95">VLOOKUP(MAX(IF('Courbe Déflexion'!$GG$25:$GG$305&lt;=V95,'Courbe Déflexion'!$GG$25:$GG$305)),'Courbe Déflexion'!$GG$25:$IA$305,8,0)</f>
        <v>13</v>
      </c>
      <c r="X95" s="43">
        <f>VLOOKUP(X$84,'Infos Techniques'!$B$7:$E$12,3,0)/($V95*$X$39/12)</f>
        <v>5.1336898395721926</v>
      </c>
      <c r="Y95" s="43">
        <f>VLOOKUP(Y$84,'Infos Techniques'!$B$7:$E$12,3,0)/($V95*$X$39/12)</f>
        <v>3.542245989304813</v>
      </c>
      <c r="Z95" s="43">
        <f>VLOOKUP(Z$84,'Infos Techniques'!$B$7:$E$12,3,0)/($V95*$X$39/12)</f>
        <v>2.9775401069518717</v>
      </c>
      <c r="AA95" s="43">
        <f>VLOOKUP(AA$84,'Infos Techniques'!$B$7:$E$12,3,0)/($V95*$X$39/12)</f>
        <v>2.1253475935828878</v>
      </c>
      <c r="AB95" s="43">
        <f>VLOOKUP(AB$84,'Infos Techniques'!$B$7:$E$12,3,0)/($V95*$X$39/12)</f>
        <v>1.6992513368983959</v>
      </c>
      <c r="AC95" s="43">
        <f>VLOOKUP(AC$84,'Infos Techniques'!$B$7:$E$12,2,0)/($V95*$X$39/12)</f>
        <v>6.1604278074866317</v>
      </c>
      <c r="AD95" s="43">
        <f>VLOOKUP(AD$84,'Infos Techniques'!$B$7:$E$12,2,0)/($V95*$X$39/12)</f>
        <v>6.1604278074866317</v>
      </c>
      <c r="AE95" s="43">
        <f>VLOOKUP(AE$84,'Infos Techniques'!$B$7:$E$12,2,0)/($V95*$X$39/12)</f>
        <v>5.9550802139037433</v>
      </c>
      <c r="AF95" s="43">
        <f>VLOOKUP(AF$84,'Infos Techniques'!$B$7:$E$12,2,0)/($V95*$X$39/12)</f>
        <v>4.2558288770053476</v>
      </c>
      <c r="AG95" s="43">
        <f>VLOOKUP(AG$84,'Infos Techniques'!$B$7:$E$12,2,0)/($V95*$X$39/12)</f>
        <v>3.4036363636363638</v>
      </c>
      <c r="AH95" s="43">
        <f>VLOOKUP(AH$84,'Infos Techniques'!$B$7:$E$12,4,0)/($V95*$X$39/12)</f>
        <v>7.7005347593582893</v>
      </c>
      <c r="AI95" s="43">
        <f>VLOOKUP(AI$84,'Infos Techniques'!$B$7:$E$12,4,0)/($V95*$X$39/12)</f>
        <v>7.7005347593582893</v>
      </c>
      <c r="AJ95" s="43">
        <f>VLOOKUP(AJ$84,'Infos Techniques'!$B$7:$E$12,4,0)/($V95*$X$39/12)</f>
        <v>7.7005347593582893</v>
      </c>
      <c r="AK95" s="247">
        <f>VLOOKUP(AK$84,'Infos Techniques'!$B$7:$E$12,4,0)/($V95*$X$39/12)</f>
        <v>4.2558288770053476</v>
      </c>
      <c r="AL95" s="248">
        <f>VLOOKUP(AL$84,'Infos Techniques'!$B$7:$E$12,4,0)/($V95*$X$39/12)</f>
        <v>3.4036363636363638</v>
      </c>
    </row>
    <row r="96" spans="2:38">
      <c r="B96" s="1849"/>
      <c r="C96" s="70">
        <v>60</v>
      </c>
      <c r="D96" s="76">
        <f t="shared" si="15"/>
        <v>4.7058823529411766</v>
      </c>
      <c r="E96" s="43">
        <f t="shared" si="16"/>
        <v>3.2470588235294118</v>
      </c>
      <c r="F96" s="43">
        <f t="shared" si="17"/>
        <v>2.7294117647058824</v>
      </c>
      <c r="G96" s="43">
        <f t="shared" si="18"/>
        <v>1.9482352941176471</v>
      </c>
      <c r="H96" s="43">
        <f t="shared" si="19"/>
        <v>1.5576470588235294</v>
      </c>
      <c r="I96" s="47">
        <f t="shared" si="20"/>
        <v>5.6470588235294121</v>
      </c>
      <c r="J96" s="43">
        <f t="shared" si="21"/>
        <v>5.6470588235294121</v>
      </c>
      <c r="K96" s="43">
        <f t="shared" si="22"/>
        <v>5.4588235294117649</v>
      </c>
      <c r="L96" s="43">
        <f t="shared" si="23"/>
        <v>3.9011764705882355</v>
      </c>
      <c r="M96" s="43">
        <f t="shared" si="24"/>
        <v>3.12</v>
      </c>
      <c r="N96" s="47">
        <f t="shared" si="25"/>
        <v>7.0588235294117645</v>
      </c>
      <c r="O96" s="43">
        <f t="shared" si="26"/>
        <v>7.0588235294117645</v>
      </c>
      <c r="P96" s="43">
        <f t="shared" si="27"/>
        <v>7.0588235294117645</v>
      </c>
      <c r="Q96" s="43">
        <f t="shared" si="28"/>
        <v>3.9011764705882355</v>
      </c>
      <c r="R96" s="63">
        <f t="shared" si="29"/>
        <v>3.12</v>
      </c>
      <c r="U96" s="1601"/>
      <c r="V96" s="28">
        <v>60</v>
      </c>
      <c r="W96" s="43" cm="1">
        <f t="array" ref="W96">VLOOKUP(MAX(IF('Courbe Déflexion'!$GG$25:$GG$305&lt;=V96,'Courbe Déflexion'!$GG$25:$GG$305)),'Courbe Déflexion'!$GG$25:$IA$305,8,0)</f>
        <v>13.8</v>
      </c>
      <c r="X96" s="43">
        <f>VLOOKUP(X$84,'Infos Techniques'!$B$7:$E$12,3,0)/($V96*$X$39/12)</f>
        <v>4.7058823529411766</v>
      </c>
      <c r="Y96" s="43">
        <f>VLOOKUP(Y$84,'Infos Techniques'!$B$7:$E$12,3,0)/($V96*$X$39/12)</f>
        <v>3.2470588235294118</v>
      </c>
      <c r="Z96" s="43">
        <f>VLOOKUP(Z$84,'Infos Techniques'!$B$7:$E$12,3,0)/($V96*$X$39/12)</f>
        <v>2.7294117647058824</v>
      </c>
      <c r="AA96" s="43">
        <f>VLOOKUP(AA$84,'Infos Techniques'!$B$7:$E$12,3,0)/($V96*$X$39/12)</f>
        <v>1.9482352941176471</v>
      </c>
      <c r="AB96" s="43">
        <f>VLOOKUP(AB$84,'Infos Techniques'!$B$7:$E$12,3,0)/($V96*$X$39/12)</f>
        <v>1.5576470588235294</v>
      </c>
      <c r="AC96" s="43">
        <f>VLOOKUP(AC$84,'Infos Techniques'!$B$7:$E$12,2,0)/($V96*$X$39/12)</f>
        <v>5.6470588235294121</v>
      </c>
      <c r="AD96" s="43">
        <f>VLOOKUP(AD$84,'Infos Techniques'!$B$7:$E$12,2,0)/($V96*$X$39/12)</f>
        <v>5.6470588235294121</v>
      </c>
      <c r="AE96" s="43">
        <f>VLOOKUP(AE$84,'Infos Techniques'!$B$7:$E$12,2,0)/($V96*$X$39/12)</f>
        <v>5.4588235294117649</v>
      </c>
      <c r="AF96" s="43">
        <f>VLOOKUP(AF$84,'Infos Techniques'!$B$7:$E$12,2,0)/($V96*$X$39/12)</f>
        <v>3.9011764705882355</v>
      </c>
      <c r="AG96" s="43">
        <f>VLOOKUP(AG$84,'Infos Techniques'!$B$7:$E$12,2,0)/($V96*$X$39/12)</f>
        <v>3.12</v>
      </c>
      <c r="AH96" s="43">
        <f>VLOOKUP(AH$84,'Infos Techniques'!$B$7:$E$12,4,0)/($V96*$X$39/12)</f>
        <v>7.0588235294117645</v>
      </c>
      <c r="AI96" s="43">
        <f>VLOOKUP(AI$84,'Infos Techniques'!$B$7:$E$12,4,0)/($V96*$X$39/12)</f>
        <v>7.0588235294117645</v>
      </c>
      <c r="AJ96" s="43">
        <f>VLOOKUP(AJ$84,'Infos Techniques'!$B$7:$E$12,4,0)/($V96*$X$39/12)</f>
        <v>7.0588235294117645</v>
      </c>
      <c r="AK96" s="247">
        <f>VLOOKUP(AK$84,'Infos Techniques'!$B$7:$E$12,4,0)/($V96*$X$39/12)</f>
        <v>3.9011764705882355</v>
      </c>
      <c r="AL96" s="248">
        <f>VLOOKUP(AL$84,'Infos Techniques'!$B$7:$E$12,4,0)/($V96*$X$39/12)</f>
        <v>3.12</v>
      </c>
    </row>
    <row r="97" spans="2:38">
      <c r="B97" s="1849"/>
      <c r="C97" s="70">
        <v>65</v>
      </c>
      <c r="D97" s="76">
        <f t="shared" si="15"/>
        <v>4.3438914027149318</v>
      </c>
      <c r="E97" s="43">
        <f t="shared" si="16"/>
        <v>2.9972850678733032</v>
      </c>
      <c r="F97" s="43">
        <f t="shared" si="17"/>
        <v>2.5194570135746606</v>
      </c>
      <c r="G97" s="43">
        <f t="shared" si="18"/>
        <v>1.7983710407239819</v>
      </c>
      <c r="H97" s="43">
        <f t="shared" si="19"/>
        <v>1.4378280542986426</v>
      </c>
      <c r="I97" s="47">
        <f t="shared" si="20"/>
        <v>5.2126696832579187</v>
      </c>
      <c r="J97" s="43">
        <f t="shared" si="21"/>
        <v>5.2126696832579187</v>
      </c>
      <c r="K97" s="43">
        <f t="shared" si="22"/>
        <v>5.0389140271493211</v>
      </c>
      <c r="L97" s="43">
        <f t="shared" si="23"/>
        <v>3.6010859728506786</v>
      </c>
      <c r="M97" s="43">
        <f t="shared" si="24"/>
        <v>2.88</v>
      </c>
      <c r="N97" s="47">
        <f t="shared" si="25"/>
        <v>6.5158371040723981</v>
      </c>
      <c r="O97" s="43">
        <f t="shared" si="26"/>
        <v>6.5158371040723981</v>
      </c>
      <c r="P97" s="43">
        <f t="shared" si="27"/>
        <v>6.5158371040723981</v>
      </c>
      <c r="Q97" s="43">
        <f t="shared" si="28"/>
        <v>3.6010859728506786</v>
      </c>
      <c r="R97" s="63">
        <f t="shared" si="29"/>
        <v>2.88</v>
      </c>
      <c r="U97" s="1601"/>
      <c r="V97" s="28">
        <v>65</v>
      </c>
      <c r="W97" s="43" cm="1">
        <f t="array" ref="W97">VLOOKUP(MAX(IF('Courbe Déflexion'!$GG$25:$GG$305&lt;=V97,'Courbe Déflexion'!$GG$25:$GG$305)),'Courbe Déflexion'!$GG$25:$IA$305,8,0)</f>
        <v>15.600000000000001</v>
      </c>
      <c r="X97" s="43">
        <f>VLOOKUP(X$84,'Infos Techniques'!$B$7:$E$12,3,0)/($V97*$X$39/12)</f>
        <v>4.3438914027149318</v>
      </c>
      <c r="Y97" s="43">
        <f>VLOOKUP(Y$84,'Infos Techniques'!$B$7:$E$12,3,0)/($V97*$X$39/12)</f>
        <v>2.9972850678733032</v>
      </c>
      <c r="Z97" s="43">
        <f>VLOOKUP(Z$84,'Infos Techniques'!$B$7:$E$12,3,0)/($V97*$X$39/12)</f>
        <v>2.5194570135746606</v>
      </c>
      <c r="AA97" s="43">
        <f>VLOOKUP(AA$84,'Infos Techniques'!$B$7:$E$12,3,0)/($V97*$X$39/12)</f>
        <v>1.7983710407239819</v>
      </c>
      <c r="AB97" s="43">
        <f>VLOOKUP(AB$84,'Infos Techniques'!$B$7:$E$12,3,0)/($V97*$X$39/12)</f>
        <v>1.4378280542986426</v>
      </c>
      <c r="AC97" s="43">
        <f>VLOOKUP(AC$84,'Infos Techniques'!$B$7:$E$12,2,0)/($V97*$X$39/12)</f>
        <v>5.2126696832579187</v>
      </c>
      <c r="AD97" s="43">
        <f>VLOOKUP(AD$84,'Infos Techniques'!$B$7:$E$12,2,0)/($V97*$X$39/12)</f>
        <v>5.2126696832579187</v>
      </c>
      <c r="AE97" s="43">
        <f>VLOOKUP(AE$84,'Infos Techniques'!$B$7:$E$12,2,0)/($V97*$X$39/12)</f>
        <v>5.0389140271493211</v>
      </c>
      <c r="AF97" s="43">
        <f>VLOOKUP(AF$84,'Infos Techniques'!$B$7:$E$12,2,0)/($V97*$X$39/12)</f>
        <v>3.6010859728506786</v>
      </c>
      <c r="AG97" s="43">
        <f>VLOOKUP(AG$84,'Infos Techniques'!$B$7:$E$12,2,0)/($V97*$X$39/12)</f>
        <v>2.88</v>
      </c>
      <c r="AH97" s="43">
        <f>VLOOKUP(AH$84,'Infos Techniques'!$B$7:$E$12,4,0)/($V97*$X$39/12)</f>
        <v>6.5158371040723981</v>
      </c>
      <c r="AI97" s="43">
        <f>VLOOKUP(AI$84,'Infos Techniques'!$B$7:$E$12,4,0)/($V97*$X$39/12)</f>
        <v>6.5158371040723981</v>
      </c>
      <c r="AJ97" s="43">
        <f>VLOOKUP(AJ$84,'Infos Techniques'!$B$7:$E$12,4,0)/($V97*$X$39/12)</f>
        <v>6.5158371040723981</v>
      </c>
      <c r="AK97" s="247">
        <f>VLOOKUP(AK$84,'Infos Techniques'!$B$7:$E$12,4,0)/($V97*$X$39/12)</f>
        <v>3.6010859728506786</v>
      </c>
      <c r="AL97" s="248">
        <f>VLOOKUP(AL$84,'Infos Techniques'!$B$7:$E$12,4,0)/($V97*$X$39/12)</f>
        <v>2.88</v>
      </c>
    </row>
    <row r="98" spans="2:38">
      <c r="B98" s="1849"/>
      <c r="C98" s="70">
        <v>70</v>
      </c>
      <c r="D98" s="76">
        <f t="shared" si="15"/>
        <v>4.0336134453781511</v>
      </c>
      <c r="E98" s="43">
        <f t="shared" si="16"/>
        <v>2.7831932773109247</v>
      </c>
      <c r="F98" s="43">
        <f t="shared" si="17"/>
        <v>2.3394957983193279</v>
      </c>
      <c r="G98" s="43">
        <f t="shared" si="18"/>
        <v>1.6699159663865546</v>
      </c>
      <c r="H98" s="43">
        <f t="shared" si="19"/>
        <v>1.3351260504201681</v>
      </c>
      <c r="I98" s="47">
        <f t="shared" si="20"/>
        <v>4.8403361344537821</v>
      </c>
      <c r="J98" s="43">
        <f t="shared" si="21"/>
        <v>4.8403361344537821</v>
      </c>
      <c r="K98" s="43">
        <f t="shared" si="22"/>
        <v>4.6789915966386557</v>
      </c>
      <c r="L98" s="43">
        <f t="shared" si="23"/>
        <v>3.3438655462184874</v>
      </c>
      <c r="M98" s="43">
        <f t="shared" si="24"/>
        <v>2.6742857142857144</v>
      </c>
      <c r="N98" s="47">
        <f t="shared" si="25"/>
        <v>6.0504201680672267</v>
      </c>
      <c r="O98" s="43">
        <f t="shared" si="26"/>
        <v>6.0504201680672267</v>
      </c>
      <c r="P98" s="43">
        <f t="shared" si="27"/>
        <v>6.0504201680672267</v>
      </c>
      <c r="Q98" s="43">
        <f t="shared" si="28"/>
        <v>3.3438655462184874</v>
      </c>
      <c r="R98" s="63">
        <f t="shared" si="29"/>
        <v>2.6742857142857144</v>
      </c>
      <c r="U98" s="1601"/>
      <c r="V98" s="28">
        <v>70</v>
      </c>
      <c r="W98" s="43" cm="1">
        <f t="array" ref="W98">VLOOKUP(MAX(IF('Courbe Déflexion'!$GG$25:$GG$305&lt;=V98,'Courbe Déflexion'!$GG$25:$GG$305)),'Courbe Déflexion'!$GG$25:$IA$305,8,0)</f>
        <v>16.599999999999994</v>
      </c>
      <c r="X98" s="43">
        <f>VLOOKUP(X$84,'Infos Techniques'!$B$7:$E$12,3,0)/($V98*$X$39/12)</f>
        <v>4.0336134453781511</v>
      </c>
      <c r="Y98" s="43">
        <f>VLOOKUP(Y$84,'Infos Techniques'!$B$7:$E$12,3,0)/($V98*$X$39/12)</f>
        <v>2.7831932773109247</v>
      </c>
      <c r="Z98" s="43">
        <f>VLOOKUP(Z$84,'Infos Techniques'!$B$7:$E$12,3,0)/($V98*$X$39/12)</f>
        <v>2.3394957983193279</v>
      </c>
      <c r="AA98" s="43">
        <f>VLOOKUP(AA$84,'Infos Techniques'!$B$7:$E$12,3,0)/($V98*$X$39/12)</f>
        <v>1.6699159663865546</v>
      </c>
      <c r="AB98" s="43">
        <f>VLOOKUP(AB$84,'Infos Techniques'!$B$7:$E$12,3,0)/($V98*$X$39/12)</f>
        <v>1.3351260504201681</v>
      </c>
      <c r="AC98" s="43">
        <f>VLOOKUP(AC$84,'Infos Techniques'!$B$7:$E$12,2,0)/($V98*$X$39/12)</f>
        <v>4.8403361344537821</v>
      </c>
      <c r="AD98" s="43">
        <f>VLOOKUP(AD$84,'Infos Techniques'!$B$7:$E$12,2,0)/($V98*$X$39/12)</f>
        <v>4.8403361344537821</v>
      </c>
      <c r="AE98" s="43">
        <f>VLOOKUP(AE$84,'Infos Techniques'!$B$7:$E$12,2,0)/($V98*$X$39/12)</f>
        <v>4.6789915966386557</v>
      </c>
      <c r="AF98" s="43">
        <f>VLOOKUP(AF$84,'Infos Techniques'!$B$7:$E$12,2,0)/($V98*$X$39/12)</f>
        <v>3.3438655462184874</v>
      </c>
      <c r="AG98" s="43">
        <f>VLOOKUP(AG$84,'Infos Techniques'!$B$7:$E$12,2,0)/($V98*$X$39/12)</f>
        <v>2.6742857142857144</v>
      </c>
      <c r="AH98" s="43">
        <f>VLOOKUP(AH$84,'Infos Techniques'!$B$7:$E$12,4,0)/($V98*$X$39/12)</f>
        <v>6.0504201680672267</v>
      </c>
      <c r="AI98" s="43">
        <f>VLOOKUP(AI$84,'Infos Techniques'!$B$7:$E$12,4,0)/($V98*$X$39/12)</f>
        <v>6.0504201680672267</v>
      </c>
      <c r="AJ98" s="43">
        <f>VLOOKUP(AJ$84,'Infos Techniques'!$B$7:$E$12,4,0)/($V98*$X$39/12)</f>
        <v>6.0504201680672267</v>
      </c>
      <c r="AK98" s="247">
        <f>VLOOKUP(AK$84,'Infos Techniques'!$B$7:$E$12,4,0)/($V98*$X$39/12)</f>
        <v>3.3438655462184874</v>
      </c>
      <c r="AL98" s="248">
        <f>VLOOKUP(AL$84,'Infos Techniques'!$B$7:$E$12,4,0)/($V98*$X$39/12)</f>
        <v>2.6742857142857144</v>
      </c>
    </row>
    <row r="99" spans="2:38" ht="15" thickBot="1">
      <c r="B99" s="1849"/>
      <c r="C99" s="71">
        <v>75</v>
      </c>
      <c r="D99" s="77">
        <f t="shared" si="15"/>
        <v>3.7647058823529411</v>
      </c>
      <c r="E99" s="60">
        <f t="shared" si="16"/>
        <v>2.5976470588235294</v>
      </c>
      <c r="F99" s="60">
        <f t="shared" si="17"/>
        <v>2.1835294117647059</v>
      </c>
      <c r="G99" s="60">
        <f t="shared" si="18"/>
        <v>1.5585882352941176</v>
      </c>
      <c r="H99" s="60">
        <f t="shared" si="19"/>
        <v>1.2461176470588236</v>
      </c>
      <c r="I99" s="58">
        <f t="shared" si="20"/>
        <v>4.5176470588235293</v>
      </c>
      <c r="J99" s="60">
        <f t="shared" si="21"/>
        <v>4.5176470588235293</v>
      </c>
      <c r="K99" s="60">
        <f t="shared" si="22"/>
        <v>4.3670588235294119</v>
      </c>
      <c r="L99" s="60">
        <f t="shared" si="23"/>
        <v>3.1209411764705881</v>
      </c>
      <c r="M99" s="60">
        <f t="shared" si="24"/>
        <v>2.496</v>
      </c>
      <c r="N99" s="58">
        <f t="shared" si="25"/>
        <v>5.6470588235294121</v>
      </c>
      <c r="O99" s="60">
        <f t="shared" si="26"/>
        <v>5.6470588235294121</v>
      </c>
      <c r="P99" s="60">
        <f t="shared" si="27"/>
        <v>5.6470588235294121</v>
      </c>
      <c r="Q99" s="60">
        <f t="shared" si="28"/>
        <v>3.1209411764705881</v>
      </c>
      <c r="R99" s="64">
        <f t="shared" si="29"/>
        <v>2.496</v>
      </c>
      <c r="U99" s="1601"/>
      <c r="V99" s="28">
        <v>75</v>
      </c>
      <c r="W99" s="43" cm="1">
        <f t="array" ref="W99">VLOOKUP(MAX(IF('Courbe Déflexion'!$GG$25:$GG$305&lt;=V99,'Courbe Déflexion'!$GG$25:$GG$305)),'Courbe Déflexion'!$GG$25:$IA$305,8,0)</f>
        <v>17.800000000000004</v>
      </c>
      <c r="X99" s="43">
        <f>VLOOKUP(X$84,'Infos Techniques'!$B$7:$E$12,3,0)/($V99*$X$39/12)</f>
        <v>3.7647058823529411</v>
      </c>
      <c r="Y99" s="43">
        <f>VLOOKUP(Y$84,'Infos Techniques'!$B$7:$E$12,3,0)/($V99*$X$39/12)</f>
        <v>2.5976470588235294</v>
      </c>
      <c r="Z99" s="43">
        <f>VLOOKUP(Z$84,'Infos Techniques'!$B$7:$E$12,3,0)/($V99*$X$39/12)</f>
        <v>2.1835294117647059</v>
      </c>
      <c r="AA99" s="43">
        <f>VLOOKUP(AA$84,'Infos Techniques'!$B$7:$E$12,3,0)/($V99*$X$39/12)</f>
        <v>1.5585882352941176</v>
      </c>
      <c r="AB99" s="43">
        <f>VLOOKUP(AB$84,'Infos Techniques'!$B$7:$E$12,3,0)/($V99*$X$39/12)</f>
        <v>1.2461176470588236</v>
      </c>
      <c r="AC99" s="43">
        <f>VLOOKUP(AC$84,'Infos Techniques'!$B$7:$E$12,2,0)/($V99*$X$39/12)</f>
        <v>4.5176470588235293</v>
      </c>
      <c r="AD99" s="43">
        <f>VLOOKUP(AD$84,'Infos Techniques'!$B$7:$E$12,2,0)/($V99*$X$39/12)</f>
        <v>4.5176470588235293</v>
      </c>
      <c r="AE99" s="43">
        <f>VLOOKUP(AE$84,'Infos Techniques'!$B$7:$E$12,2,0)/($V99*$X$39/12)</f>
        <v>4.3670588235294119</v>
      </c>
      <c r="AF99" s="43">
        <f>VLOOKUP(AF$84,'Infos Techniques'!$B$7:$E$12,2,0)/($V99*$X$39/12)</f>
        <v>3.1209411764705881</v>
      </c>
      <c r="AG99" s="43">
        <f>VLOOKUP(AG$84,'Infos Techniques'!$B$7:$E$12,2,0)/($V99*$X$39/12)</f>
        <v>2.496</v>
      </c>
      <c r="AH99" s="43">
        <f>VLOOKUP(AH$84,'Infos Techniques'!$B$7:$E$12,4,0)/($V99*$X$39/12)</f>
        <v>5.6470588235294121</v>
      </c>
      <c r="AI99" s="43">
        <f>VLOOKUP(AI$84,'Infos Techniques'!$B$7:$E$12,4,0)/($V99*$X$39/12)</f>
        <v>5.6470588235294121</v>
      </c>
      <c r="AJ99" s="43">
        <f>VLOOKUP(AJ$84,'Infos Techniques'!$B$7:$E$12,4,0)/($V99*$X$39/12)</f>
        <v>5.6470588235294121</v>
      </c>
      <c r="AK99" s="247">
        <f>VLOOKUP(AK$84,'Infos Techniques'!$B$7:$E$12,4,0)/($V99*$X$39/12)</f>
        <v>3.1209411764705881</v>
      </c>
      <c r="AL99" s="248">
        <f>VLOOKUP(AL$84,'Infos Techniques'!$B$7:$E$12,4,0)/($V99*$X$39/12)</f>
        <v>2.496</v>
      </c>
    </row>
    <row r="100" spans="2:38">
      <c r="B100" s="1849"/>
      <c r="C100" s="72">
        <v>80</v>
      </c>
      <c r="D100" s="78">
        <f t="shared" si="15"/>
        <v>3.5294117647058827</v>
      </c>
      <c r="E100" s="61">
        <f t="shared" si="16"/>
        <v>2.4352941176470591</v>
      </c>
      <c r="F100" s="61">
        <f t="shared" si="17"/>
        <v>2.047058823529412</v>
      </c>
      <c r="G100" s="61">
        <f t="shared" si="18"/>
        <v>1.4611764705882353</v>
      </c>
      <c r="H100" s="61">
        <f t="shared" si="19"/>
        <v>1.168235294117647</v>
      </c>
      <c r="I100" s="41">
        <f t="shared" si="20"/>
        <v>4.2352941176470589</v>
      </c>
      <c r="J100" s="61">
        <f t="shared" si="21"/>
        <v>4.2352941176470589</v>
      </c>
      <c r="K100" s="61">
        <f t="shared" si="22"/>
        <v>4.0941176470588241</v>
      </c>
      <c r="L100" s="61">
        <f t="shared" si="23"/>
        <v>2.9258823529411768</v>
      </c>
      <c r="M100" s="61">
        <f t="shared" si="24"/>
        <v>2.3400000000000003</v>
      </c>
      <c r="N100" s="41">
        <f t="shared" si="25"/>
        <v>5.2941176470588243</v>
      </c>
      <c r="O100" s="61">
        <f t="shared" si="26"/>
        <v>5.2941176470588243</v>
      </c>
      <c r="P100" s="61">
        <f t="shared" si="27"/>
        <v>5.2941176470588243</v>
      </c>
      <c r="Q100" s="61">
        <f t="shared" si="28"/>
        <v>2.9258823529411768</v>
      </c>
      <c r="R100" s="65">
        <f t="shared" si="29"/>
        <v>2.3400000000000003</v>
      </c>
      <c r="U100" s="1601"/>
      <c r="V100" s="28">
        <v>80</v>
      </c>
      <c r="W100" s="43" cm="1">
        <f t="array" ref="W100">VLOOKUP(MAX(IF('Courbe Déflexion'!$GG$25:$GG$305&lt;=V100,'Courbe Déflexion'!$GG$25:$GG$305)),'Courbe Déflexion'!$GG$25:$IA$305,8,0)</f>
        <v>19.200000000000006</v>
      </c>
      <c r="X100" s="43">
        <f>VLOOKUP(X$84,'Infos Techniques'!$B$7:$E$12,3,0)/($V100*$X$39/12)</f>
        <v>3.5294117647058827</v>
      </c>
      <c r="Y100" s="43">
        <f>VLOOKUP(Y$84,'Infos Techniques'!$B$7:$E$12,3,0)/($V100*$X$39/12)</f>
        <v>2.4352941176470591</v>
      </c>
      <c r="Z100" s="43">
        <f>VLOOKUP(Z$84,'Infos Techniques'!$B$7:$E$12,3,0)/($V100*$X$39/12)</f>
        <v>2.047058823529412</v>
      </c>
      <c r="AA100" s="43">
        <f>VLOOKUP(AA$84,'Infos Techniques'!$B$7:$E$12,3,0)/($V100*$X$39/12)</f>
        <v>1.4611764705882353</v>
      </c>
      <c r="AB100" s="43">
        <f>VLOOKUP(AB$84,'Infos Techniques'!$B$7:$E$12,3,0)/($V100*$X$39/12)</f>
        <v>1.168235294117647</v>
      </c>
      <c r="AC100" s="43">
        <f>VLOOKUP(AC$84,'Infos Techniques'!$B$7:$E$12,2,0)/($V100*$X$39/12)</f>
        <v>4.2352941176470589</v>
      </c>
      <c r="AD100" s="43">
        <f>VLOOKUP(AD$84,'Infos Techniques'!$B$7:$E$12,2,0)/($V100*$X$39/12)</f>
        <v>4.2352941176470589</v>
      </c>
      <c r="AE100" s="43">
        <f>VLOOKUP(AE$84,'Infos Techniques'!$B$7:$E$12,2,0)/($V100*$X$39/12)</f>
        <v>4.0941176470588241</v>
      </c>
      <c r="AF100" s="43">
        <f>VLOOKUP(AF$84,'Infos Techniques'!$B$7:$E$12,2,0)/($V100*$X$39/12)</f>
        <v>2.9258823529411768</v>
      </c>
      <c r="AG100" s="43">
        <f>VLOOKUP(AG$84,'Infos Techniques'!$B$7:$E$12,2,0)/($V100*$X$39/12)</f>
        <v>2.3400000000000003</v>
      </c>
      <c r="AH100" s="43">
        <f>VLOOKUP(AH$84,'Infos Techniques'!$B$7:$E$12,4,0)/($V100*$X$39/12)</f>
        <v>5.2941176470588243</v>
      </c>
      <c r="AI100" s="43">
        <f>VLOOKUP(AI$84,'Infos Techniques'!$B$7:$E$12,4,0)/($V100*$X$39/12)</f>
        <v>5.2941176470588243</v>
      </c>
      <c r="AJ100" s="43">
        <f>VLOOKUP(AJ$84,'Infos Techniques'!$B$7:$E$12,4,0)/($V100*$X$39/12)</f>
        <v>5.2941176470588243</v>
      </c>
      <c r="AK100" s="247">
        <f>VLOOKUP(AK$84,'Infos Techniques'!$B$7:$E$12,4,0)/($V100*$X$39/12)</f>
        <v>2.9258823529411768</v>
      </c>
      <c r="AL100" s="248">
        <f>VLOOKUP(AL$84,'Infos Techniques'!$B$7:$E$12,4,0)/($V100*$X$39/12)</f>
        <v>2.3400000000000003</v>
      </c>
    </row>
    <row r="101" spans="2:38">
      <c r="B101" s="1849"/>
      <c r="C101" s="70">
        <v>85</v>
      </c>
      <c r="D101" s="76">
        <f t="shared" si="15"/>
        <v>3.3217993079584773</v>
      </c>
      <c r="E101" s="43">
        <f t="shared" si="16"/>
        <v>2.2920415224913495</v>
      </c>
      <c r="F101" s="43">
        <f t="shared" si="17"/>
        <v>1.9266435986159169</v>
      </c>
      <c r="G101" s="43">
        <f t="shared" si="18"/>
        <v>1.3752249134948096</v>
      </c>
      <c r="H101" s="43">
        <f t="shared" si="19"/>
        <v>1.0995155709342559</v>
      </c>
      <c r="I101" s="47">
        <f t="shared" si="20"/>
        <v>3.9861591695501728</v>
      </c>
      <c r="J101" s="43">
        <f t="shared" si="21"/>
        <v>3.9861591695501728</v>
      </c>
      <c r="K101" s="43">
        <f t="shared" si="22"/>
        <v>3.8532871972318339</v>
      </c>
      <c r="L101" s="43">
        <f t="shared" si="23"/>
        <v>2.7537716262975778</v>
      </c>
      <c r="M101" s="43">
        <f t="shared" si="24"/>
        <v>2.2023529411764704</v>
      </c>
      <c r="N101" s="47">
        <f t="shared" si="25"/>
        <v>4.9826989619377162</v>
      </c>
      <c r="O101" s="43">
        <f t="shared" si="26"/>
        <v>4.9826989619377162</v>
      </c>
      <c r="P101" s="43">
        <f t="shared" si="27"/>
        <v>4.9826989619377162</v>
      </c>
      <c r="Q101" s="43">
        <f t="shared" si="28"/>
        <v>2.7537716262975778</v>
      </c>
      <c r="R101" s="63">
        <f t="shared" si="29"/>
        <v>2.2023529411764704</v>
      </c>
      <c r="U101" s="1601"/>
      <c r="V101" s="28">
        <v>85</v>
      </c>
      <c r="W101" s="43" cm="1">
        <f t="array" ref="W101">VLOOKUP(MAX(IF('Courbe Déflexion'!$GG$25:$GG$305&lt;=V101,'Courbe Déflexion'!$GG$25:$GG$305)),'Courbe Déflexion'!$GG$25:$IA$305,8,0)</f>
        <v>20.200000000000003</v>
      </c>
      <c r="X101" s="43">
        <f>VLOOKUP(X$84,'Infos Techniques'!$B$7:$E$12,3,0)/($V101*$X$39/12)</f>
        <v>3.3217993079584773</v>
      </c>
      <c r="Y101" s="43">
        <f>VLOOKUP(Y$84,'Infos Techniques'!$B$7:$E$12,3,0)/($V101*$X$39/12)</f>
        <v>2.2920415224913495</v>
      </c>
      <c r="Z101" s="43">
        <f>VLOOKUP(Z$84,'Infos Techniques'!$B$7:$E$12,3,0)/($V101*$X$39/12)</f>
        <v>1.9266435986159169</v>
      </c>
      <c r="AA101" s="43">
        <f>VLOOKUP(AA$84,'Infos Techniques'!$B$7:$E$12,3,0)/($V101*$X$39/12)</f>
        <v>1.3752249134948096</v>
      </c>
      <c r="AB101" s="43">
        <f>VLOOKUP(AB$84,'Infos Techniques'!$B$7:$E$12,3,0)/($V101*$X$39/12)</f>
        <v>1.0995155709342559</v>
      </c>
      <c r="AC101" s="43">
        <f>VLOOKUP(AC$84,'Infos Techniques'!$B$7:$E$12,2,0)/($V101*$X$39/12)</f>
        <v>3.9861591695501728</v>
      </c>
      <c r="AD101" s="43">
        <f>VLOOKUP(AD$84,'Infos Techniques'!$B$7:$E$12,2,0)/($V101*$X$39/12)</f>
        <v>3.9861591695501728</v>
      </c>
      <c r="AE101" s="43">
        <f>VLOOKUP(AE$84,'Infos Techniques'!$B$7:$E$12,2,0)/($V101*$X$39/12)</f>
        <v>3.8532871972318339</v>
      </c>
      <c r="AF101" s="43">
        <f>VLOOKUP(AF$84,'Infos Techniques'!$B$7:$E$12,2,0)/($V101*$X$39/12)</f>
        <v>2.7537716262975778</v>
      </c>
      <c r="AG101" s="43">
        <f>VLOOKUP(AG$84,'Infos Techniques'!$B$7:$E$12,2,0)/($V101*$X$39/12)</f>
        <v>2.2023529411764704</v>
      </c>
      <c r="AH101" s="43">
        <f>VLOOKUP(AH$84,'Infos Techniques'!$B$7:$E$12,4,0)/($V101*$X$39/12)</f>
        <v>4.9826989619377162</v>
      </c>
      <c r="AI101" s="43">
        <f>VLOOKUP(AI$84,'Infos Techniques'!$B$7:$E$12,4,0)/($V101*$X$39/12)</f>
        <v>4.9826989619377162</v>
      </c>
      <c r="AJ101" s="43">
        <f>VLOOKUP(AJ$84,'Infos Techniques'!$B$7:$E$12,4,0)/($V101*$X$39/12)</f>
        <v>4.9826989619377162</v>
      </c>
      <c r="AK101" s="247">
        <f>VLOOKUP(AK$84,'Infos Techniques'!$B$7:$E$12,4,0)/($V101*$X$39/12)</f>
        <v>2.7537716262975778</v>
      </c>
      <c r="AL101" s="248">
        <f>VLOOKUP(AL$84,'Infos Techniques'!$B$7:$E$12,4,0)/($V101*$X$39/12)</f>
        <v>2.2023529411764704</v>
      </c>
    </row>
    <row r="102" spans="2:38">
      <c r="B102" s="1849"/>
      <c r="C102" s="70">
        <v>90</v>
      </c>
      <c r="D102" s="76">
        <f t="shared" si="15"/>
        <v>3.1372549019607843</v>
      </c>
      <c r="E102" s="43">
        <f t="shared" si="16"/>
        <v>2.164705882352941</v>
      </c>
      <c r="F102" s="43">
        <f t="shared" si="17"/>
        <v>1.8196078431372549</v>
      </c>
      <c r="G102" s="43">
        <f t="shared" si="18"/>
        <v>1.2988235294117647</v>
      </c>
      <c r="H102" s="43">
        <f t="shared" si="19"/>
        <v>1.0384313725490195</v>
      </c>
      <c r="I102" s="47">
        <f t="shared" si="20"/>
        <v>3.7647058823529411</v>
      </c>
      <c r="J102" s="43">
        <f t="shared" si="21"/>
        <v>3.7647058823529411</v>
      </c>
      <c r="K102" s="43">
        <f t="shared" si="22"/>
        <v>3.6392156862745098</v>
      </c>
      <c r="L102" s="43">
        <f t="shared" si="23"/>
        <v>2.60078431372549</v>
      </c>
      <c r="M102" s="43">
        <f t="shared" si="24"/>
        <v>2.08</v>
      </c>
      <c r="N102" s="47">
        <f t="shared" si="25"/>
        <v>4.7058823529411766</v>
      </c>
      <c r="O102" s="43">
        <f t="shared" si="26"/>
        <v>4.7058823529411766</v>
      </c>
      <c r="P102" s="43">
        <f t="shared" si="27"/>
        <v>4.7058823529411766</v>
      </c>
      <c r="Q102" s="43">
        <f t="shared" si="28"/>
        <v>2.60078431372549</v>
      </c>
      <c r="R102" s="63">
        <f t="shared" si="29"/>
        <v>2.08</v>
      </c>
      <c r="U102" s="1601"/>
      <c r="V102" s="28">
        <v>90</v>
      </c>
      <c r="W102" s="43" cm="1">
        <f t="array" ref="W102">VLOOKUP(MAX(IF('Courbe Déflexion'!$GG$25:$GG$305&lt;=V102,'Courbe Déflexion'!$GG$25:$GG$305)),'Courbe Déflexion'!$GG$25:$IA$305,8,0)</f>
        <v>21.299999999999994</v>
      </c>
      <c r="X102" s="43">
        <f>VLOOKUP(X$84,'Infos Techniques'!$B$7:$E$12,3,0)/($V102*$X$39/12)</f>
        <v>3.1372549019607843</v>
      </c>
      <c r="Y102" s="43">
        <f>VLOOKUP(Y$84,'Infos Techniques'!$B$7:$E$12,3,0)/($V102*$X$39/12)</f>
        <v>2.164705882352941</v>
      </c>
      <c r="Z102" s="43">
        <f>VLOOKUP(Z$84,'Infos Techniques'!$B$7:$E$12,3,0)/($V102*$X$39/12)</f>
        <v>1.8196078431372549</v>
      </c>
      <c r="AA102" s="43">
        <f>VLOOKUP(AA$84,'Infos Techniques'!$B$7:$E$12,3,0)/($V102*$X$39/12)</f>
        <v>1.2988235294117647</v>
      </c>
      <c r="AB102" s="43">
        <f>VLOOKUP(AB$84,'Infos Techniques'!$B$7:$E$12,3,0)/($V102*$X$39/12)</f>
        <v>1.0384313725490195</v>
      </c>
      <c r="AC102" s="43">
        <f>VLOOKUP(AC$84,'Infos Techniques'!$B$7:$E$12,2,0)/($V102*$X$39/12)</f>
        <v>3.7647058823529411</v>
      </c>
      <c r="AD102" s="43">
        <f>VLOOKUP(AD$84,'Infos Techniques'!$B$7:$E$12,2,0)/($V102*$X$39/12)</f>
        <v>3.7647058823529411</v>
      </c>
      <c r="AE102" s="43">
        <f>VLOOKUP(AE$84,'Infos Techniques'!$B$7:$E$12,2,0)/($V102*$X$39/12)</f>
        <v>3.6392156862745098</v>
      </c>
      <c r="AF102" s="43">
        <f>VLOOKUP(AF$84,'Infos Techniques'!$B$7:$E$12,2,0)/($V102*$X$39/12)</f>
        <v>2.60078431372549</v>
      </c>
      <c r="AG102" s="43">
        <f>VLOOKUP(AG$84,'Infos Techniques'!$B$7:$E$12,2,0)/($V102*$X$39/12)</f>
        <v>2.08</v>
      </c>
      <c r="AH102" s="43">
        <f>VLOOKUP(AH$84,'Infos Techniques'!$B$7:$E$12,4,0)/($V102*$X$39/12)</f>
        <v>4.7058823529411766</v>
      </c>
      <c r="AI102" s="43">
        <f>VLOOKUP(AI$84,'Infos Techniques'!$B$7:$E$12,4,0)/($V102*$X$39/12)</f>
        <v>4.7058823529411766</v>
      </c>
      <c r="AJ102" s="43">
        <f>VLOOKUP(AJ$84,'Infos Techniques'!$B$7:$E$12,4,0)/($V102*$X$39/12)</f>
        <v>4.7058823529411766</v>
      </c>
      <c r="AK102" s="247">
        <f>VLOOKUP(AK$84,'Infos Techniques'!$B$7:$E$12,4,0)/($V102*$X$39/12)</f>
        <v>2.60078431372549</v>
      </c>
      <c r="AL102" s="248">
        <f>VLOOKUP(AL$84,'Infos Techniques'!$B$7:$E$12,4,0)/($V102*$X$39/12)</f>
        <v>2.08</v>
      </c>
    </row>
    <row r="103" spans="2:38">
      <c r="B103" s="1849"/>
      <c r="C103" s="70">
        <v>95</v>
      </c>
      <c r="D103" s="76">
        <f t="shared" si="15"/>
        <v>2.9721362229102168</v>
      </c>
      <c r="E103" s="43">
        <f t="shared" si="16"/>
        <v>2.0507739938080496</v>
      </c>
      <c r="F103" s="43">
        <f t="shared" si="17"/>
        <v>1.7238390092879259</v>
      </c>
      <c r="G103" s="43">
        <f t="shared" si="18"/>
        <v>1.2304643962848298</v>
      </c>
      <c r="H103" s="43">
        <f t="shared" si="19"/>
        <v>0.98377708978328182</v>
      </c>
      <c r="I103" s="47">
        <f t="shared" si="20"/>
        <v>3.5665634674922604</v>
      </c>
      <c r="J103" s="43">
        <f t="shared" si="21"/>
        <v>3.5665634674922604</v>
      </c>
      <c r="K103" s="43">
        <f t="shared" si="22"/>
        <v>3.4476780185758518</v>
      </c>
      <c r="L103" s="43">
        <f t="shared" si="23"/>
        <v>2.4639009287925697</v>
      </c>
      <c r="M103" s="43">
        <f t="shared" si="24"/>
        <v>1.9705263157894739</v>
      </c>
      <c r="N103" s="47">
        <f t="shared" si="25"/>
        <v>4.458204334365325</v>
      </c>
      <c r="O103" s="43">
        <f t="shared" si="26"/>
        <v>4.458204334365325</v>
      </c>
      <c r="P103" s="43">
        <f t="shared" si="27"/>
        <v>4.458204334365325</v>
      </c>
      <c r="Q103" s="43">
        <f t="shared" si="28"/>
        <v>2.4639009287925697</v>
      </c>
      <c r="R103" s="63">
        <f t="shared" si="29"/>
        <v>1.9705263157894739</v>
      </c>
      <c r="U103" s="1601"/>
      <c r="V103" s="28">
        <v>95</v>
      </c>
      <c r="W103" s="43" cm="1">
        <f t="array" ref="W103">VLOOKUP(MAX(IF('Courbe Déflexion'!$GG$25:$GG$305&lt;=V103,'Courbe Déflexion'!$GG$25:$GG$305)),'Courbe Déflexion'!$GG$25:$IA$305,8,0)</f>
        <v>22.799999999999997</v>
      </c>
      <c r="X103" s="43">
        <f>VLOOKUP(X$84,'Infos Techniques'!$B$7:$E$12,3,0)/($V103*$X$39/12)</f>
        <v>2.9721362229102168</v>
      </c>
      <c r="Y103" s="43">
        <f>VLOOKUP(Y$84,'Infos Techniques'!$B$7:$E$12,3,0)/($V103*$X$39/12)</f>
        <v>2.0507739938080496</v>
      </c>
      <c r="Z103" s="43">
        <f>VLOOKUP(Z$84,'Infos Techniques'!$B$7:$E$12,3,0)/($V103*$X$39/12)</f>
        <v>1.7238390092879259</v>
      </c>
      <c r="AA103" s="43">
        <f>VLOOKUP(AA$84,'Infos Techniques'!$B$7:$E$12,3,0)/($V103*$X$39/12)</f>
        <v>1.2304643962848298</v>
      </c>
      <c r="AB103" s="43">
        <f>VLOOKUP(AB$84,'Infos Techniques'!$B$7:$E$12,3,0)/($V103*$X$39/12)</f>
        <v>0.98377708978328182</v>
      </c>
      <c r="AC103" s="43">
        <f>VLOOKUP(AC$84,'Infos Techniques'!$B$7:$E$12,2,0)/($V103*$X$39/12)</f>
        <v>3.5665634674922604</v>
      </c>
      <c r="AD103" s="43">
        <f>VLOOKUP(AD$84,'Infos Techniques'!$B$7:$E$12,2,0)/($V103*$X$39/12)</f>
        <v>3.5665634674922604</v>
      </c>
      <c r="AE103" s="43">
        <f>VLOOKUP(AE$84,'Infos Techniques'!$B$7:$E$12,2,0)/($V103*$X$39/12)</f>
        <v>3.4476780185758518</v>
      </c>
      <c r="AF103" s="43">
        <f>VLOOKUP(AF$84,'Infos Techniques'!$B$7:$E$12,2,0)/($V103*$X$39/12)</f>
        <v>2.4639009287925697</v>
      </c>
      <c r="AG103" s="43">
        <f>VLOOKUP(AG$84,'Infos Techniques'!$B$7:$E$12,2,0)/($V103*$X$39/12)</f>
        <v>1.9705263157894739</v>
      </c>
      <c r="AH103" s="43">
        <f>VLOOKUP(AH$84,'Infos Techniques'!$B$7:$E$12,4,0)/($V103*$X$39/12)</f>
        <v>4.458204334365325</v>
      </c>
      <c r="AI103" s="43">
        <f>VLOOKUP(AI$84,'Infos Techniques'!$B$7:$E$12,4,0)/($V103*$X$39/12)</f>
        <v>4.458204334365325</v>
      </c>
      <c r="AJ103" s="43">
        <f>VLOOKUP(AJ$84,'Infos Techniques'!$B$7:$E$12,4,0)/($V103*$X$39/12)</f>
        <v>4.458204334365325</v>
      </c>
      <c r="AK103" s="247">
        <f>VLOOKUP(AK$84,'Infos Techniques'!$B$7:$E$12,4,0)/($V103*$X$39/12)</f>
        <v>2.4639009287925697</v>
      </c>
      <c r="AL103" s="248">
        <f>VLOOKUP(AL$84,'Infos Techniques'!$B$7:$E$12,4,0)/($V103*$X$39/12)</f>
        <v>1.9705263157894739</v>
      </c>
    </row>
    <row r="104" spans="2:38" ht="15" thickBot="1">
      <c r="B104" s="1850"/>
      <c r="C104" s="73">
        <v>100</v>
      </c>
      <c r="D104" s="79">
        <f t="shared" si="15"/>
        <v>2.8235294117647056</v>
      </c>
      <c r="E104" s="45">
        <f t="shared" si="16"/>
        <v>1.9482352941176471</v>
      </c>
      <c r="F104" s="45">
        <f t="shared" si="17"/>
        <v>1.6376470588235292</v>
      </c>
      <c r="G104" s="45">
        <f t="shared" si="18"/>
        <v>1.1689411764705882</v>
      </c>
      <c r="H104" s="45">
        <f t="shared" si="19"/>
        <v>0.93458823529411761</v>
      </c>
      <c r="I104" s="48">
        <f t="shared" si="20"/>
        <v>3.388235294117647</v>
      </c>
      <c r="J104" s="45">
        <f t="shared" si="21"/>
        <v>3.388235294117647</v>
      </c>
      <c r="K104" s="45">
        <f t="shared" si="22"/>
        <v>3.2752941176470585</v>
      </c>
      <c r="L104" s="45">
        <f t="shared" si="23"/>
        <v>2.3407058823529412</v>
      </c>
      <c r="M104" s="45">
        <f t="shared" si="24"/>
        <v>1.8719999999999999</v>
      </c>
      <c r="N104" s="48">
        <f t="shared" si="25"/>
        <v>4.2352941176470589</v>
      </c>
      <c r="O104" s="45">
        <f t="shared" si="26"/>
        <v>4.2352941176470589</v>
      </c>
      <c r="P104" s="45">
        <f t="shared" si="27"/>
        <v>4.2352941176470589</v>
      </c>
      <c r="Q104" s="45">
        <f t="shared" si="28"/>
        <v>2.3407058823529412</v>
      </c>
      <c r="R104" s="66">
        <f t="shared" si="29"/>
        <v>1.8719999999999999</v>
      </c>
      <c r="U104" s="1602"/>
      <c r="V104" s="44">
        <v>100</v>
      </c>
      <c r="W104" s="45" cm="1">
        <f t="array" ref="W104">VLOOKUP(MAX(IF('Courbe Déflexion'!$GG$25:$GG$305&lt;=V104,'Courbe Déflexion'!$GG$25:$GG$305)),'Courbe Déflexion'!$GG$25:$IA$305,8,0)</f>
        <v>24</v>
      </c>
      <c r="X104" s="45">
        <f>VLOOKUP(X$84,'Infos Techniques'!$B$7:$E$12,3,0)/($V104*$X$39/12)</f>
        <v>2.8235294117647056</v>
      </c>
      <c r="Y104" s="45">
        <f>VLOOKUP(Y$84,'Infos Techniques'!$B$7:$E$12,3,0)/($V104*$X$39/12)</f>
        <v>1.9482352941176471</v>
      </c>
      <c r="Z104" s="45">
        <f>VLOOKUP(Z$84,'Infos Techniques'!$B$7:$E$12,3,0)/($V104*$X$39/12)</f>
        <v>1.6376470588235292</v>
      </c>
      <c r="AA104" s="45">
        <f>VLOOKUP(AA$84,'Infos Techniques'!$B$7:$E$12,3,0)/($V104*$X$39/12)</f>
        <v>1.1689411764705882</v>
      </c>
      <c r="AB104" s="45">
        <f>VLOOKUP(AB$84,'Infos Techniques'!$B$7:$E$12,3,0)/($V104*$X$39/12)</f>
        <v>0.93458823529411761</v>
      </c>
      <c r="AC104" s="45">
        <f>VLOOKUP(AC$84,'Infos Techniques'!$B$7:$E$12,2,0)/($V104*$X$39/12)</f>
        <v>3.388235294117647</v>
      </c>
      <c r="AD104" s="45">
        <f>VLOOKUP(AD$84,'Infos Techniques'!$B$7:$E$12,2,0)/($V104*$X$39/12)</f>
        <v>3.388235294117647</v>
      </c>
      <c r="AE104" s="45">
        <f>VLOOKUP(AE$84,'Infos Techniques'!$B$7:$E$12,2,0)/($V104*$X$39/12)</f>
        <v>3.2752941176470585</v>
      </c>
      <c r="AF104" s="45">
        <f>VLOOKUP(AF$84,'Infos Techniques'!$B$7:$E$12,2,0)/($V104*$X$39/12)</f>
        <v>2.3407058823529412</v>
      </c>
      <c r="AG104" s="45">
        <f>VLOOKUP(AG$84,'Infos Techniques'!$B$7:$E$12,2,0)/($V104*$X$39/12)</f>
        <v>1.8719999999999999</v>
      </c>
      <c r="AH104" s="249">
        <f>VLOOKUP(AH$84,'Infos Techniques'!$B$7:$E$12,4,0)/($V104*$X$39/12)</f>
        <v>4.2352941176470589</v>
      </c>
      <c r="AI104" s="45">
        <f>VLOOKUP(AI$84,'Infos Techniques'!$B$7:$E$12,4,0)/($V104*$X$39/12)</f>
        <v>4.2352941176470589</v>
      </c>
      <c r="AJ104" s="45">
        <f>VLOOKUP(AJ$84,'Infos Techniques'!$B$7:$E$12,4,0)/($V104*$X$39/12)</f>
        <v>4.2352941176470589</v>
      </c>
      <c r="AK104" s="250">
        <f>VLOOKUP(AK$84,'Infos Techniques'!$B$7:$E$12,4,0)/($V104*$X$39/12)</f>
        <v>2.3407058823529412</v>
      </c>
      <c r="AL104" s="251">
        <f>VLOOKUP(AL$84,'Infos Techniques'!$B$7:$E$12,4,0)/($V104*$X$39/12)</f>
        <v>1.8719999999999999</v>
      </c>
    </row>
    <row r="105" spans="2:38" ht="15" thickTop="1"/>
    <row r="119" spans="2:38" ht="25.9">
      <c r="B119" s="1851" t="s">
        <v>1673</v>
      </c>
      <c r="C119" s="1852"/>
      <c r="D119" s="1852"/>
      <c r="E119" s="1852"/>
      <c r="F119" s="1852"/>
      <c r="G119" s="1852"/>
      <c r="H119" s="1852"/>
      <c r="I119" s="1852"/>
      <c r="J119" s="1852"/>
      <c r="K119" s="1852"/>
      <c r="L119" s="1852"/>
      <c r="M119" s="1852"/>
      <c r="N119" s="1852"/>
      <c r="O119" s="1852"/>
      <c r="P119" s="1852"/>
      <c r="Q119" s="1852"/>
      <c r="R119" s="1852"/>
    </row>
    <row r="120" spans="2:38" ht="25.9">
      <c r="B120" s="262"/>
      <c r="C120" s="263"/>
      <c r="D120" s="263"/>
      <c r="E120" s="263"/>
      <c r="F120" s="263"/>
      <c r="G120" s="263"/>
      <c r="H120" s="263"/>
      <c r="I120" s="263"/>
      <c r="J120" s="263"/>
      <c r="K120" s="263"/>
      <c r="L120" s="263"/>
      <c r="M120" s="263"/>
      <c r="N120" s="263"/>
      <c r="O120" s="263"/>
      <c r="P120" s="263"/>
      <c r="Q120" s="263"/>
      <c r="R120" s="263"/>
    </row>
    <row r="121" spans="2:38" ht="26.45" thickBot="1">
      <c r="B121" s="1803" t="s">
        <v>1662</v>
      </c>
      <c r="C121" s="1803"/>
      <c r="D121" s="1803"/>
      <c r="E121" s="1803"/>
      <c r="F121" s="1803"/>
      <c r="G121" s="1803"/>
      <c r="H121" s="1803"/>
      <c r="I121" s="1803"/>
      <c r="J121" s="1803"/>
      <c r="K121" s="1803"/>
      <c r="L121" s="1803"/>
      <c r="M121" s="1803"/>
      <c r="N121" s="1803"/>
      <c r="O121" s="1803"/>
      <c r="P121" s="1803"/>
      <c r="Q121" s="1803"/>
      <c r="R121" s="1803"/>
    </row>
    <row r="122" spans="2:38" ht="15.6" thickTop="1" thickBot="1">
      <c r="U122" s="1808"/>
      <c r="V122" s="1809"/>
      <c r="W122" s="1606" t="s">
        <v>315</v>
      </c>
      <c r="X122" s="1606" t="s">
        <v>263</v>
      </c>
      <c r="Y122" s="1606"/>
      <c r="Z122" s="1606"/>
      <c r="AA122" s="1606"/>
      <c r="AB122" s="1606"/>
      <c r="AC122" s="1606"/>
      <c r="AD122" s="1606"/>
      <c r="AE122" s="1606"/>
      <c r="AF122" s="1606"/>
      <c r="AG122" s="1606"/>
      <c r="AH122" s="1606"/>
      <c r="AI122" s="1606"/>
      <c r="AJ122" s="1606"/>
      <c r="AK122" s="1606"/>
      <c r="AL122" s="1832"/>
    </row>
    <row r="123" spans="2:38" ht="21.6" thickTop="1">
      <c r="B123" s="1812"/>
      <c r="C123" s="1813"/>
      <c r="D123" s="1837" t="s">
        <v>263</v>
      </c>
      <c r="E123" s="1838"/>
      <c r="F123" s="1838"/>
      <c r="G123" s="1838"/>
      <c r="H123" s="1838"/>
      <c r="I123" s="1838"/>
      <c r="J123" s="1838"/>
      <c r="K123" s="1838"/>
      <c r="L123" s="1838"/>
      <c r="M123" s="1838"/>
      <c r="N123" s="1838"/>
      <c r="O123" s="1838"/>
      <c r="P123" s="1838"/>
      <c r="Q123" s="1838"/>
      <c r="R123" s="1839"/>
      <c r="U123" s="1810"/>
      <c r="V123" s="1811"/>
      <c r="W123" s="1571"/>
      <c r="X123" s="54"/>
      <c r="Y123" s="55"/>
      <c r="Z123" s="55"/>
      <c r="AA123" s="55"/>
      <c r="AB123" s="56"/>
      <c r="AC123" s="54"/>
      <c r="AD123" s="55"/>
      <c r="AE123" s="55"/>
      <c r="AF123" s="55"/>
      <c r="AG123" s="56"/>
      <c r="AH123" s="54"/>
      <c r="AI123" s="55"/>
      <c r="AJ123" s="55"/>
      <c r="AK123" s="55"/>
      <c r="AL123" s="57"/>
    </row>
    <row r="124" spans="2:38" ht="16.149999999999999" thickBot="1">
      <c r="B124" s="1814"/>
      <c r="C124" s="1397"/>
      <c r="D124" s="1840" t="s">
        <v>1663</v>
      </c>
      <c r="E124" s="1841"/>
      <c r="F124" s="1841"/>
      <c r="G124" s="1841"/>
      <c r="H124" s="1841"/>
      <c r="I124" s="1841" t="s">
        <v>321</v>
      </c>
      <c r="J124" s="1841"/>
      <c r="K124" s="1841"/>
      <c r="L124" s="1841"/>
      <c r="M124" s="1841"/>
      <c r="N124" s="1841" t="s">
        <v>322</v>
      </c>
      <c r="O124" s="1841"/>
      <c r="P124" s="1841"/>
      <c r="Q124" s="1841"/>
      <c r="R124" s="1842"/>
      <c r="U124" s="1646"/>
      <c r="V124" s="1113"/>
      <c r="W124" s="1603"/>
      <c r="X124" s="1833" t="s">
        <v>1663</v>
      </c>
      <c r="Y124" s="1834"/>
      <c r="Z124" s="1834"/>
      <c r="AA124" s="1834"/>
      <c r="AB124" s="1835"/>
      <c r="AC124" s="1833" t="s">
        <v>321</v>
      </c>
      <c r="AD124" s="1834"/>
      <c r="AE124" s="1834"/>
      <c r="AF124" s="1834"/>
      <c r="AG124" s="1835"/>
      <c r="AH124" s="1833" t="s">
        <v>322</v>
      </c>
      <c r="AI124" s="1834"/>
      <c r="AJ124" s="1834"/>
      <c r="AK124" s="1834"/>
      <c r="AL124" s="1836"/>
    </row>
    <row r="125" spans="2:38" ht="17.45">
      <c r="B125" s="1814"/>
      <c r="C125" s="1397"/>
      <c r="D125" s="1843" t="s">
        <v>1664</v>
      </c>
      <c r="E125" s="1844"/>
      <c r="F125" s="1844"/>
      <c r="G125" s="1844"/>
      <c r="H125" s="1845"/>
      <c r="I125" s="1846" t="s">
        <v>1664</v>
      </c>
      <c r="J125" s="1844"/>
      <c r="K125" s="1844"/>
      <c r="L125" s="1844"/>
      <c r="M125" s="1845"/>
      <c r="N125" s="1846" t="s">
        <v>1664</v>
      </c>
      <c r="O125" s="1844"/>
      <c r="P125" s="1844"/>
      <c r="Q125" s="1844"/>
      <c r="R125" s="1847"/>
      <c r="U125" s="1646"/>
      <c r="V125" s="1113"/>
      <c r="W125" s="29"/>
      <c r="X125" s="237"/>
      <c r="Y125" s="80"/>
      <c r="Z125" s="80"/>
      <c r="AA125" s="80"/>
      <c r="AB125" s="239"/>
      <c r="AC125" s="237"/>
      <c r="AD125" s="80"/>
      <c r="AE125" s="80"/>
      <c r="AF125" s="80"/>
      <c r="AG125" s="239"/>
      <c r="AH125" s="237"/>
      <c r="AI125" s="80"/>
      <c r="AJ125" s="80"/>
      <c r="AK125" s="80"/>
      <c r="AL125" s="238"/>
    </row>
    <row r="126" spans="2:38" ht="15" thickBot="1">
      <c r="B126" s="1815"/>
      <c r="C126" s="1816"/>
      <c r="D126" s="74" t="s">
        <v>1665</v>
      </c>
      <c r="E126" s="50" t="s">
        <v>334</v>
      </c>
      <c r="F126" s="50" t="s">
        <v>335</v>
      </c>
      <c r="G126" s="50" t="s">
        <v>336</v>
      </c>
      <c r="H126" s="51" t="s">
        <v>337</v>
      </c>
      <c r="I126" s="49" t="s">
        <v>1665</v>
      </c>
      <c r="J126" s="50" t="s">
        <v>1666</v>
      </c>
      <c r="K126" s="50" t="s">
        <v>1667</v>
      </c>
      <c r="L126" s="50" t="s">
        <v>1668</v>
      </c>
      <c r="M126" s="52" t="s">
        <v>1669</v>
      </c>
      <c r="N126" s="49" t="s">
        <v>1670</v>
      </c>
      <c r="O126" s="50" t="s">
        <v>1666</v>
      </c>
      <c r="P126" s="50" t="s">
        <v>1667</v>
      </c>
      <c r="Q126" s="50" t="s">
        <v>1668</v>
      </c>
      <c r="R126" s="53" t="s">
        <v>1669</v>
      </c>
      <c r="U126" s="1646"/>
      <c r="V126" s="1113"/>
      <c r="W126" s="29" t="s">
        <v>333</v>
      </c>
      <c r="X126" s="28">
        <v>0.1875</v>
      </c>
      <c r="Y126" s="28" t="s">
        <v>334</v>
      </c>
      <c r="Z126" s="28" t="s">
        <v>335</v>
      </c>
      <c r="AA126" s="28" t="s">
        <v>336</v>
      </c>
      <c r="AB126" s="28" t="s">
        <v>337</v>
      </c>
      <c r="AC126" s="28">
        <v>0.1875</v>
      </c>
      <c r="AD126" s="28" t="s">
        <v>334</v>
      </c>
      <c r="AE126" s="28" t="s">
        <v>335</v>
      </c>
      <c r="AF126" s="28" t="s">
        <v>336</v>
      </c>
      <c r="AG126" s="28" t="s">
        <v>337</v>
      </c>
      <c r="AH126" s="28">
        <v>0.1875</v>
      </c>
      <c r="AI126" s="28" t="s">
        <v>334</v>
      </c>
      <c r="AJ126" s="28" t="s">
        <v>335</v>
      </c>
      <c r="AK126" s="28" t="s">
        <v>336</v>
      </c>
      <c r="AL126" s="40" t="s">
        <v>337</v>
      </c>
    </row>
    <row r="127" spans="2:38">
      <c r="B127" s="1848" t="s">
        <v>1671</v>
      </c>
      <c r="C127" s="69">
        <v>5</v>
      </c>
      <c r="D127" s="75">
        <f t="shared" ref="D127:D146" si="30">MIN($X$41,X127,$W127)</f>
        <v>12</v>
      </c>
      <c r="E127" s="59">
        <f t="shared" ref="E127:R127" si="31">MIN($X$41,Y127,$W127)</f>
        <v>12</v>
      </c>
      <c r="F127" s="59">
        <f t="shared" si="31"/>
        <v>12</v>
      </c>
      <c r="G127" s="59">
        <f t="shared" si="31"/>
        <v>12</v>
      </c>
      <c r="H127" s="59">
        <f t="shared" si="31"/>
        <v>12</v>
      </c>
      <c r="I127" s="59">
        <f t="shared" si="31"/>
        <v>12</v>
      </c>
      <c r="J127" s="59">
        <f t="shared" si="31"/>
        <v>12</v>
      </c>
      <c r="K127" s="59">
        <f t="shared" si="31"/>
        <v>12</v>
      </c>
      <c r="L127" s="59">
        <f t="shared" si="31"/>
        <v>12</v>
      </c>
      <c r="M127" s="59">
        <f t="shared" si="31"/>
        <v>12</v>
      </c>
      <c r="N127" s="59">
        <f t="shared" si="31"/>
        <v>12</v>
      </c>
      <c r="O127" s="59">
        <f t="shared" si="31"/>
        <v>12</v>
      </c>
      <c r="P127" s="59">
        <f t="shared" si="31"/>
        <v>12</v>
      </c>
      <c r="Q127" s="59">
        <f t="shared" si="31"/>
        <v>12</v>
      </c>
      <c r="R127" s="62">
        <f t="shared" si="31"/>
        <v>12</v>
      </c>
      <c r="U127" s="1601" t="s">
        <v>314</v>
      </c>
      <c r="V127" s="28">
        <v>5</v>
      </c>
      <c r="W127" s="43" t="s">
        <v>1674</v>
      </c>
      <c r="X127" s="43">
        <f>VLOOKUP(X$84,'Infos Techniques'!$B$7:$E$12,3,0)/($V127*$X$39/12)</f>
        <v>56.470588235294123</v>
      </c>
      <c r="Y127" s="43">
        <f>VLOOKUP(Y$84,'Infos Techniques'!$B$7:$E$12,3,0)/($V127*$X$39/12)</f>
        <v>38.964705882352945</v>
      </c>
      <c r="Z127" s="43">
        <f>VLOOKUP(Z$84,'Infos Techniques'!$B$7:$E$12,3,0)/($V127*$X$39/12)</f>
        <v>32.752941176470593</v>
      </c>
      <c r="AA127" s="43">
        <f>VLOOKUP(AA$84,'Infos Techniques'!$B$7:$E$12,3,0)/($V127*$X$39/12)</f>
        <v>23.378823529411765</v>
      </c>
      <c r="AB127" s="43">
        <f>VLOOKUP(AB$84,'Infos Techniques'!$B$7:$E$12,3,0)/($V127*$X$39/12)</f>
        <v>18.691764705882353</v>
      </c>
      <c r="AC127" s="43">
        <f>VLOOKUP(AC$84,'Infos Techniques'!$B$7:$E$12,2,0)/($V127*$X$39/12)</f>
        <v>67.764705882352942</v>
      </c>
      <c r="AD127" s="43">
        <f>VLOOKUP(AD$84,'Infos Techniques'!$B$7:$E$12,2,0)/($V127*$X$39/12)</f>
        <v>67.764705882352942</v>
      </c>
      <c r="AE127" s="43">
        <f>VLOOKUP(AE$84,'Infos Techniques'!$B$7:$E$12,2,0)/($V127*$X$39/12)</f>
        <v>65.505882352941185</v>
      </c>
      <c r="AF127" s="43">
        <f>VLOOKUP(AF$84,'Infos Techniques'!$B$7:$E$12,2,0)/($V127*$X$39/12)</f>
        <v>46.814117647058829</v>
      </c>
      <c r="AG127" s="43">
        <f>VLOOKUP(AG$84,'Infos Techniques'!$B$7:$E$12,2,0)/($V127*$X$39/12)</f>
        <v>37.440000000000005</v>
      </c>
      <c r="AH127" s="43">
        <f>VLOOKUP(AH$84,'Infos Techniques'!$B$7:$E$12,4,0)/($V127*$X$39/12)</f>
        <v>84.705882352941188</v>
      </c>
      <c r="AI127" s="43">
        <f>VLOOKUP(AI$84,'Infos Techniques'!$B$7:$E$12,4,0)/($V127*$X$39/12)</f>
        <v>84.705882352941188</v>
      </c>
      <c r="AJ127" s="43">
        <f>VLOOKUP(AJ$84,'Infos Techniques'!$B$7:$E$12,4,0)/($V127*$X$39/12)</f>
        <v>84.705882352941188</v>
      </c>
      <c r="AK127" s="247">
        <f>VLOOKUP(AK$84,'Infos Techniques'!$B$7:$E$12,4,0)/($V127*$X$39/12)</f>
        <v>46.814117647058829</v>
      </c>
      <c r="AL127" s="248">
        <f>VLOOKUP(AL$84,'Infos Techniques'!$B$7:$E$12,4,0)/($V127*$X$39/12)</f>
        <v>37.440000000000005</v>
      </c>
    </row>
    <row r="128" spans="2:38">
      <c r="B128" s="1849"/>
      <c r="C128" s="70">
        <v>10</v>
      </c>
      <c r="D128" s="76">
        <f t="shared" si="30"/>
        <v>0</v>
      </c>
      <c r="E128" s="43">
        <f t="shared" ref="E128:E146" si="32">MIN($X$41,Y128,$W128)</f>
        <v>0</v>
      </c>
      <c r="F128" s="43">
        <f t="shared" ref="F128:F146" si="33">MIN($X$41,Z128,$W128)</f>
        <v>0</v>
      </c>
      <c r="G128" s="43">
        <f t="shared" ref="G128:G146" si="34">MIN($X$41,AA128,$W128)</f>
        <v>0</v>
      </c>
      <c r="H128" s="43">
        <f t="shared" ref="H128:H146" si="35">MIN($X$41,AB128,$W128)</f>
        <v>0</v>
      </c>
      <c r="I128" s="43">
        <f t="shared" ref="I128:I146" si="36">MIN($X$41,AC128,$W128)</f>
        <v>0</v>
      </c>
      <c r="J128" s="43">
        <f t="shared" ref="J128:J146" si="37">MIN($X$41,AD128,$W128)</f>
        <v>0</v>
      </c>
      <c r="K128" s="43">
        <f t="shared" ref="K128:K146" si="38">MIN($X$41,AE128,$W128)</f>
        <v>0</v>
      </c>
      <c r="L128" s="43">
        <f t="shared" ref="L128:L146" si="39">MIN($X$41,AF128,$W128)</f>
        <v>0</v>
      </c>
      <c r="M128" s="43">
        <f t="shared" ref="M128:M146" si="40">MIN($X$41,AG128,$W128)</f>
        <v>0</v>
      </c>
      <c r="N128" s="43">
        <f t="shared" ref="N128:N146" si="41">MIN($X$41,AH128,$W128)</f>
        <v>0</v>
      </c>
      <c r="O128" s="43">
        <f t="shared" ref="O128:O146" si="42">MIN($X$41,AI128,$W128)</f>
        <v>0</v>
      </c>
      <c r="P128" s="43">
        <f t="shared" ref="P128:P146" si="43">MIN($X$41,AJ128,$W128)</f>
        <v>0</v>
      </c>
      <c r="Q128" s="43">
        <f t="shared" ref="Q128:Q146" si="44">MIN($X$41,AK128,$W128)</f>
        <v>0</v>
      </c>
      <c r="R128" s="63">
        <f t="shared" ref="R128:R146" si="45">MIN($X$41,AL128,$W128)</f>
        <v>0</v>
      </c>
      <c r="U128" s="1601"/>
      <c r="V128" s="28">
        <v>10</v>
      </c>
      <c r="W128" s="43" cm="1">
        <f t="array" ref="W128">VLOOKUP(MAX(IF('Courbe Déflexion'!$GH$25:$GH$305&lt;=V128,'Courbe Déflexion'!$GH$25:$GH$305)),'Courbe Déflexion'!$GH$25:$IA$305,7,0)</f>
        <v>0</v>
      </c>
      <c r="X128" s="43">
        <f>VLOOKUP(X$84,'Infos Techniques'!$B$7:$E$12,3,0)/($V128*$X$39/12)</f>
        <v>28.235294117647062</v>
      </c>
      <c r="Y128" s="43">
        <f>VLOOKUP(Y$84,'Infos Techniques'!$B$7:$E$12,3,0)/($V128*$X$39/12)</f>
        <v>19.482352941176472</v>
      </c>
      <c r="Z128" s="43">
        <f>VLOOKUP(Z$84,'Infos Techniques'!$B$7:$E$12,3,0)/($V128*$X$39/12)</f>
        <v>16.376470588235296</v>
      </c>
      <c r="AA128" s="43">
        <f>VLOOKUP(AA$84,'Infos Techniques'!$B$7:$E$12,3,0)/($V128*$X$39/12)</f>
        <v>11.689411764705882</v>
      </c>
      <c r="AB128" s="43">
        <f>VLOOKUP(AB$84,'Infos Techniques'!$B$7:$E$12,3,0)/($V128*$X$39/12)</f>
        <v>9.3458823529411763</v>
      </c>
      <c r="AC128" s="43">
        <f>VLOOKUP(AC$84,'Infos Techniques'!$B$7:$E$12,2,0)/($V128*$X$39/12)</f>
        <v>33.882352941176471</v>
      </c>
      <c r="AD128" s="43">
        <f>VLOOKUP(AD$84,'Infos Techniques'!$B$7:$E$12,2,0)/($V128*$X$39/12)</f>
        <v>33.882352941176471</v>
      </c>
      <c r="AE128" s="43">
        <f>VLOOKUP(AE$84,'Infos Techniques'!$B$7:$E$12,2,0)/($V128*$X$39/12)</f>
        <v>32.752941176470593</v>
      </c>
      <c r="AF128" s="43">
        <f>VLOOKUP(AF$84,'Infos Techniques'!$B$7:$E$12,2,0)/($V128*$X$39/12)</f>
        <v>23.407058823529415</v>
      </c>
      <c r="AG128" s="43">
        <f>VLOOKUP(AG$84,'Infos Techniques'!$B$7:$E$12,2,0)/($V128*$X$39/12)</f>
        <v>18.720000000000002</v>
      </c>
      <c r="AH128" s="43">
        <f>VLOOKUP(AH$84,'Infos Techniques'!$B$7:$E$12,4,0)/($V128*$X$39/12)</f>
        <v>42.352941176470594</v>
      </c>
      <c r="AI128" s="43">
        <f>VLOOKUP(AI$84,'Infos Techniques'!$B$7:$E$12,4,0)/($V128*$X$39/12)</f>
        <v>42.352941176470594</v>
      </c>
      <c r="AJ128" s="43">
        <f>VLOOKUP(AJ$84,'Infos Techniques'!$B$7:$E$12,4,0)/($V128*$X$39/12)</f>
        <v>42.352941176470594</v>
      </c>
      <c r="AK128" s="247">
        <f>VLOOKUP(AK$84,'Infos Techniques'!$B$7:$E$12,4,0)/($V128*$X$39/12)</f>
        <v>23.407058823529415</v>
      </c>
      <c r="AL128" s="248">
        <f>VLOOKUP(AL$84,'Infos Techniques'!$B$7:$E$12,4,0)/($V128*$X$39/12)</f>
        <v>18.720000000000002</v>
      </c>
    </row>
    <row r="129" spans="2:38">
      <c r="B129" s="1849"/>
      <c r="C129" s="70">
        <v>15</v>
      </c>
      <c r="D129" s="76">
        <f t="shared" si="30"/>
        <v>6</v>
      </c>
      <c r="E129" s="43">
        <f t="shared" si="32"/>
        <v>6</v>
      </c>
      <c r="F129" s="43">
        <f t="shared" si="33"/>
        <v>6</v>
      </c>
      <c r="G129" s="43">
        <f t="shared" si="34"/>
        <v>6</v>
      </c>
      <c r="H129" s="43">
        <f t="shared" si="35"/>
        <v>6</v>
      </c>
      <c r="I129" s="43">
        <f t="shared" si="36"/>
        <v>6</v>
      </c>
      <c r="J129" s="43">
        <f t="shared" si="37"/>
        <v>6</v>
      </c>
      <c r="K129" s="43">
        <f t="shared" si="38"/>
        <v>6</v>
      </c>
      <c r="L129" s="43">
        <f t="shared" si="39"/>
        <v>6</v>
      </c>
      <c r="M129" s="43">
        <f t="shared" si="40"/>
        <v>6</v>
      </c>
      <c r="N129" s="43">
        <f t="shared" si="41"/>
        <v>6</v>
      </c>
      <c r="O129" s="43">
        <f t="shared" si="42"/>
        <v>6</v>
      </c>
      <c r="P129" s="43">
        <f t="shared" si="43"/>
        <v>6</v>
      </c>
      <c r="Q129" s="43">
        <f t="shared" si="44"/>
        <v>6</v>
      </c>
      <c r="R129" s="63">
        <f t="shared" si="45"/>
        <v>6</v>
      </c>
      <c r="U129" s="1601"/>
      <c r="V129" s="28">
        <v>15</v>
      </c>
      <c r="W129" s="43" cm="1">
        <f t="array" ref="W129">VLOOKUP(MAX(IF('Courbe Déflexion'!$GH$25:$GH$305&lt;=V129,'Courbe Déflexion'!$GH$25:$GH$305)),'Courbe Déflexion'!$GH$25:$IA$305,7,0)</f>
        <v>6</v>
      </c>
      <c r="X129" s="43">
        <f>VLOOKUP(X$84,'Infos Techniques'!$B$7:$E$12,3,0)/($V129*$X$39/12)</f>
        <v>18.823529411764707</v>
      </c>
      <c r="Y129" s="43">
        <f>VLOOKUP(Y$84,'Infos Techniques'!$B$7:$E$12,3,0)/($V129*$X$39/12)</f>
        <v>12.988235294117647</v>
      </c>
      <c r="Z129" s="43">
        <f>VLOOKUP(Z$84,'Infos Techniques'!$B$7:$E$12,3,0)/($V129*$X$39/12)</f>
        <v>10.91764705882353</v>
      </c>
      <c r="AA129" s="43">
        <f>VLOOKUP(AA$84,'Infos Techniques'!$B$7:$E$12,3,0)/($V129*$X$39/12)</f>
        <v>7.7929411764705883</v>
      </c>
      <c r="AB129" s="43">
        <f>VLOOKUP(AB$84,'Infos Techniques'!$B$7:$E$12,3,0)/($V129*$X$39/12)</f>
        <v>6.2305882352941175</v>
      </c>
      <c r="AC129" s="43">
        <f>VLOOKUP(AC$84,'Infos Techniques'!$B$7:$E$12,2,0)/($V129*$X$39/12)</f>
        <v>22.588235294117649</v>
      </c>
      <c r="AD129" s="43">
        <f>VLOOKUP(AD$84,'Infos Techniques'!$B$7:$E$12,2,0)/($V129*$X$39/12)</f>
        <v>22.588235294117649</v>
      </c>
      <c r="AE129" s="43">
        <f>VLOOKUP(AE$84,'Infos Techniques'!$B$7:$E$12,2,0)/($V129*$X$39/12)</f>
        <v>21.835294117647059</v>
      </c>
      <c r="AF129" s="43">
        <f>VLOOKUP(AF$84,'Infos Techniques'!$B$7:$E$12,2,0)/($V129*$X$39/12)</f>
        <v>15.604705882352942</v>
      </c>
      <c r="AG129" s="43">
        <f>VLOOKUP(AG$84,'Infos Techniques'!$B$7:$E$12,2,0)/($V129*$X$39/12)</f>
        <v>12.48</v>
      </c>
      <c r="AH129" s="43">
        <f>VLOOKUP(AH$84,'Infos Techniques'!$B$7:$E$12,4,0)/($V129*$X$39/12)</f>
        <v>28.235294117647058</v>
      </c>
      <c r="AI129" s="43">
        <f>VLOOKUP(AI$84,'Infos Techniques'!$B$7:$E$12,4,0)/($V129*$X$39/12)</f>
        <v>28.235294117647058</v>
      </c>
      <c r="AJ129" s="43">
        <f>VLOOKUP(AJ$84,'Infos Techniques'!$B$7:$E$12,4,0)/($V129*$X$39/12)</f>
        <v>28.235294117647058</v>
      </c>
      <c r="AK129" s="247">
        <f>VLOOKUP(AK$84,'Infos Techniques'!$B$7:$E$12,4,0)/($V129*$X$39/12)</f>
        <v>15.604705882352942</v>
      </c>
      <c r="AL129" s="248">
        <f>VLOOKUP(AL$84,'Infos Techniques'!$B$7:$E$12,4,0)/($V129*$X$39/12)</f>
        <v>12.48</v>
      </c>
    </row>
    <row r="130" spans="2:38">
      <c r="B130" s="1849"/>
      <c r="C130" s="70">
        <v>20</v>
      </c>
      <c r="D130" s="76">
        <f t="shared" si="30"/>
        <v>7</v>
      </c>
      <c r="E130" s="43">
        <f t="shared" si="32"/>
        <v>7</v>
      </c>
      <c r="F130" s="43">
        <f t="shared" si="33"/>
        <v>7</v>
      </c>
      <c r="G130" s="43">
        <f t="shared" si="34"/>
        <v>5.8447058823529412</v>
      </c>
      <c r="H130" s="43">
        <f t="shared" si="35"/>
        <v>4.6729411764705882</v>
      </c>
      <c r="I130" s="43">
        <f t="shared" si="36"/>
        <v>7</v>
      </c>
      <c r="J130" s="43">
        <f t="shared" si="37"/>
        <v>7</v>
      </c>
      <c r="K130" s="43">
        <f t="shared" si="38"/>
        <v>7</v>
      </c>
      <c r="L130" s="43">
        <f t="shared" si="39"/>
        <v>7</v>
      </c>
      <c r="M130" s="43">
        <f t="shared" si="40"/>
        <v>7</v>
      </c>
      <c r="N130" s="43">
        <f t="shared" si="41"/>
        <v>7</v>
      </c>
      <c r="O130" s="43">
        <f t="shared" si="42"/>
        <v>7</v>
      </c>
      <c r="P130" s="43">
        <f t="shared" si="43"/>
        <v>7</v>
      </c>
      <c r="Q130" s="43">
        <f t="shared" si="44"/>
        <v>7</v>
      </c>
      <c r="R130" s="63">
        <f t="shared" si="45"/>
        <v>7</v>
      </c>
      <c r="U130" s="1601"/>
      <c r="V130" s="28">
        <v>20</v>
      </c>
      <c r="W130" s="43" cm="1">
        <f t="array" ref="W130">VLOOKUP(MAX(IF('Courbe Déflexion'!$GH$25:$GH$305&lt;=V130,'Courbe Déflexion'!$GH$25:$GH$305)),'Courbe Déflexion'!$GH$25:$IA$305,7,0)</f>
        <v>7</v>
      </c>
      <c r="X130" s="43">
        <f>VLOOKUP(X$84,'Infos Techniques'!$B$7:$E$12,3,0)/($V130*$X$39/12)</f>
        <v>14.117647058823531</v>
      </c>
      <c r="Y130" s="43">
        <f>VLOOKUP(Y$84,'Infos Techniques'!$B$7:$E$12,3,0)/($V130*$X$39/12)</f>
        <v>9.7411764705882362</v>
      </c>
      <c r="Z130" s="43">
        <f>VLOOKUP(Z$84,'Infos Techniques'!$B$7:$E$12,3,0)/($V130*$X$39/12)</f>
        <v>8.1882352941176482</v>
      </c>
      <c r="AA130" s="43">
        <f>VLOOKUP(AA$84,'Infos Techniques'!$B$7:$E$12,3,0)/($V130*$X$39/12)</f>
        <v>5.8447058823529412</v>
      </c>
      <c r="AB130" s="43">
        <f>VLOOKUP(AB$84,'Infos Techniques'!$B$7:$E$12,3,0)/($V130*$X$39/12)</f>
        <v>4.6729411764705882</v>
      </c>
      <c r="AC130" s="43">
        <f>VLOOKUP(AC$84,'Infos Techniques'!$B$7:$E$12,2,0)/($V130*$X$39/12)</f>
        <v>16.941176470588236</v>
      </c>
      <c r="AD130" s="43">
        <f>VLOOKUP(AD$84,'Infos Techniques'!$B$7:$E$12,2,0)/($V130*$X$39/12)</f>
        <v>16.941176470588236</v>
      </c>
      <c r="AE130" s="43">
        <f>VLOOKUP(AE$84,'Infos Techniques'!$B$7:$E$12,2,0)/($V130*$X$39/12)</f>
        <v>16.376470588235296</v>
      </c>
      <c r="AF130" s="43">
        <f>VLOOKUP(AF$84,'Infos Techniques'!$B$7:$E$12,2,0)/($V130*$X$39/12)</f>
        <v>11.703529411764707</v>
      </c>
      <c r="AG130" s="43">
        <f>VLOOKUP(AG$84,'Infos Techniques'!$B$7:$E$12,2,0)/($V130*$X$39/12)</f>
        <v>9.3600000000000012</v>
      </c>
      <c r="AH130" s="43">
        <f>VLOOKUP(AH$84,'Infos Techniques'!$B$7:$E$12,4,0)/($V130*$X$39/12)</f>
        <v>21.176470588235297</v>
      </c>
      <c r="AI130" s="43">
        <f>VLOOKUP(AI$84,'Infos Techniques'!$B$7:$E$12,4,0)/($V130*$X$39/12)</f>
        <v>21.176470588235297</v>
      </c>
      <c r="AJ130" s="43">
        <f>VLOOKUP(AJ$84,'Infos Techniques'!$B$7:$E$12,4,0)/($V130*$X$39/12)</f>
        <v>21.176470588235297</v>
      </c>
      <c r="AK130" s="247">
        <f>VLOOKUP(AK$84,'Infos Techniques'!$B$7:$E$12,4,0)/($V130*$X$39/12)</f>
        <v>11.703529411764707</v>
      </c>
      <c r="AL130" s="248">
        <f>VLOOKUP(AL$84,'Infos Techniques'!$B$7:$E$12,4,0)/($V130*$X$39/12)</f>
        <v>9.3600000000000012</v>
      </c>
    </row>
    <row r="131" spans="2:38" ht="15" thickBot="1">
      <c r="B131" s="1849"/>
      <c r="C131" s="71">
        <v>25</v>
      </c>
      <c r="D131" s="76">
        <f t="shared" si="30"/>
        <v>8</v>
      </c>
      <c r="E131" s="43">
        <f t="shared" si="32"/>
        <v>7.7929411764705883</v>
      </c>
      <c r="F131" s="43">
        <f t="shared" si="33"/>
        <v>6.5505882352941169</v>
      </c>
      <c r="G131" s="43">
        <f t="shared" si="34"/>
        <v>4.6757647058823526</v>
      </c>
      <c r="H131" s="43">
        <f t="shared" si="35"/>
        <v>3.7383529411764704</v>
      </c>
      <c r="I131" s="43">
        <f t="shared" si="36"/>
        <v>8</v>
      </c>
      <c r="J131" s="43">
        <f t="shared" si="37"/>
        <v>8</v>
      </c>
      <c r="K131" s="43">
        <f t="shared" si="38"/>
        <v>8</v>
      </c>
      <c r="L131" s="43">
        <f t="shared" si="39"/>
        <v>8</v>
      </c>
      <c r="M131" s="43">
        <f t="shared" si="40"/>
        <v>7.4879999999999995</v>
      </c>
      <c r="N131" s="43">
        <f t="shared" si="41"/>
        <v>8</v>
      </c>
      <c r="O131" s="43">
        <f t="shared" si="42"/>
        <v>8</v>
      </c>
      <c r="P131" s="43">
        <f t="shared" si="43"/>
        <v>8</v>
      </c>
      <c r="Q131" s="43">
        <f t="shared" si="44"/>
        <v>8</v>
      </c>
      <c r="R131" s="63">
        <f t="shared" si="45"/>
        <v>7.4879999999999995</v>
      </c>
      <c r="U131" s="1601"/>
      <c r="V131" s="28">
        <v>25</v>
      </c>
      <c r="W131" s="43" cm="1">
        <f t="array" ref="W131">VLOOKUP(MAX(IF('Courbe Déflexion'!$GH$25:$GH$305&lt;=V131,'Courbe Déflexion'!$GH$25:$GH$305)),'Courbe Déflexion'!$GH$25:$IA$305,7,0)</f>
        <v>8</v>
      </c>
      <c r="X131" s="43">
        <f>VLOOKUP(X$84,'Infos Techniques'!$B$7:$E$12,3,0)/($V131*$X$39/12)</f>
        <v>11.294117647058822</v>
      </c>
      <c r="Y131" s="43">
        <f>VLOOKUP(Y$84,'Infos Techniques'!$B$7:$E$12,3,0)/($V131*$X$39/12)</f>
        <v>7.7929411764705883</v>
      </c>
      <c r="Z131" s="43">
        <f>VLOOKUP(Z$84,'Infos Techniques'!$B$7:$E$12,3,0)/($V131*$X$39/12)</f>
        <v>6.5505882352941169</v>
      </c>
      <c r="AA131" s="43">
        <f>VLOOKUP(AA$84,'Infos Techniques'!$B$7:$E$12,3,0)/($V131*$X$39/12)</f>
        <v>4.6757647058823526</v>
      </c>
      <c r="AB131" s="43">
        <f>VLOOKUP(AB$84,'Infos Techniques'!$B$7:$E$12,3,0)/($V131*$X$39/12)</f>
        <v>3.7383529411764704</v>
      </c>
      <c r="AC131" s="43">
        <f>VLOOKUP(AC$84,'Infos Techniques'!$B$7:$E$12,2,0)/($V131*$X$39/12)</f>
        <v>13.552941176470588</v>
      </c>
      <c r="AD131" s="43">
        <f>VLOOKUP(AD$84,'Infos Techniques'!$B$7:$E$12,2,0)/($V131*$X$39/12)</f>
        <v>13.552941176470588</v>
      </c>
      <c r="AE131" s="43">
        <f>VLOOKUP(AE$84,'Infos Techniques'!$B$7:$E$12,2,0)/($V131*$X$39/12)</f>
        <v>13.101176470588234</v>
      </c>
      <c r="AF131" s="43">
        <f>VLOOKUP(AF$84,'Infos Techniques'!$B$7:$E$12,2,0)/($V131*$X$39/12)</f>
        <v>9.3628235294117648</v>
      </c>
      <c r="AG131" s="43">
        <f>VLOOKUP(AG$84,'Infos Techniques'!$B$7:$E$12,2,0)/($V131*$X$39/12)</f>
        <v>7.4879999999999995</v>
      </c>
      <c r="AH131" s="43">
        <f>VLOOKUP(AH$84,'Infos Techniques'!$B$7:$E$12,4,0)/($V131*$X$39/12)</f>
        <v>16.941176470588236</v>
      </c>
      <c r="AI131" s="43">
        <f>VLOOKUP(AI$84,'Infos Techniques'!$B$7:$E$12,4,0)/($V131*$X$39/12)</f>
        <v>16.941176470588236</v>
      </c>
      <c r="AJ131" s="43">
        <f>VLOOKUP(AJ$84,'Infos Techniques'!$B$7:$E$12,4,0)/($V131*$X$39/12)</f>
        <v>16.941176470588236</v>
      </c>
      <c r="AK131" s="247">
        <f>VLOOKUP(AK$84,'Infos Techniques'!$B$7:$E$12,4,0)/($V131*$X$39/12)</f>
        <v>9.3628235294117648</v>
      </c>
      <c r="AL131" s="248">
        <f>VLOOKUP(AL$84,'Infos Techniques'!$B$7:$E$12,4,0)/($V131*$X$39/12)</f>
        <v>7.4879999999999995</v>
      </c>
    </row>
    <row r="132" spans="2:38">
      <c r="B132" s="1849"/>
      <c r="C132" s="69">
        <v>30</v>
      </c>
      <c r="D132" s="76">
        <f t="shared" si="30"/>
        <v>8</v>
      </c>
      <c r="E132" s="43">
        <f t="shared" si="32"/>
        <v>6.4941176470588236</v>
      </c>
      <c r="F132" s="43">
        <f t="shared" si="33"/>
        <v>5.4588235294117649</v>
      </c>
      <c r="G132" s="43">
        <f t="shared" si="34"/>
        <v>3.8964705882352941</v>
      </c>
      <c r="H132" s="43">
        <f t="shared" si="35"/>
        <v>3.1152941176470588</v>
      </c>
      <c r="I132" s="43">
        <f t="shared" si="36"/>
        <v>8</v>
      </c>
      <c r="J132" s="43">
        <f t="shared" si="37"/>
        <v>8</v>
      </c>
      <c r="K132" s="43">
        <f t="shared" si="38"/>
        <v>8</v>
      </c>
      <c r="L132" s="43">
        <f t="shared" si="39"/>
        <v>7.8023529411764709</v>
      </c>
      <c r="M132" s="43">
        <f t="shared" si="40"/>
        <v>6.24</v>
      </c>
      <c r="N132" s="43">
        <f t="shared" si="41"/>
        <v>8</v>
      </c>
      <c r="O132" s="43">
        <f t="shared" si="42"/>
        <v>8</v>
      </c>
      <c r="P132" s="43">
        <f t="shared" si="43"/>
        <v>8</v>
      </c>
      <c r="Q132" s="43">
        <f t="shared" si="44"/>
        <v>7.8023529411764709</v>
      </c>
      <c r="R132" s="63">
        <f t="shared" si="45"/>
        <v>6.24</v>
      </c>
      <c r="U132" s="1601"/>
      <c r="V132" s="28">
        <v>30</v>
      </c>
      <c r="W132" s="43" cm="1">
        <f t="array" ref="W132">VLOOKUP(MAX(IF('Courbe Déflexion'!$GH$25:$GH$305&lt;=V132,'Courbe Déflexion'!$GH$25:$GH$305)),'Courbe Déflexion'!$GH$25:$IA$305,7,0)</f>
        <v>8</v>
      </c>
      <c r="X132" s="43">
        <f>VLOOKUP(X$84,'Infos Techniques'!$B$7:$E$12,3,0)/($V132*$X$39/12)</f>
        <v>9.4117647058823533</v>
      </c>
      <c r="Y132" s="43">
        <f>VLOOKUP(Y$84,'Infos Techniques'!$B$7:$E$12,3,0)/($V132*$X$39/12)</f>
        <v>6.4941176470588236</v>
      </c>
      <c r="Z132" s="43">
        <f>VLOOKUP(Z$84,'Infos Techniques'!$B$7:$E$12,3,0)/($V132*$X$39/12)</f>
        <v>5.4588235294117649</v>
      </c>
      <c r="AA132" s="43">
        <f>VLOOKUP(AA$84,'Infos Techniques'!$B$7:$E$12,3,0)/($V132*$X$39/12)</f>
        <v>3.8964705882352941</v>
      </c>
      <c r="AB132" s="43">
        <f>VLOOKUP(AB$84,'Infos Techniques'!$B$7:$E$12,3,0)/($V132*$X$39/12)</f>
        <v>3.1152941176470588</v>
      </c>
      <c r="AC132" s="43">
        <f>VLOOKUP(AC$84,'Infos Techniques'!$B$7:$E$12,2,0)/($V132*$X$39/12)</f>
        <v>11.294117647058824</v>
      </c>
      <c r="AD132" s="43">
        <f>VLOOKUP(AD$84,'Infos Techniques'!$B$7:$E$12,2,0)/($V132*$X$39/12)</f>
        <v>11.294117647058824</v>
      </c>
      <c r="AE132" s="43">
        <f>VLOOKUP(AE$84,'Infos Techniques'!$B$7:$E$12,2,0)/($V132*$X$39/12)</f>
        <v>10.91764705882353</v>
      </c>
      <c r="AF132" s="43">
        <f>VLOOKUP(AF$84,'Infos Techniques'!$B$7:$E$12,2,0)/($V132*$X$39/12)</f>
        <v>7.8023529411764709</v>
      </c>
      <c r="AG132" s="43">
        <f>VLOOKUP(AG$84,'Infos Techniques'!$B$7:$E$12,2,0)/($V132*$X$39/12)</f>
        <v>6.24</v>
      </c>
      <c r="AH132" s="43">
        <f>VLOOKUP(AH$84,'Infos Techniques'!$B$7:$E$12,4,0)/($V132*$X$39/12)</f>
        <v>14.117647058823529</v>
      </c>
      <c r="AI132" s="43">
        <f>VLOOKUP(AI$84,'Infos Techniques'!$B$7:$E$12,4,0)/($V132*$X$39/12)</f>
        <v>14.117647058823529</v>
      </c>
      <c r="AJ132" s="43">
        <f>VLOOKUP(AJ$84,'Infos Techniques'!$B$7:$E$12,4,0)/($V132*$X$39/12)</f>
        <v>14.117647058823529</v>
      </c>
      <c r="AK132" s="247">
        <f>VLOOKUP(AK$84,'Infos Techniques'!$B$7:$E$12,4,0)/($V132*$X$39/12)</f>
        <v>7.8023529411764709</v>
      </c>
      <c r="AL132" s="248">
        <f>VLOOKUP(AL$84,'Infos Techniques'!$B$7:$E$12,4,0)/($V132*$X$39/12)</f>
        <v>6.24</v>
      </c>
    </row>
    <row r="133" spans="2:38">
      <c r="B133" s="1849"/>
      <c r="C133" s="70">
        <v>35</v>
      </c>
      <c r="D133" s="76">
        <f t="shared" si="30"/>
        <v>8.0672268907563023</v>
      </c>
      <c r="E133" s="43">
        <f t="shared" si="32"/>
        <v>5.5663865546218494</v>
      </c>
      <c r="F133" s="43">
        <f t="shared" si="33"/>
        <v>4.6789915966386557</v>
      </c>
      <c r="G133" s="43">
        <f t="shared" si="34"/>
        <v>3.3398319327731092</v>
      </c>
      <c r="H133" s="43">
        <f t="shared" si="35"/>
        <v>2.6702521008403362</v>
      </c>
      <c r="I133" s="43">
        <f t="shared" si="36"/>
        <v>8.6000000000000014</v>
      </c>
      <c r="J133" s="43">
        <f t="shared" si="37"/>
        <v>8.6000000000000014</v>
      </c>
      <c r="K133" s="43">
        <f t="shared" si="38"/>
        <v>8.6000000000000014</v>
      </c>
      <c r="L133" s="43">
        <f t="shared" si="39"/>
        <v>6.6877310924369748</v>
      </c>
      <c r="M133" s="43">
        <f t="shared" si="40"/>
        <v>5.3485714285714288</v>
      </c>
      <c r="N133" s="43">
        <f t="shared" si="41"/>
        <v>8.6000000000000014</v>
      </c>
      <c r="O133" s="43">
        <f t="shared" si="42"/>
        <v>8.6000000000000014</v>
      </c>
      <c r="P133" s="43">
        <f t="shared" si="43"/>
        <v>8.6000000000000014</v>
      </c>
      <c r="Q133" s="43">
        <f t="shared" si="44"/>
        <v>6.6877310924369748</v>
      </c>
      <c r="R133" s="63">
        <f t="shared" si="45"/>
        <v>5.3485714285714288</v>
      </c>
      <c r="U133" s="1601"/>
      <c r="V133" s="28">
        <v>35</v>
      </c>
      <c r="W133" s="43" cm="1">
        <f t="array" ref="W133">VLOOKUP(MAX(IF('Courbe Déflexion'!$GH$25:$GH$305&lt;=V133,'Courbe Déflexion'!$GH$25:$GH$305)),'Courbe Déflexion'!$GH$25:$IA$305,7,0)</f>
        <v>8.6000000000000014</v>
      </c>
      <c r="X133" s="43">
        <f>VLOOKUP(X$84,'Infos Techniques'!$B$7:$E$12,3,0)/($V133*$X$39/12)</f>
        <v>8.0672268907563023</v>
      </c>
      <c r="Y133" s="43">
        <f>VLOOKUP(Y$84,'Infos Techniques'!$B$7:$E$12,3,0)/($V133*$X$39/12)</f>
        <v>5.5663865546218494</v>
      </c>
      <c r="Z133" s="43">
        <f>VLOOKUP(Z$84,'Infos Techniques'!$B$7:$E$12,3,0)/($V133*$X$39/12)</f>
        <v>4.6789915966386557</v>
      </c>
      <c r="AA133" s="43">
        <f>VLOOKUP(AA$84,'Infos Techniques'!$B$7:$E$12,3,0)/($V133*$X$39/12)</f>
        <v>3.3398319327731092</v>
      </c>
      <c r="AB133" s="43">
        <f>VLOOKUP(AB$84,'Infos Techniques'!$B$7:$E$12,3,0)/($V133*$X$39/12)</f>
        <v>2.6702521008403362</v>
      </c>
      <c r="AC133" s="43">
        <f>VLOOKUP(AC$84,'Infos Techniques'!$B$7:$E$12,2,0)/($V133*$X$39/12)</f>
        <v>9.6806722689075642</v>
      </c>
      <c r="AD133" s="43">
        <f>VLOOKUP(AD$84,'Infos Techniques'!$B$7:$E$12,2,0)/($V133*$X$39/12)</f>
        <v>9.6806722689075642</v>
      </c>
      <c r="AE133" s="43">
        <f>VLOOKUP(AE$84,'Infos Techniques'!$B$7:$E$12,2,0)/($V133*$X$39/12)</f>
        <v>9.3579831932773114</v>
      </c>
      <c r="AF133" s="43">
        <f>VLOOKUP(AF$84,'Infos Techniques'!$B$7:$E$12,2,0)/($V133*$X$39/12)</f>
        <v>6.6877310924369748</v>
      </c>
      <c r="AG133" s="43">
        <f>VLOOKUP(AG$84,'Infos Techniques'!$B$7:$E$12,2,0)/($V133*$X$39/12)</f>
        <v>5.3485714285714288</v>
      </c>
      <c r="AH133" s="43">
        <f>VLOOKUP(AH$84,'Infos Techniques'!$B$7:$E$12,4,0)/($V133*$X$39/12)</f>
        <v>12.100840336134453</v>
      </c>
      <c r="AI133" s="43">
        <f>VLOOKUP(AI$84,'Infos Techniques'!$B$7:$E$12,4,0)/($V133*$X$39/12)</f>
        <v>12.100840336134453</v>
      </c>
      <c r="AJ133" s="43">
        <f>VLOOKUP(AJ$84,'Infos Techniques'!$B$7:$E$12,4,0)/($V133*$X$39/12)</f>
        <v>12.100840336134453</v>
      </c>
      <c r="AK133" s="247">
        <f>VLOOKUP(AK$84,'Infos Techniques'!$B$7:$E$12,4,0)/($V133*$X$39/12)</f>
        <v>6.6877310924369748</v>
      </c>
      <c r="AL133" s="248">
        <f>VLOOKUP(AL$84,'Infos Techniques'!$B$7:$E$12,4,0)/($V133*$X$39/12)</f>
        <v>5.3485714285714288</v>
      </c>
    </row>
    <row r="134" spans="2:38">
      <c r="B134" s="1849"/>
      <c r="C134" s="70">
        <v>40</v>
      </c>
      <c r="D134" s="76">
        <f t="shared" si="30"/>
        <v>7.0588235294117654</v>
      </c>
      <c r="E134" s="43">
        <f t="shared" si="32"/>
        <v>4.8705882352941181</v>
      </c>
      <c r="F134" s="43">
        <f t="shared" si="33"/>
        <v>4.0941176470588241</v>
      </c>
      <c r="G134" s="43">
        <f t="shared" si="34"/>
        <v>2.9223529411764706</v>
      </c>
      <c r="H134" s="43">
        <f t="shared" si="35"/>
        <v>2.3364705882352941</v>
      </c>
      <c r="I134" s="43">
        <f t="shared" si="36"/>
        <v>8.4705882352941178</v>
      </c>
      <c r="J134" s="43">
        <f t="shared" si="37"/>
        <v>8.4705882352941178</v>
      </c>
      <c r="K134" s="43">
        <f t="shared" si="38"/>
        <v>8.1882352941176482</v>
      </c>
      <c r="L134" s="43">
        <f t="shared" si="39"/>
        <v>5.8517647058823536</v>
      </c>
      <c r="M134" s="43">
        <f t="shared" si="40"/>
        <v>4.6800000000000006</v>
      </c>
      <c r="N134" s="43">
        <f t="shared" si="41"/>
        <v>9.5000000000000018</v>
      </c>
      <c r="O134" s="43">
        <f t="shared" si="42"/>
        <v>9.5000000000000018</v>
      </c>
      <c r="P134" s="43">
        <f t="shared" si="43"/>
        <v>9.5000000000000018</v>
      </c>
      <c r="Q134" s="43">
        <f t="shared" si="44"/>
        <v>5.8517647058823536</v>
      </c>
      <c r="R134" s="63">
        <f t="shared" si="45"/>
        <v>4.6800000000000006</v>
      </c>
      <c r="U134" s="1601"/>
      <c r="V134" s="28">
        <v>40</v>
      </c>
      <c r="W134" s="43" cm="1">
        <f t="array" ref="W134">VLOOKUP(MAX(IF('Courbe Déflexion'!$GH$25:$GH$305&lt;=V134,'Courbe Déflexion'!$GH$25:$GH$305)),'Courbe Déflexion'!$GH$25:$IA$305,7,0)</f>
        <v>9.5000000000000018</v>
      </c>
      <c r="X134" s="43">
        <f>VLOOKUP(X$84,'Infos Techniques'!$B$7:$E$12,3,0)/($V134*$X$39/12)</f>
        <v>7.0588235294117654</v>
      </c>
      <c r="Y134" s="43">
        <f>VLOOKUP(Y$84,'Infos Techniques'!$B$7:$E$12,3,0)/($V134*$X$39/12)</f>
        <v>4.8705882352941181</v>
      </c>
      <c r="Z134" s="43">
        <f>VLOOKUP(Z$84,'Infos Techniques'!$B$7:$E$12,3,0)/($V134*$X$39/12)</f>
        <v>4.0941176470588241</v>
      </c>
      <c r="AA134" s="43">
        <f>VLOOKUP(AA$84,'Infos Techniques'!$B$7:$E$12,3,0)/($V134*$X$39/12)</f>
        <v>2.9223529411764706</v>
      </c>
      <c r="AB134" s="43">
        <f>VLOOKUP(AB$84,'Infos Techniques'!$B$7:$E$12,3,0)/($V134*$X$39/12)</f>
        <v>2.3364705882352941</v>
      </c>
      <c r="AC134" s="43">
        <f>VLOOKUP(AC$84,'Infos Techniques'!$B$7:$E$12,2,0)/($V134*$X$39/12)</f>
        <v>8.4705882352941178</v>
      </c>
      <c r="AD134" s="43">
        <f>VLOOKUP(AD$84,'Infos Techniques'!$B$7:$E$12,2,0)/($V134*$X$39/12)</f>
        <v>8.4705882352941178</v>
      </c>
      <c r="AE134" s="43">
        <f>VLOOKUP(AE$84,'Infos Techniques'!$B$7:$E$12,2,0)/($V134*$X$39/12)</f>
        <v>8.1882352941176482</v>
      </c>
      <c r="AF134" s="43">
        <f>VLOOKUP(AF$84,'Infos Techniques'!$B$7:$E$12,2,0)/($V134*$X$39/12)</f>
        <v>5.8517647058823536</v>
      </c>
      <c r="AG134" s="43">
        <f>VLOOKUP(AG$84,'Infos Techniques'!$B$7:$E$12,2,0)/($V134*$X$39/12)</f>
        <v>4.6800000000000006</v>
      </c>
      <c r="AH134" s="43">
        <f>VLOOKUP(AH$84,'Infos Techniques'!$B$7:$E$12,4,0)/($V134*$X$39/12)</f>
        <v>10.588235294117649</v>
      </c>
      <c r="AI134" s="43">
        <f>VLOOKUP(AI$84,'Infos Techniques'!$B$7:$E$12,4,0)/($V134*$X$39/12)</f>
        <v>10.588235294117649</v>
      </c>
      <c r="AJ134" s="43">
        <f>VLOOKUP(AJ$84,'Infos Techniques'!$B$7:$E$12,4,0)/($V134*$X$39/12)</f>
        <v>10.588235294117649</v>
      </c>
      <c r="AK134" s="247">
        <f>VLOOKUP(AK$84,'Infos Techniques'!$B$7:$E$12,4,0)/($V134*$X$39/12)</f>
        <v>5.8517647058823536</v>
      </c>
      <c r="AL134" s="248">
        <f>VLOOKUP(AL$84,'Infos Techniques'!$B$7:$E$12,4,0)/($V134*$X$39/12)</f>
        <v>4.6800000000000006</v>
      </c>
    </row>
    <row r="135" spans="2:38">
      <c r="B135" s="1849"/>
      <c r="C135" s="70">
        <v>45</v>
      </c>
      <c r="D135" s="76">
        <f t="shared" si="30"/>
        <v>6.2745098039215685</v>
      </c>
      <c r="E135" s="43">
        <f t="shared" si="32"/>
        <v>4.3294117647058821</v>
      </c>
      <c r="F135" s="43">
        <f t="shared" si="33"/>
        <v>3.6392156862745098</v>
      </c>
      <c r="G135" s="43">
        <f t="shared" si="34"/>
        <v>2.5976470588235294</v>
      </c>
      <c r="H135" s="43">
        <f t="shared" si="35"/>
        <v>2.076862745098039</v>
      </c>
      <c r="I135" s="43">
        <f t="shared" si="36"/>
        <v>7.5294117647058822</v>
      </c>
      <c r="J135" s="43">
        <f t="shared" si="37"/>
        <v>7.5294117647058822</v>
      </c>
      <c r="K135" s="43">
        <f t="shared" si="38"/>
        <v>7.2784313725490195</v>
      </c>
      <c r="L135" s="43">
        <f t="shared" si="39"/>
        <v>5.20156862745098</v>
      </c>
      <c r="M135" s="43">
        <f t="shared" si="40"/>
        <v>4.16</v>
      </c>
      <c r="N135" s="43">
        <f t="shared" si="41"/>
        <v>9.4117647058823533</v>
      </c>
      <c r="O135" s="43">
        <f t="shared" si="42"/>
        <v>9.4117647058823533</v>
      </c>
      <c r="P135" s="43">
        <f t="shared" si="43"/>
        <v>9.4117647058823533</v>
      </c>
      <c r="Q135" s="43">
        <f t="shared" si="44"/>
        <v>5.20156862745098</v>
      </c>
      <c r="R135" s="63">
        <f t="shared" si="45"/>
        <v>4.16</v>
      </c>
      <c r="U135" s="1601"/>
      <c r="V135" s="28">
        <v>45</v>
      </c>
      <c r="W135" s="43" cm="1">
        <f t="array" ref="W135">VLOOKUP(MAX(IF('Courbe Déflexion'!$GH$25:$GH$305&lt;=V135,'Courbe Déflexion'!$GH$25:$GH$305)),'Courbe Déflexion'!$GH$25:$IA$305,7,0)</f>
        <v>10.500000000000002</v>
      </c>
      <c r="X135" s="43">
        <f>VLOOKUP(X$84,'Infos Techniques'!$B$7:$E$12,3,0)/($V135*$X$39/12)</f>
        <v>6.2745098039215685</v>
      </c>
      <c r="Y135" s="43">
        <f>VLOOKUP(Y$84,'Infos Techniques'!$B$7:$E$12,3,0)/($V135*$X$39/12)</f>
        <v>4.3294117647058821</v>
      </c>
      <c r="Z135" s="43">
        <f>VLOOKUP(Z$84,'Infos Techniques'!$B$7:$E$12,3,0)/($V135*$X$39/12)</f>
        <v>3.6392156862745098</v>
      </c>
      <c r="AA135" s="43">
        <f>VLOOKUP(AA$84,'Infos Techniques'!$B$7:$E$12,3,0)/($V135*$X$39/12)</f>
        <v>2.5976470588235294</v>
      </c>
      <c r="AB135" s="43">
        <f>VLOOKUP(AB$84,'Infos Techniques'!$B$7:$E$12,3,0)/($V135*$X$39/12)</f>
        <v>2.076862745098039</v>
      </c>
      <c r="AC135" s="43">
        <f>VLOOKUP(AC$84,'Infos Techniques'!$B$7:$E$12,2,0)/($V135*$X$39/12)</f>
        <v>7.5294117647058822</v>
      </c>
      <c r="AD135" s="43">
        <f>VLOOKUP(AD$84,'Infos Techniques'!$B$7:$E$12,2,0)/($V135*$X$39/12)</f>
        <v>7.5294117647058822</v>
      </c>
      <c r="AE135" s="43">
        <f>VLOOKUP(AE$84,'Infos Techniques'!$B$7:$E$12,2,0)/($V135*$X$39/12)</f>
        <v>7.2784313725490195</v>
      </c>
      <c r="AF135" s="43">
        <f>VLOOKUP(AF$84,'Infos Techniques'!$B$7:$E$12,2,0)/($V135*$X$39/12)</f>
        <v>5.20156862745098</v>
      </c>
      <c r="AG135" s="43">
        <f>VLOOKUP(AG$84,'Infos Techniques'!$B$7:$E$12,2,0)/($V135*$X$39/12)</f>
        <v>4.16</v>
      </c>
      <c r="AH135" s="43">
        <f>VLOOKUP(AH$84,'Infos Techniques'!$B$7:$E$12,4,0)/($V135*$X$39/12)</f>
        <v>9.4117647058823533</v>
      </c>
      <c r="AI135" s="43">
        <f>VLOOKUP(AI$84,'Infos Techniques'!$B$7:$E$12,4,0)/($V135*$X$39/12)</f>
        <v>9.4117647058823533</v>
      </c>
      <c r="AJ135" s="43">
        <f>VLOOKUP(AJ$84,'Infos Techniques'!$B$7:$E$12,4,0)/($V135*$X$39/12)</f>
        <v>9.4117647058823533</v>
      </c>
      <c r="AK135" s="247">
        <f>VLOOKUP(AK$84,'Infos Techniques'!$B$7:$E$12,4,0)/($V135*$X$39/12)</f>
        <v>5.20156862745098</v>
      </c>
      <c r="AL135" s="248">
        <f>VLOOKUP(AL$84,'Infos Techniques'!$B$7:$E$12,4,0)/($V135*$X$39/12)</f>
        <v>4.16</v>
      </c>
    </row>
    <row r="136" spans="2:38" ht="15" thickBot="1">
      <c r="B136" s="1849"/>
      <c r="C136" s="71">
        <v>50</v>
      </c>
      <c r="D136" s="76">
        <f t="shared" si="30"/>
        <v>5.6470588235294112</v>
      </c>
      <c r="E136" s="43">
        <f t="shared" si="32"/>
        <v>3.8964705882352941</v>
      </c>
      <c r="F136" s="43">
        <f t="shared" si="33"/>
        <v>3.2752941176470585</v>
      </c>
      <c r="G136" s="43">
        <f t="shared" si="34"/>
        <v>2.3378823529411763</v>
      </c>
      <c r="H136" s="43">
        <f t="shared" si="35"/>
        <v>1.8691764705882352</v>
      </c>
      <c r="I136" s="43">
        <f t="shared" si="36"/>
        <v>6.776470588235294</v>
      </c>
      <c r="J136" s="43">
        <f t="shared" si="37"/>
        <v>6.776470588235294</v>
      </c>
      <c r="K136" s="43">
        <f t="shared" si="38"/>
        <v>6.5505882352941169</v>
      </c>
      <c r="L136" s="43">
        <f t="shared" si="39"/>
        <v>4.6814117647058824</v>
      </c>
      <c r="M136" s="43">
        <f t="shared" si="40"/>
        <v>3.7439999999999998</v>
      </c>
      <c r="N136" s="43">
        <f t="shared" si="41"/>
        <v>8.4705882352941178</v>
      </c>
      <c r="O136" s="43">
        <f t="shared" si="42"/>
        <v>8.4705882352941178</v>
      </c>
      <c r="P136" s="43">
        <f t="shared" si="43"/>
        <v>8.4705882352941178</v>
      </c>
      <c r="Q136" s="43">
        <f t="shared" si="44"/>
        <v>4.6814117647058824</v>
      </c>
      <c r="R136" s="63">
        <f t="shared" si="45"/>
        <v>3.7439999999999998</v>
      </c>
      <c r="U136" s="1601"/>
      <c r="V136" s="28">
        <v>50</v>
      </c>
      <c r="W136" s="43" cm="1">
        <f t="array" ref="W136">VLOOKUP(MAX(IF('Courbe Déflexion'!$GH$25:$GH$305&lt;=V136,'Courbe Déflexion'!$GH$25:$GH$305)),'Courbe Déflexion'!$GH$25:$IA$305,7,0)</f>
        <v>12.200000000000003</v>
      </c>
      <c r="X136" s="43">
        <f>VLOOKUP(X$84,'Infos Techniques'!$B$7:$E$12,3,0)/($V136*$X$39/12)</f>
        <v>5.6470588235294112</v>
      </c>
      <c r="Y136" s="43">
        <f>VLOOKUP(Y$84,'Infos Techniques'!$B$7:$E$12,3,0)/($V136*$X$39/12)</f>
        <v>3.8964705882352941</v>
      </c>
      <c r="Z136" s="43">
        <f>VLOOKUP(Z$84,'Infos Techniques'!$B$7:$E$12,3,0)/($V136*$X$39/12)</f>
        <v>3.2752941176470585</v>
      </c>
      <c r="AA136" s="43">
        <f>VLOOKUP(AA$84,'Infos Techniques'!$B$7:$E$12,3,0)/($V136*$X$39/12)</f>
        <v>2.3378823529411763</v>
      </c>
      <c r="AB136" s="43">
        <f>VLOOKUP(AB$84,'Infos Techniques'!$B$7:$E$12,3,0)/($V136*$X$39/12)</f>
        <v>1.8691764705882352</v>
      </c>
      <c r="AC136" s="43">
        <f>VLOOKUP(AC$84,'Infos Techniques'!$B$7:$E$12,2,0)/($V136*$X$39/12)</f>
        <v>6.776470588235294</v>
      </c>
      <c r="AD136" s="43">
        <f>VLOOKUP(AD$84,'Infos Techniques'!$B$7:$E$12,2,0)/($V136*$X$39/12)</f>
        <v>6.776470588235294</v>
      </c>
      <c r="AE136" s="43">
        <f>VLOOKUP(AE$84,'Infos Techniques'!$B$7:$E$12,2,0)/($V136*$X$39/12)</f>
        <v>6.5505882352941169</v>
      </c>
      <c r="AF136" s="43">
        <f>VLOOKUP(AF$84,'Infos Techniques'!$B$7:$E$12,2,0)/($V136*$X$39/12)</f>
        <v>4.6814117647058824</v>
      </c>
      <c r="AG136" s="43">
        <f>VLOOKUP(AG$84,'Infos Techniques'!$B$7:$E$12,2,0)/($V136*$X$39/12)</f>
        <v>3.7439999999999998</v>
      </c>
      <c r="AH136" s="43">
        <f>VLOOKUP(AH$84,'Infos Techniques'!$B$7:$E$12,4,0)/($V136*$X$39/12)</f>
        <v>8.4705882352941178</v>
      </c>
      <c r="AI136" s="43">
        <f>VLOOKUP(AI$84,'Infos Techniques'!$B$7:$E$12,4,0)/($V136*$X$39/12)</f>
        <v>8.4705882352941178</v>
      </c>
      <c r="AJ136" s="43">
        <f>VLOOKUP(AJ$84,'Infos Techniques'!$B$7:$E$12,4,0)/($V136*$X$39/12)</f>
        <v>8.4705882352941178</v>
      </c>
      <c r="AK136" s="247">
        <f>VLOOKUP(AK$84,'Infos Techniques'!$B$7:$E$12,4,0)/($V136*$X$39/12)</f>
        <v>4.6814117647058824</v>
      </c>
      <c r="AL136" s="248">
        <f>VLOOKUP(AL$84,'Infos Techniques'!$B$7:$E$12,4,0)/($V136*$X$39/12)</f>
        <v>3.7439999999999998</v>
      </c>
    </row>
    <row r="137" spans="2:38">
      <c r="B137" s="1849"/>
      <c r="C137" s="69">
        <v>55</v>
      </c>
      <c r="D137" s="76">
        <f t="shared" si="30"/>
        <v>5.1336898395721926</v>
      </c>
      <c r="E137" s="43">
        <f t="shared" si="32"/>
        <v>3.542245989304813</v>
      </c>
      <c r="F137" s="43">
        <f t="shared" si="33"/>
        <v>2.9775401069518717</v>
      </c>
      <c r="G137" s="43">
        <f t="shared" si="34"/>
        <v>2.1253475935828878</v>
      </c>
      <c r="H137" s="43">
        <f t="shared" si="35"/>
        <v>1.6992513368983959</v>
      </c>
      <c r="I137" s="43">
        <f t="shared" si="36"/>
        <v>6.1604278074866317</v>
      </c>
      <c r="J137" s="43">
        <f t="shared" si="37"/>
        <v>6.1604278074866317</v>
      </c>
      <c r="K137" s="43">
        <f t="shared" si="38"/>
        <v>5.9550802139037433</v>
      </c>
      <c r="L137" s="43">
        <f t="shared" si="39"/>
        <v>4.2558288770053476</v>
      </c>
      <c r="M137" s="43">
        <f t="shared" si="40"/>
        <v>3.4036363636363638</v>
      </c>
      <c r="N137" s="43">
        <f t="shared" si="41"/>
        <v>7.7005347593582893</v>
      </c>
      <c r="O137" s="43">
        <f t="shared" si="42"/>
        <v>7.7005347593582893</v>
      </c>
      <c r="P137" s="43">
        <f t="shared" si="43"/>
        <v>7.7005347593582893</v>
      </c>
      <c r="Q137" s="43">
        <f t="shared" si="44"/>
        <v>4.2558288770053476</v>
      </c>
      <c r="R137" s="63">
        <f t="shared" si="45"/>
        <v>3.4036363636363638</v>
      </c>
      <c r="U137" s="1601"/>
      <c r="V137" s="28">
        <v>55</v>
      </c>
      <c r="W137" s="43" cm="1">
        <f t="array" ref="W137">VLOOKUP(MAX(IF('Courbe Déflexion'!$GH$25:$GH$305&lt;=V137,'Courbe Déflexion'!$GH$25:$GH$305)),'Courbe Déflexion'!$GH$25:$IA$305,7,0)</f>
        <v>13</v>
      </c>
      <c r="X137" s="43">
        <f>VLOOKUP(X$84,'Infos Techniques'!$B$7:$E$12,3,0)/($V137*$X$39/12)</f>
        <v>5.1336898395721926</v>
      </c>
      <c r="Y137" s="43">
        <f>VLOOKUP(Y$84,'Infos Techniques'!$B$7:$E$12,3,0)/($V137*$X$39/12)</f>
        <v>3.542245989304813</v>
      </c>
      <c r="Z137" s="43">
        <f>VLOOKUP(Z$84,'Infos Techniques'!$B$7:$E$12,3,0)/($V137*$X$39/12)</f>
        <v>2.9775401069518717</v>
      </c>
      <c r="AA137" s="43">
        <f>VLOOKUP(AA$84,'Infos Techniques'!$B$7:$E$12,3,0)/($V137*$X$39/12)</f>
        <v>2.1253475935828878</v>
      </c>
      <c r="AB137" s="43">
        <f>VLOOKUP(AB$84,'Infos Techniques'!$B$7:$E$12,3,0)/($V137*$X$39/12)</f>
        <v>1.6992513368983959</v>
      </c>
      <c r="AC137" s="43">
        <f>VLOOKUP(AC$84,'Infos Techniques'!$B$7:$E$12,2,0)/($V137*$X$39/12)</f>
        <v>6.1604278074866317</v>
      </c>
      <c r="AD137" s="43">
        <f>VLOOKUP(AD$84,'Infos Techniques'!$B$7:$E$12,2,0)/($V137*$X$39/12)</f>
        <v>6.1604278074866317</v>
      </c>
      <c r="AE137" s="43">
        <f>VLOOKUP(AE$84,'Infos Techniques'!$B$7:$E$12,2,0)/($V137*$X$39/12)</f>
        <v>5.9550802139037433</v>
      </c>
      <c r="AF137" s="43">
        <f>VLOOKUP(AF$84,'Infos Techniques'!$B$7:$E$12,2,0)/($V137*$X$39/12)</f>
        <v>4.2558288770053476</v>
      </c>
      <c r="AG137" s="43">
        <f>VLOOKUP(AG$84,'Infos Techniques'!$B$7:$E$12,2,0)/($V137*$X$39/12)</f>
        <v>3.4036363636363638</v>
      </c>
      <c r="AH137" s="43">
        <f>VLOOKUP(AH$84,'Infos Techniques'!$B$7:$E$12,4,0)/($V137*$X$39/12)</f>
        <v>7.7005347593582893</v>
      </c>
      <c r="AI137" s="43">
        <f>VLOOKUP(AI$84,'Infos Techniques'!$B$7:$E$12,4,0)/($V137*$X$39/12)</f>
        <v>7.7005347593582893</v>
      </c>
      <c r="AJ137" s="43">
        <f>VLOOKUP(AJ$84,'Infos Techniques'!$B$7:$E$12,4,0)/($V137*$X$39/12)</f>
        <v>7.7005347593582893</v>
      </c>
      <c r="AK137" s="247">
        <f>VLOOKUP(AK$84,'Infos Techniques'!$B$7:$E$12,4,0)/($V137*$X$39/12)</f>
        <v>4.2558288770053476</v>
      </c>
      <c r="AL137" s="248">
        <f>VLOOKUP(AL$84,'Infos Techniques'!$B$7:$E$12,4,0)/($V137*$X$39/12)</f>
        <v>3.4036363636363638</v>
      </c>
    </row>
    <row r="138" spans="2:38">
      <c r="B138" s="1849"/>
      <c r="C138" s="70">
        <v>60</v>
      </c>
      <c r="D138" s="76">
        <f t="shared" si="30"/>
        <v>4.7058823529411766</v>
      </c>
      <c r="E138" s="43">
        <f t="shared" si="32"/>
        <v>3.2470588235294118</v>
      </c>
      <c r="F138" s="43">
        <f t="shared" si="33"/>
        <v>2.7294117647058824</v>
      </c>
      <c r="G138" s="43">
        <f t="shared" si="34"/>
        <v>1.9482352941176471</v>
      </c>
      <c r="H138" s="43">
        <f t="shared" si="35"/>
        <v>1.5576470588235294</v>
      </c>
      <c r="I138" s="43">
        <f t="shared" si="36"/>
        <v>5.6470588235294121</v>
      </c>
      <c r="J138" s="43">
        <f t="shared" si="37"/>
        <v>5.6470588235294121</v>
      </c>
      <c r="K138" s="43">
        <f t="shared" si="38"/>
        <v>5.4588235294117649</v>
      </c>
      <c r="L138" s="43">
        <f t="shared" si="39"/>
        <v>3.9011764705882355</v>
      </c>
      <c r="M138" s="43">
        <f t="shared" si="40"/>
        <v>3.12</v>
      </c>
      <c r="N138" s="43">
        <f t="shared" si="41"/>
        <v>7.0588235294117645</v>
      </c>
      <c r="O138" s="43">
        <f t="shared" si="42"/>
        <v>7.0588235294117645</v>
      </c>
      <c r="P138" s="43">
        <f t="shared" si="43"/>
        <v>7.0588235294117645</v>
      </c>
      <c r="Q138" s="43">
        <f t="shared" si="44"/>
        <v>3.9011764705882355</v>
      </c>
      <c r="R138" s="63">
        <f t="shared" si="45"/>
        <v>3.12</v>
      </c>
      <c r="U138" s="1601"/>
      <c r="V138" s="28">
        <v>60</v>
      </c>
      <c r="W138" s="43" cm="1">
        <f t="array" ref="W138">VLOOKUP(MAX(IF('Courbe Déflexion'!$GH$25:$GH$305&lt;=V138,'Courbe Déflexion'!$GH$25:$GH$305)),'Courbe Déflexion'!$GH$25:$IA$305,7,0)</f>
        <v>13.8</v>
      </c>
      <c r="X138" s="43">
        <f>VLOOKUP(X$84,'Infos Techniques'!$B$7:$E$12,3,0)/($V138*$X$39/12)</f>
        <v>4.7058823529411766</v>
      </c>
      <c r="Y138" s="43">
        <f>VLOOKUP(Y$84,'Infos Techniques'!$B$7:$E$12,3,0)/($V138*$X$39/12)</f>
        <v>3.2470588235294118</v>
      </c>
      <c r="Z138" s="43">
        <f>VLOOKUP(Z$84,'Infos Techniques'!$B$7:$E$12,3,0)/($V138*$X$39/12)</f>
        <v>2.7294117647058824</v>
      </c>
      <c r="AA138" s="43">
        <f>VLOOKUP(AA$84,'Infos Techniques'!$B$7:$E$12,3,0)/($V138*$X$39/12)</f>
        <v>1.9482352941176471</v>
      </c>
      <c r="AB138" s="43">
        <f>VLOOKUP(AB$84,'Infos Techniques'!$B$7:$E$12,3,0)/($V138*$X$39/12)</f>
        <v>1.5576470588235294</v>
      </c>
      <c r="AC138" s="43">
        <f>VLOOKUP(AC$84,'Infos Techniques'!$B$7:$E$12,2,0)/($V138*$X$39/12)</f>
        <v>5.6470588235294121</v>
      </c>
      <c r="AD138" s="43">
        <f>VLOOKUP(AD$84,'Infos Techniques'!$B$7:$E$12,2,0)/($V138*$X$39/12)</f>
        <v>5.6470588235294121</v>
      </c>
      <c r="AE138" s="43">
        <f>VLOOKUP(AE$84,'Infos Techniques'!$B$7:$E$12,2,0)/($V138*$X$39/12)</f>
        <v>5.4588235294117649</v>
      </c>
      <c r="AF138" s="43">
        <f>VLOOKUP(AF$84,'Infos Techniques'!$B$7:$E$12,2,0)/($V138*$X$39/12)</f>
        <v>3.9011764705882355</v>
      </c>
      <c r="AG138" s="43">
        <f>VLOOKUP(AG$84,'Infos Techniques'!$B$7:$E$12,2,0)/($V138*$X$39/12)</f>
        <v>3.12</v>
      </c>
      <c r="AH138" s="43">
        <f>VLOOKUP(AH$84,'Infos Techniques'!$B$7:$E$12,4,0)/($V138*$X$39/12)</f>
        <v>7.0588235294117645</v>
      </c>
      <c r="AI138" s="43">
        <f>VLOOKUP(AI$84,'Infos Techniques'!$B$7:$E$12,4,0)/($V138*$X$39/12)</f>
        <v>7.0588235294117645</v>
      </c>
      <c r="AJ138" s="43">
        <f>VLOOKUP(AJ$84,'Infos Techniques'!$B$7:$E$12,4,0)/($V138*$X$39/12)</f>
        <v>7.0588235294117645</v>
      </c>
      <c r="AK138" s="247">
        <f>VLOOKUP(AK$84,'Infos Techniques'!$B$7:$E$12,4,0)/($V138*$X$39/12)</f>
        <v>3.9011764705882355</v>
      </c>
      <c r="AL138" s="248">
        <f>VLOOKUP(AL$84,'Infos Techniques'!$B$7:$E$12,4,0)/($V138*$X$39/12)</f>
        <v>3.12</v>
      </c>
    </row>
    <row r="139" spans="2:38">
      <c r="B139" s="1849"/>
      <c r="C139" s="70">
        <v>65</v>
      </c>
      <c r="D139" s="76">
        <f t="shared" si="30"/>
        <v>4.3438914027149318</v>
      </c>
      <c r="E139" s="43">
        <f t="shared" si="32"/>
        <v>2.9972850678733032</v>
      </c>
      <c r="F139" s="43">
        <f t="shared" si="33"/>
        <v>2.5194570135746606</v>
      </c>
      <c r="G139" s="43">
        <f t="shared" si="34"/>
        <v>1.7983710407239819</v>
      </c>
      <c r="H139" s="43">
        <f t="shared" si="35"/>
        <v>1.4378280542986426</v>
      </c>
      <c r="I139" s="43">
        <f t="shared" si="36"/>
        <v>5.2126696832579187</v>
      </c>
      <c r="J139" s="43">
        <f t="shared" si="37"/>
        <v>5.2126696832579187</v>
      </c>
      <c r="K139" s="43">
        <f t="shared" si="38"/>
        <v>5.0389140271493211</v>
      </c>
      <c r="L139" s="43">
        <f t="shared" si="39"/>
        <v>3.6010859728506786</v>
      </c>
      <c r="M139" s="43">
        <f t="shared" si="40"/>
        <v>2.88</v>
      </c>
      <c r="N139" s="43">
        <f t="shared" si="41"/>
        <v>6.5158371040723981</v>
      </c>
      <c r="O139" s="43">
        <f t="shared" si="42"/>
        <v>6.5158371040723981</v>
      </c>
      <c r="P139" s="43">
        <f t="shared" si="43"/>
        <v>6.5158371040723981</v>
      </c>
      <c r="Q139" s="43">
        <f t="shared" si="44"/>
        <v>3.6010859728506786</v>
      </c>
      <c r="R139" s="63">
        <f t="shared" si="45"/>
        <v>2.88</v>
      </c>
      <c r="U139" s="1601"/>
      <c r="V139" s="28">
        <v>65</v>
      </c>
      <c r="W139" s="43" cm="1">
        <f t="array" ref="W139">VLOOKUP(MAX(IF('Courbe Déflexion'!$GH$25:$GH$305&lt;=V139,'Courbe Déflexion'!$GH$25:$GH$305)),'Courbe Déflexion'!$GH$25:$IA$305,7,0)</f>
        <v>15.600000000000001</v>
      </c>
      <c r="X139" s="43">
        <f>VLOOKUP(X$84,'Infos Techniques'!$B$7:$E$12,3,0)/($V139*$X$39/12)</f>
        <v>4.3438914027149318</v>
      </c>
      <c r="Y139" s="43">
        <f>VLOOKUP(Y$84,'Infos Techniques'!$B$7:$E$12,3,0)/($V139*$X$39/12)</f>
        <v>2.9972850678733032</v>
      </c>
      <c r="Z139" s="43">
        <f>VLOOKUP(Z$84,'Infos Techniques'!$B$7:$E$12,3,0)/($V139*$X$39/12)</f>
        <v>2.5194570135746606</v>
      </c>
      <c r="AA139" s="43">
        <f>VLOOKUP(AA$84,'Infos Techniques'!$B$7:$E$12,3,0)/($V139*$X$39/12)</f>
        <v>1.7983710407239819</v>
      </c>
      <c r="AB139" s="43">
        <f>VLOOKUP(AB$84,'Infos Techniques'!$B$7:$E$12,3,0)/($V139*$X$39/12)</f>
        <v>1.4378280542986426</v>
      </c>
      <c r="AC139" s="43">
        <f>VLOOKUP(AC$84,'Infos Techniques'!$B$7:$E$12,2,0)/($V139*$X$39/12)</f>
        <v>5.2126696832579187</v>
      </c>
      <c r="AD139" s="43">
        <f>VLOOKUP(AD$84,'Infos Techniques'!$B$7:$E$12,2,0)/($V139*$X$39/12)</f>
        <v>5.2126696832579187</v>
      </c>
      <c r="AE139" s="43">
        <f>VLOOKUP(AE$84,'Infos Techniques'!$B$7:$E$12,2,0)/($V139*$X$39/12)</f>
        <v>5.0389140271493211</v>
      </c>
      <c r="AF139" s="43">
        <f>VLOOKUP(AF$84,'Infos Techniques'!$B$7:$E$12,2,0)/($V139*$X$39/12)</f>
        <v>3.6010859728506786</v>
      </c>
      <c r="AG139" s="43">
        <f>VLOOKUP(AG$84,'Infos Techniques'!$B$7:$E$12,2,0)/($V139*$X$39/12)</f>
        <v>2.88</v>
      </c>
      <c r="AH139" s="43">
        <f>VLOOKUP(AH$84,'Infos Techniques'!$B$7:$E$12,4,0)/($V139*$X$39/12)</f>
        <v>6.5158371040723981</v>
      </c>
      <c r="AI139" s="43">
        <f>VLOOKUP(AI$84,'Infos Techniques'!$B$7:$E$12,4,0)/($V139*$X$39/12)</f>
        <v>6.5158371040723981</v>
      </c>
      <c r="AJ139" s="43">
        <f>VLOOKUP(AJ$84,'Infos Techniques'!$B$7:$E$12,4,0)/($V139*$X$39/12)</f>
        <v>6.5158371040723981</v>
      </c>
      <c r="AK139" s="247">
        <f>VLOOKUP(AK$84,'Infos Techniques'!$B$7:$E$12,4,0)/($V139*$X$39/12)</f>
        <v>3.6010859728506786</v>
      </c>
      <c r="AL139" s="248">
        <f>VLOOKUP(AL$84,'Infos Techniques'!$B$7:$E$12,4,0)/($V139*$X$39/12)</f>
        <v>2.88</v>
      </c>
    </row>
    <row r="140" spans="2:38">
      <c r="B140" s="1849"/>
      <c r="C140" s="70">
        <v>70</v>
      </c>
      <c r="D140" s="76">
        <f t="shared" si="30"/>
        <v>4.0336134453781511</v>
      </c>
      <c r="E140" s="43">
        <f t="shared" si="32"/>
        <v>2.7831932773109247</v>
      </c>
      <c r="F140" s="43">
        <f t="shared" si="33"/>
        <v>2.3394957983193279</v>
      </c>
      <c r="G140" s="43">
        <f t="shared" si="34"/>
        <v>1.6699159663865546</v>
      </c>
      <c r="H140" s="43">
        <f t="shared" si="35"/>
        <v>1.3351260504201681</v>
      </c>
      <c r="I140" s="43">
        <f t="shared" si="36"/>
        <v>4.8403361344537821</v>
      </c>
      <c r="J140" s="43">
        <f t="shared" si="37"/>
        <v>4.8403361344537821</v>
      </c>
      <c r="K140" s="43">
        <f t="shared" si="38"/>
        <v>4.6789915966386557</v>
      </c>
      <c r="L140" s="43">
        <f t="shared" si="39"/>
        <v>3.3438655462184874</v>
      </c>
      <c r="M140" s="43">
        <f t="shared" si="40"/>
        <v>2.6742857142857144</v>
      </c>
      <c r="N140" s="43">
        <f t="shared" si="41"/>
        <v>6.0504201680672267</v>
      </c>
      <c r="O140" s="43">
        <f t="shared" si="42"/>
        <v>6.0504201680672267</v>
      </c>
      <c r="P140" s="43">
        <f t="shared" si="43"/>
        <v>6.0504201680672267</v>
      </c>
      <c r="Q140" s="43">
        <f t="shared" si="44"/>
        <v>3.3438655462184874</v>
      </c>
      <c r="R140" s="63">
        <f t="shared" si="45"/>
        <v>2.6742857142857144</v>
      </c>
      <c r="U140" s="1601"/>
      <c r="V140" s="28">
        <v>70</v>
      </c>
      <c r="W140" s="43" cm="1">
        <f t="array" ref="W140">VLOOKUP(MAX(IF('Courbe Déflexion'!$GH$25:$GH$305&lt;=V140,'Courbe Déflexion'!$GH$25:$GH$305)),'Courbe Déflexion'!$GH$25:$IA$305,7,0)</f>
        <v>16.599999999999994</v>
      </c>
      <c r="X140" s="43">
        <f>VLOOKUP(X$84,'Infos Techniques'!$B$7:$E$12,3,0)/($V140*$X$39/12)</f>
        <v>4.0336134453781511</v>
      </c>
      <c r="Y140" s="43">
        <f>VLOOKUP(Y$84,'Infos Techniques'!$B$7:$E$12,3,0)/($V140*$X$39/12)</f>
        <v>2.7831932773109247</v>
      </c>
      <c r="Z140" s="43">
        <f>VLOOKUP(Z$84,'Infos Techniques'!$B$7:$E$12,3,0)/($V140*$X$39/12)</f>
        <v>2.3394957983193279</v>
      </c>
      <c r="AA140" s="43">
        <f>VLOOKUP(AA$84,'Infos Techniques'!$B$7:$E$12,3,0)/($V140*$X$39/12)</f>
        <v>1.6699159663865546</v>
      </c>
      <c r="AB140" s="43">
        <f>VLOOKUP(AB$84,'Infos Techniques'!$B$7:$E$12,3,0)/($V140*$X$39/12)</f>
        <v>1.3351260504201681</v>
      </c>
      <c r="AC140" s="43">
        <f>VLOOKUP(AC$84,'Infos Techniques'!$B$7:$E$12,2,0)/($V140*$X$39/12)</f>
        <v>4.8403361344537821</v>
      </c>
      <c r="AD140" s="43">
        <f>VLOOKUP(AD$84,'Infos Techniques'!$B$7:$E$12,2,0)/($V140*$X$39/12)</f>
        <v>4.8403361344537821</v>
      </c>
      <c r="AE140" s="43">
        <f>VLOOKUP(AE$84,'Infos Techniques'!$B$7:$E$12,2,0)/($V140*$X$39/12)</f>
        <v>4.6789915966386557</v>
      </c>
      <c r="AF140" s="43">
        <f>VLOOKUP(AF$84,'Infos Techniques'!$B$7:$E$12,2,0)/($V140*$X$39/12)</f>
        <v>3.3438655462184874</v>
      </c>
      <c r="AG140" s="43">
        <f>VLOOKUP(AG$84,'Infos Techniques'!$B$7:$E$12,2,0)/($V140*$X$39/12)</f>
        <v>2.6742857142857144</v>
      </c>
      <c r="AH140" s="43">
        <f>VLOOKUP(AH$84,'Infos Techniques'!$B$7:$E$12,4,0)/($V140*$X$39/12)</f>
        <v>6.0504201680672267</v>
      </c>
      <c r="AI140" s="43">
        <f>VLOOKUP(AI$84,'Infos Techniques'!$B$7:$E$12,4,0)/($V140*$X$39/12)</f>
        <v>6.0504201680672267</v>
      </c>
      <c r="AJ140" s="43">
        <f>VLOOKUP(AJ$84,'Infos Techniques'!$B$7:$E$12,4,0)/($V140*$X$39/12)</f>
        <v>6.0504201680672267</v>
      </c>
      <c r="AK140" s="247">
        <f>VLOOKUP(AK$84,'Infos Techniques'!$B$7:$E$12,4,0)/($V140*$X$39/12)</f>
        <v>3.3438655462184874</v>
      </c>
      <c r="AL140" s="248">
        <f>VLOOKUP(AL$84,'Infos Techniques'!$B$7:$E$12,4,0)/($V140*$X$39/12)</f>
        <v>2.6742857142857144</v>
      </c>
    </row>
    <row r="141" spans="2:38" ht="15" thickBot="1">
      <c r="B141" s="1849"/>
      <c r="C141" s="71">
        <v>75</v>
      </c>
      <c r="D141" s="76">
        <f t="shared" si="30"/>
        <v>3.7647058823529411</v>
      </c>
      <c r="E141" s="43">
        <f t="shared" si="32"/>
        <v>2.5976470588235294</v>
      </c>
      <c r="F141" s="43">
        <f t="shared" si="33"/>
        <v>2.1835294117647059</v>
      </c>
      <c r="G141" s="43">
        <f t="shared" si="34"/>
        <v>1.5585882352941176</v>
      </c>
      <c r="H141" s="43">
        <f t="shared" si="35"/>
        <v>1.2461176470588236</v>
      </c>
      <c r="I141" s="43">
        <f t="shared" si="36"/>
        <v>4.5176470588235293</v>
      </c>
      <c r="J141" s="43">
        <f t="shared" si="37"/>
        <v>4.5176470588235293</v>
      </c>
      <c r="K141" s="43">
        <f t="shared" si="38"/>
        <v>4.3670588235294119</v>
      </c>
      <c r="L141" s="43">
        <f t="shared" si="39"/>
        <v>3.1209411764705881</v>
      </c>
      <c r="M141" s="43">
        <f t="shared" si="40"/>
        <v>2.496</v>
      </c>
      <c r="N141" s="43">
        <f t="shared" si="41"/>
        <v>5.6470588235294121</v>
      </c>
      <c r="O141" s="43">
        <f t="shared" si="42"/>
        <v>5.6470588235294121</v>
      </c>
      <c r="P141" s="43">
        <f t="shared" si="43"/>
        <v>5.6470588235294121</v>
      </c>
      <c r="Q141" s="43">
        <f t="shared" si="44"/>
        <v>3.1209411764705881</v>
      </c>
      <c r="R141" s="63">
        <f t="shared" si="45"/>
        <v>2.496</v>
      </c>
      <c r="U141" s="1601"/>
      <c r="V141" s="28">
        <v>75</v>
      </c>
      <c r="W141" s="43" cm="1">
        <f t="array" ref="W141">VLOOKUP(MAX(IF('Courbe Déflexion'!$GH$25:$GH$305&lt;=V141,'Courbe Déflexion'!$GH$25:$GH$305)),'Courbe Déflexion'!$GH$25:$IA$305,7,0)</f>
        <v>17.800000000000004</v>
      </c>
      <c r="X141" s="43">
        <f>VLOOKUP(X$84,'Infos Techniques'!$B$7:$E$12,3,0)/($V141*$X$39/12)</f>
        <v>3.7647058823529411</v>
      </c>
      <c r="Y141" s="43">
        <f>VLOOKUP(Y$84,'Infos Techniques'!$B$7:$E$12,3,0)/($V141*$X$39/12)</f>
        <v>2.5976470588235294</v>
      </c>
      <c r="Z141" s="43">
        <f>VLOOKUP(Z$84,'Infos Techniques'!$B$7:$E$12,3,0)/($V141*$X$39/12)</f>
        <v>2.1835294117647059</v>
      </c>
      <c r="AA141" s="43">
        <f>VLOOKUP(AA$84,'Infos Techniques'!$B$7:$E$12,3,0)/($V141*$X$39/12)</f>
        <v>1.5585882352941176</v>
      </c>
      <c r="AB141" s="43">
        <f>VLOOKUP(AB$84,'Infos Techniques'!$B$7:$E$12,3,0)/($V141*$X$39/12)</f>
        <v>1.2461176470588236</v>
      </c>
      <c r="AC141" s="43">
        <f>VLOOKUP(AC$84,'Infos Techniques'!$B$7:$E$12,2,0)/($V141*$X$39/12)</f>
        <v>4.5176470588235293</v>
      </c>
      <c r="AD141" s="43">
        <f>VLOOKUP(AD$84,'Infos Techniques'!$B$7:$E$12,2,0)/($V141*$X$39/12)</f>
        <v>4.5176470588235293</v>
      </c>
      <c r="AE141" s="43">
        <f>VLOOKUP(AE$84,'Infos Techniques'!$B$7:$E$12,2,0)/($V141*$X$39/12)</f>
        <v>4.3670588235294119</v>
      </c>
      <c r="AF141" s="43">
        <f>VLOOKUP(AF$84,'Infos Techniques'!$B$7:$E$12,2,0)/($V141*$X$39/12)</f>
        <v>3.1209411764705881</v>
      </c>
      <c r="AG141" s="43">
        <f>VLOOKUP(AG$84,'Infos Techniques'!$B$7:$E$12,2,0)/($V141*$X$39/12)</f>
        <v>2.496</v>
      </c>
      <c r="AH141" s="43">
        <f>VLOOKUP(AH$84,'Infos Techniques'!$B$7:$E$12,4,0)/($V141*$X$39/12)</f>
        <v>5.6470588235294121</v>
      </c>
      <c r="AI141" s="43">
        <f>VLOOKUP(AI$84,'Infos Techniques'!$B$7:$E$12,4,0)/($V141*$X$39/12)</f>
        <v>5.6470588235294121</v>
      </c>
      <c r="AJ141" s="43">
        <f>VLOOKUP(AJ$84,'Infos Techniques'!$B$7:$E$12,4,0)/($V141*$X$39/12)</f>
        <v>5.6470588235294121</v>
      </c>
      <c r="AK141" s="247">
        <f>VLOOKUP(AK$84,'Infos Techniques'!$B$7:$E$12,4,0)/($V141*$X$39/12)</f>
        <v>3.1209411764705881</v>
      </c>
      <c r="AL141" s="248">
        <f>VLOOKUP(AL$84,'Infos Techniques'!$B$7:$E$12,4,0)/($V141*$X$39/12)</f>
        <v>2.496</v>
      </c>
    </row>
    <row r="142" spans="2:38">
      <c r="B142" s="1849"/>
      <c r="C142" s="72">
        <v>80</v>
      </c>
      <c r="D142" s="76">
        <f t="shared" si="30"/>
        <v>3.5294117647058827</v>
      </c>
      <c r="E142" s="43">
        <f t="shared" si="32"/>
        <v>2.4352941176470591</v>
      </c>
      <c r="F142" s="43">
        <f t="shared" si="33"/>
        <v>2.047058823529412</v>
      </c>
      <c r="G142" s="43">
        <f t="shared" si="34"/>
        <v>1.4611764705882353</v>
      </c>
      <c r="H142" s="43">
        <f t="shared" si="35"/>
        <v>1.168235294117647</v>
      </c>
      <c r="I142" s="43">
        <f t="shared" si="36"/>
        <v>4.2352941176470589</v>
      </c>
      <c r="J142" s="43">
        <f t="shared" si="37"/>
        <v>4.2352941176470589</v>
      </c>
      <c r="K142" s="43">
        <f t="shared" si="38"/>
        <v>4.0941176470588241</v>
      </c>
      <c r="L142" s="43">
        <f t="shared" si="39"/>
        <v>2.9258823529411768</v>
      </c>
      <c r="M142" s="43">
        <f t="shared" si="40"/>
        <v>2.3400000000000003</v>
      </c>
      <c r="N142" s="43">
        <f t="shared" si="41"/>
        <v>5.2941176470588243</v>
      </c>
      <c r="O142" s="43">
        <f t="shared" si="42"/>
        <v>5.2941176470588243</v>
      </c>
      <c r="P142" s="43">
        <f t="shared" si="43"/>
        <v>5.2941176470588243</v>
      </c>
      <c r="Q142" s="43">
        <f t="shared" si="44"/>
        <v>2.9258823529411768</v>
      </c>
      <c r="R142" s="63">
        <f t="shared" si="45"/>
        <v>2.3400000000000003</v>
      </c>
      <c r="U142" s="1601"/>
      <c r="V142" s="28">
        <v>80</v>
      </c>
      <c r="W142" s="43" cm="1">
        <f t="array" ref="W142">VLOOKUP(MAX(IF('Courbe Déflexion'!$GH$25:$GH$305&lt;=V142,'Courbe Déflexion'!$GH$25:$GH$305)),'Courbe Déflexion'!$GH$25:$IA$305,7,0)</f>
        <v>19.200000000000006</v>
      </c>
      <c r="X142" s="43">
        <f>VLOOKUP(X$84,'Infos Techniques'!$B$7:$E$12,3,0)/($V142*$X$39/12)</f>
        <v>3.5294117647058827</v>
      </c>
      <c r="Y142" s="43">
        <f>VLOOKUP(Y$84,'Infos Techniques'!$B$7:$E$12,3,0)/($V142*$X$39/12)</f>
        <v>2.4352941176470591</v>
      </c>
      <c r="Z142" s="43">
        <f>VLOOKUP(Z$84,'Infos Techniques'!$B$7:$E$12,3,0)/($V142*$X$39/12)</f>
        <v>2.047058823529412</v>
      </c>
      <c r="AA142" s="43">
        <f>VLOOKUP(AA$84,'Infos Techniques'!$B$7:$E$12,3,0)/($V142*$X$39/12)</f>
        <v>1.4611764705882353</v>
      </c>
      <c r="AB142" s="43">
        <f>VLOOKUP(AB$84,'Infos Techniques'!$B$7:$E$12,3,0)/($V142*$X$39/12)</f>
        <v>1.168235294117647</v>
      </c>
      <c r="AC142" s="43">
        <f>VLOOKUP(AC$84,'Infos Techniques'!$B$7:$E$12,2,0)/($V142*$X$39/12)</f>
        <v>4.2352941176470589</v>
      </c>
      <c r="AD142" s="43">
        <f>VLOOKUP(AD$84,'Infos Techniques'!$B$7:$E$12,2,0)/($V142*$X$39/12)</f>
        <v>4.2352941176470589</v>
      </c>
      <c r="AE142" s="43">
        <f>VLOOKUP(AE$84,'Infos Techniques'!$B$7:$E$12,2,0)/($V142*$X$39/12)</f>
        <v>4.0941176470588241</v>
      </c>
      <c r="AF142" s="43">
        <f>VLOOKUP(AF$84,'Infos Techniques'!$B$7:$E$12,2,0)/($V142*$X$39/12)</f>
        <v>2.9258823529411768</v>
      </c>
      <c r="AG142" s="43">
        <f>VLOOKUP(AG$84,'Infos Techniques'!$B$7:$E$12,2,0)/($V142*$X$39/12)</f>
        <v>2.3400000000000003</v>
      </c>
      <c r="AH142" s="43">
        <f>VLOOKUP(AH$84,'Infos Techniques'!$B$7:$E$12,4,0)/($V142*$X$39/12)</f>
        <v>5.2941176470588243</v>
      </c>
      <c r="AI142" s="43">
        <f>VLOOKUP(AI$84,'Infos Techniques'!$B$7:$E$12,4,0)/($V142*$X$39/12)</f>
        <v>5.2941176470588243</v>
      </c>
      <c r="AJ142" s="43">
        <f>VLOOKUP(AJ$84,'Infos Techniques'!$B$7:$E$12,4,0)/($V142*$X$39/12)</f>
        <v>5.2941176470588243</v>
      </c>
      <c r="AK142" s="247">
        <f>VLOOKUP(AK$84,'Infos Techniques'!$B$7:$E$12,4,0)/($V142*$X$39/12)</f>
        <v>2.9258823529411768</v>
      </c>
      <c r="AL142" s="248">
        <f>VLOOKUP(AL$84,'Infos Techniques'!$B$7:$E$12,4,0)/($V142*$X$39/12)</f>
        <v>2.3400000000000003</v>
      </c>
    </row>
    <row r="143" spans="2:38">
      <c r="B143" s="1849"/>
      <c r="C143" s="70">
        <v>85</v>
      </c>
      <c r="D143" s="76">
        <f t="shared" si="30"/>
        <v>3.3217993079584773</v>
      </c>
      <c r="E143" s="43">
        <f t="shared" si="32"/>
        <v>2.2920415224913495</v>
      </c>
      <c r="F143" s="43">
        <f t="shared" si="33"/>
        <v>1.9266435986159169</v>
      </c>
      <c r="G143" s="43">
        <f t="shared" si="34"/>
        <v>1.3752249134948096</v>
      </c>
      <c r="H143" s="43">
        <f t="shared" si="35"/>
        <v>1.0995155709342559</v>
      </c>
      <c r="I143" s="43">
        <f t="shared" si="36"/>
        <v>3.9861591695501728</v>
      </c>
      <c r="J143" s="43">
        <f t="shared" si="37"/>
        <v>3.9861591695501728</v>
      </c>
      <c r="K143" s="43">
        <f t="shared" si="38"/>
        <v>3.8532871972318339</v>
      </c>
      <c r="L143" s="43">
        <f t="shared" si="39"/>
        <v>2.7537716262975778</v>
      </c>
      <c r="M143" s="43">
        <f t="shared" si="40"/>
        <v>2.2023529411764704</v>
      </c>
      <c r="N143" s="43">
        <f t="shared" si="41"/>
        <v>4.9826989619377162</v>
      </c>
      <c r="O143" s="43">
        <f t="shared" si="42"/>
        <v>4.9826989619377162</v>
      </c>
      <c r="P143" s="43">
        <f t="shared" si="43"/>
        <v>4.9826989619377162</v>
      </c>
      <c r="Q143" s="43">
        <f t="shared" si="44"/>
        <v>2.7537716262975778</v>
      </c>
      <c r="R143" s="63">
        <f t="shared" si="45"/>
        <v>2.2023529411764704</v>
      </c>
      <c r="U143" s="1601"/>
      <c r="V143" s="28">
        <v>85</v>
      </c>
      <c r="W143" s="43" cm="1">
        <f t="array" ref="W143">VLOOKUP(MAX(IF('Courbe Déflexion'!$GH$25:$GH$305&lt;=V143,'Courbe Déflexion'!$GH$25:$GH$305)),'Courbe Déflexion'!$GH$25:$IA$305,7,0)</f>
        <v>20.200000000000003</v>
      </c>
      <c r="X143" s="43">
        <f>VLOOKUP(X$84,'Infos Techniques'!$B$7:$E$12,3,0)/($V143*$X$39/12)</f>
        <v>3.3217993079584773</v>
      </c>
      <c r="Y143" s="43">
        <f>VLOOKUP(Y$84,'Infos Techniques'!$B$7:$E$12,3,0)/($V143*$X$39/12)</f>
        <v>2.2920415224913495</v>
      </c>
      <c r="Z143" s="43">
        <f>VLOOKUP(Z$84,'Infos Techniques'!$B$7:$E$12,3,0)/($V143*$X$39/12)</f>
        <v>1.9266435986159169</v>
      </c>
      <c r="AA143" s="43">
        <f>VLOOKUP(AA$84,'Infos Techniques'!$B$7:$E$12,3,0)/($V143*$X$39/12)</f>
        <v>1.3752249134948096</v>
      </c>
      <c r="AB143" s="43">
        <f>VLOOKUP(AB$84,'Infos Techniques'!$B$7:$E$12,3,0)/($V143*$X$39/12)</f>
        <v>1.0995155709342559</v>
      </c>
      <c r="AC143" s="43">
        <f>VLOOKUP(AC$84,'Infos Techniques'!$B$7:$E$12,2,0)/($V143*$X$39/12)</f>
        <v>3.9861591695501728</v>
      </c>
      <c r="AD143" s="43">
        <f>VLOOKUP(AD$84,'Infos Techniques'!$B$7:$E$12,2,0)/($V143*$X$39/12)</f>
        <v>3.9861591695501728</v>
      </c>
      <c r="AE143" s="43">
        <f>VLOOKUP(AE$84,'Infos Techniques'!$B$7:$E$12,2,0)/($V143*$X$39/12)</f>
        <v>3.8532871972318339</v>
      </c>
      <c r="AF143" s="43">
        <f>VLOOKUP(AF$84,'Infos Techniques'!$B$7:$E$12,2,0)/($V143*$X$39/12)</f>
        <v>2.7537716262975778</v>
      </c>
      <c r="AG143" s="43">
        <f>VLOOKUP(AG$84,'Infos Techniques'!$B$7:$E$12,2,0)/($V143*$X$39/12)</f>
        <v>2.2023529411764704</v>
      </c>
      <c r="AH143" s="43">
        <f>VLOOKUP(AH$84,'Infos Techniques'!$B$7:$E$12,4,0)/($V143*$X$39/12)</f>
        <v>4.9826989619377162</v>
      </c>
      <c r="AI143" s="43">
        <f>VLOOKUP(AI$84,'Infos Techniques'!$B$7:$E$12,4,0)/($V143*$X$39/12)</f>
        <v>4.9826989619377162</v>
      </c>
      <c r="AJ143" s="43">
        <f>VLOOKUP(AJ$84,'Infos Techniques'!$B$7:$E$12,4,0)/($V143*$X$39/12)</f>
        <v>4.9826989619377162</v>
      </c>
      <c r="AK143" s="247">
        <f>VLOOKUP(AK$84,'Infos Techniques'!$B$7:$E$12,4,0)/($V143*$X$39/12)</f>
        <v>2.7537716262975778</v>
      </c>
      <c r="AL143" s="248">
        <f>VLOOKUP(AL$84,'Infos Techniques'!$B$7:$E$12,4,0)/($V143*$X$39/12)</f>
        <v>2.2023529411764704</v>
      </c>
    </row>
    <row r="144" spans="2:38">
      <c r="B144" s="1849"/>
      <c r="C144" s="70">
        <v>90</v>
      </c>
      <c r="D144" s="76">
        <f t="shared" si="30"/>
        <v>3.1372549019607843</v>
      </c>
      <c r="E144" s="43">
        <f t="shared" si="32"/>
        <v>2.164705882352941</v>
      </c>
      <c r="F144" s="43">
        <f t="shared" si="33"/>
        <v>1.8196078431372549</v>
      </c>
      <c r="G144" s="43">
        <f t="shared" si="34"/>
        <v>1.2988235294117647</v>
      </c>
      <c r="H144" s="43">
        <f t="shared" si="35"/>
        <v>1.0384313725490195</v>
      </c>
      <c r="I144" s="43">
        <f t="shared" si="36"/>
        <v>3.7647058823529411</v>
      </c>
      <c r="J144" s="43">
        <f t="shared" si="37"/>
        <v>3.7647058823529411</v>
      </c>
      <c r="K144" s="43">
        <f t="shared" si="38"/>
        <v>3.6392156862745098</v>
      </c>
      <c r="L144" s="43">
        <f t="shared" si="39"/>
        <v>2.60078431372549</v>
      </c>
      <c r="M144" s="43">
        <f t="shared" si="40"/>
        <v>2.08</v>
      </c>
      <c r="N144" s="43">
        <f t="shared" si="41"/>
        <v>4.7058823529411766</v>
      </c>
      <c r="O144" s="43">
        <f t="shared" si="42"/>
        <v>4.7058823529411766</v>
      </c>
      <c r="P144" s="43">
        <f t="shared" si="43"/>
        <v>4.7058823529411766</v>
      </c>
      <c r="Q144" s="43">
        <f t="shared" si="44"/>
        <v>2.60078431372549</v>
      </c>
      <c r="R144" s="63">
        <f t="shared" si="45"/>
        <v>2.08</v>
      </c>
      <c r="U144" s="1601"/>
      <c r="V144" s="28">
        <v>90</v>
      </c>
      <c r="W144" s="43" cm="1">
        <f t="array" ref="W144">VLOOKUP(MAX(IF('Courbe Déflexion'!$GH$25:$GH$305&lt;=V144,'Courbe Déflexion'!$GH$25:$GH$305)),'Courbe Déflexion'!$GH$25:$IA$305,7,0)</f>
        <v>21.299999999999994</v>
      </c>
      <c r="X144" s="43">
        <f>VLOOKUP(X$84,'Infos Techniques'!$B$7:$E$12,3,0)/($V144*$X$39/12)</f>
        <v>3.1372549019607843</v>
      </c>
      <c r="Y144" s="43">
        <f>VLOOKUP(Y$84,'Infos Techniques'!$B$7:$E$12,3,0)/($V144*$X$39/12)</f>
        <v>2.164705882352941</v>
      </c>
      <c r="Z144" s="43">
        <f>VLOOKUP(Z$84,'Infos Techniques'!$B$7:$E$12,3,0)/($V144*$X$39/12)</f>
        <v>1.8196078431372549</v>
      </c>
      <c r="AA144" s="43">
        <f>VLOOKUP(AA$84,'Infos Techniques'!$B$7:$E$12,3,0)/($V144*$X$39/12)</f>
        <v>1.2988235294117647</v>
      </c>
      <c r="AB144" s="43">
        <f>VLOOKUP(AB$84,'Infos Techniques'!$B$7:$E$12,3,0)/($V144*$X$39/12)</f>
        <v>1.0384313725490195</v>
      </c>
      <c r="AC144" s="43">
        <f>VLOOKUP(AC$84,'Infos Techniques'!$B$7:$E$12,2,0)/($V144*$X$39/12)</f>
        <v>3.7647058823529411</v>
      </c>
      <c r="AD144" s="43">
        <f>VLOOKUP(AD$84,'Infos Techniques'!$B$7:$E$12,2,0)/($V144*$X$39/12)</f>
        <v>3.7647058823529411</v>
      </c>
      <c r="AE144" s="43">
        <f>VLOOKUP(AE$84,'Infos Techniques'!$B$7:$E$12,2,0)/($V144*$X$39/12)</f>
        <v>3.6392156862745098</v>
      </c>
      <c r="AF144" s="43">
        <f>VLOOKUP(AF$84,'Infos Techniques'!$B$7:$E$12,2,0)/($V144*$X$39/12)</f>
        <v>2.60078431372549</v>
      </c>
      <c r="AG144" s="43">
        <f>VLOOKUP(AG$84,'Infos Techniques'!$B$7:$E$12,2,0)/($V144*$X$39/12)</f>
        <v>2.08</v>
      </c>
      <c r="AH144" s="43">
        <f>VLOOKUP(AH$84,'Infos Techniques'!$B$7:$E$12,4,0)/($V144*$X$39/12)</f>
        <v>4.7058823529411766</v>
      </c>
      <c r="AI144" s="43">
        <f>VLOOKUP(AI$84,'Infos Techniques'!$B$7:$E$12,4,0)/($V144*$X$39/12)</f>
        <v>4.7058823529411766</v>
      </c>
      <c r="AJ144" s="43">
        <f>VLOOKUP(AJ$84,'Infos Techniques'!$B$7:$E$12,4,0)/($V144*$X$39/12)</f>
        <v>4.7058823529411766</v>
      </c>
      <c r="AK144" s="247">
        <f>VLOOKUP(AK$84,'Infos Techniques'!$B$7:$E$12,4,0)/($V144*$X$39/12)</f>
        <v>2.60078431372549</v>
      </c>
      <c r="AL144" s="248">
        <f>VLOOKUP(AL$84,'Infos Techniques'!$B$7:$E$12,4,0)/($V144*$X$39/12)</f>
        <v>2.08</v>
      </c>
    </row>
    <row r="145" spans="2:38">
      <c r="B145" s="1849"/>
      <c r="C145" s="70">
        <v>95</v>
      </c>
      <c r="D145" s="76">
        <f t="shared" si="30"/>
        <v>2.9721362229102168</v>
      </c>
      <c r="E145" s="43">
        <f t="shared" si="32"/>
        <v>2.0507739938080496</v>
      </c>
      <c r="F145" s="43">
        <f t="shared" si="33"/>
        <v>1.7238390092879259</v>
      </c>
      <c r="G145" s="43">
        <f t="shared" si="34"/>
        <v>1.2304643962848298</v>
      </c>
      <c r="H145" s="43">
        <f t="shared" si="35"/>
        <v>0.98377708978328182</v>
      </c>
      <c r="I145" s="43">
        <f t="shared" si="36"/>
        <v>3.5665634674922604</v>
      </c>
      <c r="J145" s="43">
        <f t="shared" si="37"/>
        <v>3.5665634674922604</v>
      </c>
      <c r="K145" s="43">
        <f t="shared" si="38"/>
        <v>3.4476780185758518</v>
      </c>
      <c r="L145" s="43">
        <f t="shared" si="39"/>
        <v>2.4639009287925697</v>
      </c>
      <c r="M145" s="43">
        <f t="shared" si="40"/>
        <v>1.9705263157894739</v>
      </c>
      <c r="N145" s="43">
        <f t="shared" si="41"/>
        <v>4.458204334365325</v>
      </c>
      <c r="O145" s="43">
        <f t="shared" si="42"/>
        <v>4.458204334365325</v>
      </c>
      <c r="P145" s="43">
        <f t="shared" si="43"/>
        <v>4.458204334365325</v>
      </c>
      <c r="Q145" s="43">
        <f t="shared" si="44"/>
        <v>2.4639009287925697</v>
      </c>
      <c r="R145" s="63">
        <f t="shared" si="45"/>
        <v>1.9705263157894739</v>
      </c>
      <c r="U145" s="1601"/>
      <c r="V145" s="28">
        <v>95</v>
      </c>
      <c r="W145" s="43" cm="1">
        <f t="array" ref="W145">VLOOKUP(MAX(IF('Courbe Déflexion'!$GH$25:$GH$305&lt;=V145,'Courbe Déflexion'!$GH$25:$GH$305)),'Courbe Déflexion'!$GH$25:$IA$305,7,0)</f>
        <v>22.799999999999997</v>
      </c>
      <c r="X145" s="43">
        <f>VLOOKUP(X$84,'Infos Techniques'!$B$7:$E$12,3,0)/($V145*$X$39/12)</f>
        <v>2.9721362229102168</v>
      </c>
      <c r="Y145" s="43">
        <f>VLOOKUP(Y$84,'Infos Techniques'!$B$7:$E$12,3,0)/($V145*$X$39/12)</f>
        <v>2.0507739938080496</v>
      </c>
      <c r="Z145" s="43">
        <f>VLOOKUP(Z$84,'Infos Techniques'!$B$7:$E$12,3,0)/($V145*$X$39/12)</f>
        <v>1.7238390092879259</v>
      </c>
      <c r="AA145" s="43">
        <f>VLOOKUP(AA$84,'Infos Techniques'!$B$7:$E$12,3,0)/($V145*$X$39/12)</f>
        <v>1.2304643962848298</v>
      </c>
      <c r="AB145" s="43">
        <f>VLOOKUP(AB$84,'Infos Techniques'!$B$7:$E$12,3,0)/($V145*$X$39/12)</f>
        <v>0.98377708978328182</v>
      </c>
      <c r="AC145" s="43">
        <f>VLOOKUP(AC$84,'Infos Techniques'!$B$7:$E$12,2,0)/($V145*$X$39/12)</f>
        <v>3.5665634674922604</v>
      </c>
      <c r="AD145" s="43">
        <f>VLOOKUP(AD$84,'Infos Techniques'!$B$7:$E$12,2,0)/($V145*$X$39/12)</f>
        <v>3.5665634674922604</v>
      </c>
      <c r="AE145" s="43">
        <f>VLOOKUP(AE$84,'Infos Techniques'!$B$7:$E$12,2,0)/($V145*$X$39/12)</f>
        <v>3.4476780185758518</v>
      </c>
      <c r="AF145" s="43">
        <f>VLOOKUP(AF$84,'Infos Techniques'!$B$7:$E$12,2,0)/($V145*$X$39/12)</f>
        <v>2.4639009287925697</v>
      </c>
      <c r="AG145" s="43">
        <f>VLOOKUP(AG$84,'Infos Techniques'!$B$7:$E$12,2,0)/($V145*$X$39/12)</f>
        <v>1.9705263157894739</v>
      </c>
      <c r="AH145" s="43">
        <f>VLOOKUP(AH$84,'Infos Techniques'!$B$7:$E$12,4,0)/($V145*$X$39/12)</f>
        <v>4.458204334365325</v>
      </c>
      <c r="AI145" s="43">
        <f>VLOOKUP(AI$84,'Infos Techniques'!$B$7:$E$12,4,0)/($V145*$X$39/12)</f>
        <v>4.458204334365325</v>
      </c>
      <c r="AJ145" s="43">
        <f>VLOOKUP(AJ$84,'Infos Techniques'!$B$7:$E$12,4,0)/($V145*$X$39/12)</f>
        <v>4.458204334365325</v>
      </c>
      <c r="AK145" s="247">
        <f>VLOOKUP(AK$84,'Infos Techniques'!$B$7:$E$12,4,0)/($V145*$X$39/12)</f>
        <v>2.4639009287925697</v>
      </c>
      <c r="AL145" s="248">
        <f>VLOOKUP(AL$84,'Infos Techniques'!$B$7:$E$12,4,0)/($V145*$X$39/12)</f>
        <v>1.9705263157894739</v>
      </c>
    </row>
    <row r="146" spans="2:38" ht="15" thickBot="1">
      <c r="B146" s="1850"/>
      <c r="C146" s="73">
        <v>100</v>
      </c>
      <c r="D146" s="79">
        <f t="shared" si="30"/>
        <v>2.8235294117647056</v>
      </c>
      <c r="E146" s="45">
        <f t="shared" si="32"/>
        <v>1.9482352941176471</v>
      </c>
      <c r="F146" s="45">
        <f t="shared" si="33"/>
        <v>1.6376470588235292</v>
      </c>
      <c r="G146" s="45">
        <f t="shared" si="34"/>
        <v>1.1689411764705882</v>
      </c>
      <c r="H146" s="45">
        <f t="shared" si="35"/>
        <v>0.93458823529411761</v>
      </c>
      <c r="I146" s="45">
        <f t="shared" si="36"/>
        <v>3.388235294117647</v>
      </c>
      <c r="J146" s="45">
        <f t="shared" si="37"/>
        <v>3.388235294117647</v>
      </c>
      <c r="K146" s="45">
        <f t="shared" si="38"/>
        <v>3.2752941176470585</v>
      </c>
      <c r="L146" s="45">
        <f t="shared" si="39"/>
        <v>2.3407058823529412</v>
      </c>
      <c r="M146" s="45">
        <f t="shared" si="40"/>
        <v>1.8719999999999999</v>
      </c>
      <c r="N146" s="45">
        <f t="shared" si="41"/>
        <v>4.2352941176470589</v>
      </c>
      <c r="O146" s="45">
        <f t="shared" si="42"/>
        <v>4.2352941176470589</v>
      </c>
      <c r="P146" s="45">
        <f t="shared" si="43"/>
        <v>4.2352941176470589</v>
      </c>
      <c r="Q146" s="45">
        <f t="shared" si="44"/>
        <v>2.3407058823529412</v>
      </c>
      <c r="R146" s="66">
        <f t="shared" si="45"/>
        <v>1.8719999999999999</v>
      </c>
      <c r="U146" s="1602"/>
      <c r="V146" s="44">
        <v>100</v>
      </c>
      <c r="W146" s="45" cm="1">
        <f t="array" ref="W146">VLOOKUP(MAX(IF('Courbe Déflexion'!$GH$25:$GH$305&lt;=V146,'Courbe Déflexion'!$GH$25:$GH$305)),'Courbe Déflexion'!$GH$25:$IA$305,7,0)</f>
        <v>24</v>
      </c>
      <c r="X146" s="45">
        <f>VLOOKUP(X$84,'Infos Techniques'!$B$7:$E$12,3,0)/($V146*$X$39/12)</f>
        <v>2.8235294117647056</v>
      </c>
      <c r="Y146" s="45">
        <f>VLOOKUP(Y$84,'Infos Techniques'!$B$7:$E$12,3,0)/($V146*$X$39/12)</f>
        <v>1.9482352941176471</v>
      </c>
      <c r="Z146" s="45">
        <f>VLOOKUP(Z$84,'Infos Techniques'!$B$7:$E$12,3,0)/($V146*$X$39/12)</f>
        <v>1.6376470588235292</v>
      </c>
      <c r="AA146" s="45">
        <f>VLOOKUP(AA$84,'Infos Techniques'!$B$7:$E$12,3,0)/($V146*$X$39/12)</f>
        <v>1.1689411764705882</v>
      </c>
      <c r="AB146" s="45">
        <f>VLOOKUP(AB$84,'Infos Techniques'!$B$7:$E$12,3,0)/($V146*$X$39/12)</f>
        <v>0.93458823529411761</v>
      </c>
      <c r="AC146" s="45">
        <f>VLOOKUP(AC$84,'Infos Techniques'!$B$7:$E$12,2,0)/($V146*$X$39/12)</f>
        <v>3.388235294117647</v>
      </c>
      <c r="AD146" s="45">
        <f>VLOOKUP(AD$84,'Infos Techniques'!$B$7:$E$12,2,0)/($V146*$X$39/12)</f>
        <v>3.388235294117647</v>
      </c>
      <c r="AE146" s="45">
        <f>VLOOKUP(AE$84,'Infos Techniques'!$B$7:$E$12,2,0)/($V146*$X$39/12)</f>
        <v>3.2752941176470585</v>
      </c>
      <c r="AF146" s="45">
        <f>VLOOKUP(AF$84,'Infos Techniques'!$B$7:$E$12,2,0)/($V146*$X$39/12)</f>
        <v>2.3407058823529412</v>
      </c>
      <c r="AG146" s="45">
        <f>VLOOKUP(AG$84,'Infos Techniques'!$B$7:$E$12,2,0)/($V146*$X$39/12)</f>
        <v>1.8719999999999999</v>
      </c>
      <c r="AH146" s="249">
        <f>VLOOKUP(AH$84,'Infos Techniques'!$B$7:$E$12,4,0)/($V146*$X$39/12)</f>
        <v>4.2352941176470589</v>
      </c>
      <c r="AI146" s="45">
        <f>VLOOKUP(AI$84,'Infos Techniques'!$B$7:$E$12,4,0)/($V146*$X$39/12)</f>
        <v>4.2352941176470589</v>
      </c>
      <c r="AJ146" s="45">
        <f>VLOOKUP(AJ$84,'Infos Techniques'!$B$7:$E$12,4,0)/($V146*$X$39/12)</f>
        <v>4.2352941176470589</v>
      </c>
      <c r="AK146" s="250">
        <f>VLOOKUP(AK$84,'Infos Techniques'!$B$7:$E$12,4,0)/($V146*$X$39/12)</f>
        <v>2.3407058823529412</v>
      </c>
      <c r="AL146" s="251">
        <f>VLOOKUP(AL$84,'Infos Techniques'!$B$7:$E$12,4,0)/($V146*$X$39/12)</f>
        <v>1.8719999999999999</v>
      </c>
    </row>
    <row r="147" spans="2:38" ht="15" thickTop="1"/>
    <row r="157" spans="2:38" ht="25.9">
      <c r="B157" s="1851" t="s">
        <v>1675</v>
      </c>
      <c r="C157" s="1852"/>
      <c r="D157" s="1852"/>
      <c r="E157" s="1852"/>
      <c r="F157" s="1852"/>
      <c r="G157" s="1852"/>
      <c r="H157" s="1852"/>
      <c r="I157" s="1852"/>
      <c r="J157" s="1852"/>
      <c r="K157" s="1852"/>
      <c r="L157" s="1852"/>
      <c r="M157" s="1852"/>
      <c r="N157" s="1852"/>
      <c r="O157" s="1852"/>
      <c r="P157" s="1852"/>
      <c r="Q157" s="1852"/>
      <c r="R157" s="1852"/>
    </row>
    <row r="158" spans="2:38" ht="25.9">
      <c r="B158" s="262"/>
      <c r="C158" s="263"/>
      <c r="D158" s="263"/>
      <c r="E158" s="263"/>
      <c r="F158" s="263"/>
      <c r="G158" s="263"/>
      <c r="H158" s="263"/>
      <c r="I158" s="263"/>
      <c r="J158" s="263"/>
      <c r="K158" s="263"/>
      <c r="L158" s="263"/>
      <c r="M158" s="263"/>
      <c r="N158" s="263"/>
      <c r="O158" s="263"/>
      <c r="P158" s="263"/>
      <c r="Q158" s="263"/>
      <c r="R158" s="263"/>
    </row>
    <row r="159" spans="2:38" ht="26.45" thickBot="1">
      <c r="B159" s="1803" t="s">
        <v>1662</v>
      </c>
      <c r="C159" s="1803"/>
      <c r="D159" s="1803"/>
      <c r="E159" s="1803"/>
      <c r="F159" s="1803"/>
      <c r="G159" s="1803"/>
      <c r="H159" s="1803"/>
      <c r="I159" s="1803"/>
      <c r="J159" s="1803"/>
      <c r="K159" s="1803"/>
      <c r="L159" s="1803"/>
      <c r="M159" s="1803"/>
      <c r="N159" s="1803"/>
      <c r="O159" s="1803"/>
      <c r="P159" s="1803"/>
      <c r="Q159" s="1803"/>
      <c r="R159" s="1803"/>
    </row>
    <row r="160" spans="2:38" ht="15.6" thickTop="1" thickBot="1">
      <c r="U160" s="1808"/>
      <c r="V160" s="1809"/>
      <c r="W160" s="1606" t="s">
        <v>315</v>
      </c>
      <c r="X160" s="1606" t="s">
        <v>263</v>
      </c>
      <c r="Y160" s="1606"/>
      <c r="Z160" s="1606"/>
      <c r="AA160" s="1606"/>
      <c r="AB160" s="1606"/>
      <c r="AC160" s="1606"/>
      <c r="AD160" s="1606"/>
      <c r="AE160" s="1606"/>
      <c r="AF160" s="1606"/>
      <c r="AG160" s="1606"/>
      <c r="AH160" s="1606"/>
      <c r="AI160" s="1606"/>
      <c r="AJ160" s="1606"/>
      <c r="AK160" s="1606"/>
      <c r="AL160" s="1832"/>
    </row>
    <row r="161" spans="2:38" ht="21.6" thickTop="1">
      <c r="B161" s="1812"/>
      <c r="C161" s="1813"/>
      <c r="D161" s="1837" t="s">
        <v>263</v>
      </c>
      <c r="E161" s="1838"/>
      <c r="F161" s="1838"/>
      <c r="G161" s="1838"/>
      <c r="H161" s="1838"/>
      <c r="I161" s="1838"/>
      <c r="J161" s="1838"/>
      <c r="K161" s="1838"/>
      <c r="L161" s="1838"/>
      <c r="M161" s="1838"/>
      <c r="N161" s="1838"/>
      <c r="O161" s="1838"/>
      <c r="P161" s="1838"/>
      <c r="Q161" s="1838"/>
      <c r="R161" s="1839"/>
      <c r="U161" s="1810"/>
      <c r="V161" s="1811"/>
      <c r="W161" s="1571"/>
      <c r="X161" s="54"/>
      <c r="Y161" s="55"/>
      <c r="Z161" s="55"/>
      <c r="AA161" s="55"/>
      <c r="AB161" s="56"/>
      <c r="AC161" s="54"/>
      <c r="AD161" s="55"/>
      <c r="AE161" s="55"/>
      <c r="AF161" s="55"/>
      <c r="AG161" s="56"/>
      <c r="AH161" s="54"/>
      <c r="AI161" s="55"/>
      <c r="AJ161" s="55"/>
      <c r="AK161" s="55"/>
      <c r="AL161" s="57"/>
    </row>
    <row r="162" spans="2:38" ht="16.149999999999999" thickBot="1">
      <c r="B162" s="1814"/>
      <c r="C162" s="1397"/>
      <c r="D162" s="1840" t="s">
        <v>1663</v>
      </c>
      <c r="E162" s="1841"/>
      <c r="F162" s="1841"/>
      <c r="G162" s="1841"/>
      <c r="H162" s="1841"/>
      <c r="I162" s="1841" t="s">
        <v>321</v>
      </c>
      <c r="J162" s="1841"/>
      <c r="K162" s="1841"/>
      <c r="L162" s="1841"/>
      <c r="M162" s="1841"/>
      <c r="N162" s="1841" t="s">
        <v>322</v>
      </c>
      <c r="O162" s="1841"/>
      <c r="P162" s="1841"/>
      <c r="Q162" s="1841"/>
      <c r="R162" s="1842"/>
      <c r="U162" s="1646"/>
      <c r="V162" s="1113"/>
      <c r="W162" s="1603"/>
      <c r="X162" s="1833" t="s">
        <v>1663</v>
      </c>
      <c r="Y162" s="1834"/>
      <c r="Z162" s="1834"/>
      <c r="AA162" s="1834"/>
      <c r="AB162" s="1835"/>
      <c r="AC162" s="1833" t="s">
        <v>321</v>
      </c>
      <c r="AD162" s="1834"/>
      <c r="AE162" s="1834"/>
      <c r="AF162" s="1834"/>
      <c r="AG162" s="1835"/>
      <c r="AH162" s="1833" t="s">
        <v>322</v>
      </c>
      <c r="AI162" s="1834"/>
      <c r="AJ162" s="1834"/>
      <c r="AK162" s="1834"/>
      <c r="AL162" s="1836"/>
    </row>
    <row r="163" spans="2:38" ht="17.45">
      <c r="B163" s="1814"/>
      <c r="C163" s="1397"/>
      <c r="D163" s="1843" t="s">
        <v>1664</v>
      </c>
      <c r="E163" s="1844"/>
      <c r="F163" s="1844"/>
      <c r="G163" s="1844"/>
      <c r="H163" s="1845"/>
      <c r="I163" s="1846" t="s">
        <v>1664</v>
      </c>
      <c r="J163" s="1844"/>
      <c r="K163" s="1844"/>
      <c r="L163" s="1844"/>
      <c r="M163" s="1845"/>
      <c r="N163" s="1846" t="s">
        <v>1664</v>
      </c>
      <c r="O163" s="1844"/>
      <c r="P163" s="1844"/>
      <c r="Q163" s="1844"/>
      <c r="R163" s="1847"/>
      <c r="U163" s="1646"/>
      <c r="V163" s="1113"/>
      <c r="W163" s="29"/>
      <c r="X163" s="237"/>
      <c r="Y163" s="80"/>
      <c r="Z163" s="80"/>
      <c r="AA163" s="80"/>
      <c r="AB163" s="239"/>
      <c r="AC163" s="237"/>
      <c r="AD163" s="80"/>
      <c r="AE163" s="80"/>
      <c r="AF163" s="80"/>
      <c r="AG163" s="239"/>
      <c r="AH163" s="237"/>
      <c r="AI163" s="80"/>
      <c r="AJ163" s="80"/>
      <c r="AK163" s="80"/>
      <c r="AL163" s="238"/>
    </row>
    <row r="164" spans="2:38" ht="15" thickBot="1">
      <c r="B164" s="1815"/>
      <c r="C164" s="1816"/>
      <c r="D164" s="74" t="s">
        <v>1665</v>
      </c>
      <c r="E164" s="50" t="s">
        <v>334</v>
      </c>
      <c r="F164" s="50" t="s">
        <v>335</v>
      </c>
      <c r="G164" s="50" t="s">
        <v>336</v>
      </c>
      <c r="H164" s="51" t="s">
        <v>337</v>
      </c>
      <c r="I164" s="49" t="s">
        <v>1665</v>
      </c>
      <c r="J164" s="50" t="s">
        <v>1666</v>
      </c>
      <c r="K164" s="50" t="s">
        <v>1667</v>
      </c>
      <c r="L164" s="50" t="s">
        <v>1668</v>
      </c>
      <c r="M164" s="52" t="s">
        <v>1669</v>
      </c>
      <c r="N164" s="49" t="s">
        <v>1670</v>
      </c>
      <c r="O164" s="50" t="s">
        <v>1666</v>
      </c>
      <c r="P164" s="50" t="s">
        <v>1667</v>
      </c>
      <c r="Q164" s="50" t="s">
        <v>1668</v>
      </c>
      <c r="R164" s="53" t="s">
        <v>1669</v>
      </c>
      <c r="U164" s="1646"/>
      <c r="V164" s="1113"/>
      <c r="W164" s="29" t="s">
        <v>333</v>
      </c>
      <c r="X164" s="28">
        <v>0.1875</v>
      </c>
      <c r="Y164" s="28" t="s">
        <v>334</v>
      </c>
      <c r="Z164" s="28" t="s">
        <v>335</v>
      </c>
      <c r="AA164" s="28" t="s">
        <v>336</v>
      </c>
      <c r="AB164" s="28" t="s">
        <v>337</v>
      </c>
      <c r="AC164" s="28">
        <v>0.1875</v>
      </c>
      <c r="AD164" s="28" t="s">
        <v>334</v>
      </c>
      <c r="AE164" s="28" t="s">
        <v>335</v>
      </c>
      <c r="AF164" s="28" t="s">
        <v>336</v>
      </c>
      <c r="AG164" s="28" t="s">
        <v>337</v>
      </c>
      <c r="AH164" s="28">
        <v>0.1875</v>
      </c>
      <c r="AI164" s="28" t="s">
        <v>334</v>
      </c>
      <c r="AJ164" s="28" t="s">
        <v>335</v>
      </c>
      <c r="AK164" s="28" t="s">
        <v>336</v>
      </c>
      <c r="AL164" s="40" t="s">
        <v>337</v>
      </c>
    </row>
    <row r="165" spans="2:38">
      <c r="B165" s="1848" t="s">
        <v>1671</v>
      </c>
      <c r="C165" s="69">
        <v>5</v>
      </c>
      <c r="D165" s="75">
        <f t="shared" ref="D165:D184" si="46">MIN($X$41,X165,$W165)</f>
        <v>12</v>
      </c>
      <c r="E165" s="59">
        <f t="shared" ref="E165:E184" si="47">MIN($X$41,Y165,$W165)</f>
        <v>12</v>
      </c>
      <c r="F165" s="59">
        <f t="shared" ref="F165:F184" si="48">MIN($X$41,Z165,$W165)</f>
        <v>12</v>
      </c>
      <c r="G165" s="59">
        <f t="shared" ref="G165:G184" si="49">MIN($X$41,AA165,$W165)</f>
        <v>12</v>
      </c>
      <c r="H165" s="59">
        <f t="shared" ref="H165:H184" si="50">MIN($X$41,AB165,$W165)</f>
        <v>12</v>
      </c>
      <c r="I165" s="59">
        <f t="shared" ref="I165:I184" si="51">MIN($X$41,AC165,$W165)</f>
        <v>12</v>
      </c>
      <c r="J165" s="59">
        <f t="shared" ref="J165:J184" si="52">MIN($X$41,AD165,$W165)</f>
        <v>12</v>
      </c>
      <c r="K165" s="59">
        <f t="shared" ref="K165:K184" si="53">MIN($X$41,AE165,$W165)</f>
        <v>12</v>
      </c>
      <c r="L165" s="59">
        <f t="shared" ref="L165:L184" si="54">MIN($X$41,AF165,$W165)</f>
        <v>12</v>
      </c>
      <c r="M165" s="59">
        <f t="shared" ref="M165:M184" si="55">MIN($X$41,AG165,$W165)</f>
        <v>12</v>
      </c>
      <c r="N165" s="59">
        <f t="shared" ref="N165:N184" si="56">MIN($X$41,AH165,$W165)</f>
        <v>12</v>
      </c>
      <c r="O165" s="59">
        <f t="shared" ref="O165:O184" si="57">MIN($X$41,AI165,$W165)</f>
        <v>12</v>
      </c>
      <c r="P165" s="59">
        <f t="shared" ref="P165:P184" si="58">MIN($X$41,AJ165,$W165)</f>
        <v>12</v>
      </c>
      <c r="Q165" s="59">
        <f t="shared" ref="Q165:Q184" si="59">MIN($X$41,AK165,$W165)</f>
        <v>12</v>
      </c>
      <c r="R165" s="62">
        <f t="shared" ref="R165:R184" si="60">MIN($X$41,AL165,$W165)</f>
        <v>12</v>
      </c>
      <c r="U165" s="1601" t="s">
        <v>314</v>
      </c>
      <c r="V165" s="28">
        <v>5</v>
      </c>
      <c r="W165" s="43" t="s">
        <v>1674</v>
      </c>
      <c r="X165" s="43">
        <f>VLOOKUP(X$84,'Infos Techniques'!$B$7:$E$12,3,0)/($V165*$X$39/12)</f>
        <v>56.470588235294123</v>
      </c>
      <c r="Y165" s="43">
        <f>VLOOKUP(Y$84,'Infos Techniques'!$B$7:$E$12,3,0)/($V165*$X$39/12)</f>
        <v>38.964705882352945</v>
      </c>
      <c r="Z165" s="43">
        <f>VLOOKUP(Z$84,'Infos Techniques'!$B$7:$E$12,3,0)/($V165*$X$39/12)</f>
        <v>32.752941176470593</v>
      </c>
      <c r="AA165" s="43">
        <f>VLOOKUP(AA$84,'Infos Techniques'!$B$7:$E$12,3,0)/($V165*$X$39/12)</f>
        <v>23.378823529411765</v>
      </c>
      <c r="AB165" s="43">
        <f>VLOOKUP(AB$84,'Infos Techniques'!$B$7:$E$12,3,0)/($V165*$X$39/12)</f>
        <v>18.691764705882353</v>
      </c>
      <c r="AC165" s="43">
        <f>VLOOKUP(AC$84,'Infos Techniques'!$B$7:$E$12,2,0)/($V165*$X$39/12)</f>
        <v>67.764705882352942</v>
      </c>
      <c r="AD165" s="43">
        <f>VLOOKUP(AD$84,'Infos Techniques'!$B$7:$E$12,2,0)/($V165*$X$39/12)</f>
        <v>67.764705882352942</v>
      </c>
      <c r="AE165" s="43">
        <f>VLOOKUP(AE$84,'Infos Techniques'!$B$7:$E$12,2,0)/($V165*$X$39/12)</f>
        <v>65.505882352941185</v>
      </c>
      <c r="AF165" s="43">
        <f>VLOOKUP(AF$84,'Infos Techniques'!$B$7:$E$12,2,0)/($V165*$X$39/12)</f>
        <v>46.814117647058829</v>
      </c>
      <c r="AG165" s="43">
        <f>VLOOKUP(AG$84,'Infos Techniques'!$B$7:$E$12,2,0)/($V165*$X$39/12)</f>
        <v>37.440000000000005</v>
      </c>
      <c r="AH165" s="43">
        <f>VLOOKUP(AH$84,'Infos Techniques'!$B$7:$E$12,4,0)/($V165*$X$39/12)</f>
        <v>84.705882352941188</v>
      </c>
      <c r="AI165" s="43">
        <f>VLOOKUP(AI$84,'Infos Techniques'!$B$7:$E$12,4,0)/($V165*$X$39/12)</f>
        <v>84.705882352941188</v>
      </c>
      <c r="AJ165" s="43">
        <f>VLOOKUP(AJ$84,'Infos Techniques'!$B$7:$E$12,4,0)/($V165*$X$39/12)</f>
        <v>84.705882352941188</v>
      </c>
      <c r="AK165" s="247">
        <f>VLOOKUP(AK$84,'Infos Techniques'!$B$7:$E$12,4,0)/($V165*$X$39/12)</f>
        <v>46.814117647058829</v>
      </c>
      <c r="AL165" s="248">
        <f>VLOOKUP(AL$84,'Infos Techniques'!$B$7:$E$12,4,0)/($V165*$X$39/12)</f>
        <v>37.440000000000005</v>
      </c>
    </row>
    <row r="166" spans="2:38">
      <c r="B166" s="1849"/>
      <c r="C166" s="70">
        <v>10</v>
      </c>
      <c r="D166" s="76">
        <f t="shared" si="46"/>
        <v>12</v>
      </c>
      <c r="E166" s="43">
        <f t="shared" si="47"/>
        <v>12</v>
      </c>
      <c r="F166" s="43">
        <f t="shared" si="48"/>
        <v>12</v>
      </c>
      <c r="G166" s="43">
        <f t="shared" si="49"/>
        <v>11.689411764705882</v>
      </c>
      <c r="H166" s="43">
        <f t="shared" si="50"/>
        <v>9.3458823529411763</v>
      </c>
      <c r="I166" s="43">
        <f t="shared" si="51"/>
        <v>12</v>
      </c>
      <c r="J166" s="43">
        <f t="shared" si="52"/>
        <v>12</v>
      </c>
      <c r="K166" s="43">
        <f t="shared" si="53"/>
        <v>12</v>
      </c>
      <c r="L166" s="43">
        <f t="shared" si="54"/>
        <v>12</v>
      </c>
      <c r="M166" s="43">
        <f t="shared" si="55"/>
        <v>12</v>
      </c>
      <c r="N166" s="43">
        <f t="shared" si="56"/>
        <v>12</v>
      </c>
      <c r="O166" s="43">
        <f t="shared" si="57"/>
        <v>12</v>
      </c>
      <c r="P166" s="43">
        <f t="shared" si="58"/>
        <v>12</v>
      </c>
      <c r="Q166" s="43">
        <f t="shared" si="59"/>
        <v>12</v>
      </c>
      <c r="R166" s="63">
        <f t="shared" si="60"/>
        <v>12</v>
      </c>
      <c r="U166" s="1601"/>
      <c r="V166" s="28">
        <v>10</v>
      </c>
      <c r="W166" s="43" t="s">
        <v>1674</v>
      </c>
      <c r="X166" s="43">
        <f>VLOOKUP(X$84,'Infos Techniques'!$B$7:$E$12,3,0)/($V166*$X$39/12)</f>
        <v>28.235294117647062</v>
      </c>
      <c r="Y166" s="43">
        <f>VLOOKUP(Y$84,'Infos Techniques'!$B$7:$E$12,3,0)/($V166*$X$39/12)</f>
        <v>19.482352941176472</v>
      </c>
      <c r="Z166" s="43">
        <f>VLOOKUP(Z$84,'Infos Techniques'!$B$7:$E$12,3,0)/($V166*$X$39/12)</f>
        <v>16.376470588235296</v>
      </c>
      <c r="AA166" s="43">
        <f>VLOOKUP(AA$84,'Infos Techniques'!$B$7:$E$12,3,0)/($V166*$X$39/12)</f>
        <v>11.689411764705882</v>
      </c>
      <c r="AB166" s="43">
        <f>VLOOKUP(AB$84,'Infos Techniques'!$B$7:$E$12,3,0)/($V166*$X$39/12)</f>
        <v>9.3458823529411763</v>
      </c>
      <c r="AC166" s="43">
        <f>VLOOKUP(AC$84,'Infos Techniques'!$B$7:$E$12,2,0)/($V166*$X$39/12)</f>
        <v>33.882352941176471</v>
      </c>
      <c r="AD166" s="43">
        <f>VLOOKUP(AD$84,'Infos Techniques'!$B$7:$E$12,2,0)/($V166*$X$39/12)</f>
        <v>33.882352941176471</v>
      </c>
      <c r="AE166" s="43">
        <f>VLOOKUP(AE$84,'Infos Techniques'!$B$7:$E$12,2,0)/($V166*$X$39/12)</f>
        <v>32.752941176470593</v>
      </c>
      <c r="AF166" s="43">
        <f>VLOOKUP(AF$84,'Infos Techniques'!$B$7:$E$12,2,0)/($V166*$X$39/12)</f>
        <v>23.407058823529415</v>
      </c>
      <c r="AG166" s="43">
        <f>VLOOKUP(AG$84,'Infos Techniques'!$B$7:$E$12,2,0)/($V166*$X$39/12)</f>
        <v>18.720000000000002</v>
      </c>
      <c r="AH166" s="43">
        <f>VLOOKUP(AH$84,'Infos Techniques'!$B$7:$E$12,4,0)/($V166*$X$39/12)</f>
        <v>42.352941176470594</v>
      </c>
      <c r="AI166" s="43">
        <f>VLOOKUP(AI$84,'Infos Techniques'!$B$7:$E$12,4,0)/($V166*$X$39/12)</f>
        <v>42.352941176470594</v>
      </c>
      <c r="AJ166" s="43">
        <f>VLOOKUP(AJ$84,'Infos Techniques'!$B$7:$E$12,4,0)/($V166*$X$39/12)</f>
        <v>42.352941176470594</v>
      </c>
      <c r="AK166" s="247">
        <f>VLOOKUP(AK$84,'Infos Techniques'!$B$7:$E$12,4,0)/($V166*$X$39/12)</f>
        <v>23.407058823529415</v>
      </c>
      <c r="AL166" s="248">
        <f>VLOOKUP(AL$84,'Infos Techniques'!$B$7:$E$12,4,0)/($V166*$X$39/12)</f>
        <v>18.720000000000002</v>
      </c>
    </row>
    <row r="167" spans="2:38">
      <c r="B167" s="1849"/>
      <c r="C167" s="70">
        <v>15</v>
      </c>
      <c r="D167" s="76">
        <f t="shared" si="46"/>
        <v>12</v>
      </c>
      <c r="E167" s="43">
        <f t="shared" si="47"/>
        <v>12</v>
      </c>
      <c r="F167" s="43">
        <f t="shared" si="48"/>
        <v>10.91764705882353</v>
      </c>
      <c r="G167" s="43">
        <f t="shared" si="49"/>
        <v>7.7929411764705883</v>
      </c>
      <c r="H167" s="43">
        <f t="shared" si="50"/>
        <v>6.2305882352941175</v>
      </c>
      <c r="I167" s="43">
        <f t="shared" si="51"/>
        <v>12</v>
      </c>
      <c r="J167" s="43">
        <f t="shared" si="52"/>
        <v>12</v>
      </c>
      <c r="K167" s="43">
        <f t="shared" si="53"/>
        <v>12</v>
      </c>
      <c r="L167" s="43">
        <f t="shared" si="54"/>
        <v>12</v>
      </c>
      <c r="M167" s="43">
        <f t="shared" si="55"/>
        <v>12</v>
      </c>
      <c r="N167" s="43">
        <f t="shared" si="56"/>
        <v>12</v>
      </c>
      <c r="O167" s="43">
        <f t="shared" si="57"/>
        <v>12</v>
      </c>
      <c r="P167" s="43">
        <f t="shared" si="58"/>
        <v>12</v>
      </c>
      <c r="Q167" s="43">
        <f t="shared" si="59"/>
        <v>12</v>
      </c>
      <c r="R167" s="63">
        <f t="shared" si="60"/>
        <v>12</v>
      </c>
      <c r="U167" s="1601"/>
      <c r="V167" s="28">
        <v>15</v>
      </c>
      <c r="W167" s="43" cm="1">
        <f t="array" ref="W167">VLOOKUP(MAX(IF('Courbe Déflexion'!$GI$25:$GI$305&lt;=V167,'Courbe Déflexion'!$GI$25:$GI$305)),'Courbe Déflexion'!$GI$25:$IA$305,6,0)</f>
        <v>13</v>
      </c>
      <c r="X167" s="43">
        <f>VLOOKUP(X$84,'Infos Techniques'!$B$7:$E$12,3,0)/($V167*$X$39/12)</f>
        <v>18.823529411764707</v>
      </c>
      <c r="Y167" s="43">
        <f>VLOOKUP(Y$84,'Infos Techniques'!$B$7:$E$12,3,0)/($V167*$X$39/12)</f>
        <v>12.988235294117647</v>
      </c>
      <c r="Z167" s="43">
        <f>VLOOKUP(Z$84,'Infos Techniques'!$B$7:$E$12,3,0)/($V167*$X$39/12)</f>
        <v>10.91764705882353</v>
      </c>
      <c r="AA167" s="43">
        <f>VLOOKUP(AA$84,'Infos Techniques'!$B$7:$E$12,3,0)/($V167*$X$39/12)</f>
        <v>7.7929411764705883</v>
      </c>
      <c r="AB167" s="43">
        <f>VLOOKUP(AB$84,'Infos Techniques'!$B$7:$E$12,3,0)/($V167*$X$39/12)</f>
        <v>6.2305882352941175</v>
      </c>
      <c r="AC167" s="43">
        <f>VLOOKUP(AC$84,'Infos Techniques'!$B$7:$E$12,2,0)/($V167*$X$39/12)</f>
        <v>22.588235294117649</v>
      </c>
      <c r="AD167" s="43">
        <f>VLOOKUP(AD$84,'Infos Techniques'!$B$7:$E$12,2,0)/($V167*$X$39/12)</f>
        <v>22.588235294117649</v>
      </c>
      <c r="AE167" s="43">
        <f>VLOOKUP(AE$84,'Infos Techniques'!$B$7:$E$12,2,0)/($V167*$X$39/12)</f>
        <v>21.835294117647059</v>
      </c>
      <c r="AF167" s="43">
        <f>VLOOKUP(AF$84,'Infos Techniques'!$B$7:$E$12,2,0)/($V167*$X$39/12)</f>
        <v>15.604705882352942</v>
      </c>
      <c r="AG167" s="43">
        <f>VLOOKUP(AG$84,'Infos Techniques'!$B$7:$E$12,2,0)/($V167*$X$39/12)</f>
        <v>12.48</v>
      </c>
      <c r="AH167" s="43">
        <f>VLOOKUP(AH$84,'Infos Techniques'!$B$7:$E$12,4,0)/($V167*$X$39/12)</f>
        <v>28.235294117647058</v>
      </c>
      <c r="AI167" s="43">
        <f>VLOOKUP(AI$84,'Infos Techniques'!$B$7:$E$12,4,0)/($V167*$X$39/12)</f>
        <v>28.235294117647058</v>
      </c>
      <c r="AJ167" s="43">
        <f>VLOOKUP(AJ$84,'Infos Techniques'!$B$7:$E$12,4,0)/($V167*$X$39/12)</f>
        <v>28.235294117647058</v>
      </c>
      <c r="AK167" s="247">
        <f>VLOOKUP(AK$84,'Infos Techniques'!$B$7:$E$12,4,0)/($V167*$X$39/12)</f>
        <v>15.604705882352942</v>
      </c>
      <c r="AL167" s="248">
        <f>VLOOKUP(AL$84,'Infos Techniques'!$B$7:$E$12,4,0)/($V167*$X$39/12)</f>
        <v>12.48</v>
      </c>
    </row>
    <row r="168" spans="2:38">
      <c r="B168" s="1849"/>
      <c r="C168" s="70">
        <v>20</v>
      </c>
      <c r="D168" s="76">
        <f t="shared" si="46"/>
        <v>9</v>
      </c>
      <c r="E168" s="43">
        <f t="shared" si="47"/>
        <v>9</v>
      </c>
      <c r="F168" s="43">
        <f t="shared" si="48"/>
        <v>8.1882352941176482</v>
      </c>
      <c r="G168" s="43">
        <f t="shared" si="49"/>
        <v>5.8447058823529412</v>
      </c>
      <c r="H168" s="43">
        <f t="shared" si="50"/>
        <v>4.6729411764705882</v>
      </c>
      <c r="I168" s="43">
        <f t="shared" si="51"/>
        <v>9</v>
      </c>
      <c r="J168" s="43">
        <f t="shared" si="52"/>
        <v>9</v>
      </c>
      <c r="K168" s="43">
        <f t="shared" si="53"/>
        <v>9</v>
      </c>
      <c r="L168" s="43">
        <f t="shared" si="54"/>
        <v>9</v>
      </c>
      <c r="M168" s="43">
        <f t="shared" si="55"/>
        <v>9</v>
      </c>
      <c r="N168" s="43">
        <f t="shared" si="56"/>
        <v>9</v>
      </c>
      <c r="O168" s="43">
        <f t="shared" si="57"/>
        <v>9</v>
      </c>
      <c r="P168" s="43">
        <f t="shared" si="58"/>
        <v>9</v>
      </c>
      <c r="Q168" s="43">
        <f t="shared" si="59"/>
        <v>9</v>
      </c>
      <c r="R168" s="63">
        <f t="shared" si="60"/>
        <v>9</v>
      </c>
      <c r="U168" s="1601"/>
      <c r="V168" s="28">
        <v>20</v>
      </c>
      <c r="W168" s="43" cm="1">
        <f t="array" ref="W168">VLOOKUP(MAX(IF('Courbe Déflexion'!$GI$25:$GI$305&lt;=V168,'Courbe Déflexion'!$GI$25:$GI$305)),'Courbe Déflexion'!$GI$25:$IA$305,6,0)</f>
        <v>9</v>
      </c>
      <c r="X168" s="43">
        <f>VLOOKUP(X$84,'Infos Techniques'!$B$7:$E$12,3,0)/($V168*$X$39/12)</f>
        <v>14.117647058823531</v>
      </c>
      <c r="Y168" s="43">
        <f>VLOOKUP(Y$84,'Infos Techniques'!$B$7:$E$12,3,0)/($V168*$X$39/12)</f>
        <v>9.7411764705882362</v>
      </c>
      <c r="Z168" s="43">
        <f>VLOOKUP(Z$84,'Infos Techniques'!$B$7:$E$12,3,0)/($V168*$X$39/12)</f>
        <v>8.1882352941176482</v>
      </c>
      <c r="AA168" s="43">
        <f>VLOOKUP(AA$84,'Infos Techniques'!$B$7:$E$12,3,0)/($V168*$X$39/12)</f>
        <v>5.8447058823529412</v>
      </c>
      <c r="AB168" s="43">
        <f>VLOOKUP(AB$84,'Infos Techniques'!$B$7:$E$12,3,0)/($V168*$X$39/12)</f>
        <v>4.6729411764705882</v>
      </c>
      <c r="AC168" s="43">
        <f>VLOOKUP(AC$84,'Infos Techniques'!$B$7:$E$12,2,0)/($V168*$X$39/12)</f>
        <v>16.941176470588236</v>
      </c>
      <c r="AD168" s="43">
        <f>VLOOKUP(AD$84,'Infos Techniques'!$B$7:$E$12,2,0)/($V168*$X$39/12)</f>
        <v>16.941176470588236</v>
      </c>
      <c r="AE168" s="43">
        <f>VLOOKUP(AE$84,'Infos Techniques'!$B$7:$E$12,2,0)/($V168*$X$39/12)</f>
        <v>16.376470588235296</v>
      </c>
      <c r="AF168" s="43">
        <f>VLOOKUP(AF$84,'Infos Techniques'!$B$7:$E$12,2,0)/($V168*$X$39/12)</f>
        <v>11.703529411764707</v>
      </c>
      <c r="AG168" s="43">
        <f>VLOOKUP(AG$84,'Infos Techniques'!$B$7:$E$12,2,0)/($V168*$X$39/12)</f>
        <v>9.3600000000000012</v>
      </c>
      <c r="AH168" s="43">
        <f>VLOOKUP(AH$84,'Infos Techniques'!$B$7:$E$12,4,0)/($V168*$X$39/12)</f>
        <v>21.176470588235297</v>
      </c>
      <c r="AI168" s="43">
        <f>VLOOKUP(AI$84,'Infos Techniques'!$B$7:$E$12,4,0)/($V168*$X$39/12)</f>
        <v>21.176470588235297</v>
      </c>
      <c r="AJ168" s="43">
        <f>VLOOKUP(AJ$84,'Infos Techniques'!$B$7:$E$12,4,0)/($V168*$X$39/12)</f>
        <v>21.176470588235297</v>
      </c>
      <c r="AK168" s="247">
        <f>VLOOKUP(AK$84,'Infos Techniques'!$B$7:$E$12,4,0)/($V168*$X$39/12)</f>
        <v>11.703529411764707</v>
      </c>
      <c r="AL168" s="248">
        <f>VLOOKUP(AL$84,'Infos Techniques'!$B$7:$E$12,4,0)/($V168*$X$39/12)</f>
        <v>9.3600000000000012</v>
      </c>
    </row>
    <row r="169" spans="2:38" ht="15" thickBot="1">
      <c r="B169" s="1849"/>
      <c r="C169" s="71">
        <v>25</v>
      </c>
      <c r="D169" s="76">
        <f t="shared" si="46"/>
        <v>8</v>
      </c>
      <c r="E169" s="43">
        <f t="shared" si="47"/>
        <v>7.7929411764705883</v>
      </c>
      <c r="F169" s="43">
        <f t="shared" si="48"/>
        <v>6.5505882352941169</v>
      </c>
      <c r="G169" s="43">
        <f t="shared" si="49"/>
        <v>4.6757647058823526</v>
      </c>
      <c r="H169" s="43">
        <f t="shared" si="50"/>
        <v>3.7383529411764704</v>
      </c>
      <c r="I169" s="43">
        <f t="shared" si="51"/>
        <v>8</v>
      </c>
      <c r="J169" s="43">
        <f t="shared" si="52"/>
        <v>8</v>
      </c>
      <c r="K169" s="43">
        <f t="shared" si="53"/>
        <v>8</v>
      </c>
      <c r="L169" s="43">
        <f t="shared" si="54"/>
        <v>8</v>
      </c>
      <c r="M169" s="43">
        <f t="shared" si="55"/>
        <v>7.4879999999999995</v>
      </c>
      <c r="N169" s="43">
        <f t="shared" si="56"/>
        <v>8</v>
      </c>
      <c r="O169" s="43">
        <f t="shared" si="57"/>
        <v>8</v>
      </c>
      <c r="P169" s="43">
        <f t="shared" si="58"/>
        <v>8</v>
      </c>
      <c r="Q169" s="43">
        <f t="shared" si="59"/>
        <v>8</v>
      </c>
      <c r="R169" s="63">
        <f t="shared" si="60"/>
        <v>7.4879999999999995</v>
      </c>
      <c r="U169" s="1601"/>
      <c r="V169" s="28">
        <v>25</v>
      </c>
      <c r="W169" s="43" cm="1">
        <f t="array" ref="W169">VLOOKUP(MAX(IF('Courbe Déflexion'!$GI$25:$GI$305&lt;=V169,'Courbe Déflexion'!$GI$25:$GI$305)),'Courbe Déflexion'!$GI$25:$IA$305,6,0)</f>
        <v>8</v>
      </c>
      <c r="X169" s="43">
        <f>VLOOKUP(X$84,'Infos Techniques'!$B$7:$E$12,3,0)/($V169*$X$39/12)</f>
        <v>11.294117647058822</v>
      </c>
      <c r="Y169" s="43">
        <f>VLOOKUP(Y$84,'Infos Techniques'!$B$7:$E$12,3,0)/($V169*$X$39/12)</f>
        <v>7.7929411764705883</v>
      </c>
      <c r="Z169" s="43">
        <f>VLOOKUP(Z$84,'Infos Techniques'!$B$7:$E$12,3,0)/($V169*$X$39/12)</f>
        <v>6.5505882352941169</v>
      </c>
      <c r="AA169" s="43">
        <f>VLOOKUP(AA$84,'Infos Techniques'!$B$7:$E$12,3,0)/($V169*$X$39/12)</f>
        <v>4.6757647058823526</v>
      </c>
      <c r="AB169" s="43">
        <f>VLOOKUP(AB$84,'Infos Techniques'!$B$7:$E$12,3,0)/($V169*$X$39/12)</f>
        <v>3.7383529411764704</v>
      </c>
      <c r="AC169" s="43">
        <f>VLOOKUP(AC$84,'Infos Techniques'!$B$7:$E$12,2,0)/($V169*$X$39/12)</f>
        <v>13.552941176470588</v>
      </c>
      <c r="AD169" s="43">
        <f>VLOOKUP(AD$84,'Infos Techniques'!$B$7:$E$12,2,0)/($V169*$X$39/12)</f>
        <v>13.552941176470588</v>
      </c>
      <c r="AE169" s="43">
        <f>VLOOKUP(AE$84,'Infos Techniques'!$B$7:$E$12,2,0)/($V169*$X$39/12)</f>
        <v>13.101176470588234</v>
      </c>
      <c r="AF169" s="43">
        <f>VLOOKUP(AF$84,'Infos Techniques'!$B$7:$E$12,2,0)/($V169*$X$39/12)</f>
        <v>9.3628235294117648</v>
      </c>
      <c r="AG169" s="43">
        <f>VLOOKUP(AG$84,'Infos Techniques'!$B$7:$E$12,2,0)/($V169*$X$39/12)</f>
        <v>7.4879999999999995</v>
      </c>
      <c r="AH169" s="43">
        <f>VLOOKUP(AH$84,'Infos Techniques'!$B$7:$E$12,4,0)/($V169*$X$39/12)</f>
        <v>16.941176470588236</v>
      </c>
      <c r="AI169" s="43">
        <f>VLOOKUP(AI$84,'Infos Techniques'!$B$7:$E$12,4,0)/($V169*$X$39/12)</f>
        <v>16.941176470588236</v>
      </c>
      <c r="AJ169" s="43">
        <f>VLOOKUP(AJ$84,'Infos Techniques'!$B$7:$E$12,4,0)/($V169*$X$39/12)</f>
        <v>16.941176470588236</v>
      </c>
      <c r="AK169" s="247">
        <f>VLOOKUP(AK$84,'Infos Techniques'!$B$7:$E$12,4,0)/($V169*$X$39/12)</f>
        <v>9.3628235294117648</v>
      </c>
      <c r="AL169" s="248">
        <f>VLOOKUP(AL$84,'Infos Techniques'!$B$7:$E$12,4,0)/($V169*$X$39/12)</f>
        <v>7.4879999999999995</v>
      </c>
    </row>
    <row r="170" spans="2:38">
      <c r="B170" s="1849"/>
      <c r="C170" s="69">
        <v>30</v>
      </c>
      <c r="D170" s="76">
        <f t="shared" si="46"/>
        <v>5.1000000000000032</v>
      </c>
      <c r="E170" s="43">
        <f t="shared" si="47"/>
        <v>5.1000000000000032</v>
      </c>
      <c r="F170" s="43">
        <f t="shared" si="48"/>
        <v>5.1000000000000032</v>
      </c>
      <c r="G170" s="43">
        <f t="shared" si="49"/>
        <v>3.8964705882352941</v>
      </c>
      <c r="H170" s="43">
        <f t="shared" si="50"/>
        <v>3.1152941176470588</v>
      </c>
      <c r="I170" s="43">
        <f t="shared" si="51"/>
        <v>5.1000000000000032</v>
      </c>
      <c r="J170" s="43">
        <f t="shared" si="52"/>
        <v>5.1000000000000032</v>
      </c>
      <c r="K170" s="43">
        <f t="shared" si="53"/>
        <v>5.1000000000000032</v>
      </c>
      <c r="L170" s="43">
        <f t="shared" si="54"/>
        <v>5.1000000000000032</v>
      </c>
      <c r="M170" s="43">
        <f t="shared" si="55"/>
        <v>5.1000000000000032</v>
      </c>
      <c r="N170" s="43">
        <f t="shared" si="56"/>
        <v>5.1000000000000032</v>
      </c>
      <c r="O170" s="43">
        <f t="shared" si="57"/>
        <v>5.1000000000000032</v>
      </c>
      <c r="P170" s="43">
        <f t="shared" si="58"/>
        <v>5.1000000000000032</v>
      </c>
      <c r="Q170" s="43">
        <f t="shared" si="59"/>
        <v>5.1000000000000032</v>
      </c>
      <c r="R170" s="63">
        <f t="shared" si="60"/>
        <v>5.1000000000000032</v>
      </c>
      <c r="U170" s="1601"/>
      <c r="V170" s="28">
        <v>30</v>
      </c>
      <c r="W170" s="43" cm="1">
        <f t="array" ref="W170">VLOOKUP(MAX(IF('Courbe Déflexion'!$GI$25:$GI$305&lt;=V170,'Courbe Déflexion'!$GI$25:$GI$305)),'Courbe Déflexion'!$GI$25:$IA$305,6,0)</f>
        <v>5.1000000000000032</v>
      </c>
      <c r="X170" s="43">
        <f>VLOOKUP(X$84,'Infos Techniques'!$B$7:$E$12,3,0)/($V170*$X$39/12)</f>
        <v>9.4117647058823533</v>
      </c>
      <c r="Y170" s="43">
        <f>VLOOKUP(Y$84,'Infos Techniques'!$B$7:$E$12,3,0)/($V170*$X$39/12)</f>
        <v>6.4941176470588236</v>
      </c>
      <c r="Z170" s="43">
        <f>VLOOKUP(Z$84,'Infos Techniques'!$B$7:$E$12,3,0)/($V170*$X$39/12)</f>
        <v>5.4588235294117649</v>
      </c>
      <c r="AA170" s="43">
        <f>VLOOKUP(AA$84,'Infos Techniques'!$B$7:$E$12,3,0)/($V170*$X$39/12)</f>
        <v>3.8964705882352941</v>
      </c>
      <c r="AB170" s="43">
        <f>VLOOKUP(AB$84,'Infos Techniques'!$B$7:$E$12,3,0)/($V170*$X$39/12)</f>
        <v>3.1152941176470588</v>
      </c>
      <c r="AC170" s="43">
        <f>VLOOKUP(AC$84,'Infos Techniques'!$B$7:$E$12,2,0)/($V170*$X$39/12)</f>
        <v>11.294117647058824</v>
      </c>
      <c r="AD170" s="43">
        <f>VLOOKUP(AD$84,'Infos Techniques'!$B$7:$E$12,2,0)/($V170*$X$39/12)</f>
        <v>11.294117647058824</v>
      </c>
      <c r="AE170" s="43">
        <f>VLOOKUP(AE$84,'Infos Techniques'!$B$7:$E$12,2,0)/($V170*$X$39/12)</f>
        <v>10.91764705882353</v>
      </c>
      <c r="AF170" s="43">
        <f>VLOOKUP(AF$84,'Infos Techniques'!$B$7:$E$12,2,0)/($V170*$X$39/12)</f>
        <v>7.8023529411764709</v>
      </c>
      <c r="AG170" s="43">
        <f>VLOOKUP(AG$84,'Infos Techniques'!$B$7:$E$12,2,0)/($V170*$X$39/12)</f>
        <v>6.24</v>
      </c>
      <c r="AH170" s="43">
        <f>VLOOKUP(AH$84,'Infos Techniques'!$B$7:$E$12,4,0)/($V170*$X$39/12)</f>
        <v>14.117647058823529</v>
      </c>
      <c r="AI170" s="43">
        <f>VLOOKUP(AI$84,'Infos Techniques'!$B$7:$E$12,4,0)/($V170*$X$39/12)</f>
        <v>14.117647058823529</v>
      </c>
      <c r="AJ170" s="43">
        <f>VLOOKUP(AJ$84,'Infos Techniques'!$B$7:$E$12,4,0)/($V170*$X$39/12)</f>
        <v>14.117647058823529</v>
      </c>
      <c r="AK170" s="247">
        <f>VLOOKUP(AK$84,'Infos Techniques'!$B$7:$E$12,4,0)/($V170*$X$39/12)</f>
        <v>7.8023529411764709</v>
      </c>
      <c r="AL170" s="248">
        <f>VLOOKUP(AL$84,'Infos Techniques'!$B$7:$E$12,4,0)/($V170*$X$39/12)</f>
        <v>6.24</v>
      </c>
    </row>
    <row r="171" spans="2:38">
      <c r="B171" s="1849"/>
      <c r="C171" s="70">
        <v>35</v>
      </c>
      <c r="D171" s="76">
        <f t="shared" si="46"/>
        <v>5.1000000000000032</v>
      </c>
      <c r="E171" s="43">
        <f t="shared" si="47"/>
        <v>5.1000000000000032</v>
      </c>
      <c r="F171" s="43">
        <f t="shared" si="48"/>
        <v>4.6789915966386557</v>
      </c>
      <c r="G171" s="43">
        <f t="shared" si="49"/>
        <v>3.3398319327731092</v>
      </c>
      <c r="H171" s="43">
        <f t="shared" si="50"/>
        <v>2.6702521008403362</v>
      </c>
      <c r="I171" s="43">
        <f t="shared" si="51"/>
        <v>5.1000000000000032</v>
      </c>
      <c r="J171" s="43">
        <f t="shared" si="52"/>
        <v>5.1000000000000032</v>
      </c>
      <c r="K171" s="43">
        <f t="shared" si="53"/>
        <v>5.1000000000000032</v>
      </c>
      <c r="L171" s="43">
        <f t="shared" si="54"/>
        <v>5.1000000000000032</v>
      </c>
      <c r="M171" s="43">
        <f t="shared" si="55"/>
        <v>5.1000000000000032</v>
      </c>
      <c r="N171" s="43">
        <f t="shared" si="56"/>
        <v>5.1000000000000032</v>
      </c>
      <c r="O171" s="43">
        <f t="shared" si="57"/>
        <v>5.1000000000000032</v>
      </c>
      <c r="P171" s="43">
        <f t="shared" si="58"/>
        <v>5.1000000000000032</v>
      </c>
      <c r="Q171" s="43">
        <f t="shared" si="59"/>
        <v>5.1000000000000032</v>
      </c>
      <c r="R171" s="63">
        <f t="shared" si="60"/>
        <v>5.1000000000000032</v>
      </c>
      <c r="U171" s="1601"/>
      <c r="V171" s="28">
        <v>35</v>
      </c>
      <c r="W171" s="43" cm="1">
        <f t="array" ref="W171">VLOOKUP(MAX(IF('Courbe Déflexion'!$GI$25:$GI$305&lt;=V171,'Courbe Déflexion'!$GI$25:$GI$305)),'Courbe Déflexion'!$GI$25:$IA$305,6,0)</f>
        <v>5.1000000000000032</v>
      </c>
      <c r="X171" s="43">
        <f>VLOOKUP(X$84,'Infos Techniques'!$B$7:$E$12,3,0)/($V171*$X$39/12)</f>
        <v>8.0672268907563023</v>
      </c>
      <c r="Y171" s="43">
        <f>VLOOKUP(Y$84,'Infos Techniques'!$B$7:$E$12,3,0)/($V171*$X$39/12)</f>
        <v>5.5663865546218494</v>
      </c>
      <c r="Z171" s="43">
        <f>VLOOKUP(Z$84,'Infos Techniques'!$B$7:$E$12,3,0)/($V171*$X$39/12)</f>
        <v>4.6789915966386557</v>
      </c>
      <c r="AA171" s="43">
        <f>VLOOKUP(AA$84,'Infos Techniques'!$B$7:$E$12,3,0)/($V171*$X$39/12)</f>
        <v>3.3398319327731092</v>
      </c>
      <c r="AB171" s="43">
        <f>VLOOKUP(AB$84,'Infos Techniques'!$B$7:$E$12,3,0)/($V171*$X$39/12)</f>
        <v>2.6702521008403362</v>
      </c>
      <c r="AC171" s="43">
        <f>VLOOKUP(AC$84,'Infos Techniques'!$B$7:$E$12,2,0)/($V171*$X$39/12)</f>
        <v>9.6806722689075642</v>
      </c>
      <c r="AD171" s="43">
        <f>VLOOKUP(AD$84,'Infos Techniques'!$B$7:$E$12,2,0)/($V171*$X$39/12)</f>
        <v>9.6806722689075642</v>
      </c>
      <c r="AE171" s="43">
        <f>VLOOKUP(AE$84,'Infos Techniques'!$B$7:$E$12,2,0)/($V171*$X$39/12)</f>
        <v>9.3579831932773114</v>
      </c>
      <c r="AF171" s="43">
        <f>VLOOKUP(AF$84,'Infos Techniques'!$B$7:$E$12,2,0)/($V171*$X$39/12)</f>
        <v>6.6877310924369748</v>
      </c>
      <c r="AG171" s="43">
        <f>VLOOKUP(AG$84,'Infos Techniques'!$B$7:$E$12,2,0)/($V171*$X$39/12)</f>
        <v>5.3485714285714288</v>
      </c>
      <c r="AH171" s="43">
        <f>VLOOKUP(AH$84,'Infos Techniques'!$B$7:$E$12,4,0)/($V171*$X$39/12)</f>
        <v>12.100840336134453</v>
      </c>
      <c r="AI171" s="43">
        <f>VLOOKUP(AI$84,'Infos Techniques'!$B$7:$E$12,4,0)/($V171*$X$39/12)</f>
        <v>12.100840336134453</v>
      </c>
      <c r="AJ171" s="43">
        <f>VLOOKUP(AJ$84,'Infos Techniques'!$B$7:$E$12,4,0)/($V171*$X$39/12)</f>
        <v>12.100840336134453</v>
      </c>
      <c r="AK171" s="247">
        <f>VLOOKUP(AK$84,'Infos Techniques'!$B$7:$E$12,4,0)/($V171*$X$39/12)</f>
        <v>6.6877310924369748</v>
      </c>
      <c r="AL171" s="248">
        <f>VLOOKUP(AL$84,'Infos Techniques'!$B$7:$E$12,4,0)/($V171*$X$39/12)</f>
        <v>5.3485714285714288</v>
      </c>
    </row>
    <row r="172" spans="2:38">
      <c r="B172" s="1849"/>
      <c r="C172" s="70">
        <v>40</v>
      </c>
      <c r="D172" s="76">
        <f t="shared" si="46"/>
        <v>5.1000000000000032</v>
      </c>
      <c r="E172" s="43">
        <f t="shared" si="47"/>
        <v>4.8705882352941181</v>
      </c>
      <c r="F172" s="43">
        <f t="shared" si="48"/>
        <v>4.0941176470588241</v>
      </c>
      <c r="G172" s="43">
        <f t="shared" si="49"/>
        <v>2.9223529411764706</v>
      </c>
      <c r="H172" s="43">
        <f t="shared" si="50"/>
        <v>2.3364705882352941</v>
      </c>
      <c r="I172" s="43">
        <f t="shared" si="51"/>
        <v>5.1000000000000032</v>
      </c>
      <c r="J172" s="43">
        <f t="shared" si="52"/>
        <v>5.1000000000000032</v>
      </c>
      <c r="K172" s="43">
        <f t="shared" si="53"/>
        <v>5.1000000000000032</v>
      </c>
      <c r="L172" s="43">
        <f t="shared" si="54"/>
        <v>5.1000000000000032</v>
      </c>
      <c r="M172" s="43">
        <f t="shared" si="55"/>
        <v>4.6800000000000006</v>
      </c>
      <c r="N172" s="43">
        <f t="shared" si="56"/>
        <v>5.1000000000000032</v>
      </c>
      <c r="O172" s="43">
        <f t="shared" si="57"/>
        <v>5.1000000000000032</v>
      </c>
      <c r="P172" s="43">
        <f t="shared" si="58"/>
        <v>5.1000000000000032</v>
      </c>
      <c r="Q172" s="43">
        <f t="shared" si="59"/>
        <v>5.1000000000000032</v>
      </c>
      <c r="R172" s="63">
        <f t="shared" si="60"/>
        <v>4.6800000000000006</v>
      </c>
      <c r="U172" s="1601"/>
      <c r="V172" s="28">
        <v>40</v>
      </c>
      <c r="W172" s="43" cm="1">
        <f t="array" ref="W172">VLOOKUP(MAX(IF('Courbe Déflexion'!$GI$25:$GI$305&lt;=V172,'Courbe Déflexion'!$GI$25:$GI$305)),'Courbe Déflexion'!$GI$25:$IA$305,6,0)</f>
        <v>5.1000000000000032</v>
      </c>
      <c r="X172" s="43">
        <f>VLOOKUP(X$84,'Infos Techniques'!$B$7:$E$12,3,0)/($V172*$X$39/12)</f>
        <v>7.0588235294117654</v>
      </c>
      <c r="Y172" s="43">
        <f>VLOOKUP(Y$84,'Infos Techniques'!$B$7:$E$12,3,0)/($V172*$X$39/12)</f>
        <v>4.8705882352941181</v>
      </c>
      <c r="Z172" s="43">
        <f>VLOOKUP(Z$84,'Infos Techniques'!$B$7:$E$12,3,0)/($V172*$X$39/12)</f>
        <v>4.0941176470588241</v>
      </c>
      <c r="AA172" s="43">
        <f>VLOOKUP(AA$84,'Infos Techniques'!$B$7:$E$12,3,0)/($V172*$X$39/12)</f>
        <v>2.9223529411764706</v>
      </c>
      <c r="AB172" s="43">
        <f>VLOOKUP(AB$84,'Infos Techniques'!$B$7:$E$12,3,0)/($V172*$X$39/12)</f>
        <v>2.3364705882352941</v>
      </c>
      <c r="AC172" s="43">
        <f>VLOOKUP(AC$84,'Infos Techniques'!$B$7:$E$12,2,0)/($V172*$X$39/12)</f>
        <v>8.4705882352941178</v>
      </c>
      <c r="AD172" s="43">
        <f>VLOOKUP(AD$84,'Infos Techniques'!$B$7:$E$12,2,0)/($V172*$X$39/12)</f>
        <v>8.4705882352941178</v>
      </c>
      <c r="AE172" s="43">
        <f>VLOOKUP(AE$84,'Infos Techniques'!$B$7:$E$12,2,0)/($V172*$X$39/12)</f>
        <v>8.1882352941176482</v>
      </c>
      <c r="AF172" s="43">
        <f>VLOOKUP(AF$84,'Infos Techniques'!$B$7:$E$12,2,0)/($V172*$X$39/12)</f>
        <v>5.8517647058823536</v>
      </c>
      <c r="AG172" s="43">
        <f>VLOOKUP(AG$84,'Infos Techniques'!$B$7:$E$12,2,0)/($V172*$X$39/12)</f>
        <v>4.6800000000000006</v>
      </c>
      <c r="AH172" s="43">
        <f>VLOOKUP(AH$84,'Infos Techniques'!$B$7:$E$12,4,0)/($V172*$X$39/12)</f>
        <v>10.588235294117649</v>
      </c>
      <c r="AI172" s="43">
        <f>VLOOKUP(AI$84,'Infos Techniques'!$B$7:$E$12,4,0)/($V172*$X$39/12)</f>
        <v>10.588235294117649</v>
      </c>
      <c r="AJ172" s="43">
        <f>VLOOKUP(AJ$84,'Infos Techniques'!$B$7:$E$12,4,0)/($V172*$X$39/12)</f>
        <v>10.588235294117649</v>
      </c>
      <c r="AK172" s="247">
        <f>VLOOKUP(AK$84,'Infos Techniques'!$B$7:$E$12,4,0)/($V172*$X$39/12)</f>
        <v>5.8517647058823536</v>
      </c>
      <c r="AL172" s="248">
        <f>VLOOKUP(AL$84,'Infos Techniques'!$B$7:$E$12,4,0)/($V172*$X$39/12)</f>
        <v>4.6800000000000006</v>
      </c>
    </row>
    <row r="173" spans="2:38">
      <c r="B173" s="1849"/>
      <c r="C173" s="70">
        <v>45</v>
      </c>
      <c r="D173" s="76">
        <f t="shared" si="46"/>
        <v>5.1000000000000032</v>
      </c>
      <c r="E173" s="43">
        <f t="shared" si="47"/>
        <v>4.3294117647058821</v>
      </c>
      <c r="F173" s="43">
        <f t="shared" si="48"/>
        <v>3.6392156862745098</v>
      </c>
      <c r="G173" s="43">
        <f t="shared" si="49"/>
        <v>2.5976470588235294</v>
      </c>
      <c r="H173" s="43">
        <f t="shared" si="50"/>
        <v>2.076862745098039</v>
      </c>
      <c r="I173" s="43">
        <f t="shared" si="51"/>
        <v>5.1000000000000032</v>
      </c>
      <c r="J173" s="43">
        <f t="shared" si="52"/>
        <v>5.1000000000000032</v>
      </c>
      <c r="K173" s="43">
        <f t="shared" si="53"/>
        <v>5.1000000000000032</v>
      </c>
      <c r="L173" s="43">
        <f t="shared" si="54"/>
        <v>5.1000000000000032</v>
      </c>
      <c r="M173" s="43">
        <f t="shared" si="55"/>
        <v>4.16</v>
      </c>
      <c r="N173" s="43">
        <f t="shared" si="56"/>
        <v>5.1000000000000032</v>
      </c>
      <c r="O173" s="43">
        <f t="shared" si="57"/>
        <v>5.1000000000000032</v>
      </c>
      <c r="P173" s="43">
        <f t="shared" si="58"/>
        <v>5.1000000000000032</v>
      </c>
      <c r="Q173" s="43">
        <f t="shared" si="59"/>
        <v>5.1000000000000032</v>
      </c>
      <c r="R173" s="63">
        <f t="shared" si="60"/>
        <v>4.16</v>
      </c>
      <c r="U173" s="1601"/>
      <c r="V173" s="28">
        <v>45</v>
      </c>
      <c r="W173" s="43" cm="1">
        <f t="array" ref="W173">VLOOKUP(MAX(IF('Courbe Déflexion'!$GI$25:$GI$305&lt;=V173,'Courbe Déflexion'!$GI$25:$GI$305)),'Courbe Déflexion'!$GI$25:$IA$305,6,0)</f>
        <v>5.1000000000000032</v>
      </c>
      <c r="X173" s="43">
        <f>VLOOKUP(X$84,'Infos Techniques'!$B$7:$E$12,3,0)/($V173*$X$39/12)</f>
        <v>6.2745098039215685</v>
      </c>
      <c r="Y173" s="43">
        <f>VLOOKUP(Y$84,'Infos Techniques'!$B$7:$E$12,3,0)/($V173*$X$39/12)</f>
        <v>4.3294117647058821</v>
      </c>
      <c r="Z173" s="43">
        <f>VLOOKUP(Z$84,'Infos Techniques'!$B$7:$E$12,3,0)/($V173*$X$39/12)</f>
        <v>3.6392156862745098</v>
      </c>
      <c r="AA173" s="43">
        <f>VLOOKUP(AA$84,'Infos Techniques'!$B$7:$E$12,3,0)/($V173*$X$39/12)</f>
        <v>2.5976470588235294</v>
      </c>
      <c r="AB173" s="43">
        <f>VLOOKUP(AB$84,'Infos Techniques'!$B$7:$E$12,3,0)/($V173*$X$39/12)</f>
        <v>2.076862745098039</v>
      </c>
      <c r="AC173" s="43">
        <f>VLOOKUP(AC$84,'Infos Techniques'!$B$7:$E$12,2,0)/($V173*$X$39/12)</f>
        <v>7.5294117647058822</v>
      </c>
      <c r="AD173" s="43">
        <f>VLOOKUP(AD$84,'Infos Techniques'!$B$7:$E$12,2,0)/($V173*$X$39/12)</f>
        <v>7.5294117647058822</v>
      </c>
      <c r="AE173" s="43">
        <f>VLOOKUP(AE$84,'Infos Techniques'!$B$7:$E$12,2,0)/($V173*$X$39/12)</f>
        <v>7.2784313725490195</v>
      </c>
      <c r="AF173" s="43">
        <f>VLOOKUP(AF$84,'Infos Techniques'!$B$7:$E$12,2,0)/($V173*$X$39/12)</f>
        <v>5.20156862745098</v>
      </c>
      <c r="AG173" s="43">
        <f>VLOOKUP(AG$84,'Infos Techniques'!$B$7:$E$12,2,0)/($V173*$X$39/12)</f>
        <v>4.16</v>
      </c>
      <c r="AH173" s="43">
        <f>VLOOKUP(AH$84,'Infos Techniques'!$B$7:$E$12,4,0)/($V173*$X$39/12)</f>
        <v>9.4117647058823533</v>
      </c>
      <c r="AI173" s="43">
        <f>VLOOKUP(AI$84,'Infos Techniques'!$B$7:$E$12,4,0)/($V173*$X$39/12)</f>
        <v>9.4117647058823533</v>
      </c>
      <c r="AJ173" s="43">
        <f>VLOOKUP(AJ$84,'Infos Techniques'!$B$7:$E$12,4,0)/($V173*$X$39/12)</f>
        <v>9.4117647058823533</v>
      </c>
      <c r="AK173" s="247">
        <f>VLOOKUP(AK$84,'Infos Techniques'!$B$7:$E$12,4,0)/($V173*$X$39/12)</f>
        <v>5.20156862745098</v>
      </c>
      <c r="AL173" s="248">
        <f>VLOOKUP(AL$84,'Infos Techniques'!$B$7:$E$12,4,0)/($V173*$X$39/12)</f>
        <v>4.16</v>
      </c>
    </row>
    <row r="174" spans="2:38" ht="15" thickBot="1">
      <c r="B174" s="1849"/>
      <c r="C174" s="71">
        <v>50</v>
      </c>
      <c r="D174" s="76">
        <f t="shared" si="46"/>
        <v>5.1000000000000032</v>
      </c>
      <c r="E174" s="43">
        <f t="shared" si="47"/>
        <v>3.8964705882352941</v>
      </c>
      <c r="F174" s="43">
        <f t="shared" si="48"/>
        <v>3.2752941176470585</v>
      </c>
      <c r="G174" s="43">
        <f t="shared" si="49"/>
        <v>2.3378823529411763</v>
      </c>
      <c r="H174" s="43">
        <f t="shared" si="50"/>
        <v>1.8691764705882352</v>
      </c>
      <c r="I174" s="43">
        <f t="shared" si="51"/>
        <v>5.1000000000000032</v>
      </c>
      <c r="J174" s="43">
        <f t="shared" si="52"/>
        <v>5.1000000000000032</v>
      </c>
      <c r="K174" s="43">
        <f t="shared" si="53"/>
        <v>5.1000000000000032</v>
      </c>
      <c r="L174" s="43">
        <f t="shared" si="54"/>
        <v>4.6814117647058824</v>
      </c>
      <c r="M174" s="43">
        <f t="shared" si="55"/>
        <v>3.7439999999999998</v>
      </c>
      <c r="N174" s="43">
        <f t="shared" si="56"/>
        <v>5.1000000000000032</v>
      </c>
      <c r="O174" s="43">
        <f t="shared" si="57"/>
        <v>5.1000000000000032</v>
      </c>
      <c r="P174" s="43">
        <f t="shared" si="58"/>
        <v>5.1000000000000032</v>
      </c>
      <c r="Q174" s="43">
        <f t="shared" si="59"/>
        <v>4.6814117647058824</v>
      </c>
      <c r="R174" s="63">
        <f t="shared" si="60"/>
        <v>3.7439999999999998</v>
      </c>
      <c r="U174" s="1601"/>
      <c r="V174" s="28">
        <v>50</v>
      </c>
      <c r="W174" s="43" cm="1">
        <f t="array" ref="W174">VLOOKUP(MAX(IF('Courbe Déflexion'!$GI$25:$GI$305&lt;=V174,'Courbe Déflexion'!$GI$25:$GI$305)),'Courbe Déflexion'!$GI$25:$IA$305,6,0)</f>
        <v>5.1000000000000032</v>
      </c>
      <c r="X174" s="43">
        <f>VLOOKUP(X$84,'Infos Techniques'!$B$7:$E$12,3,0)/($V174*$X$39/12)</f>
        <v>5.6470588235294112</v>
      </c>
      <c r="Y174" s="43">
        <f>VLOOKUP(Y$84,'Infos Techniques'!$B$7:$E$12,3,0)/($V174*$X$39/12)</f>
        <v>3.8964705882352941</v>
      </c>
      <c r="Z174" s="43">
        <f>VLOOKUP(Z$84,'Infos Techniques'!$B$7:$E$12,3,0)/($V174*$X$39/12)</f>
        <v>3.2752941176470585</v>
      </c>
      <c r="AA174" s="43">
        <f>VLOOKUP(AA$84,'Infos Techniques'!$B$7:$E$12,3,0)/($V174*$X$39/12)</f>
        <v>2.3378823529411763</v>
      </c>
      <c r="AB174" s="43">
        <f>VLOOKUP(AB$84,'Infos Techniques'!$B$7:$E$12,3,0)/($V174*$X$39/12)</f>
        <v>1.8691764705882352</v>
      </c>
      <c r="AC174" s="43">
        <f>VLOOKUP(AC$84,'Infos Techniques'!$B$7:$E$12,2,0)/($V174*$X$39/12)</f>
        <v>6.776470588235294</v>
      </c>
      <c r="AD174" s="43">
        <f>VLOOKUP(AD$84,'Infos Techniques'!$B$7:$E$12,2,0)/($V174*$X$39/12)</f>
        <v>6.776470588235294</v>
      </c>
      <c r="AE174" s="43">
        <f>VLOOKUP(AE$84,'Infos Techniques'!$B$7:$E$12,2,0)/($V174*$X$39/12)</f>
        <v>6.5505882352941169</v>
      </c>
      <c r="AF174" s="43">
        <f>VLOOKUP(AF$84,'Infos Techniques'!$B$7:$E$12,2,0)/($V174*$X$39/12)</f>
        <v>4.6814117647058824</v>
      </c>
      <c r="AG174" s="43">
        <f>VLOOKUP(AG$84,'Infos Techniques'!$B$7:$E$12,2,0)/($V174*$X$39/12)</f>
        <v>3.7439999999999998</v>
      </c>
      <c r="AH174" s="43">
        <f>VLOOKUP(AH$84,'Infos Techniques'!$B$7:$E$12,4,0)/($V174*$X$39/12)</f>
        <v>8.4705882352941178</v>
      </c>
      <c r="AI174" s="43">
        <f>VLOOKUP(AI$84,'Infos Techniques'!$B$7:$E$12,4,0)/($V174*$X$39/12)</f>
        <v>8.4705882352941178</v>
      </c>
      <c r="AJ174" s="43">
        <f>VLOOKUP(AJ$84,'Infos Techniques'!$B$7:$E$12,4,0)/($V174*$X$39/12)</f>
        <v>8.4705882352941178</v>
      </c>
      <c r="AK174" s="247">
        <f>VLOOKUP(AK$84,'Infos Techniques'!$B$7:$E$12,4,0)/($V174*$X$39/12)</f>
        <v>4.6814117647058824</v>
      </c>
      <c r="AL174" s="248">
        <f>VLOOKUP(AL$84,'Infos Techniques'!$B$7:$E$12,4,0)/($V174*$X$39/12)</f>
        <v>3.7439999999999998</v>
      </c>
    </row>
    <row r="175" spans="2:38">
      <c r="B175" s="1849"/>
      <c r="C175" s="69">
        <v>55</v>
      </c>
      <c r="D175" s="76">
        <f t="shared" si="46"/>
        <v>5.1000000000000032</v>
      </c>
      <c r="E175" s="43">
        <f t="shared" si="47"/>
        <v>3.542245989304813</v>
      </c>
      <c r="F175" s="43">
        <f t="shared" si="48"/>
        <v>2.9775401069518717</v>
      </c>
      <c r="G175" s="43">
        <f t="shared" si="49"/>
        <v>2.1253475935828878</v>
      </c>
      <c r="H175" s="43">
        <f t="shared" si="50"/>
        <v>1.6992513368983959</v>
      </c>
      <c r="I175" s="43">
        <f t="shared" si="51"/>
        <v>5.1000000000000032</v>
      </c>
      <c r="J175" s="43">
        <f t="shared" si="52"/>
        <v>5.1000000000000032</v>
      </c>
      <c r="K175" s="43">
        <f t="shared" si="53"/>
        <v>5.1000000000000032</v>
      </c>
      <c r="L175" s="43">
        <f t="shared" si="54"/>
        <v>4.2558288770053476</v>
      </c>
      <c r="M175" s="43">
        <f t="shared" si="55"/>
        <v>3.4036363636363638</v>
      </c>
      <c r="N175" s="43">
        <f t="shared" si="56"/>
        <v>5.1000000000000032</v>
      </c>
      <c r="O175" s="43">
        <f t="shared" si="57"/>
        <v>5.1000000000000032</v>
      </c>
      <c r="P175" s="43">
        <f t="shared" si="58"/>
        <v>5.1000000000000032</v>
      </c>
      <c r="Q175" s="43">
        <f t="shared" si="59"/>
        <v>4.2558288770053476</v>
      </c>
      <c r="R175" s="63">
        <f t="shared" si="60"/>
        <v>3.4036363636363638</v>
      </c>
      <c r="U175" s="1601"/>
      <c r="V175" s="28">
        <v>55</v>
      </c>
      <c r="W175" s="43" cm="1">
        <f t="array" ref="W175">VLOOKUP(MAX(IF('Courbe Déflexion'!$GI$25:$GI$305&lt;=V175,'Courbe Déflexion'!$GI$25:$GI$305)),'Courbe Déflexion'!$GI$25:$IA$305,6,0)</f>
        <v>5.1000000000000032</v>
      </c>
      <c r="X175" s="43">
        <f>VLOOKUP(X$84,'Infos Techniques'!$B$7:$E$12,3,0)/($V175*$X$39/12)</f>
        <v>5.1336898395721926</v>
      </c>
      <c r="Y175" s="43">
        <f>VLOOKUP(Y$84,'Infos Techniques'!$B$7:$E$12,3,0)/($V175*$X$39/12)</f>
        <v>3.542245989304813</v>
      </c>
      <c r="Z175" s="43">
        <f>VLOOKUP(Z$84,'Infos Techniques'!$B$7:$E$12,3,0)/($V175*$X$39/12)</f>
        <v>2.9775401069518717</v>
      </c>
      <c r="AA175" s="43">
        <f>VLOOKUP(AA$84,'Infos Techniques'!$B$7:$E$12,3,0)/($V175*$X$39/12)</f>
        <v>2.1253475935828878</v>
      </c>
      <c r="AB175" s="43">
        <f>VLOOKUP(AB$84,'Infos Techniques'!$B$7:$E$12,3,0)/($V175*$X$39/12)</f>
        <v>1.6992513368983959</v>
      </c>
      <c r="AC175" s="43">
        <f>VLOOKUP(AC$84,'Infos Techniques'!$B$7:$E$12,2,0)/($V175*$X$39/12)</f>
        <v>6.1604278074866317</v>
      </c>
      <c r="AD175" s="43">
        <f>VLOOKUP(AD$84,'Infos Techniques'!$B$7:$E$12,2,0)/($V175*$X$39/12)</f>
        <v>6.1604278074866317</v>
      </c>
      <c r="AE175" s="43">
        <f>VLOOKUP(AE$84,'Infos Techniques'!$B$7:$E$12,2,0)/($V175*$X$39/12)</f>
        <v>5.9550802139037433</v>
      </c>
      <c r="AF175" s="43">
        <f>VLOOKUP(AF$84,'Infos Techniques'!$B$7:$E$12,2,0)/($V175*$X$39/12)</f>
        <v>4.2558288770053476</v>
      </c>
      <c r="AG175" s="43">
        <f>VLOOKUP(AG$84,'Infos Techniques'!$B$7:$E$12,2,0)/($V175*$X$39/12)</f>
        <v>3.4036363636363638</v>
      </c>
      <c r="AH175" s="43">
        <f>VLOOKUP(AH$84,'Infos Techniques'!$B$7:$E$12,4,0)/($V175*$X$39/12)</f>
        <v>7.7005347593582893</v>
      </c>
      <c r="AI175" s="43">
        <f>VLOOKUP(AI$84,'Infos Techniques'!$B$7:$E$12,4,0)/($V175*$X$39/12)</f>
        <v>7.7005347593582893</v>
      </c>
      <c r="AJ175" s="43">
        <f>VLOOKUP(AJ$84,'Infos Techniques'!$B$7:$E$12,4,0)/($V175*$X$39/12)</f>
        <v>7.7005347593582893</v>
      </c>
      <c r="AK175" s="247">
        <f>VLOOKUP(AK$84,'Infos Techniques'!$B$7:$E$12,4,0)/($V175*$X$39/12)</f>
        <v>4.2558288770053476</v>
      </c>
      <c r="AL175" s="248">
        <f>VLOOKUP(AL$84,'Infos Techniques'!$B$7:$E$12,4,0)/($V175*$X$39/12)</f>
        <v>3.4036363636363638</v>
      </c>
    </row>
    <row r="176" spans="2:38">
      <c r="B176" s="1849"/>
      <c r="C176" s="70">
        <v>60</v>
      </c>
      <c r="D176" s="76">
        <f t="shared" si="46"/>
        <v>4.7058823529411766</v>
      </c>
      <c r="E176" s="43">
        <f t="shared" si="47"/>
        <v>3.2470588235294118</v>
      </c>
      <c r="F176" s="43">
        <f t="shared" si="48"/>
        <v>2.7294117647058824</v>
      </c>
      <c r="G176" s="43">
        <f t="shared" si="49"/>
        <v>1.9482352941176471</v>
      </c>
      <c r="H176" s="43">
        <f t="shared" si="50"/>
        <v>1.5576470588235294</v>
      </c>
      <c r="I176" s="43">
        <f t="shared" si="51"/>
        <v>5.1000000000000032</v>
      </c>
      <c r="J176" s="43">
        <f t="shared" si="52"/>
        <v>5.1000000000000032</v>
      </c>
      <c r="K176" s="43">
        <f t="shared" si="53"/>
        <v>5.1000000000000032</v>
      </c>
      <c r="L176" s="43">
        <f t="shared" si="54"/>
        <v>3.9011764705882355</v>
      </c>
      <c r="M176" s="43">
        <f t="shared" si="55"/>
        <v>3.12</v>
      </c>
      <c r="N176" s="43">
        <f t="shared" si="56"/>
        <v>5.1000000000000032</v>
      </c>
      <c r="O176" s="43">
        <f t="shared" si="57"/>
        <v>5.1000000000000032</v>
      </c>
      <c r="P176" s="43">
        <f t="shared" si="58"/>
        <v>5.1000000000000032</v>
      </c>
      <c r="Q176" s="43">
        <f t="shared" si="59"/>
        <v>3.9011764705882355</v>
      </c>
      <c r="R176" s="63">
        <f t="shared" si="60"/>
        <v>3.12</v>
      </c>
      <c r="U176" s="1601"/>
      <c r="V176" s="28">
        <v>60</v>
      </c>
      <c r="W176" s="43" cm="1">
        <f t="array" ref="W176">VLOOKUP(MAX(IF('Courbe Déflexion'!$GI$25:$GI$305&lt;=V176,'Courbe Déflexion'!$GI$25:$GI$305)),'Courbe Déflexion'!$GI$25:$IA$305,6,0)</f>
        <v>5.1000000000000032</v>
      </c>
      <c r="X176" s="43">
        <f>VLOOKUP(X$84,'Infos Techniques'!$B$7:$E$12,3,0)/($V176*$X$39/12)</f>
        <v>4.7058823529411766</v>
      </c>
      <c r="Y176" s="43">
        <f>VLOOKUP(Y$84,'Infos Techniques'!$B$7:$E$12,3,0)/($V176*$X$39/12)</f>
        <v>3.2470588235294118</v>
      </c>
      <c r="Z176" s="43">
        <f>VLOOKUP(Z$84,'Infos Techniques'!$B$7:$E$12,3,0)/($V176*$X$39/12)</f>
        <v>2.7294117647058824</v>
      </c>
      <c r="AA176" s="43">
        <f>VLOOKUP(AA$84,'Infos Techniques'!$B$7:$E$12,3,0)/($V176*$X$39/12)</f>
        <v>1.9482352941176471</v>
      </c>
      <c r="AB176" s="43">
        <f>VLOOKUP(AB$84,'Infos Techniques'!$B$7:$E$12,3,0)/($V176*$X$39/12)</f>
        <v>1.5576470588235294</v>
      </c>
      <c r="AC176" s="43">
        <f>VLOOKUP(AC$84,'Infos Techniques'!$B$7:$E$12,2,0)/($V176*$X$39/12)</f>
        <v>5.6470588235294121</v>
      </c>
      <c r="AD176" s="43">
        <f>VLOOKUP(AD$84,'Infos Techniques'!$B$7:$E$12,2,0)/($V176*$X$39/12)</f>
        <v>5.6470588235294121</v>
      </c>
      <c r="AE176" s="43">
        <f>VLOOKUP(AE$84,'Infos Techniques'!$B$7:$E$12,2,0)/($V176*$X$39/12)</f>
        <v>5.4588235294117649</v>
      </c>
      <c r="AF176" s="43">
        <f>VLOOKUP(AF$84,'Infos Techniques'!$B$7:$E$12,2,0)/($V176*$X$39/12)</f>
        <v>3.9011764705882355</v>
      </c>
      <c r="AG176" s="43">
        <f>VLOOKUP(AG$84,'Infos Techniques'!$B$7:$E$12,2,0)/($V176*$X$39/12)</f>
        <v>3.12</v>
      </c>
      <c r="AH176" s="43">
        <f>VLOOKUP(AH$84,'Infos Techniques'!$B$7:$E$12,4,0)/($V176*$X$39/12)</f>
        <v>7.0588235294117645</v>
      </c>
      <c r="AI176" s="43">
        <f>VLOOKUP(AI$84,'Infos Techniques'!$B$7:$E$12,4,0)/($V176*$X$39/12)</f>
        <v>7.0588235294117645</v>
      </c>
      <c r="AJ176" s="43">
        <f>VLOOKUP(AJ$84,'Infos Techniques'!$B$7:$E$12,4,0)/($V176*$X$39/12)</f>
        <v>7.0588235294117645</v>
      </c>
      <c r="AK176" s="247">
        <f>VLOOKUP(AK$84,'Infos Techniques'!$B$7:$E$12,4,0)/($V176*$X$39/12)</f>
        <v>3.9011764705882355</v>
      </c>
      <c r="AL176" s="248">
        <f>VLOOKUP(AL$84,'Infos Techniques'!$B$7:$E$12,4,0)/($V176*$X$39/12)</f>
        <v>3.12</v>
      </c>
    </row>
    <row r="177" spans="2:38">
      <c r="B177" s="1849"/>
      <c r="C177" s="70">
        <v>65</v>
      </c>
      <c r="D177" s="76">
        <f t="shared" si="46"/>
        <v>4.3438914027149318</v>
      </c>
      <c r="E177" s="43">
        <f t="shared" si="47"/>
        <v>2.9972850678733032</v>
      </c>
      <c r="F177" s="43">
        <f t="shared" si="48"/>
        <v>2.5194570135746606</v>
      </c>
      <c r="G177" s="43">
        <f t="shared" si="49"/>
        <v>1.7983710407239819</v>
      </c>
      <c r="H177" s="43">
        <f t="shared" si="50"/>
        <v>1.4378280542986426</v>
      </c>
      <c r="I177" s="43">
        <f t="shared" si="51"/>
        <v>5.1000000000000032</v>
      </c>
      <c r="J177" s="43">
        <f t="shared" si="52"/>
        <v>5.1000000000000032</v>
      </c>
      <c r="K177" s="43">
        <f t="shared" si="53"/>
        <v>5.0389140271493211</v>
      </c>
      <c r="L177" s="43">
        <f t="shared" si="54"/>
        <v>3.6010859728506786</v>
      </c>
      <c r="M177" s="43">
        <f t="shared" si="55"/>
        <v>2.88</v>
      </c>
      <c r="N177" s="43">
        <f t="shared" si="56"/>
        <v>5.1000000000000032</v>
      </c>
      <c r="O177" s="43">
        <f t="shared" si="57"/>
        <v>5.1000000000000032</v>
      </c>
      <c r="P177" s="43">
        <f t="shared" si="58"/>
        <v>5.1000000000000032</v>
      </c>
      <c r="Q177" s="43">
        <f t="shared" si="59"/>
        <v>3.6010859728506786</v>
      </c>
      <c r="R177" s="63">
        <f t="shared" si="60"/>
        <v>2.88</v>
      </c>
      <c r="U177" s="1601"/>
      <c r="V177" s="28">
        <v>65</v>
      </c>
      <c r="W177" s="43" cm="1">
        <f t="array" ref="W177">VLOOKUP(MAX(IF('Courbe Déflexion'!$GI$25:$GI$305&lt;=V177,'Courbe Déflexion'!$GI$25:$GI$305)),'Courbe Déflexion'!$GI$25:$IA$305,6,0)</f>
        <v>5.1000000000000032</v>
      </c>
      <c r="X177" s="43">
        <f>VLOOKUP(X$84,'Infos Techniques'!$B$7:$E$12,3,0)/($V177*$X$39/12)</f>
        <v>4.3438914027149318</v>
      </c>
      <c r="Y177" s="43">
        <f>VLOOKUP(Y$84,'Infos Techniques'!$B$7:$E$12,3,0)/($V177*$X$39/12)</f>
        <v>2.9972850678733032</v>
      </c>
      <c r="Z177" s="43">
        <f>VLOOKUP(Z$84,'Infos Techniques'!$B$7:$E$12,3,0)/($V177*$X$39/12)</f>
        <v>2.5194570135746606</v>
      </c>
      <c r="AA177" s="43">
        <f>VLOOKUP(AA$84,'Infos Techniques'!$B$7:$E$12,3,0)/($V177*$X$39/12)</f>
        <v>1.7983710407239819</v>
      </c>
      <c r="AB177" s="43">
        <f>VLOOKUP(AB$84,'Infos Techniques'!$B$7:$E$12,3,0)/($V177*$X$39/12)</f>
        <v>1.4378280542986426</v>
      </c>
      <c r="AC177" s="43">
        <f>VLOOKUP(AC$84,'Infos Techniques'!$B$7:$E$12,2,0)/($V177*$X$39/12)</f>
        <v>5.2126696832579187</v>
      </c>
      <c r="AD177" s="43">
        <f>VLOOKUP(AD$84,'Infos Techniques'!$B$7:$E$12,2,0)/($V177*$X$39/12)</f>
        <v>5.2126696832579187</v>
      </c>
      <c r="AE177" s="43">
        <f>VLOOKUP(AE$84,'Infos Techniques'!$B$7:$E$12,2,0)/($V177*$X$39/12)</f>
        <v>5.0389140271493211</v>
      </c>
      <c r="AF177" s="43">
        <f>VLOOKUP(AF$84,'Infos Techniques'!$B$7:$E$12,2,0)/($V177*$X$39/12)</f>
        <v>3.6010859728506786</v>
      </c>
      <c r="AG177" s="43">
        <f>VLOOKUP(AG$84,'Infos Techniques'!$B$7:$E$12,2,0)/($V177*$X$39/12)</f>
        <v>2.88</v>
      </c>
      <c r="AH177" s="43">
        <f>VLOOKUP(AH$84,'Infos Techniques'!$B$7:$E$12,4,0)/($V177*$X$39/12)</f>
        <v>6.5158371040723981</v>
      </c>
      <c r="AI177" s="43">
        <f>VLOOKUP(AI$84,'Infos Techniques'!$B$7:$E$12,4,0)/($V177*$X$39/12)</f>
        <v>6.5158371040723981</v>
      </c>
      <c r="AJ177" s="43">
        <f>VLOOKUP(AJ$84,'Infos Techniques'!$B$7:$E$12,4,0)/($V177*$X$39/12)</f>
        <v>6.5158371040723981</v>
      </c>
      <c r="AK177" s="247">
        <f>VLOOKUP(AK$84,'Infos Techniques'!$B$7:$E$12,4,0)/($V177*$X$39/12)</f>
        <v>3.6010859728506786</v>
      </c>
      <c r="AL177" s="248">
        <f>VLOOKUP(AL$84,'Infos Techniques'!$B$7:$E$12,4,0)/($V177*$X$39/12)</f>
        <v>2.88</v>
      </c>
    </row>
    <row r="178" spans="2:38">
      <c r="B178" s="1849"/>
      <c r="C178" s="70">
        <v>70</v>
      </c>
      <c r="D178" s="76">
        <f t="shared" si="46"/>
        <v>4.0336134453781511</v>
      </c>
      <c r="E178" s="43">
        <f t="shared" si="47"/>
        <v>2.7831932773109247</v>
      </c>
      <c r="F178" s="43">
        <f t="shared" si="48"/>
        <v>2.3394957983193279</v>
      </c>
      <c r="G178" s="43">
        <f t="shared" si="49"/>
        <v>1.6699159663865546</v>
      </c>
      <c r="H178" s="43">
        <f t="shared" si="50"/>
        <v>1.3351260504201681</v>
      </c>
      <c r="I178" s="43">
        <f t="shared" si="51"/>
        <v>4.8403361344537821</v>
      </c>
      <c r="J178" s="43">
        <f t="shared" si="52"/>
        <v>4.8403361344537821</v>
      </c>
      <c r="K178" s="43">
        <f t="shared" si="53"/>
        <v>4.6789915966386557</v>
      </c>
      <c r="L178" s="43">
        <f t="shared" si="54"/>
        <v>3.3438655462184874</v>
      </c>
      <c r="M178" s="43">
        <f t="shared" si="55"/>
        <v>2.6742857142857144</v>
      </c>
      <c r="N178" s="43">
        <f t="shared" si="56"/>
        <v>5.1000000000000032</v>
      </c>
      <c r="O178" s="43">
        <f t="shared" si="57"/>
        <v>5.1000000000000032</v>
      </c>
      <c r="P178" s="43">
        <f t="shared" si="58"/>
        <v>5.1000000000000032</v>
      </c>
      <c r="Q178" s="43">
        <f t="shared" si="59"/>
        <v>3.3438655462184874</v>
      </c>
      <c r="R178" s="63">
        <f t="shared" si="60"/>
        <v>2.6742857142857144</v>
      </c>
      <c r="U178" s="1601"/>
      <c r="V178" s="28">
        <v>70</v>
      </c>
      <c r="W178" s="43" cm="1">
        <f t="array" ref="W178">VLOOKUP(MAX(IF('Courbe Déflexion'!$GI$25:$GI$305&lt;=V178,'Courbe Déflexion'!$GI$25:$GI$305)),'Courbe Déflexion'!$GI$25:$IA$305,6,0)</f>
        <v>5.1000000000000032</v>
      </c>
      <c r="X178" s="43">
        <f>VLOOKUP(X$84,'Infos Techniques'!$B$7:$E$12,3,0)/($V178*$X$39/12)</f>
        <v>4.0336134453781511</v>
      </c>
      <c r="Y178" s="43">
        <f>VLOOKUP(Y$84,'Infos Techniques'!$B$7:$E$12,3,0)/($V178*$X$39/12)</f>
        <v>2.7831932773109247</v>
      </c>
      <c r="Z178" s="43">
        <f>VLOOKUP(Z$84,'Infos Techniques'!$B$7:$E$12,3,0)/($V178*$X$39/12)</f>
        <v>2.3394957983193279</v>
      </c>
      <c r="AA178" s="43">
        <f>VLOOKUP(AA$84,'Infos Techniques'!$B$7:$E$12,3,0)/($V178*$X$39/12)</f>
        <v>1.6699159663865546</v>
      </c>
      <c r="AB178" s="43">
        <f>VLOOKUP(AB$84,'Infos Techniques'!$B$7:$E$12,3,0)/($V178*$X$39/12)</f>
        <v>1.3351260504201681</v>
      </c>
      <c r="AC178" s="43">
        <f>VLOOKUP(AC$84,'Infos Techniques'!$B$7:$E$12,2,0)/($V178*$X$39/12)</f>
        <v>4.8403361344537821</v>
      </c>
      <c r="AD178" s="43">
        <f>VLOOKUP(AD$84,'Infos Techniques'!$B$7:$E$12,2,0)/($V178*$X$39/12)</f>
        <v>4.8403361344537821</v>
      </c>
      <c r="AE178" s="43">
        <f>VLOOKUP(AE$84,'Infos Techniques'!$B$7:$E$12,2,0)/($V178*$X$39/12)</f>
        <v>4.6789915966386557</v>
      </c>
      <c r="AF178" s="43">
        <f>VLOOKUP(AF$84,'Infos Techniques'!$B$7:$E$12,2,0)/($V178*$X$39/12)</f>
        <v>3.3438655462184874</v>
      </c>
      <c r="AG178" s="43">
        <f>VLOOKUP(AG$84,'Infos Techniques'!$B$7:$E$12,2,0)/($V178*$X$39/12)</f>
        <v>2.6742857142857144</v>
      </c>
      <c r="AH178" s="43">
        <f>VLOOKUP(AH$84,'Infos Techniques'!$B$7:$E$12,4,0)/($V178*$X$39/12)</f>
        <v>6.0504201680672267</v>
      </c>
      <c r="AI178" s="43">
        <f>VLOOKUP(AI$84,'Infos Techniques'!$B$7:$E$12,4,0)/($V178*$X$39/12)</f>
        <v>6.0504201680672267</v>
      </c>
      <c r="AJ178" s="43">
        <f>VLOOKUP(AJ$84,'Infos Techniques'!$B$7:$E$12,4,0)/($V178*$X$39/12)</f>
        <v>6.0504201680672267</v>
      </c>
      <c r="AK178" s="247">
        <f>VLOOKUP(AK$84,'Infos Techniques'!$B$7:$E$12,4,0)/($V178*$X$39/12)</f>
        <v>3.3438655462184874</v>
      </c>
      <c r="AL178" s="248">
        <f>VLOOKUP(AL$84,'Infos Techniques'!$B$7:$E$12,4,0)/($V178*$X$39/12)</f>
        <v>2.6742857142857144</v>
      </c>
    </row>
    <row r="179" spans="2:38" ht="15" thickBot="1">
      <c r="B179" s="1849"/>
      <c r="C179" s="71">
        <v>75</v>
      </c>
      <c r="D179" s="76">
        <f t="shared" si="46"/>
        <v>3.7647058823529411</v>
      </c>
      <c r="E179" s="43">
        <f t="shared" si="47"/>
        <v>2.5976470588235294</v>
      </c>
      <c r="F179" s="43">
        <f t="shared" si="48"/>
        <v>2.1835294117647059</v>
      </c>
      <c r="G179" s="43">
        <f t="shared" si="49"/>
        <v>1.5585882352941176</v>
      </c>
      <c r="H179" s="43">
        <f t="shared" si="50"/>
        <v>1.2461176470588236</v>
      </c>
      <c r="I179" s="43">
        <f t="shared" si="51"/>
        <v>4.5176470588235293</v>
      </c>
      <c r="J179" s="43">
        <f t="shared" si="52"/>
        <v>4.5176470588235293</v>
      </c>
      <c r="K179" s="43">
        <f t="shared" si="53"/>
        <v>4.3670588235294119</v>
      </c>
      <c r="L179" s="43">
        <f t="shared" si="54"/>
        <v>3.1209411764705881</v>
      </c>
      <c r="M179" s="43">
        <f t="shared" si="55"/>
        <v>2.496</v>
      </c>
      <c r="N179" s="43">
        <f t="shared" si="56"/>
        <v>5.1000000000000032</v>
      </c>
      <c r="O179" s="43">
        <f t="shared" si="57"/>
        <v>5.1000000000000032</v>
      </c>
      <c r="P179" s="43">
        <f t="shared" si="58"/>
        <v>5.1000000000000032</v>
      </c>
      <c r="Q179" s="43">
        <f t="shared" si="59"/>
        <v>3.1209411764705881</v>
      </c>
      <c r="R179" s="63">
        <f t="shared" si="60"/>
        <v>2.496</v>
      </c>
      <c r="U179" s="1601"/>
      <c r="V179" s="28">
        <v>75</v>
      </c>
      <c r="W179" s="43" cm="1">
        <f t="array" ref="W179">VLOOKUP(MAX(IF('Courbe Déflexion'!$GI$25:$GI$305&lt;=V179,'Courbe Déflexion'!$GI$25:$GI$305)),'Courbe Déflexion'!$GI$25:$IA$305,6,0)</f>
        <v>5.1000000000000032</v>
      </c>
      <c r="X179" s="43">
        <f>VLOOKUP(X$84,'Infos Techniques'!$B$7:$E$12,3,0)/($V179*$X$39/12)</f>
        <v>3.7647058823529411</v>
      </c>
      <c r="Y179" s="43">
        <f>VLOOKUP(Y$84,'Infos Techniques'!$B$7:$E$12,3,0)/($V179*$X$39/12)</f>
        <v>2.5976470588235294</v>
      </c>
      <c r="Z179" s="43">
        <f>VLOOKUP(Z$84,'Infos Techniques'!$B$7:$E$12,3,0)/($V179*$X$39/12)</f>
        <v>2.1835294117647059</v>
      </c>
      <c r="AA179" s="43">
        <f>VLOOKUP(AA$84,'Infos Techniques'!$B$7:$E$12,3,0)/($V179*$X$39/12)</f>
        <v>1.5585882352941176</v>
      </c>
      <c r="AB179" s="43">
        <f>VLOOKUP(AB$84,'Infos Techniques'!$B$7:$E$12,3,0)/($V179*$X$39/12)</f>
        <v>1.2461176470588236</v>
      </c>
      <c r="AC179" s="43">
        <f>VLOOKUP(AC$84,'Infos Techniques'!$B$7:$E$12,2,0)/($V179*$X$39/12)</f>
        <v>4.5176470588235293</v>
      </c>
      <c r="AD179" s="43">
        <f>VLOOKUP(AD$84,'Infos Techniques'!$B$7:$E$12,2,0)/($V179*$X$39/12)</f>
        <v>4.5176470588235293</v>
      </c>
      <c r="AE179" s="43">
        <f>VLOOKUP(AE$84,'Infos Techniques'!$B$7:$E$12,2,0)/($V179*$X$39/12)</f>
        <v>4.3670588235294119</v>
      </c>
      <c r="AF179" s="43">
        <f>VLOOKUP(AF$84,'Infos Techniques'!$B$7:$E$12,2,0)/($V179*$X$39/12)</f>
        <v>3.1209411764705881</v>
      </c>
      <c r="AG179" s="43">
        <f>VLOOKUP(AG$84,'Infos Techniques'!$B$7:$E$12,2,0)/($V179*$X$39/12)</f>
        <v>2.496</v>
      </c>
      <c r="AH179" s="43">
        <f>VLOOKUP(AH$84,'Infos Techniques'!$B$7:$E$12,4,0)/($V179*$X$39/12)</f>
        <v>5.6470588235294121</v>
      </c>
      <c r="AI179" s="43">
        <f>VLOOKUP(AI$84,'Infos Techniques'!$B$7:$E$12,4,0)/($V179*$X$39/12)</f>
        <v>5.6470588235294121</v>
      </c>
      <c r="AJ179" s="43">
        <f>VLOOKUP(AJ$84,'Infos Techniques'!$B$7:$E$12,4,0)/($V179*$X$39/12)</f>
        <v>5.6470588235294121</v>
      </c>
      <c r="AK179" s="247">
        <f>VLOOKUP(AK$84,'Infos Techniques'!$B$7:$E$12,4,0)/($V179*$X$39/12)</f>
        <v>3.1209411764705881</v>
      </c>
      <c r="AL179" s="248">
        <f>VLOOKUP(AL$84,'Infos Techniques'!$B$7:$E$12,4,0)/($V179*$X$39/12)</f>
        <v>2.496</v>
      </c>
    </row>
    <row r="180" spans="2:38">
      <c r="B180" s="1849"/>
      <c r="C180" s="72">
        <v>80</v>
      </c>
      <c r="D180" s="76">
        <f t="shared" si="46"/>
        <v>3.5294117647058827</v>
      </c>
      <c r="E180" s="43">
        <f t="shared" si="47"/>
        <v>2.4352941176470591</v>
      </c>
      <c r="F180" s="43">
        <f t="shared" si="48"/>
        <v>2.047058823529412</v>
      </c>
      <c r="G180" s="43">
        <f t="shared" si="49"/>
        <v>1.4611764705882353</v>
      </c>
      <c r="H180" s="43">
        <f t="shared" si="50"/>
        <v>1.168235294117647</v>
      </c>
      <c r="I180" s="43">
        <f t="shared" si="51"/>
        <v>4.2352941176470589</v>
      </c>
      <c r="J180" s="43">
        <f t="shared" si="52"/>
        <v>4.2352941176470589</v>
      </c>
      <c r="K180" s="43">
        <f t="shared" si="53"/>
        <v>4.0941176470588241</v>
      </c>
      <c r="L180" s="43">
        <f t="shared" si="54"/>
        <v>2.9258823529411768</v>
      </c>
      <c r="M180" s="43">
        <f t="shared" si="55"/>
        <v>2.3400000000000003</v>
      </c>
      <c r="N180" s="43">
        <f t="shared" si="56"/>
        <v>5.1000000000000032</v>
      </c>
      <c r="O180" s="43">
        <f t="shared" si="57"/>
        <v>5.1000000000000032</v>
      </c>
      <c r="P180" s="43">
        <f t="shared" si="58"/>
        <v>5.1000000000000032</v>
      </c>
      <c r="Q180" s="43">
        <f t="shared" si="59"/>
        <v>2.9258823529411768</v>
      </c>
      <c r="R180" s="63">
        <f t="shared" si="60"/>
        <v>2.3400000000000003</v>
      </c>
      <c r="U180" s="1601"/>
      <c r="V180" s="28">
        <v>80</v>
      </c>
      <c r="W180" s="43" cm="1">
        <f t="array" ref="W180">VLOOKUP(MAX(IF('Courbe Déflexion'!$GI$25:$GI$305&lt;=V180,'Courbe Déflexion'!$GI$25:$GI$305)),'Courbe Déflexion'!$GI$25:$IA$305,6,0)</f>
        <v>5.1000000000000032</v>
      </c>
      <c r="X180" s="43">
        <f>VLOOKUP(X$84,'Infos Techniques'!$B$7:$E$12,3,0)/($V180*$X$39/12)</f>
        <v>3.5294117647058827</v>
      </c>
      <c r="Y180" s="43">
        <f>VLOOKUP(Y$84,'Infos Techniques'!$B$7:$E$12,3,0)/($V180*$X$39/12)</f>
        <v>2.4352941176470591</v>
      </c>
      <c r="Z180" s="43">
        <f>VLOOKUP(Z$84,'Infos Techniques'!$B$7:$E$12,3,0)/($V180*$X$39/12)</f>
        <v>2.047058823529412</v>
      </c>
      <c r="AA180" s="43">
        <f>VLOOKUP(AA$84,'Infos Techniques'!$B$7:$E$12,3,0)/($V180*$X$39/12)</f>
        <v>1.4611764705882353</v>
      </c>
      <c r="AB180" s="43">
        <f>VLOOKUP(AB$84,'Infos Techniques'!$B$7:$E$12,3,0)/($V180*$X$39/12)</f>
        <v>1.168235294117647</v>
      </c>
      <c r="AC180" s="43">
        <f>VLOOKUP(AC$84,'Infos Techniques'!$B$7:$E$12,2,0)/($V180*$X$39/12)</f>
        <v>4.2352941176470589</v>
      </c>
      <c r="AD180" s="43">
        <f>VLOOKUP(AD$84,'Infos Techniques'!$B$7:$E$12,2,0)/($V180*$X$39/12)</f>
        <v>4.2352941176470589</v>
      </c>
      <c r="AE180" s="43">
        <f>VLOOKUP(AE$84,'Infos Techniques'!$B$7:$E$12,2,0)/($V180*$X$39/12)</f>
        <v>4.0941176470588241</v>
      </c>
      <c r="AF180" s="43">
        <f>VLOOKUP(AF$84,'Infos Techniques'!$B$7:$E$12,2,0)/($V180*$X$39/12)</f>
        <v>2.9258823529411768</v>
      </c>
      <c r="AG180" s="43">
        <f>VLOOKUP(AG$84,'Infos Techniques'!$B$7:$E$12,2,0)/($V180*$X$39/12)</f>
        <v>2.3400000000000003</v>
      </c>
      <c r="AH180" s="43">
        <f>VLOOKUP(AH$84,'Infos Techniques'!$B$7:$E$12,4,0)/($V180*$X$39/12)</f>
        <v>5.2941176470588243</v>
      </c>
      <c r="AI180" s="43">
        <f>VLOOKUP(AI$84,'Infos Techniques'!$B$7:$E$12,4,0)/($V180*$X$39/12)</f>
        <v>5.2941176470588243</v>
      </c>
      <c r="AJ180" s="43">
        <f>VLOOKUP(AJ$84,'Infos Techniques'!$B$7:$E$12,4,0)/($V180*$X$39/12)</f>
        <v>5.2941176470588243</v>
      </c>
      <c r="AK180" s="247">
        <f>VLOOKUP(AK$84,'Infos Techniques'!$B$7:$E$12,4,0)/($V180*$X$39/12)</f>
        <v>2.9258823529411768</v>
      </c>
      <c r="AL180" s="248">
        <f>VLOOKUP(AL$84,'Infos Techniques'!$B$7:$E$12,4,0)/($V180*$X$39/12)</f>
        <v>2.3400000000000003</v>
      </c>
    </row>
    <row r="181" spans="2:38">
      <c r="B181" s="1849"/>
      <c r="C181" s="70">
        <v>85</v>
      </c>
      <c r="D181" s="76">
        <f t="shared" si="46"/>
        <v>3.3217993079584773</v>
      </c>
      <c r="E181" s="43">
        <f t="shared" si="47"/>
        <v>2.2920415224913495</v>
      </c>
      <c r="F181" s="43">
        <f t="shared" si="48"/>
        <v>1.9266435986159169</v>
      </c>
      <c r="G181" s="43">
        <f t="shared" si="49"/>
        <v>1.3752249134948096</v>
      </c>
      <c r="H181" s="43">
        <f t="shared" si="50"/>
        <v>1.0995155709342559</v>
      </c>
      <c r="I181" s="43">
        <f t="shared" si="51"/>
        <v>3.9861591695501728</v>
      </c>
      <c r="J181" s="43">
        <f t="shared" si="52"/>
        <v>3.9861591695501728</v>
      </c>
      <c r="K181" s="43">
        <f t="shared" si="53"/>
        <v>3.8532871972318339</v>
      </c>
      <c r="L181" s="43">
        <f t="shared" si="54"/>
        <v>2.7537716262975778</v>
      </c>
      <c r="M181" s="43">
        <f t="shared" si="55"/>
        <v>2.2023529411764704</v>
      </c>
      <c r="N181" s="43">
        <f t="shared" si="56"/>
        <v>4.9826989619377162</v>
      </c>
      <c r="O181" s="43">
        <f t="shared" si="57"/>
        <v>4.9826989619377162</v>
      </c>
      <c r="P181" s="43">
        <f t="shared" si="58"/>
        <v>4.9826989619377162</v>
      </c>
      <c r="Q181" s="43">
        <f t="shared" si="59"/>
        <v>2.7537716262975778</v>
      </c>
      <c r="R181" s="63">
        <f t="shared" si="60"/>
        <v>2.2023529411764704</v>
      </c>
      <c r="U181" s="1601"/>
      <c r="V181" s="28">
        <v>85</v>
      </c>
      <c r="W181" s="43" cm="1">
        <f t="array" ref="W181">VLOOKUP(MAX(IF('Courbe Déflexion'!$GI$25:$GI$305&lt;=V181,'Courbe Déflexion'!$GI$25:$GI$305)),'Courbe Déflexion'!$GI$25:$IA$305,6,0)</f>
        <v>5.1000000000000032</v>
      </c>
      <c r="X181" s="43">
        <f>VLOOKUP(X$84,'Infos Techniques'!$B$7:$E$12,3,0)/($V181*$X$39/12)</f>
        <v>3.3217993079584773</v>
      </c>
      <c r="Y181" s="43">
        <f>VLOOKUP(Y$84,'Infos Techniques'!$B$7:$E$12,3,0)/($V181*$X$39/12)</f>
        <v>2.2920415224913495</v>
      </c>
      <c r="Z181" s="43">
        <f>VLOOKUP(Z$84,'Infos Techniques'!$B$7:$E$12,3,0)/($V181*$X$39/12)</f>
        <v>1.9266435986159169</v>
      </c>
      <c r="AA181" s="43">
        <f>VLOOKUP(AA$84,'Infos Techniques'!$B$7:$E$12,3,0)/($V181*$X$39/12)</f>
        <v>1.3752249134948096</v>
      </c>
      <c r="AB181" s="43">
        <f>VLOOKUP(AB$84,'Infos Techniques'!$B$7:$E$12,3,0)/($V181*$X$39/12)</f>
        <v>1.0995155709342559</v>
      </c>
      <c r="AC181" s="43">
        <f>VLOOKUP(AC$84,'Infos Techniques'!$B$7:$E$12,2,0)/($V181*$X$39/12)</f>
        <v>3.9861591695501728</v>
      </c>
      <c r="AD181" s="43">
        <f>VLOOKUP(AD$84,'Infos Techniques'!$B$7:$E$12,2,0)/($V181*$X$39/12)</f>
        <v>3.9861591695501728</v>
      </c>
      <c r="AE181" s="43">
        <f>VLOOKUP(AE$84,'Infos Techniques'!$B$7:$E$12,2,0)/($V181*$X$39/12)</f>
        <v>3.8532871972318339</v>
      </c>
      <c r="AF181" s="43">
        <f>VLOOKUP(AF$84,'Infos Techniques'!$B$7:$E$12,2,0)/($V181*$X$39/12)</f>
        <v>2.7537716262975778</v>
      </c>
      <c r="AG181" s="43">
        <f>VLOOKUP(AG$84,'Infos Techniques'!$B$7:$E$12,2,0)/($V181*$X$39/12)</f>
        <v>2.2023529411764704</v>
      </c>
      <c r="AH181" s="43">
        <f>VLOOKUP(AH$84,'Infos Techniques'!$B$7:$E$12,4,0)/($V181*$X$39/12)</f>
        <v>4.9826989619377162</v>
      </c>
      <c r="AI181" s="43">
        <f>VLOOKUP(AI$84,'Infos Techniques'!$B$7:$E$12,4,0)/($V181*$X$39/12)</f>
        <v>4.9826989619377162</v>
      </c>
      <c r="AJ181" s="43">
        <f>VLOOKUP(AJ$84,'Infos Techniques'!$B$7:$E$12,4,0)/($V181*$X$39/12)</f>
        <v>4.9826989619377162</v>
      </c>
      <c r="AK181" s="247">
        <f>VLOOKUP(AK$84,'Infos Techniques'!$B$7:$E$12,4,0)/($V181*$X$39/12)</f>
        <v>2.7537716262975778</v>
      </c>
      <c r="AL181" s="248">
        <f>VLOOKUP(AL$84,'Infos Techniques'!$B$7:$E$12,4,0)/($V181*$X$39/12)</f>
        <v>2.2023529411764704</v>
      </c>
    </row>
    <row r="182" spans="2:38">
      <c r="B182" s="1849"/>
      <c r="C182" s="70">
        <v>90</v>
      </c>
      <c r="D182" s="76">
        <f t="shared" si="46"/>
        <v>3.1372549019607843</v>
      </c>
      <c r="E182" s="43">
        <f t="shared" si="47"/>
        <v>2.164705882352941</v>
      </c>
      <c r="F182" s="43">
        <f t="shared" si="48"/>
        <v>1.8196078431372549</v>
      </c>
      <c r="G182" s="43">
        <f t="shared" si="49"/>
        <v>1.2988235294117647</v>
      </c>
      <c r="H182" s="43">
        <f t="shared" si="50"/>
        <v>1.0384313725490195</v>
      </c>
      <c r="I182" s="43">
        <f t="shared" si="51"/>
        <v>3.7647058823529411</v>
      </c>
      <c r="J182" s="43">
        <f t="shared" si="52"/>
        <v>3.7647058823529411</v>
      </c>
      <c r="K182" s="43">
        <f t="shared" si="53"/>
        <v>3.6392156862745098</v>
      </c>
      <c r="L182" s="43">
        <f t="shared" si="54"/>
        <v>2.60078431372549</v>
      </c>
      <c r="M182" s="43">
        <f t="shared" si="55"/>
        <v>2.08</v>
      </c>
      <c r="N182" s="43">
        <f t="shared" si="56"/>
        <v>4.7058823529411766</v>
      </c>
      <c r="O182" s="43">
        <f t="shared" si="57"/>
        <v>4.7058823529411766</v>
      </c>
      <c r="P182" s="43">
        <f t="shared" si="58"/>
        <v>4.7058823529411766</v>
      </c>
      <c r="Q182" s="43">
        <f t="shared" si="59"/>
        <v>2.60078431372549</v>
      </c>
      <c r="R182" s="63">
        <f t="shared" si="60"/>
        <v>2.08</v>
      </c>
      <c r="U182" s="1601"/>
      <c r="V182" s="28">
        <v>90</v>
      </c>
      <c r="W182" s="43" cm="1">
        <f t="array" ref="W182">VLOOKUP(MAX(IF('Courbe Déflexion'!$GI$25:$GI$305&lt;=V182,'Courbe Déflexion'!$GI$25:$GI$305)),'Courbe Déflexion'!$GI$25:$IA$305,6,0)</f>
        <v>5.1000000000000032</v>
      </c>
      <c r="X182" s="43">
        <f>VLOOKUP(X$84,'Infos Techniques'!$B$7:$E$12,3,0)/($V182*$X$39/12)</f>
        <v>3.1372549019607843</v>
      </c>
      <c r="Y182" s="43">
        <f>VLOOKUP(Y$84,'Infos Techniques'!$B$7:$E$12,3,0)/($V182*$X$39/12)</f>
        <v>2.164705882352941</v>
      </c>
      <c r="Z182" s="43">
        <f>VLOOKUP(Z$84,'Infos Techniques'!$B$7:$E$12,3,0)/($V182*$X$39/12)</f>
        <v>1.8196078431372549</v>
      </c>
      <c r="AA182" s="43">
        <f>VLOOKUP(AA$84,'Infos Techniques'!$B$7:$E$12,3,0)/($V182*$X$39/12)</f>
        <v>1.2988235294117647</v>
      </c>
      <c r="AB182" s="43">
        <f>VLOOKUP(AB$84,'Infos Techniques'!$B$7:$E$12,3,0)/($V182*$X$39/12)</f>
        <v>1.0384313725490195</v>
      </c>
      <c r="AC182" s="43">
        <f>VLOOKUP(AC$84,'Infos Techniques'!$B$7:$E$12,2,0)/($V182*$X$39/12)</f>
        <v>3.7647058823529411</v>
      </c>
      <c r="AD182" s="43">
        <f>VLOOKUP(AD$84,'Infos Techniques'!$B$7:$E$12,2,0)/($V182*$X$39/12)</f>
        <v>3.7647058823529411</v>
      </c>
      <c r="AE182" s="43">
        <f>VLOOKUP(AE$84,'Infos Techniques'!$B$7:$E$12,2,0)/($V182*$X$39/12)</f>
        <v>3.6392156862745098</v>
      </c>
      <c r="AF182" s="43">
        <f>VLOOKUP(AF$84,'Infos Techniques'!$B$7:$E$12,2,0)/($V182*$X$39/12)</f>
        <v>2.60078431372549</v>
      </c>
      <c r="AG182" s="43">
        <f>VLOOKUP(AG$84,'Infos Techniques'!$B$7:$E$12,2,0)/($V182*$X$39/12)</f>
        <v>2.08</v>
      </c>
      <c r="AH182" s="43">
        <f>VLOOKUP(AH$84,'Infos Techniques'!$B$7:$E$12,4,0)/($V182*$X$39/12)</f>
        <v>4.7058823529411766</v>
      </c>
      <c r="AI182" s="43">
        <f>VLOOKUP(AI$84,'Infos Techniques'!$B$7:$E$12,4,0)/($V182*$X$39/12)</f>
        <v>4.7058823529411766</v>
      </c>
      <c r="AJ182" s="43">
        <f>VLOOKUP(AJ$84,'Infos Techniques'!$B$7:$E$12,4,0)/($V182*$X$39/12)</f>
        <v>4.7058823529411766</v>
      </c>
      <c r="AK182" s="247">
        <f>VLOOKUP(AK$84,'Infos Techniques'!$B$7:$E$12,4,0)/($V182*$X$39/12)</f>
        <v>2.60078431372549</v>
      </c>
      <c r="AL182" s="248">
        <f>VLOOKUP(AL$84,'Infos Techniques'!$B$7:$E$12,4,0)/($V182*$X$39/12)</f>
        <v>2.08</v>
      </c>
    </row>
    <row r="183" spans="2:38">
      <c r="B183" s="1849"/>
      <c r="C183" s="70">
        <v>95</v>
      </c>
      <c r="D183" s="76">
        <f t="shared" si="46"/>
        <v>2.9721362229102168</v>
      </c>
      <c r="E183" s="43">
        <f t="shared" si="47"/>
        <v>2.0507739938080496</v>
      </c>
      <c r="F183" s="43">
        <f t="shared" si="48"/>
        <v>1.7238390092879259</v>
      </c>
      <c r="G183" s="43">
        <f t="shared" si="49"/>
        <v>1.2304643962848298</v>
      </c>
      <c r="H183" s="43">
        <f t="shared" si="50"/>
        <v>0.98377708978328182</v>
      </c>
      <c r="I183" s="43">
        <f t="shared" si="51"/>
        <v>3.5665634674922604</v>
      </c>
      <c r="J183" s="43">
        <f t="shared" si="52"/>
        <v>3.5665634674922604</v>
      </c>
      <c r="K183" s="43">
        <f t="shared" si="53"/>
        <v>3.4476780185758518</v>
      </c>
      <c r="L183" s="43">
        <f t="shared" si="54"/>
        <v>2.4639009287925697</v>
      </c>
      <c r="M183" s="43">
        <f t="shared" si="55"/>
        <v>1.9705263157894739</v>
      </c>
      <c r="N183" s="43">
        <f t="shared" si="56"/>
        <v>4.458204334365325</v>
      </c>
      <c r="O183" s="43">
        <f t="shared" si="57"/>
        <v>4.458204334365325</v>
      </c>
      <c r="P183" s="43">
        <f t="shared" si="58"/>
        <v>4.458204334365325</v>
      </c>
      <c r="Q183" s="43">
        <f t="shared" si="59"/>
        <v>2.4639009287925697</v>
      </c>
      <c r="R183" s="63">
        <f t="shared" si="60"/>
        <v>1.9705263157894739</v>
      </c>
      <c r="U183" s="1601"/>
      <c r="V183" s="28">
        <v>95</v>
      </c>
      <c r="W183" s="43" cm="1">
        <f t="array" ref="W183">VLOOKUP(MAX(IF('Courbe Déflexion'!$GI$25:$GI$305&lt;=V183,'Courbe Déflexion'!$GI$25:$GI$305)),'Courbe Déflexion'!$GI$25:$IA$305,6,0)</f>
        <v>5.1000000000000032</v>
      </c>
      <c r="X183" s="43">
        <f>VLOOKUP(X$84,'Infos Techniques'!$B$7:$E$12,3,0)/($V183*$X$39/12)</f>
        <v>2.9721362229102168</v>
      </c>
      <c r="Y183" s="43">
        <f>VLOOKUP(Y$84,'Infos Techniques'!$B$7:$E$12,3,0)/($V183*$X$39/12)</f>
        <v>2.0507739938080496</v>
      </c>
      <c r="Z183" s="43">
        <f>VLOOKUP(Z$84,'Infos Techniques'!$B$7:$E$12,3,0)/($V183*$X$39/12)</f>
        <v>1.7238390092879259</v>
      </c>
      <c r="AA183" s="43">
        <f>VLOOKUP(AA$84,'Infos Techniques'!$B$7:$E$12,3,0)/($V183*$X$39/12)</f>
        <v>1.2304643962848298</v>
      </c>
      <c r="AB183" s="43">
        <f>VLOOKUP(AB$84,'Infos Techniques'!$B$7:$E$12,3,0)/($V183*$X$39/12)</f>
        <v>0.98377708978328182</v>
      </c>
      <c r="AC183" s="43">
        <f>VLOOKUP(AC$84,'Infos Techniques'!$B$7:$E$12,2,0)/($V183*$X$39/12)</f>
        <v>3.5665634674922604</v>
      </c>
      <c r="AD183" s="43">
        <f>VLOOKUP(AD$84,'Infos Techniques'!$B$7:$E$12,2,0)/($V183*$X$39/12)</f>
        <v>3.5665634674922604</v>
      </c>
      <c r="AE183" s="43">
        <f>VLOOKUP(AE$84,'Infos Techniques'!$B$7:$E$12,2,0)/($V183*$X$39/12)</f>
        <v>3.4476780185758518</v>
      </c>
      <c r="AF183" s="43">
        <f>VLOOKUP(AF$84,'Infos Techniques'!$B$7:$E$12,2,0)/($V183*$X$39/12)</f>
        <v>2.4639009287925697</v>
      </c>
      <c r="AG183" s="43">
        <f>VLOOKUP(AG$84,'Infos Techniques'!$B$7:$E$12,2,0)/($V183*$X$39/12)</f>
        <v>1.9705263157894739</v>
      </c>
      <c r="AH183" s="43">
        <f>VLOOKUP(AH$84,'Infos Techniques'!$B$7:$E$12,4,0)/($V183*$X$39/12)</f>
        <v>4.458204334365325</v>
      </c>
      <c r="AI183" s="43">
        <f>VLOOKUP(AI$84,'Infos Techniques'!$B$7:$E$12,4,0)/($V183*$X$39/12)</f>
        <v>4.458204334365325</v>
      </c>
      <c r="AJ183" s="43">
        <f>VLOOKUP(AJ$84,'Infos Techniques'!$B$7:$E$12,4,0)/($V183*$X$39/12)</f>
        <v>4.458204334365325</v>
      </c>
      <c r="AK183" s="247">
        <f>VLOOKUP(AK$84,'Infos Techniques'!$B$7:$E$12,4,0)/($V183*$X$39/12)</f>
        <v>2.4639009287925697</v>
      </c>
      <c r="AL183" s="248">
        <f>VLOOKUP(AL$84,'Infos Techniques'!$B$7:$E$12,4,0)/($V183*$X$39/12)</f>
        <v>1.9705263157894739</v>
      </c>
    </row>
    <row r="184" spans="2:38" ht="15" thickBot="1">
      <c r="B184" s="1850"/>
      <c r="C184" s="73">
        <v>100</v>
      </c>
      <c r="D184" s="79">
        <f t="shared" si="46"/>
        <v>2.8235294117647056</v>
      </c>
      <c r="E184" s="45">
        <f t="shared" si="47"/>
        <v>1.9482352941176471</v>
      </c>
      <c r="F184" s="45">
        <f t="shared" si="48"/>
        <v>1.6376470588235292</v>
      </c>
      <c r="G184" s="45">
        <f t="shared" si="49"/>
        <v>1.1689411764705882</v>
      </c>
      <c r="H184" s="45">
        <f t="shared" si="50"/>
        <v>0.93458823529411761</v>
      </c>
      <c r="I184" s="45">
        <f t="shared" si="51"/>
        <v>3.388235294117647</v>
      </c>
      <c r="J184" s="45">
        <f t="shared" si="52"/>
        <v>3.388235294117647</v>
      </c>
      <c r="K184" s="45">
        <f t="shared" si="53"/>
        <v>3.2752941176470585</v>
      </c>
      <c r="L184" s="45">
        <f t="shared" si="54"/>
        <v>2.3407058823529412</v>
      </c>
      <c r="M184" s="45">
        <f t="shared" si="55"/>
        <v>1.8719999999999999</v>
      </c>
      <c r="N184" s="45">
        <f t="shared" si="56"/>
        <v>4.2352941176470589</v>
      </c>
      <c r="O184" s="45">
        <f t="shared" si="57"/>
        <v>4.2352941176470589</v>
      </c>
      <c r="P184" s="45">
        <f t="shared" si="58"/>
        <v>4.2352941176470589</v>
      </c>
      <c r="Q184" s="45">
        <f t="shared" si="59"/>
        <v>2.3407058823529412</v>
      </c>
      <c r="R184" s="66">
        <f t="shared" si="60"/>
        <v>1.8719999999999999</v>
      </c>
      <c r="U184" s="1602"/>
      <c r="V184" s="44">
        <v>100</v>
      </c>
      <c r="W184" s="45" cm="1">
        <f t="array" ref="W184">VLOOKUP(MAX(IF('Courbe Déflexion'!$GI$25:$GI$305&lt;=V184,'Courbe Déflexion'!$GI$25:$GI$305)),'Courbe Déflexion'!$GI$25:$IA$305,6,0)</f>
        <v>5.1000000000000032</v>
      </c>
      <c r="X184" s="45">
        <f>VLOOKUP(X$84,'Infos Techniques'!$B$7:$E$12,3,0)/($V184*$X$39/12)</f>
        <v>2.8235294117647056</v>
      </c>
      <c r="Y184" s="45">
        <f>VLOOKUP(Y$84,'Infos Techniques'!$B$7:$E$12,3,0)/($V184*$X$39/12)</f>
        <v>1.9482352941176471</v>
      </c>
      <c r="Z184" s="45">
        <f>VLOOKUP(Z$84,'Infos Techniques'!$B$7:$E$12,3,0)/($V184*$X$39/12)</f>
        <v>1.6376470588235292</v>
      </c>
      <c r="AA184" s="45">
        <f>VLOOKUP(AA$84,'Infos Techniques'!$B$7:$E$12,3,0)/($V184*$X$39/12)</f>
        <v>1.1689411764705882</v>
      </c>
      <c r="AB184" s="45">
        <f>VLOOKUP(AB$84,'Infos Techniques'!$B$7:$E$12,3,0)/($V184*$X$39/12)</f>
        <v>0.93458823529411761</v>
      </c>
      <c r="AC184" s="45">
        <f>VLOOKUP(AC$84,'Infos Techniques'!$B$7:$E$12,2,0)/($V184*$X$39/12)</f>
        <v>3.388235294117647</v>
      </c>
      <c r="AD184" s="45">
        <f>VLOOKUP(AD$84,'Infos Techniques'!$B$7:$E$12,2,0)/($V184*$X$39/12)</f>
        <v>3.388235294117647</v>
      </c>
      <c r="AE184" s="45">
        <f>VLOOKUP(AE$84,'Infos Techniques'!$B$7:$E$12,2,0)/($V184*$X$39/12)</f>
        <v>3.2752941176470585</v>
      </c>
      <c r="AF184" s="45">
        <f>VLOOKUP(AF$84,'Infos Techniques'!$B$7:$E$12,2,0)/($V184*$X$39/12)</f>
        <v>2.3407058823529412</v>
      </c>
      <c r="AG184" s="45">
        <f>VLOOKUP(AG$84,'Infos Techniques'!$B$7:$E$12,2,0)/($V184*$X$39/12)</f>
        <v>1.8719999999999999</v>
      </c>
      <c r="AH184" s="249">
        <f>VLOOKUP(AH$84,'Infos Techniques'!$B$7:$E$12,4,0)/($V184*$X$39/12)</f>
        <v>4.2352941176470589</v>
      </c>
      <c r="AI184" s="45">
        <f>VLOOKUP(AI$84,'Infos Techniques'!$B$7:$E$12,4,0)/($V184*$X$39/12)</f>
        <v>4.2352941176470589</v>
      </c>
      <c r="AJ184" s="45">
        <f>VLOOKUP(AJ$84,'Infos Techniques'!$B$7:$E$12,4,0)/($V184*$X$39/12)</f>
        <v>4.2352941176470589</v>
      </c>
      <c r="AK184" s="250">
        <f>VLOOKUP(AK$84,'Infos Techniques'!$B$7:$E$12,4,0)/($V184*$X$39/12)</f>
        <v>2.3407058823529412</v>
      </c>
      <c r="AL184" s="251">
        <f>VLOOKUP(AL$84,'Infos Techniques'!$B$7:$E$12,4,0)/($V184*$X$39/12)</f>
        <v>1.8719999999999999</v>
      </c>
    </row>
    <row r="185" spans="2:38" ht="15" thickTop="1"/>
    <row r="195" spans="2:38" ht="25.9">
      <c r="B195" s="1851" t="s">
        <v>1676</v>
      </c>
      <c r="C195" s="1852"/>
      <c r="D195" s="1852"/>
      <c r="E195" s="1852"/>
      <c r="F195" s="1852"/>
      <c r="G195" s="1852"/>
      <c r="H195" s="1852"/>
      <c r="I195" s="1852"/>
      <c r="J195" s="1852"/>
      <c r="K195" s="1852"/>
      <c r="L195" s="1852"/>
      <c r="M195" s="1852"/>
      <c r="N195" s="1852"/>
      <c r="O195" s="1852"/>
      <c r="P195" s="1852"/>
      <c r="Q195" s="1852"/>
      <c r="R195" s="1852"/>
    </row>
    <row r="196" spans="2:38" ht="25.9">
      <c r="B196" s="262"/>
      <c r="C196" s="263"/>
      <c r="D196" s="263"/>
      <c r="E196" s="263"/>
      <c r="F196" s="263"/>
      <c r="G196" s="263"/>
      <c r="H196" s="263"/>
      <c r="I196" s="263"/>
      <c r="J196" s="263"/>
      <c r="K196" s="263"/>
      <c r="L196" s="263"/>
      <c r="M196" s="263"/>
      <c r="N196" s="263"/>
      <c r="O196" s="263"/>
      <c r="P196" s="263"/>
      <c r="Q196" s="263"/>
      <c r="R196" s="263"/>
    </row>
    <row r="197" spans="2:38" ht="25.9">
      <c r="B197" s="1803" t="s">
        <v>1662</v>
      </c>
      <c r="C197" s="1803"/>
      <c r="D197" s="1803"/>
      <c r="E197" s="1803"/>
      <c r="F197" s="1803"/>
      <c r="G197" s="1803"/>
      <c r="H197" s="1803"/>
      <c r="I197" s="1803"/>
      <c r="J197" s="1803"/>
      <c r="K197" s="1803"/>
      <c r="L197" s="1803"/>
      <c r="M197" s="1803"/>
      <c r="N197" s="1803"/>
      <c r="O197" s="1803"/>
      <c r="P197" s="1803"/>
      <c r="Q197" s="1803"/>
      <c r="R197" s="1803"/>
    </row>
    <row r="198" spans="2:38" ht="15" thickBot="1"/>
    <row r="199" spans="2:38" ht="15.6" thickTop="1" thickBot="1">
      <c r="U199" s="1808"/>
      <c r="V199" s="1809"/>
      <c r="W199" s="1606" t="s">
        <v>315</v>
      </c>
      <c r="X199" s="1606" t="s">
        <v>263</v>
      </c>
      <c r="Y199" s="1606"/>
      <c r="Z199" s="1606"/>
      <c r="AA199" s="1606"/>
      <c r="AB199" s="1606"/>
      <c r="AC199" s="1606"/>
      <c r="AD199" s="1606"/>
      <c r="AE199" s="1606"/>
      <c r="AF199" s="1606"/>
      <c r="AG199" s="1606"/>
      <c r="AH199" s="1606"/>
      <c r="AI199" s="1606"/>
      <c r="AJ199" s="1606"/>
      <c r="AK199" s="1606"/>
      <c r="AL199" s="1832"/>
    </row>
    <row r="200" spans="2:38" ht="21.6" thickTop="1">
      <c r="B200" s="1812"/>
      <c r="C200" s="1813"/>
      <c r="D200" s="1837" t="s">
        <v>263</v>
      </c>
      <c r="E200" s="1838"/>
      <c r="F200" s="1838"/>
      <c r="G200" s="1838"/>
      <c r="H200" s="1838"/>
      <c r="I200" s="1838"/>
      <c r="J200" s="1838"/>
      <c r="K200" s="1838"/>
      <c r="L200" s="1838"/>
      <c r="M200" s="1838"/>
      <c r="N200" s="1838"/>
      <c r="O200" s="1838"/>
      <c r="P200" s="1838"/>
      <c r="Q200" s="1838"/>
      <c r="R200" s="1839"/>
      <c r="U200" s="1810"/>
      <c r="V200" s="1811"/>
      <c r="W200" s="1571"/>
      <c r="X200" s="54"/>
      <c r="Y200" s="55"/>
      <c r="Z200" s="55"/>
      <c r="AA200" s="55"/>
      <c r="AB200" s="56"/>
      <c r="AC200" s="54"/>
      <c r="AD200" s="55"/>
      <c r="AE200" s="55"/>
      <c r="AF200" s="55"/>
      <c r="AG200" s="56"/>
      <c r="AH200" s="54"/>
      <c r="AI200" s="55"/>
      <c r="AJ200" s="55"/>
      <c r="AK200" s="55"/>
      <c r="AL200" s="57"/>
    </row>
    <row r="201" spans="2:38" ht="16.149999999999999" thickBot="1">
      <c r="B201" s="1814"/>
      <c r="C201" s="1397"/>
      <c r="D201" s="1840" t="s">
        <v>1663</v>
      </c>
      <c r="E201" s="1841"/>
      <c r="F201" s="1841"/>
      <c r="G201" s="1841"/>
      <c r="H201" s="1841"/>
      <c r="I201" s="1841" t="s">
        <v>321</v>
      </c>
      <c r="J201" s="1841"/>
      <c r="K201" s="1841"/>
      <c r="L201" s="1841"/>
      <c r="M201" s="1841"/>
      <c r="N201" s="1841" t="s">
        <v>322</v>
      </c>
      <c r="O201" s="1841"/>
      <c r="P201" s="1841"/>
      <c r="Q201" s="1841"/>
      <c r="R201" s="1842"/>
      <c r="U201" s="1646"/>
      <c r="V201" s="1113"/>
      <c r="W201" s="1603"/>
      <c r="X201" s="1833" t="s">
        <v>1663</v>
      </c>
      <c r="Y201" s="1834"/>
      <c r="Z201" s="1834"/>
      <c r="AA201" s="1834"/>
      <c r="AB201" s="1835"/>
      <c r="AC201" s="1833" t="s">
        <v>321</v>
      </c>
      <c r="AD201" s="1834"/>
      <c r="AE201" s="1834"/>
      <c r="AF201" s="1834"/>
      <c r="AG201" s="1835"/>
      <c r="AH201" s="1833" t="s">
        <v>322</v>
      </c>
      <c r="AI201" s="1834"/>
      <c r="AJ201" s="1834"/>
      <c r="AK201" s="1834"/>
      <c r="AL201" s="1836"/>
    </row>
    <row r="202" spans="2:38" ht="17.45">
      <c r="B202" s="1814"/>
      <c r="C202" s="1397"/>
      <c r="D202" s="1843" t="s">
        <v>1664</v>
      </c>
      <c r="E202" s="1844"/>
      <c r="F202" s="1844"/>
      <c r="G202" s="1844"/>
      <c r="H202" s="1845"/>
      <c r="I202" s="1846" t="s">
        <v>1664</v>
      </c>
      <c r="J202" s="1844"/>
      <c r="K202" s="1844"/>
      <c r="L202" s="1844"/>
      <c r="M202" s="1845"/>
      <c r="N202" s="1846" t="s">
        <v>1664</v>
      </c>
      <c r="O202" s="1844"/>
      <c r="P202" s="1844"/>
      <c r="Q202" s="1844"/>
      <c r="R202" s="1847"/>
      <c r="U202" s="1646"/>
      <c r="V202" s="1113"/>
      <c r="W202" s="29"/>
      <c r="X202" s="237"/>
      <c r="Y202" s="80"/>
      <c r="Z202" s="80"/>
      <c r="AA202" s="80"/>
      <c r="AB202" s="239"/>
      <c r="AC202" s="237"/>
      <c r="AD202" s="80"/>
      <c r="AE202" s="80"/>
      <c r="AF202" s="80"/>
      <c r="AG202" s="239"/>
      <c r="AH202" s="237"/>
      <c r="AI202" s="80"/>
      <c r="AJ202" s="80"/>
      <c r="AK202" s="80"/>
      <c r="AL202" s="238"/>
    </row>
    <row r="203" spans="2:38" ht="15" thickBot="1">
      <c r="B203" s="1815"/>
      <c r="C203" s="1816"/>
      <c r="D203" s="74" t="s">
        <v>1665</v>
      </c>
      <c r="E203" s="50" t="s">
        <v>334</v>
      </c>
      <c r="F203" s="50" t="s">
        <v>335</v>
      </c>
      <c r="G203" s="50" t="s">
        <v>336</v>
      </c>
      <c r="H203" s="51" t="s">
        <v>337</v>
      </c>
      <c r="I203" s="49" t="s">
        <v>1665</v>
      </c>
      <c r="J203" s="50" t="s">
        <v>1666</v>
      </c>
      <c r="K203" s="50" t="s">
        <v>1667</v>
      </c>
      <c r="L203" s="50" t="s">
        <v>1668</v>
      </c>
      <c r="M203" s="52" t="s">
        <v>1669</v>
      </c>
      <c r="N203" s="49" t="s">
        <v>1670</v>
      </c>
      <c r="O203" s="50" t="s">
        <v>1666</v>
      </c>
      <c r="P203" s="50" t="s">
        <v>1667</v>
      </c>
      <c r="Q203" s="50" t="s">
        <v>1668</v>
      </c>
      <c r="R203" s="53" t="s">
        <v>1669</v>
      </c>
      <c r="U203" s="1646"/>
      <c r="V203" s="1113"/>
      <c r="W203" s="29" t="s">
        <v>333</v>
      </c>
      <c r="X203" s="28">
        <v>0.1875</v>
      </c>
      <c r="Y203" s="28" t="s">
        <v>334</v>
      </c>
      <c r="Z203" s="28" t="s">
        <v>335</v>
      </c>
      <c r="AA203" s="28" t="s">
        <v>336</v>
      </c>
      <c r="AB203" s="28" t="s">
        <v>337</v>
      </c>
      <c r="AC203" s="28">
        <v>0.1875</v>
      </c>
      <c r="AD203" s="28" t="s">
        <v>334</v>
      </c>
      <c r="AE203" s="28" t="s">
        <v>335</v>
      </c>
      <c r="AF203" s="28" t="s">
        <v>336</v>
      </c>
      <c r="AG203" s="28" t="s">
        <v>337</v>
      </c>
      <c r="AH203" s="28">
        <v>0.1875</v>
      </c>
      <c r="AI203" s="28" t="s">
        <v>334</v>
      </c>
      <c r="AJ203" s="28" t="s">
        <v>335</v>
      </c>
      <c r="AK203" s="28" t="s">
        <v>336</v>
      </c>
      <c r="AL203" s="40" t="s">
        <v>337</v>
      </c>
    </row>
    <row r="204" spans="2:38">
      <c r="B204" s="1848" t="s">
        <v>1671</v>
      </c>
      <c r="C204" s="69">
        <v>5</v>
      </c>
      <c r="D204" s="75">
        <f t="shared" ref="D204:D223" si="61">MIN($X$41,X204,$W204)</f>
        <v>12</v>
      </c>
      <c r="E204" s="59">
        <f t="shared" ref="E204:E223" si="62">MIN($X$41,Y204,$W204)</f>
        <v>12</v>
      </c>
      <c r="F204" s="59">
        <f t="shared" ref="F204:F223" si="63">MIN($X$41,Z204,$W204)</f>
        <v>12</v>
      </c>
      <c r="G204" s="59">
        <f t="shared" ref="G204:G223" si="64">MIN($X$41,AA204,$W204)</f>
        <v>12</v>
      </c>
      <c r="H204" s="59">
        <f t="shared" ref="H204:H223" si="65">MIN($X$41,AB204,$W204)</f>
        <v>12</v>
      </c>
      <c r="I204" s="59">
        <f t="shared" ref="I204:I223" si="66">MIN($X$41,AC204,$W204)</f>
        <v>12</v>
      </c>
      <c r="J204" s="59">
        <f t="shared" ref="J204:J223" si="67">MIN($X$41,AD204,$W204)</f>
        <v>12</v>
      </c>
      <c r="K204" s="59">
        <f t="shared" ref="K204:K223" si="68">MIN($X$41,AE204,$W204)</f>
        <v>12</v>
      </c>
      <c r="L204" s="59">
        <f t="shared" ref="L204:L223" si="69">MIN($X$41,AF204,$W204)</f>
        <v>12</v>
      </c>
      <c r="M204" s="59">
        <f t="shared" ref="M204:M223" si="70">MIN($X$41,AG204,$W204)</f>
        <v>12</v>
      </c>
      <c r="N204" s="59">
        <f t="shared" ref="N204:N223" si="71">MIN($X$41,AH204,$W204)</f>
        <v>12</v>
      </c>
      <c r="O204" s="59">
        <f t="shared" ref="O204:O223" si="72">MIN($X$41,AI204,$W204)</f>
        <v>12</v>
      </c>
      <c r="P204" s="59">
        <f t="shared" ref="P204:P223" si="73">MIN($X$41,AJ204,$W204)</f>
        <v>12</v>
      </c>
      <c r="Q204" s="59">
        <f t="shared" ref="Q204:Q223" si="74">MIN($X$41,AK204,$W204)</f>
        <v>12</v>
      </c>
      <c r="R204" s="62">
        <f t="shared" ref="R204:R223" si="75">MIN($X$41,AL204,$W204)</f>
        <v>12</v>
      </c>
      <c r="U204" s="1601" t="s">
        <v>314</v>
      </c>
      <c r="V204" s="28">
        <v>5</v>
      </c>
      <c r="W204" s="43" t="s">
        <v>1674</v>
      </c>
      <c r="X204" s="43">
        <f>VLOOKUP(X$84,'Infos Techniques'!$B$7:$E$12,3,0)/($V204*$X$39/12)</f>
        <v>56.470588235294123</v>
      </c>
      <c r="Y204" s="43">
        <f>VLOOKUP(Y$84,'Infos Techniques'!$B$7:$E$12,3,0)/($V204*$X$39/12)</f>
        <v>38.964705882352945</v>
      </c>
      <c r="Z204" s="43">
        <f>VLOOKUP(Z$84,'Infos Techniques'!$B$7:$E$12,3,0)/($V204*$X$39/12)</f>
        <v>32.752941176470593</v>
      </c>
      <c r="AA204" s="43">
        <f>VLOOKUP(AA$84,'Infos Techniques'!$B$7:$E$12,3,0)/($V204*$X$39/12)</f>
        <v>23.378823529411765</v>
      </c>
      <c r="AB204" s="43">
        <f>VLOOKUP(AB$84,'Infos Techniques'!$B$7:$E$12,3,0)/($V204*$X$39/12)</f>
        <v>18.691764705882353</v>
      </c>
      <c r="AC204" s="43">
        <f>VLOOKUP(AC$84,'Infos Techniques'!$B$7:$E$12,2,0)/($V204*$X$39/12)</f>
        <v>67.764705882352942</v>
      </c>
      <c r="AD204" s="43">
        <f>VLOOKUP(AD$84,'Infos Techniques'!$B$7:$E$12,2,0)/($V204*$X$39/12)</f>
        <v>67.764705882352942</v>
      </c>
      <c r="AE204" s="43">
        <f>VLOOKUP(AE$84,'Infos Techniques'!$B$7:$E$12,2,0)/($V204*$X$39/12)</f>
        <v>65.505882352941185</v>
      </c>
      <c r="AF204" s="43">
        <f>VLOOKUP(AF$84,'Infos Techniques'!$B$7:$E$12,2,0)/($V204*$X$39/12)</f>
        <v>46.814117647058829</v>
      </c>
      <c r="AG204" s="43">
        <f>VLOOKUP(AG$84,'Infos Techniques'!$B$7:$E$12,2,0)/($V204*$X$39/12)</f>
        <v>37.440000000000005</v>
      </c>
      <c r="AH204" s="43">
        <f>VLOOKUP(AH$84,'Infos Techniques'!$B$7:$E$12,4,0)/($V204*$X$39/12)</f>
        <v>84.705882352941188</v>
      </c>
      <c r="AI204" s="43">
        <f>VLOOKUP(AI$84,'Infos Techniques'!$B$7:$E$12,4,0)/($V204*$X$39/12)</f>
        <v>84.705882352941188</v>
      </c>
      <c r="AJ204" s="43">
        <f>VLOOKUP(AJ$84,'Infos Techniques'!$B$7:$E$12,4,0)/($V204*$X$39/12)</f>
        <v>84.705882352941188</v>
      </c>
      <c r="AK204" s="247">
        <f>VLOOKUP(AK$84,'Infos Techniques'!$B$7:$E$12,4,0)/($V204*$X$39/12)</f>
        <v>46.814117647058829</v>
      </c>
      <c r="AL204" s="248">
        <f>VLOOKUP(AL$84,'Infos Techniques'!$B$7:$E$12,4,0)/($V204*$X$39/12)</f>
        <v>37.440000000000005</v>
      </c>
    </row>
    <row r="205" spans="2:38">
      <c r="B205" s="1849"/>
      <c r="C205" s="70">
        <v>10</v>
      </c>
      <c r="D205" s="76">
        <f t="shared" si="61"/>
        <v>12</v>
      </c>
      <c r="E205" s="43">
        <f t="shared" si="62"/>
        <v>12</v>
      </c>
      <c r="F205" s="43">
        <f t="shared" si="63"/>
        <v>12</v>
      </c>
      <c r="G205" s="43">
        <f t="shared" si="64"/>
        <v>11.689411764705882</v>
      </c>
      <c r="H205" s="43">
        <f t="shared" si="65"/>
        <v>9.3458823529411763</v>
      </c>
      <c r="I205" s="43">
        <f t="shared" si="66"/>
        <v>12</v>
      </c>
      <c r="J205" s="43">
        <f t="shared" si="67"/>
        <v>12</v>
      </c>
      <c r="K205" s="43">
        <f t="shared" si="68"/>
        <v>12</v>
      </c>
      <c r="L205" s="43">
        <f t="shared" si="69"/>
        <v>12</v>
      </c>
      <c r="M205" s="43">
        <f t="shared" si="70"/>
        <v>12</v>
      </c>
      <c r="N205" s="43">
        <f t="shared" si="71"/>
        <v>12</v>
      </c>
      <c r="O205" s="43">
        <f t="shared" si="72"/>
        <v>12</v>
      </c>
      <c r="P205" s="43">
        <f t="shared" si="73"/>
        <v>12</v>
      </c>
      <c r="Q205" s="43">
        <f t="shared" si="74"/>
        <v>12</v>
      </c>
      <c r="R205" s="63">
        <f t="shared" si="75"/>
        <v>12</v>
      </c>
      <c r="U205" s="1601"/>
      <c r="V205" s="28">
        <v>10</v>
      </c>
      <c r="W205" s="43" t="s">
        <v>1674</v>
      </c>
      <c r="X205" s="43">
        <f>VLOOKUP(X$84,'Infos Techniques'!$B$7:$E$12,3,0)/($V205*$X$39/12)</f>
        <v>28.235294117647062</v>
      </c>
      <c r="Y205" s="43">
        <f>VLOOKUP(Y$84,'Infos Techniques'!$B$7:$E$12,3,0)/($V205*$X$39/12)</f>
        <v>19.482352941176472</v>
      </c>
      <c r="Z205" s="43">
        <f>VLOOKUP(Z$84,'Infos Techniques'!$B$7:$E$12,3,0)/($V205*$X$39/12)</f>
        <v>16.376470588235296</v>
      </c>
      <c r="AA205" s="43">
        <f>VLOOKUP(AA$84,'Infos Techniques'!$B$7:$E$12,3,0)/($V205*$X$39/12)</f>
        <v>11.689411764705882</v>
      </c>
      <c r="AB205" s="43">
        <f>VLOOKUP(AB$84,'Infos Techniques'!$B$7:$E$12,3,0)/($V205*$X$39/12)</f>
        <v>9.3458823529411763</v>
      </c>
      <c r="AC205" s="43">
        <f>VLOOKUP(AC$84,'Infos Techniques'!$B$7:$E$12,2,0)/($V205*$X$39/12)</f>
        <v>33.882352941176471</v>
      </c>
      <c r="AD205" s="43">
        <f>VLOOKUP(AD$84,'Infos Techniques'!$B$7:$E$12,2,0)/($V205*$X$39/12)</f>
        <v>33.882352941176471</v>
      </c>
      <c r="AE205" s="43">
        <f>VLOOKUP(AE$84,'Infos Techniques'!$B$7:$E$12,2,0)/($V205*$X$39/12)</f>
        <v>32.752941176470593</v>
      </c>
      <c r="AF205" s="43">
        <f>VLOOKUP(AF$84,'Infos Techniques'!$B$7:$E$12,2,0)/($V205*$X$39/12)</f>
        <v>23.407058823529415</v>
      </c>
      <c r="AG205" s="43">
        <f>VLOOKUP(AG$84,'Infos Techniques'!$B$7:$E$12,2,0)/($V205*$X$39/12)</f>
        <v>18.720000000000002</v>
      </c>
      <c r="AH205" s="43">
        <f>VLOOKUP(AH$84,'Infos Techniques'!$B$7:$E$12,4,0)/($V205*$X$39/12)</f>
        <v>42.352941176470594</v>
      </c>
      <c r="AI205" s="43">
        <f>VLOOKUP(AI$84,'Infos Techniques'!$B$7:$E$12,4,0)/($V205*$X$39/12)</f>
        <v>42.352941176470594</v>
      </c>
      <c r="AJ205" s="43">
        <f>VLOOKUP(AJ$84,'Infos Techniques'!$B$7:$E$12,4,0)/($V205*$X$39/12)</f>
        <v>42.352941176470594</v>
      </c>
      <c r="AK205" s="247">
        <f>VLOOKUP(AK$84,'Infos Techniques'!$B$7:$E$12,4,0)/($V205*$X$39/12)</f>
        <v>23.407058823529415</v>
      </c>
      <c r="AL205" s="248">
        <f>VLOOKUP(AL$84,'Infos Techniques'!$B$7:$E$12,4,0)/($V205*$X$39/12)</f>
        <v>18.720000000000002</v>
      </c>
    </row>
    <row r="206" spans="2:38">
      <c r="B206" s="1849"/>
      <c r="C206" s="70">
        <v>15</v>
      </c>
      <c r="D206" s="76" t="e">
        <f t="shared" si="61"/>
        <v>#N/A</v>
      </c>
      <c r="E206" s="43" t="e">
        <f t="shared" si="62"/>
        <v>#N/A</v>
      </c>
      <c r="F206" s="43" t="e">
        <f t="shared" si="63"/>
        <v>#N/A</v>
      </c>
      <c r="G206" s="43" t="e">
        <f t="shared" si="64"/>
        <v>#N/A</v>
      </c>
      <c r="H206" s="43" t="e">
        <f t="shared" si="65"/>
        <v>#N/A</v>
      </c>
      <c r="I206" s="43" t="e">
        <f t="shared" si="66"/>
        <v>#N/A</v>
      </c>
      <c r="J206" s="43" t="e">
        <f t="shared" si="67"/>
        <v>#N/A</v>
      </c>
      <c r="K206" s="43" t="e">
        <f t="shared" si="68"/>
        <v>#N/A</v>
      </c>
      <c r="L206" s="43" t="e">
        <f t="shared" si="69"/>
        <v>#N/A</v>
      </c>
      <c r="M206" s="43" t="e">
        <f t="shared" si="70"/>
        <v>#N/A</v>
      </c>
      <c r="N206" s="43" t="e">
        <f t="shared" si="71"/>
        <v>#N/A</v>
      </c>
      <c r="O206" s="43" t="e">
        <f t="shared" si="72"/>
        <v>#N/A</v>
      </c>
      <c r="P206" s="43" t="e">
        <f t="shared" si="73"/>
        <v>#N/A</v>
      </c>
      <c r="Q206" s="43" t="e">
        <f t="shared" si="74"/>
        <v>#N/A</v>
      </c>
      <c r="R206" s="63" t="e">
        <f t="shared" si="75"/>
        <v>#N/A</v>
      </c>
      <c r="U206" s="1601"/>
      <c r="V206" s="28">
        <v>15</v>
      </c>
      <c r="W206" s="43" t="e" cm="1">
        <f t="array" ref="W206">VLOOKUP(MAX(IF('Courbe Déflexion'!$GJ$25:$GJ$305&lt;=V206,'Courbe Déflexion'!$GJ$25:$GJ$305)),'Courbe Déflexion'!$GJ$25:$IA$305,5,0)</f>
        <v>#N/A</v>
      </c>
      <c r="X206" s="43">
        <f>VLOOKUP(X$84,'Infos Techniques'!$B$7:$E$12,3,0)/($V206*$X$39/12)</f>
        <v>18.823529411764707</v>
      </c>
      <c r="Y206" s="43">
        <f>VLOOKUP(Y$84,'Infos Techniques'!$B$7:$E$12,3,0)/($V206*$X$39/12)</f>
        <v>12.988235294117647</v>
      </c>
      <c r="Z206" s="43">
        <f>VLOOKUP(Z$84,'Infos Techniques'!$B$7:$E$12,3,0)/($V206*$X$39/12)</f>
        <v>10.91764705882353</v>
      </c>
      <c r="AA206" s="43">
        <f>VLOOKUP(AA$84,'Infos Techniques'!$B$7:$E$12,3,0)/($V206*$X$39/12)</f>
        <v>7.7929411764705883</v>
      </c>
      <c r="AB206" s="43">
        <f>VLOOKUP(AB$84,'Infos Techniques'!$B$7:$E$12,3,0)/($V206*$X$39/12)</f>
        <v>6.2305882352941175</v>
      </c>
      <c r="AC206" s="43">
        <f>VLOOKUP(AC$84,'Infos Techniques'!$B$7:$E$12,2,0)/($V206*$X$39/12)</f>
        <v>22.588235294117649</v>
      </c>
      <c r="AD206" s="43">
        <f>VLOOKUP(AD$84,'Infos Techniques'!$B$7:$E$12,2,0)/($V206*$X$39/12)</f>
        <v>22.588235294117649</v>
      </c>
      <c r="AE206" s="43">
        <f>VLOOKUP(AE$84,'Infos Techniques'!$B$7:$E$12,2,0)/($V206*$X$39/12)</f>
        <v>21.835294117647059</v>
      </c>
      <c r="AF206" s="43">
        <f>VLOOKUP(AF$84,'Infos Techniques'!$B$7:$E$12,2,0)/($V206*$X$39/12)</f>
        <v>15.604705882352942</v>
      </c>
      <c r="AG206" s="43">
        <f>VLOOKUP(AG$84,'Infos Techniques'!$B$7:$E$12,2,0)/($V206*$X$39/12)</f>
        <v>12.48</v>
      </c>
      <c r="AH206" s="43">
        <f>VLOOKUP(AH$84,'Infos Techniques'!$B$7:$E$12,4,0)/($V206*$X$39/12)</f>
        <v>28.235294117647058</v>
      </c>
      <c r="AI206" s="43">
        <f>VLOOKUP(AI$84,'Infos Techniques'!$B$7:$E$12,4,0)/($V206*$X$39/12)</f>
        <v>28.235294117647058</v>
      </c>
      <c r="AJ206" s="43">
        <f>VLOOKUP(AJ$84,'Infos Techniques'!$B$7:$E$12,4,0)/($V206*$X$39/12)</f>
        <v>28.235294117647058</v>
      </c>
      <c r="AK206" s="247">
        <f>VLOOKUP(AK$84,'Infos Techniques'!$B$7:$E$12,4,0)/($V206*$X$39/12)</f>
        <v>15.604705882352942</v>
      </c>
      <c r="AL206" s="248">
        <f>VLOOKUP(AL$84,'Infos Techniques'!$B$7:$E$12,4,0)/($V206*$X$39/12)</f>
        <v>12.48</v>
      </c>
    </row>
    <row r="207" spans="2:38">
      <c r="B207" s="1849"/>
      <c r="C207" s="70">
        <v>20</v>
      </c>
      <c r="D207" s="76" t="e">
        <f t="shared" si="61"/>
        <v>#N/A</v>
      </c>
      <c r="E207" s="43" t="e">
        <f t="shared" si="62"/>
        <v>#N/A</v>
      </c>
      <c r="F207" s="43" t="e">
        <f t="shared" si="63"/>
        <v>#N/A</v>
      </c>
      <c r="G207" s="43" t="e">
        <f t="shared" si="64"/>
        <v>#N/A</v>
      </c>
      <c r="H207" s="43" t="e">
        <f t="shared" si="65"/>
        <v>#N/A</v>
      </c>
      <c r="I207" s="43" t="e">
        <f t="shared" si="66"/>
        <v>#N/A</v>
      </c>
      <c r="J207" s="43" t="e">
        <f t="shared" si="67"/>
        <v>#N/A</v>
      </c>
      <c r="K207" s="43" t="e">
        <f t="shared" si="68"/>
        <v>#N/A</v>
      </c>
      <c r="L207" s="43" t="e">
        <f t="shared" si="69"/>
        <v>#N/A</v>
      </c>
      <c r="M207" s="43" t="e">
        <f t="shared" si="70"/>
        <v>#N/A</v>
      </c>
      <c r="N207" s="43" t="e">
        <f t="shared" si="71"/>
        <v>#N/A</v>
      </c>
      <c r="O207" s="43" t="e">
        <f t="shared" si="72"/>
        <v>#N/A</v>
      </c>
      <c r="P207" s="43" t="e">
        <f t="shared" si="73"/>
        <v>#N/A</v>
      </c>
      <c r="Q207" s="43" t="e">
        <f t="shared" si="74"/>
        <v>#N/A</v>
      </c>
      <c r="R207" s="63" t="e">
        <f t="shared" si="75"/>
        <v>#N/A</v>
      </c>
      <c r="U207" s="1601"/>
      <c r="V207" s="28">
        <v>20</v>
      </c>
      <c r="W207" s="43" t="e" cm="1">
        <f t="array" ref="W207">VLOOKUP(MAX(IF('Courbe Déflexion'!$GJ$25:$GJ$305&lt;=V207,'Courbe Déflexion'!$GJ$25:$GJ$305)),'Courbe Déflexion'!$GJ$25:$IA$305,5,0)</f>
        <v>#N/A</v>
      </c>
      <c r="X207" s="43">
        <f>VLOOKUP(X$84,'Infos Techniques'!$B$7:$E$12,3,0)/($V207*$X$39/12)</f>
        <v>14.117647058823531</v>
      </c>
      <c r="Y207" s="43">
        <f>VLOOKUP(Y$84,'Infos Techniques'!$B$7:$E$12,3,0)/($V207*$X$39/12)</f>
        <v>9.7411764705882362</v>
      </c>
      <c r="Z207" s="43">
        <f>VLOOKUP(Z$84,'Infos Techniques'!$B$7:$E$12,3,0)/($V207*$X$39/12)</f>
        <v>8.1882352941176482</v>
      </c>
      <c r="AA207" s="43">
        <f>VLOOKUP(AA$84,'Infos Techniques'!$B$7:$E$12,3,0)/($V207*$X$39/12)</f>
        <v>5.8447058823529412</v>
      </c>
      <c r="AB207" s="43">
        <f>VLOOKUP(AB$84,'Infos Techniques'!$B$7:$E$12,3,0)/($V207*$X$39/12)</f>
        <v>4.6729411764705882</v>
      </c>
      <c r="AC207" s="43">
        <f>VLOOKUP(AC$84,'Infos Techniques'!$B$7:$E$12,2,0)/($V207*$X$39/12)</f>
        <v>16.941176470588236</v>
      </c>
      <c r="AD207" s="43">
        <f>VLOOKUP(AD$84,'Infos Techniques'!$B$7:$E$12,2,0)/($V207*$X$39/12)</f>
        <v>16.941176470588236</v>
      </c>
      <c r="AE207" s="43">
        <f>VLOOKUP(AE$84,'Infos Techniques'!$B$7:$E$12,2,0)/($V207*$X$39/12)</f>
        <v>16.376470588235296</v>
      </c>
      <c r="AF207" s="43">
        <f>VLOOKUP(AF$84,'Infos Techniques'!$B$7:$E$12,2,0)/($V207*$X$39/12)</f>
        <v>11.703529411764707</v>
      </c>
      <c r="AG207" s="43">
        <f>VLOOKUP(AG$84,'Infos Techniques'!$B$7:$E$12,2,0)/($V207*$X$39/12)</f>
        <v>9.3600000000000012</v>
      </c>
      <c r="AH207" s="43">
        <f>VLOOKUP(AH$84,'Infos Techniques'!$B$7:$E$12,4,0)/($V207*$X$39/12)</f>
        <v>21.176470588235297</v>
      </c>
      <c r="AI207" s="43">
        <f>VLOOKUP(AI$84,'Infos Techniques'!$B$7:$E$12,4,0)/($V207*$X$39/12)</f>
        <v>21.176470588235297</v>
      </c>
      <c r="AJ207" s="43">
        <f>VLOOKUP(AJ$84,'Infos Techniques'!$B$7:$E$12,4,0)/($V207*$X$39/12)</f>
        <v>21.176470588235297</v>
      </c>
      <c r="AK207" s="247">
        <f>VLOOKUP(AK$84,'Infos Techniques'!$B$7:$E$12,4,0)/($V207*$X$39/12)</f>
        <v>11.703529411764707</v>
      </c>
      <c r="AL207" s="248">
        <f>VLOOKUP(AL$84,'Infos Techniques'!$B$7:$E$12,4,0)/($V207*$X$39/12)</f>
        <v>9.3600000000000012</v>
      </c>
    </row>
    <row r="208" spans="2:38" ht="15" thickBot="1">
      <c r="B208" s="1849"/>
      <c r="C208" s="71">
        <v>25</v>
      </c>
      <c r="D208" s="76" t="e">
        <f t="shared" si="61"/>
        <v>#N/A</v>
      </c>
      <c r="E208" s="43" t="e">
        <f t="shared" si="62"/>
        <v>#N/A</v>
      </c>
      <c r="F208" s="43" t="e">
        <f t="shared" si="63"/>
        <v>#N/A</v>
      </c>
      <c r="G208" s="43" t="e">
        <f t="shared" si="64"/>
        <v>#N/A</v>
      </c>
      <c r="H208" s="43" t="e">
        <f t="shared" si="65"/>
        <v>#N/A</v>
      </c>
      <c r="I208" s="43" t="e">
        <f t="shared" si="66"/>
        <v>#N/A</v>
      </c>
      <c r="J208" s="43" t="e">
        <f t="shared" si="67"/>
        <v>#N/A</v>
      </c>
      <c r="K208" s="43" t="e">
        <f t="shared" si="68"/>
        <v>#N/A</v>
      </c>
      <c r="L208" s="43" t="e">
        <f t="shared" si="69"/>
        <v>#N/A</v>
      </c>
      <c r="M208" s="43" t="e">
        <f t="shared" si="70"/>
        <v>#N/A</v>
      </c>
      <c r="N208" s="43" t="e">
        <f t="shared" si="71"/>
        <v>#N/A</v>
      </c>
      <c r="O208" s="43" t="e">
        <f t="shared" si="72"/>
        <v>#N/A</v>
      </c>
      <c r="P208" s="43" t="e">
        <f t="shared" si="73"/>
        <v>#N/A</v>
      </c>
      <c r="Q208" s="43" t="e">
        <f t="shared" si="74"/>
        <v>#N/A</v>
      </c>
      <c r="R208" s="63" t="e">
        <f t="shared" si="75"/>
        <v>#N/A</v>
      </c>
      <c r="U208" s="1601"/>
      <c r="V208" s="28">
        <v>25</v>
      </c>
      <c r="W208" s="43" t="e" cm="1">
        <f t="array" ref="W208">VLOOKUP(MAX(IF('Courbe Déflexion'!$GJ$25:$GJ$305&lt;=V208,'Courbe Déflexion'!$GJ$25:$GJ$305)),'Courbe Déflexion'!$GJ$25:$IA$305,5,0)</f>
        <v>#N/A</v>
      </c>
      <c r="X208" s="43">
        <f>VLOOKUP(X$84,'Infos Techniques'!$B$7:$E$12,3,0)/($V208*$X$39/12)</f>
        <v>11.294117647058822</v>
      </c>
      <c r="Y208" s="43">
        <f>VLOOKUP(Y$84,'Infos Techniques'!$B$7:$E$12,3,0)/($V208*$X$39/12)</f>
        <v>7.7929411764705883</v>
      </c>
      <c r="Z208" s="43">
        <f>VLOOKUP(Z$84,'Infos Techniques'!$B$7:$E$12,3,0)/($V208*$X$39/12)</f>
        <v>6.5505882352941169</v>
      </c>
      <c r="AA208" s="43">
        <f>VLOOKUP(AA$84,'Infos Techniques'!$B$7:$E$12,3,0)/($V208*$X$39/12)</f>
        <v>4.6757647058823526</v>
      </c>
      <c r="AB208" s="43">
        <f>VLOOKUP(AB$84,'Infos Techniques'!$B$7:$E$12,3,0)/($V208*$X$39/12)</f>
        <v>3.7383529411764704</v>
      </c>
      <c r="AC208" s="43">
        <f>VLOOKUP(AC$84,'Infos Techniques'!$B$7:$E$12,2,0)/($V208*$X$39/12)</f>
        <v>13.552941176470588</v>
      </c>
      <c r="AD208" s="43">
        <f>VLOOKUP(AD$84,'Infos Techniques'!$B$7:$E$12,2,0)/($V208*$X$39/12)</f>
        <v>13.552941176470588</v>
      </c>
      <c r="AE208" s="43">
        <f>VLOOKUP(AE$84,'Infos Techniques'!$B$7:$E$12,2,0)/($V208*$X$39/12)</f>
        <v>13.101176470588234</v>
      </c>
      <c r="AF208" s="43">
        <f>VLOOKUP(AF$84,'Infos Techniques'!$B$7:$E$12,2,0)/($V208*$X$39/12)</f>
        <v>9.3628235294117648</v>
      </c>
      <c r="AG208" s="43">
        <f>VLOOKUP(AG$84,'Infos Techniques'!$B$7:$E$12,2,0)/($V208*$X$39/12)</f>
        <v>7.4879999999999995</v>
      </c>
      <c r="AH208" s="43">
        <f>VLOOKUP(AH$84,'Infos Techniques'!$B$7:$E$12,4,0)/($V208*$X$39/12)</f>
        <v>16.941176470588236</v>
      </c>
      <c r="AI208" s="43">
        <f>VLOOKUP(AI$84,'Infos Techniques'!$B$7:$E$12,4,0)/($V208*$X$39/12)</f>
        <v>16.941176470588236</v>
      </c>
      <c r="AJ208" s="43">
        <f>VLOOKUP(AJ$84,'Infos Techniques'!$B$7:$E$12,4,0)/($V208*$X$39/12)</f>
        <v>16.941176470588236</v>
      </c>
      <c r="AK208" s="247">
        <f>VLOOKUP(AK$84,'Infos Techniques'!$B$7:$E$12,4,0)/($V208*$X$39/12)</f>
        <v>9.3628235294117648</v>
      </c>
      <c r="AL208" s="248">
        <f>VLOOKUP(AL$84,'Infos Techniques'!$B$7:$E$12,4,0)/($V208*$X$39/12)</f>
        <v>7.4879999999999995</v>
      </c>
    </row>
    <row r="209" spans="2:38">
      <c r="B209" s="1849"/>
      <c r="C209" s="69">
        <v>30</v>
      </c>
      <c r="D209" s="76" t="e">
        <f t="shared" si="61"/>
        <v>#N/A</v>
      </c>
      <c r="E209" s="43" t="e">
        <f t="shared" si="62"/>
        <v>#N/A</v>
      </c>
      <c r="F209" s="43" t="e">
        <f t="shared" si="63"/>
        <v>#N/A</v>
      </c>
      <c r="G209" s="43" t="e">
        <f t="shared" si="64"/>
        <v>#N/A</v>
      </c>
      <c r="H209" s="43" t="e">
        <f t="shared" si="65"/>
        <v>#N/A</v>
      </c>
      <c r="I209" s="43" t="e">
        <f t="shared" si="66"/>
        <v>#N/A</v>
      </c>
      <c r="J209" s="43" t="e">
        <f t="shared" si="67"/>
        <v>#N/A</v>
      </c>
      <c r="K209" s="43" t="e">
        <f t="shared" si="68"/>
        <v>#N/A</v>
      </c>
      <c r="L209" s="43" t="e">
        <f t="shared" si="69"/>
        <v>#N/A</v>
      </c>
      <c r="M209" s="43" t="e">
        <f t="shared" si="70"/>
        <v>#N/A</v>
      </c>
      <c r="N209" s="43" t="e">
        <f t="shared" si="71"/>
        <v>#N/A</v>
      </c>
      <c r="O209" s="43" t="e">
        <f t="shared" si="72"/>
        <v>#N/A</v>
      </c>
      <c r="P209" s="43" t="e">
        <f t="shared" si="73"/>
        <v>#N/A</v>
      </c>
      <c r="Q209" s="43" t="e">
        <f t="shared" si="74"/>
        <v>#N/A</v>
      </c>
      <c r="R209" s="63" t="e">
        <f t="shared" si="75"/>
        <v>#N/A</v>
      </c>
      <c r="U209" s="1601"/>
      <c r="V209" s="28">
        <v>30</v>
      </c>
      <c r="W209" s="43" t="e" cm="1">
        <f t="array" ref="W209">VLOOKUP(MAX(IF('Courbe Déflexion'!$GJ$25:$GJ$305&lt;=V209,'Courbe Déflexion'!$GJ$25:$GJ$305)),'Courbe Déflexion'!$GJ$25:$IA$305,5,0)</f>
        <v>#N/A</v>
      </c>
      <c r="X209" s="43">
        <f>VLOOKUP(X$84,'Infos Techniques'!$B$7:$E$12,3,0)/($V209*$X$39/12)</f>
        <v>9.4117647058823533</v>
      </c>
      <c r="Y209" s="43">
        <f>VLOOKUP(Y$84,'Infos Techniques'!$B$7:$E$12,3,0)/($V209*$X$39/12)</f>
        <v>6.4941176470588236</v>
      </c>
      <c r="Z209" s="43">
        <f>VLOOKUP(Z$84,'Infos Techniques'!$B$7:$E$12,3,0)/($V209*$X$39/12)</f>
        <v>5.4588235294117649</v>
      </c>
      <c r="AA209" s="43">
        <f>VLOOKUP(AA$84,'Infos Techniques'!$B$7:$E$12,3,0)/($V209*$X$39/12)</f>
        <v>3.8964705882352941</v>
      </c>
      <c r="AB209" s="43">
        <f>VLOOKUP(AB$84,'Infos Techniques'!$B$7:$E$12,3,0)/($V209*$X$39/12)</f>
        <v>3.1152941176470588</v>
      </c>
      <c r="AC209" s="43">
        <f>VLOOKUP(AC$84,'Infos Techniques'!$B$7:$E$12,2,0)/($V209*$X$39/12)</f>
        <v>11.294117647058824</v>
      </c>
      <c r="AD209" s="43">
        <f>VLOOKUP(AD$84,'Infos Techniques'!$B$7:$E$12,2,0)/($V209*$X$39/12)</f>
        <v>11.294117647058824</v>
      </c>
      <c r="AE209" s="43">
        <f>VLOOKUP(AE$84,'Infos Techniques'!$B$7:$E$12,2,0)/($V209*$X$39/12)</f>
        <v>10.91764705882353</v>
      </c>
      <c r="AF209" s="43">
        <f>VLOOKUP(AF$84,'Infos Techniques'!$B$7:$E$12,2,0)/($V209*$X$39/12)</f>
        <v>7.8023529411764709</v>
      </c>
      <c r="AG209" s="43">
        <f>VLOOKUP(AG$84,'Infos Techniques'!$B$7:$E$12,2,0)/($V209*$X$39/12)</f>
        <v>6.24</v>
      </c>
      <c r="AH209" s="43">
        <f>VLOOKUP(AH$84,'Infos Techniques'!$B$7:$E$12,4,0)/($V209*$X$39/12)</f>
        <v>14.117647058823529</v>
      </c>
      <c r="AI209" s="43">
        <f>VLOOKUP(AI$84,'Infos Techniques'!$B$7:$E$12,4,0)/($V209*$X$39/12)</f>
        <v>14.117647058823529</v>
      </c>
      <c r="AJ209" s="43">
        <f>VLOOKUP(AJ$84,'Infos Techniques'!$B$7:$E$12,4,0)/($V209*$X$39/12)</f>
        <v>14.117647058823529</v>
      </c>
      <c r="AK209" s="247">
        <f>VLOOKUP(AK$84,'Infos Techniques'!$B$7:$E$12,4,0)/($V209*$X$39/12)</f>
        <v>7.8023529411764709</v>
      </c>
      <c r="AL209" s="248">
        <f>VLOOKUP(AL$84,'Infos Techniques'!$B$7:$E$12,4,0)/($V209*$X$39/12)</f>
        <v>6.24</v>
      </c>
    </row>
    <row r="210" spans="2:38">
      <c r="B210" s="1849"/>
      <c r="C210" s="70">
        <v>35</v>
      </c>
      <c r="D210" s="76" t="e">
        <f t="shared" si="61"/>
        <v>#N/A</v>
      </c>
      <c r="E210" s="43" t="e">
        <f t="shared" si="62"/>
        <v>#N/A</v>
      </c>
      <c r="F210" s="43" t="e">
        <f t="shared" si="63"/>
        <v>#N/A</v>
      </c>
      <c r="G210" s="43" t="e">
        <f t="shared" si="64"/>
        <v>#N/A</v>
      </c>
      <c r="H210" s="43" t="e">
        <f t="shared" si="65"/>
        <v>#N/A</v>
      </c>
      <c r="I210" s="43" t="e">
        <f t="shared" si="66"/>
        <v>#N/A</v>
      </c>
      <c r="J210" s="43" t="e">
        <f t="shared" si="67"/>
        <v>#N/A</v>
      </c>
      <c r="K210" s="43" t="e">
        <f t="shared" si="68"/>
        <v>#N/A</v>
      </c>
      <c r="L210" s="43" t="e">
        <f t="shared" si="69"/>
        <v>#N/A</v>
      </c>
      <c r="M210" s="43" t="e">
        <f t="shared" si="70"/>
        <v>#N/A</v>
      </c>
      <c r="N210" s="43" t="e">
        <f t="shared" si="71"/>
        <v>#N/A</v>
      </c>
      <c r="O210" s="43" t="e">
        <f t="shared" si="72"/>
        <v>#N/A</v>
      </c>
      <c r="P210" s="43" t="e">
        <f t="shared" si="73"/>
        <v>#N/A</v>
      </c>
      <c r="Q210" s="43" t="e">
        <f t="shared" si="74"/>
        <v>#N/A</v>
      </c>
      <c r="R210" s="63" t="e">
        <f t="shared" si="75"/>
        <v>#N/A</v>
      </c>
      <c r="U210" s="1601"/>
      <c r="V210" s="28">
        <v>35</v>
      </c>
      <c r="W210" s="43" t="e" cm="1">
        <f t="array" ref="W210">VLOOKUP(MAX(IF('Courbe Déflexion'!$GJ$25:$GJ$305&lt;=V210,'Courbe Déflexion'!$GJ$25:$GJ$305)),'Courbe Déflexion'!$GJ$25:$IA$305,5,0)</f>
        <v>#N/A</v>
      </c>
      <c r="X210" s="43">
        <f>VLOOKUP(X$84,'Infos Techniques'!$B$7:$E$12,3,0)/($V210*$X$39/12)</f>
        <v>8.0672268907563023</v>
      </c>
      <c r="Y210" s="43">
        <f>VLOOKUP(Y$84,'Infos Techniques'!$B$7:$E$12,3,0)/($V210*$X$39/12)</f>
        <v>5.5663865546218494</v>
      </c>
      <c r="Z210" s="43">
        <f>VLOOKUP(Z$84,'Infos Techniques'!$B$7:$E$12,3,0)/($V210*$X$39/12)</f>
        <v>4.6789915966386557</v>
      </c>
      <c r="AA210" s="43">
        <f>VLOOKUP(AA$84,'Infos Techniques'!$B$7:$E$12,3,0)/($V210*$X$39/12)</f>
        <v>3.3398319327731092</v>
      </c>
      <c r="AB210" s="43">
        <f>VLOOKUP(AB$84,'Infos Techniques'!$B$7:$E$12,3,0)/($V210*$X$39/12)</f>
        <v>2.6702521008403362</v>
      </c>
      <c r="AC210" s="43">
        <f>VLOOKUP(AC$84,'Infos Techniques'!$B$7:$E$12,2,0)/($V210*$X$39/12)</f>
        <v>9.6806722689075642</v>
      </c>
      <c r="AD210" s="43">
        <f>VLOOKUP(AD$84,'Infos Techniques'!$B$7:$E$12,2,0)/($V210*$X$39/12)</f>
        <v>9.6806722689075642</v>
      </c>
      <c r="AE210" s="43">
        <f>VLOOKUP(AE$84,'Infos Techniques'!$B$7:$E$12,2,0)/($V210*$X$39/12)</f>
        <v>9.3579831932773114</v>
      </c>
      <c r="AF210" s="43">
        <f>VLOOKUP(AF$84,'Infos Techniques'!$B$7:$E$12,2,0)/($V210*$X$39/12)</f>
        <v>6.6877310924369748</v>
      </c>
      <c r="AG210" s="43">
        <f>VLOOKUP(AG$84,'Infos Techniques'!$B$7:$E$12,2,0)/($V210*$X$39/12)</f>
        <v>5.3485714285714288</v>
      </c>
      <c r="AH210" s="43">
        <f>VLOOKUP(AH$84,'Infos Techniques'!$B$7:$E$12,4,0)/($V210*$X$39/12)</f>
        <v>12.100840336134453</v>
      </c>
      <c r="AI210" s="43">
        <f>VLOOKUP(AI$84,'Infos Techniques'!$B$7:$E$12,4,0)/($V210*$X$39/12)</f>
        <v>12.100840336134453</v>
      </c>
      <c r="AJ210" s="43">
        <f>VLOOKUP(AJ$84,'Infos Techniques'!$B$7:$E$12,4,0)/($V210*$X$39/12)</f>
        <v>12.100840336134453</v>
      </c>
      <c r="AK210" s="247">
        <f>VLOOKUP(AK$84,'Infos Techniques'!$B$7:$E$12,4,0)/($V210*$X$39/12)</f>
        <v>6.6877310924369748</v>
      </c>
      <c r="AL210" s="248">
        <f>VLOOKUP(AL$84,'Infos Techniques'!$B$7:$E$12,4,0)/($V210*$X$39/12)</f>
        <v>5.3485714285714288</v>
      </c>
    </row>
    <row r="211" spans="2:38">
      <c r="B211" s="1849"/>
      <c r="C211" s="70">
        <v>40</v>
      </c>
      <c r="D211" s="76" t="e">
        <f t="shared" si="61"/>
        <v>#N/A</v>
      </c>
      <c r="E211" s="43" t="e">
        <f t="shared" si="62"/>
        <v>#N/A</v>
      </c>
      <c r="F211" s="43" t="e">
        <f t="shared" si="63"/>
        <v>#N/A</v>
      </c>
      <c r="G211" s="43" t="e">
        <f t="shared" si="64"/>
        <v>#N/A</v>
      </c>
      <c r="H211" s="43" t="e">
        <f t="shared" si="65"/>
        <v>#N/A</v>
      </c>
      <c r="I211" s="43" t="e">
        <f t="shared" si="66"/>
        <v>#N/A</v>
      </c>
      <c r="J211" s="43" t="e">
        <f t="shared" si="67"/>
        <v>#N/A</v>
      </c>
      <c r="K211" s="43" t="e">
        <f t="shared" si="68"/>
        <v>#N/A</v>
      </c>
      <c r="L211" s="43" t="e">
        <f t="shared" si="69"/>
        <v>#N/A</v>
      </c>
      <c r="M211" s="43" t="e">
        <f t="shared" si="70"/>
        <v>#N/A</v>
      </c>
      <c r="N211" s="43" t="e">
        <f t="shared" si="71"/>
        <v>#N/A</v>
      </c>
      <c r="O211" s="43" t="e">
        <f t="shared" si="72"/>
        <v>#N/A</v>
      </c>
      <c r="P211" s="43" t="e">
        <f t="shared" si="73"/>
        <v>#N/A</v>
      </c>
      <c r="Q211" s="43" t="e">
        <f t="shared" si="74"/>
        <v>#N/A</v>
      </c>
      <c r="R211" s="63" t="e">
        <f t="shared" si="75"/>
        <v>#N/A</v>
      </c>
      <c r="U211" s="1601"/>
      <c r="V211" s="28">
        <v>40</v>
      </c>
      <c r="W211" s="43" t="e" cm="1">
        <f t="array" ref="W211">VLOOKUP(MAX(IF('Courbe Déflexion'!$GJ$25:$GJ$305&lt;=V211,'Courbe Déflexion'!$GJ$25:$GJ$305)),'Courbe Déflexion'!$GJ$25:$IA$305,5,0)</f>
        <v>#N/A</v>
      </c>
      <c r="X211" s="43">
        <f>VLOOKUP(X$84,'Infos Techniques'!$B$7:$E$12,3,0)/($V211*$X$39/12)</f>
        <v>7.0588235294117654</v>
      </c>
      <c r="Y211" s="43">
        <f>VLOOKUP(Y$84,'Infos Techniques'!$B$7:$E$12,3,0)/($V211*$X$39/12)</f>
        <v>4.8705882352941181</v>
      </c>
      <c r="Z211" s="43">
        <f>VLOOKUP(Z$84,'Infos Techniques'!$B$7:$E$12,3,0)/($V211*$X$39/12)</f>
        <v>4.0941176470588241</v>
      </c>
      <c r="AA211" s="43">
        <f>VLOOKUP(AA$84,'Infos Techniques'!$B$7:$E$12,3,0)/($V211*$X$39/12)</f>
        <v>2.9223529411764706</v>
      </c>
      <c r="AB211" s="43">
        <f>VLOOKUP(AB$84,'Infos Techniques'!$B$7:$E$12,3,0)/($V211*$X$39/12)</f>
        <v>2.3364705882352941</v>
      </c>
      <c r="AC211" s="43">
        <f>VLOOKUP(AC$84,'Infos Techniques'!$B$7:$E$12,2,0)/($V211*$X$39/12)</f>
        <v>8.4705882352941178</v>
      </c>
      <c r="AD211" s="43">
        <f>VLOOKUP(AD$84,'Infos Techniques'!$B$7:$E$12,2,0)/($V211*$X$39/12)</f>
        <v>8.4705882352941178</v>
      </c>
      <c r="AE211" s="43">
        <f>VLOOKUP(AE$84,'Infos Techniques'!$B$7:$E$12,2,0)/($V211*$X$39/12)</f>
        <v>8.1882352941176482</v>
      </c>
      <c r="AF211" s="43">
        <f>VLOOKUP(AF$84,'Infos Techniques'!$B$7:$E$12,2,0)/($V211*$X$39/12)</f>
        <v>5.8517647058823536</v>
      </c>
      <c r="AG211" s="43">
        <f>VLOOKUP(AG$84,'Infos Techniques'!$B$7:$E$12,2,0)/($V211*$X$39/12)</f>
        <v>4.6800000000000006</v>
      </c>
      <c r="AH211" s="43">
        <f>VLOOKUP(AH$84,'Infos Techniques'!$B$7:$E$12,4,0)/($V211*$X$39/12)</f>
        <v>10.588235294117649</v>
      </c>
      <c r="AI211" s="43">
        <f>VLOOKUP(AI$84,'Infos Techniques'!$B$7:$E$12,4,0)/($V211*$X$39/12)</f>
        <v>10.588235294117649</v>
      </c>
      <c r="AJ211" s="43">
        <f>VLOOKUP(AJ$84,'Infos Techniques'!$B$7:$E$12,4,0)/($V211*$X$39/12)</f>
        <v>10.588235294117649</v>
      </c>
      <c r="AK211" s="247">
        <f>VLOOKUP(AK$84,'Infos Techniques'!$B$7:$E$12,4,0)/($V211*$X$39/12)</f>
        <v>5.8517647058823536</v>
      </c>
      <c r="AL211" s="248">
        <f>VLOOKUP(AL$84,'Infos Techniques'!$B$7:$E$12,4,0)/($V211*$X$39/12)</f>
        <v>4.6800000000000006</v>
      </c>
    </row>
    <row r="212" spans="2:38">
      <c r="B212" s="1849"/>
      <c r="C212" s="70">
        <v>45</v>
      </c>
      <c r="D212" s="76" t="e">
        <f t="shared" si="61"/>
        <v>#N/A</v>
      </c>
      <c r="E212" s="43" t="e">
        <f t="shared" si="62"/>
        <v>#N/A</v>
      </c>
      <c r="F212" s="43" t="e">
        <f t="shared" si="63"/>
        <v>#N/A</v>
      </c>
      <c r="G212" s="43" t="e">
        <f t="shared" si="64"/>
        <v>#N/A</v>
      </c>
      <c r="H212" s="43" t="e">
        <f t="shared" si="65"/>
        <v>#N/A</v>
      </c>
      <c r="I212" s="43" t="e">
        <f t="shared" si="66"/>
        <v>#N/A</v>
      </c>
      <c r="J212" s="43" t="e">
        <f t="shared" si="67"/>
        <v>#N/A</v>
      </c>
      <c r="K212" s="43" t="e">
        <f t="shared" si="68"/>
        <v>#N/A</v>
      </c>
      <c r="L212" s="43" t="e">
        <f t="shared" si="69"/>
        <v>#N/A</v>
      </c>
      <c r="M212" s="43" t="e">
        <f t="shared" si="70"/>
        <v>#N/A</v>
      </c>
      <c r="N212" s="43" t="e">
        <f t="shared" si="71"/>
        <v>#N/A</v>
      </c>
      <c r="O212" s="43" t="e">
        <f t="shared" si="72"/>
        <v>#N/A</v>
      </c>
      <c r="P212" s="43" t="e">
        <f t="shared" si="73"/>
        <v>#N/A</v>
      </c>
      <c r="Q212" s="43" t="e">
        <f t="shared" si="74"/>
        <v>#N/A</v>
      </c>
      <c r="R212" s="63" t="e">
        <f t="shared" si="75"/>
        <v>#N/A</v>
      </c>
      <c r="U212" s="1601"/>
      <c r="V212" s="28">
        <v>45</v>
      </c>
      <c r="W212" s="43" t="e" cm="1">
        <f t="array" ref="W212">VLOOKUP(MAX(IF('Courbe Déflexion'!$GJ$25:$GJ$305&lt;=V212,'Courbe Déflexion'!$GJ$25:$GJ$305)),'Courbe Déflexion'!$GJ$25:$IA$305,5,0)</f>
        <v>#N/A</v>
      </c>
      <c r="X212" s="43">
        <f>VLOOKUP(X$84,'Infos Techniques'!$B$7:$E$12,3,0)/($V212*$X$39/12)</f>
        <v>6.2745098039215685</v>
      </c>
      <c r="Y212" s="43">
        <f>VLOOKUP(Y$84,'Infos Techniques'!$B$7:$E$12,3,0)/($V212*$X$39/12)</f>
        <v>4.3294117647058821</v>
      </c>
      <c r="Z212" s="43">
        <f>VLOOKUP(Z$84,'Infos Techniques'!$B$7:$E$12,3,0)/($V212*$X$39/12)</f>
        <v>3.6392156862745098</v>
      </c>
      <c r="AA212" s="43">
        <f>VLOOKUP(AA$84,'Infos Techniques'!$B$7:$E$12,3,0)/($V212*$X$39/12)</f>
        <v>2.5976470588235294</v>
      </c>
      <c r="AB212" s="43">
        <f>VLOOKUP(AB$84,'Infos Techniques'!$B$7:$E$12,3,0)/($V212*$X$39/12)</f>
        <v>2.076862745098039</v>
      </c>
      <c r="AC212" s="43">
        <f>VLOOKUP(AC$84,'Infos Techniques'!$B$7:$E$12,2,0)/($V212*$X$39/12)</f>
        <v>7.5294117647058822</v>
      </c>
      <c r="AD212" s="43">
        <f>VLOOKUP(AD$84,'Infos Techniques'!$B$7:$E$12,2,0)/($V212*$X$39/12)</f>
        <v>7.5294117647058822</v>
      </c>
      <c r="AE212" s="43">
        <f>VLOOKUP(AE$84,'Infos Techniques'!$B$7:$E$12,2,0)/($V212*$X$39/12)</f>
        <v>7.2784313725490195</v>
      </c>
      <c r="AF212" s="43">
        <f>VLOOKUP(AF$84,'Infos Techniques'!$B$7:$E$12,2,0)/($V212*$X$39/12)</f>
        <v>5.20156862745098</v>
      </c>
      <c r="AG212" s="43">
        <f>VLOOKUP(AG$84,'Infos Techniques'!$B$7:$E$12,2,0)/($V212*$X$39/12)</f>
        <v>4.16</v>
      </c>
      <c r="AH212" s="43">
        <f>VLOOKUP(AH$84,'Infos Techniques'!$B$7:$E$12,4,0)/($V212*$X$39/12)</f>
        <v>9.4117647058823533</v>
      </c>
      <c r="AI212" s="43">
        <f>VLOOKUP(AI$84,'Infos Techniques'!$B$7:$E$12,4,0)/($V212*$X$39/12)</f>
        <v>9.4117647058823533</v>
      </c>
      <c r="AJ212" s="43">
        <f>VLOOKUP(AJ$84,'Infos Techniques'!$B$7:$E$12,4,0)/($V212*$X$39/12)</f>
        <v>9.4117647058823533</v>
      </c>
      <c r="AK212" s="247">
        <f>VLOOKUP(AK$84,'Infos Techniques'!$B$7:$E$12,4,0)/($V212*$X$39/12)</f>
        <v>5.20156862745098</v>
      </c>
      <c r="AL212" s="248">
        <f>VLOOKUP(AL$84,'Infos Techniques'!$B$7:$E$12,4,0)/($V212*$X$39/12)</f>
        <v>4.16</v>
      </c>
    </row>
    <row r="213" spans="2:38" ht="15" thickBot="1">
      <c r="B213" s="1849"/>
      <c r="C213" s="71">
        <v>50</v>
      </c>
      <c r="D213" s="76" t="e">
        <f t="shared" si="61"/>
        <v>#N/A</v>
      </c>
      <c r="E213" s="43" t="e">
        <f t="shared" si="62"/>
        <v>#N/A</v>
      </c>
      <c r="F213" s="43" t="e">
        <f t="shared" si="63"/>
        <v>#N/A</v>
      </c>
      <c r="G213" s="43" t="e">
        <f t="shared" si="64"/>
        <v>#N/A</v>
      </c>
      <c r="H213" s="43" t="e">
        <f t="shared" si="65"/>
        <v>#N/A</v>
      </c>
      <c r="I213" s="43" t="e">
        <f t="shared" si="66"/>
        <v>#N/A</v>
      </c>
      <c r="J213" s="43" t="e">
        <f t="shared" si="67"/>
        <v>#N/A</v>
      </c>
      <c r="K213" s="43" t="e">
        <f t="shared" si="68"/>
        <v>#N/A</v>
      </c>
      <c r="L213" s="43" t="e">
        <f t="shared" si="69"/>
        <v>#N/A</v>
      </c>
      <c r="M213" s="43" t="e">
        <f t="shared" si="70"/>
        <v>#N/A</v>
      </c>
      <c r="N213" s="43" t="e">
        <f t="shared" si="71"/>
        <v>#N/A</v>
      </c>
      <c r="O213" s="43" t="e">
        <f t="shared" si="72"/>
        <v>#N/A</v>
      </c>
      <c r="P213" s="43" t="e">
        <f t="shared" si="73"/>
        <v>#N/A</v>
      </c>
      <c r="Q213" s="43" t="e">
        <f t="shared" si="74"/>
        <v>#N/A</v>
      </c>
      <c r="R213" s="63" t="e">
        <f t="shared" si="75"/>
        <v>#N/A</v>
      </c>
      <c r="U213" s="1601"/>
      <c r="V213" s="28">
        <v>50</v>
      </c>
      <c r="W213" s="43" t="e" cm="1">
        <f t="array" ref="W213">VLOOKUP(MAX(IF('Courbe Déflexion'!$GJ$25:$GJ$305&lt;=V213,'Courbe Déflexion'!$GJ$25:$GJ$305)),'Courbe Déflexion'!$GJ$25:$IA$305,5,0)</f>
        <v>#N/A</v>
      </c>
      <c r="X213" s="43">
        <f>VLOOKUP(X$84,'Infos Techniques'!$B$7:$E$12,3,0)/($V213*$X$39/12)</f>
        <v>5.6470588235294112</v>
      </c>
      <c r="Y213" s="43">
        <f>VLOOKUP(Y$84,'Infos Techniques'!$B$7:$E$12,3,0)/($V213*$X$39/12)</f>
        <v>3.8964705882352941</v>
      </c>
      <c r="Z213" s="43">
        <f>VLOOKUP(Z$84,'Infos Techniques'!$B$7:$E$12,3,0)/($V213*$X$39/12)</f>
        <v>3.2752941176470585</v>
      </c>
      <c r="AA213" s="43">
        <f>VLOOKUP(AA$84,'Infos Techniques'!$B$7:$E$12,3,0)/($V213*$X$39/12)</f>
        <v>2.3378823529411763</v>
      </c>
      <c r="AB213" s="43">
        <f>VLOOKUP(AB$84,'Infos Techniques'!$B$7:$E$12,3,0)/($V213*$X$39/12)</f>
        <v>1.8691764705882352</v>
      </c>
      <c r="AC213" s="43">
        <f>VLOOKUP(AC$84,'Infos Techniques'!$B$7:$E$12,2,0)/($V213*$X$39/12)</f>
        <v>6.776470588235294</v>
      </c>
      <c r="AD213" s="43">
        <f>VLOOKUP(AD$84,'Infos Techniques'!$B$7:$E$12,2,0)/($V213*$X$39/12)</f>
        <v>6.776470588235294</v>
      </c>
      <c r="AE213" s="43">
        <f>VLOOKUP(AE$84,'Infos Techniques'!$B$7:$E$12,2,0)/($V213*$X$39/12)</f>
        <v>6.5505882352941169</v>
      </c>
      <c r="AF213" s="43">
        <f>VLOOKUP(AF$84,'Infos Techniques'!$B$7:$E$12,2,0)/($V213*$X$39/12)</f>
        <v>4.6814117647058824</v>
      </c>
      <c r="AG213" s="43">
        <f>VLOOKUP(AG$84,'Infos Techniques'!$B$7:$E$12,2,0)/($V213*$X$39/12)</f>
        <v>3.7439999999999998</v>
      </c>
      <c r="AH213" s="43">
        <f>VLOOKUP(AH$84,'Infos Techniques'!$B$7:$E$12,4,0)/($V213*$X$39/12)</f>
        <v>8.4705882352941178</v>
      </c>
      <c r="AI213" s="43">
        <f>VLOOKUP(AI$84,'Infos Techniques'!$B$7:$E$12,4,0)/($V213*$X$39/12)</f>
        <v>8.4705882352941178</v>
      </c>
      <c r="AJ213" s="43">
        <f>VLOOKUP(AJ$84,'Infos Techniques'!$B$7:$E$12,4,0)/($V213*$X$39/12)</f>
        <v>8.4705882352941178</v>
      </c>
      <c r="AK213" s="247">
        <f>VLOOKUP(AK$84,'Infos Techniques'!$B$7:$E$12,4,0)/($V213*$X$39/12)</f>
        <v>4.6814117647058824</v>
      </c>
      <c r="AL213" s="248">
        <f>VLOOKUP(AL$84,'Infos Techniques'!$B$7:$E$12,4,0)/($V213*$X$39/12)</f>
        <v>3.7439999999999998</v>
      </c>
    </row>
    <row r="214" spans="2:38">
      <c r="B214" s="1849"/>
      <c r="C214" s="69">
        <v>55</v>
      </c>
      <c r="D214" s="76" t="e">
        <f t="shared" si="61"/>
        <v>#N/A</v>
      </c>
      <c r="E214" s="43" t="e">
        <f t="shared" si="62"/>
        <v>#N/A</v>
      </c>
      <c r="F214" s="43" t="e">
        <f t="shared" si="63"/>
        <v>#N/A</v>
      </c>
      <c r="G214" s="43" t="e">
        <f t="shared" si="64"/>
        <v>#N/A</v>
      </c>
      <c r="H214" s="43" t="e">
        <f t="shared" si="65"/>
        <v>#N/A</v>
      </c>
      <c r="I214" s="43" t="e">
        <f t="shared" si="66"/>
        <v>#N/A</v>
      </c>
      <c r="J214" s="43" t="e">
        <f t="shared" si="67"/>
        <v>#N/A</v>
      </c>
      <c r="K214" s="43" t="e">
        <f t="shared" si="68"/>
        <v>#N/A</v>
      </c>
      <c r="L214" s="43" t="e">
        <f t="shared" si="69"/>
        <v>#N/A</v>
      </c>
      <c r="M214" s="43" t="e">
        <f t="shared" si="70"/>
        <v>#N/A</v>
      </c>
      <c r="N214" s="43" t="e">
        <f t="shared" si="71"/>
        <v>#N/A</v>
      </c>
      <c r="O214" s="43" t="e">
        <f t="shared" si="72"/>
        <v>#N/A</v>
      </c>
      <c r="P214" s="43" t="e">
        <f t="shared" si="73"/>
        <v>#N/A</v>
      </c>
      <c r="Q214" s="43" t="e">
        <f t="shared" si="74"/>
        <v>#N/A</v>
      </c>
      <c r="R214" s="63" t="e">
        <f t="shared" si="75"/>
        <v>#N/A</v>
      </c>
      <c r="U214" s="1601"/>
      <c r="V214" s="28">
        <v>55</v>
      </c>
      <c r="W214" s="43" t="e" cm="1">
        <f t="array" ref="W214">VLOOKUP(MAX(IF('Courbe Déflexion'!$GJ$25:$GJ$305&lt;=V214,'Courbe Déflexion'!$GJ$25:$GJ$305)),'Courbe Déflexion'!$GJ$25:$IA$305,5,0)</f>
        <v>#N/A</v>
      </c>
      <c r="X214" s="43">
        <f>VLOOKUP(X$84,'Infos Techniques'!$B$7:$E$12,3,0)/($V214*$X$39/12)</f>
        <v>5.1336898395721926</v>
      </c>
      <c r="Y214" s="43">
        <f>VLOOKUP(Y$84,'Infos Techniques'!$B$7:$E$12,3,0)/($V214*$X$39/12)</f>
        <v>3.542245989304813</v>
      </c>
      <c r="Z214" s="43">
        <f>VLOOKUP(Z$84,'Infos Techniques'!$B$7:$E$12,3,0)/($V214*$X$39/12)</f>
        <v>2.9775401069518717</v>
      </c>
      <c r="AA214" s="43">
        <f>VLOOKUP(AA$84,'Infos Techniques'!$B$7:$E$12,3,0)/($V214*$X$39/12)</f>
        <v>2.1253475935828878</v>
      </c>
      <c r="AB214" s="43">
        <f>VLOOKUP(AB$84,'Infos Techniques'!$B$7:$E$12,3,0)/($V214*$X$39/12)</f>
        <v>1.6992513368983959</v>
      </c>
      <c r="AC214" s="43">
        <f>VLOOKUP(AC$84,'Infos Techniques'!$B$7:$E$12,2,0)/($V214*$X$39/12)</f>
        <v>6.1604278074866317</v>
      </c>
      <c r="AD214" s="43">
        <f>VLOOKUP(AD$84,'Infos Techniques'!$B$7:$E$12,2,0)/($V214*$X$39/12)</f>
        <v>6.1604278074866317</v>
      </c>
      <c r="AE214" s="43">
        <f>VLOOKUP(AE$84,'Infos Techniques'!$B$7:$E$12,2,0)/($V214*$X$39/12)</f>
        <v>5.9550802139037433</v>
      </c>
      <c r="AF214" s="43">
        <f>VLOOKUP(AF$84,'Infos Techniques'!$B$7:$E$12,2,0)/($V214*$X$39/12)</f>
        <v>4.2558288770053476</v>
      </c>
      <c r="AG214" s="43">
        <f>VLOOKUP(AG$84,'Infos Techniques'!$B$7:$E$12,2,0)/($V214*$X$39/12)</f>
        <v>3.4036363636363638</v>
      </c>
      <c r="AH214" s="43">
        <f>VLOOKUP(AH$84,'Infos Techniques'!$B$7:$E$12,4,0)/($V214*$X$39/12)</f>
        <v>7.7005347593582893</v>
      </c>
      <c r="AI214" s="43">
        <f>VLOOKUP(AI$84,'Infos Techniques'!$B$7:$E$12,4,0)/($V214*$X$39/12)</f>
        <v>7.7005347593582893</v>
      </c>
      <c r="AJ214" s="43">
        <f>VLOOKUP(AJ$84,'Infos Techniques'!$B$7:$E$12,4,0)/($V214*$X$39/12)</f>
        <v>7.7005347593582893</v>
      </c>
      <c r="AK214" s="247">
        <f>VLOOKUP(AK$84,'Infos Techniques'!$B$7:$E$12,4,0)/($V214*$X$39/12)</f>
        <v>4.2558288770053476</v>
      </c>
      <c r="AL214" s="248">
        <f>VLOOKUP(AL$84,'Infos Techniques'!$B$7:$E$12,4,0)/($V214*$X$39/12)</f>
        <v>3.4036363636363638</v>
      </c>
    </row>
    <row r="215" spans="2:38">
      <c r="B215" s="1849"/>
      <c r="C215" s="70">
        <v>60</v>
      </c>
      <c r="D215" s="76" t="e">
        <f t="shared" si="61"/>
        <v>#N/A</v>
      </c>
      <c r="E215" s="43" t="e">
        <f t="shared" si="62"/>
        <v>#N/A</v>
      </c>
      <c r="F215" s="43" t="e">
        <f t="shared" si="63"/>
        <v>#N/A</v>
      </c>
      <c r="G215" s="43" t="e">
        <f t="shared" si="64"/>
        <v>#N/A</v>
      </c>
      <c r="H215" s="43" t="e">
        <f t="shared" si="65"/>
        <v>#N/A</v>
      </c>
      <c r="I215" s="43" t="e">
        <f t="shared" si="66"/>
        <v>#N/A</v>
      </c>
      <c r="J215" s="43" t="e">
        <f t="shared" si="67"/>
        <v>#N/A</v>
      </c>
      <c r="K215" s="43" t="e">
        <f t="shared" si="68"/>
        <v>#N/A</v>
      </c>
      <c r="L215" s="43" t="e">
        <f t="shared" si="69"/>
        <v>#N/A</v>
      </c>
      <c r="M215" s="43" t="e">
        <f t="shared" si="70"/>
        <v>#N/A</v>
      </c>
      <c r="N215" s="43" t="e">
        <f t="shared" si="71"/>
        <v>#N/A</v>
      </c>
      <c r="O215" s="43" t="e">
        <f t="shared" si="72"/>
        <v>#N/A</v>
      </c>
      <c r="P215" s="43" t="e">
        <f t="shared" si="73"/>
        <v>#N/A</v>
      </c>
      <c r="Q215" s="43" t="e">
        <f t="shared" si="74"/>
        <v>#N/A</v>
      </c>
      <c r="R215" s="63" t="e">
        <f t="shared" si="75"/>
        <v>#N/A</v>
      </c>
      <c r="U215" s="1601"/>
      <c r="V215" s="28">
        <v>60</v>
      </c>
      <c r="W215" s="43" t="e" cm="1">
        <f t="array" ref="W215">VLOOKUP(MAX(IF('Courbe Déflexion'!$GJ$25:$GJ$305&lt;=V215,'Courbe Déflexion'!$GJ$25:$GJ$305)),'Courbe Déflexion'!$GJ$25:$IA$305,5,0)</f>
        <v>#N/A</v>
      </c>
      <c r="X215" s="43">
        <f>VLOOKUP(X$84,'Infos Techniques'!$B$7:$E$12,3,0)/($V215*$X$39/12)</f>
        <v>4.7058823529411766</v>
      </c>
      <c r="Y215" s="43">
        <f>VLOOKUP(Y$84,'Infos Techniques'!$B$7:$E$12,3,0)/($V215*$X$39/12)</f>
        <v>3.2470588235294118</v>
      </c>
      <c r="Z215" s="43">
        <f>VLOOKUP(Z$84,'Infos Techniques'!$B$7:$E$12,3,0)/($V215*$X$39/12)</f>
        <v>2.7294117647058824</v>
      </c>
      <c r="AA215" s="43">
        <f>VLOOKUP(AA$84,'Infos Techniques'!$B$7:$E$12,3,0)/($V215*$X$39/12)</f>
        <v>1.9482352941176471</v>
      </c>
      <c r="AB215" s="43">
        <f>VLOOKUP(AB$84,'Infos Techniques'!$B$7:$E$12,3,0)/($V215*$X$39/12)</f>
        <v>1.5576470588235294</v>
      </c>
      <c r="AC215" s="43">
        <f>VLOOKUP(AC$84,'Infos Techniques'!$B$7:$E$12,2,0)/($V215*$X$39/12)</f>
        <v>5.6470588235294121</v>
      </c>
      <c r="AD215" s="43">
        <f>VLOOKUP(AD$84,'Infos Techniques'!$B$7:$E$12,2,0)/($V215*$X$39/12)</f>
        <v>5.6470588235294121</v>
      </c>
      <c r="AE215" s="43">
        <f>VLOOKUP(AE$84,'Infos Techniques'!$B$7:$E$12,2,0)/($V215*$X$39/12)</f>
        <v>5.4588235294117649</v>
      </c>
      <c r="AF215" s="43">
        <f>VLOOKUP(AF$84,'Infos Techniques'!$B$7:$E$12,2,0)/($V215*$X$39/12)</f>
        <v>3.9011764705882355</v>
      </c>
      <c r="AG215" s="43">
        <f>VLOOKUP(AG$84,'Infos Techniques'!$B$7:$E$12,2,0)/($V215*$X$39/12)</f>
        <v>3.12</v>
      </c>
      <c r="AH215" s="43">
        <f>VLOOKUP(AH$84,'Infos Techniques'!$B$7:$E$12,4,0)/($V215*$X$39/12)</f>
        <v>7.0588235294117645</v>
      </c>
      <c r="AI215" s="43">
        <f>VLOOKUP(AI$84,'Infos Techniques'!$B$7:$E$12,4,0)/($V215*$X$39/12)</f>
        <v>7.0588235294117645</v>
      </c>
      <c r="AJ215" s="43">
        <f>VLOOKUP(AJ$84,'Infos Techniques'!$B$7:$E$12,4,0)/($V215*$X$39/12)</f>
        <v>7.0588235294117645</v>
      </c>
      <c r="AK215" s="247">
        <f>VLOOKUP(AK$84,'Infos Techniques'!$B$7:$E$12,4,0)/($V215*$X$39/12)</f>
        <v>3.9011764705882355</v>
      </c>
      <c r="AL215" s="248">
        <f>VLOOKUP(AL$84,'Infos Techniques'!$B$7:$E$12,4,0)/($V215*$X$39/12)</f>
        <v>3.12</v>
      </c>
    </row>
    <row r="216" spans="2:38">
      <c r="B216" s="1849"/>
      <c r="C216" s="70">
        <v>65</v>
      </c>
      <c r="D216" s="76" t="e">
        <f t="shared" si="61"/>
        <v>#N/A</v>
      </c>
      <c r="E216" s="43" t="e">
        <f t="shared" si="62"/>
        <v>#N/A</v>
      </c>
      <c r="F216" s="43" t="e">
        <f t="shared" si="63"/>
        <v>#N/A</v>
      </c>
      <c r="G216" s="43" t="e">
        <f t="shared" si="64"/>
        <v>#N/A</v>
      </c>
      <c r="H216" s="43" t="e">
        <f t="shared" si="65"/>
        <v>#N/A</v>
      </c>
      <c r="I216" s="43" t="e">
        <f t="shared" si="66"/>
        <v>#N/A</v>
      </c>
      <c r="J216" s="43" t="e">
        <f t="shared" si="67"/>
        <v>#N/A</v>
      </c>
      <c r="K216" s="43" t="e">
        <f t="shared" si="68"/>
        <v>#N/A</v>
      </c>
      <c r="L216" s="43" t="e">
        <f t="shared" si="69"/>
        <v>#N/A</v>
      </c>
      <c r="M216" s="43" t="e">
        <f t="shared" si="70"/>
        <v>#N/A</v>
      </c>
      <c r="N216" s="43" t="e">
        <f t="shared" si="71"/>
        <v>#N/A</v>
      </c>
      <c r="O216" s="43" t="e">
        <f t="shared" si="72"/>
        <v>#N/A</v>
      </c>
      <c r="P216" s="43" t="e">
        <f t="shared" si="73"/>
        <v>#N/A</v>
      </c>
      <c r="Q216" s="43" t="e">
        <f t="shared" si="74"/>
        <v>#N/A</v>
      </c>
      <c r="R216" s="63" t="e">
        <f t="shared" si="75"/>
        <v>#N/A</v>
      </c>
      <c r="U216" s="1601"/>
      <c r="V216" s="28">
        <v>65</v>
      </c>
      <c r="W216" s="43" t="e" cm="1">
        <f t="array" ref="W216">VLOOKUP(MAX(IF('Courbe Déflexion'!$GJ$25:$GJ$305&lt;=V216,'Courbe Déflexion'!$GJ$25:$GJ$305)),'Courbe Déflexion'!$GJ$25:$IA$305,5,0)</f>
        <v>#N/A</v>
      </c>
      <c r="X216" s="43">
        <f>VLOOKUP(X$84,'Infos Techniques'!$B$7:$E$12,3,0)/($V216*$X$39/12)</f>
        <v>4.3438914027149318</v>
      </c>
      <c r="Y216" s="43">
        <f>VLOOKUP(Y$84,'Infos Techniques'!$B$7:$E$12,3,0)/($V216*$X$39/12)</f>
        <v>2.9972850678733032</v>
      </c>
      <c r="Z216" s="43">
        <f>VLOOKUP(Z$84,'Infos Techniques'!$B$7:$E$12,3,0)/($V216*$X$39/12)</f>
        <v>2.5194570135746606</v>
      </c>
      <c r="AA216" s="43">
        <f>VLOOKUP(AA$84,'Infos Techniques'!$B$7:$E$12,3,0)/($V216*$X$39/12)</f>
        <v>1.7983710407239819</v>
      </c>
      <c r="AB216" s="43">
        <f>VLOOKUP(AB$84,'Infos Techniques'!$B$7:$E$12,3,0)/($V216*$X$39/12)</f>
        <v>1.4378280542986426</v>
      </c>
      <c r="AC216" s="43">
        <f>VLOOKUP(AC$84,'Infos Techniques'!$B$7:$E$12,2,0)/($V216*$X$39/12)</f>
        <v>5.2126696832579187</v>
      </c>
      <c r="AD216" s="43">
        <f>VLOOKUP(AD$84,'Infos Techniques'!$B$7:$E$12,2,0)/($V216*$X$39/12)</f>
        <v>5.2126696832579187</v>
      </c>
      <c r="AE216" s="43">
        <f>VLOOKUP(AE$84,'Infos Techniques'!$B$7:$E$12,2,0)/($V216*$X$39/12)</f>
        <v>5.0389140271493211</v>
      </c>
      <c r="AF216" s="43">
        <f>VLOOKUP(AF$84,'Infos Techniques'!$B$7:$E$12,2,0)/($V216*$X$39/12)</f>
        <v>3.6010859728506786</v>
      </c>
      <c r="AG216" s="43">
        <f>VLOOKUP(AG$84,'Infos Techniques'!$B$7:$E$12,2,0)/($V216*$X$39/12)</f>
        <v>2.88</v>
      </c>
      <c r="AH216" s="43">
        <f>VLOOKUP(AH$84,'Infos Techniques'!$B$7:$E$12,4,0)/($V216*$X$39/12)</f>
        <v>6.5158371040723981</v>
      </c>
      <c r="AI216" s="43">
        <f>VLOOKUP(AI$84,'Infos Techniques'!$B$7:$E$12,4,0)/($V216*$X$39/12)</f>
        <v>6.5158371040723981</v>
      </c>
      <c r="AJ216" s="43">
        <f>VLOOKUP(AJ$84,'Infos Techniques'!$B$7:$E$12,4,0)/($V216*$X$39/12)</f>
        <v>6.5158371040723981</v>
      </c>
      <c r="AK216" s="247">
        <f>VLOOKUP(AK$84,'Infos Techniques'!$B$7:$E$12,4,0)/($V216*$X$39/12)</f>
        <v>3.6010859728506786</v>
      </c>
      <c r="AL216" s="248">
        <f>VLOOKUP(AL$84,'Infos Techniques'!$B$7:$E$12,4,0)/($V216*$X$39/12)</f>
        <v>2.88</v>
      </c>
    </row>
    <row r="217" spans="2:38">
      <c r="B217" s="1849"/>
      <c r="C217" s="70">
        <v>70</v>
      </c>
      <c r="D217" s="76" t="e">
        <f t="shared" si="61"/>
        <v>#N/A</v>
      </c>
      <c r="E217" s="43" t="e">
        <f t="shared" si="62"/>
        <v>#N/A</v>
      </c>
      <c r="F217" s="43" t="e">
        <f t="shared" si="63"/>
        <v>#N/A</v>
      </c>
      <c r="G217" s="43" t="e">
        <f t="shared" si="64"/>
        <v>#N/A</v>
      </c>
      <c r="H217" s="43" t="e">
        <f t="shared" si="65"/>
        <v>#N/A</v>
      </c>
      <c r="I217" s="43" t="e">
        <f t="shared" si="66"/>
        <v>#N/A</v>
      </c>
      <c r="J217" s="43" t="e">
        <f t="shared" si="67"/>
        <v>#N/A</v>
      </c>
      <c r="K217" s="43" t="e">
        <f t="shared" si="68"/>
        <v>#N/A</v>
      </c>
      <c r="L217" s="43" t="e">
        <f t="shared" si="69"/>
        <v>#N/A</v>
      </c>
      <c r="M217" s="43" t="e">
        <f t="shared" si="70"/>
        <v>#N/A</v>
      </c>
      <c r="N217" s="43" t="e">
        <f t="shared" si="71"/>
        <v>#N/A</v>
      </c>
      <c r="O217" s="43" t="e">
        <f t="shared" si="72"/>
        <v>#N/A</v>
      </c>
      <c r="P217" s="43" t="e">
        <f t="shared" si="73"/>
        <v>#N/A</v>
      </c>
      <c r="Q217" s="43" t="e">
        <f t="shared" si="74"/>
        <v>#N/A</v>
      </c>
      <c r="R217" s="63" t="e">
        <f t="shared" si="75"/>
        <v>#N/A</v>
      </c>
      <c r="U217" s="1601"/>
      <c r="V217" s="28">
        <v>70</v>
      </c>
      <c r="W217" s="43" t="e" cm="1">
        <f t="array" ref="W217">VLOOKUP(MAX(IF('Courbe Déflexion'!$GJ$25:$GJ$305&lt;=V217,'Courbe Déflexion'!$GJ$25:$GJ$305)),'Courbe Déflexion'!$GJ$25:$IA$305,5,0)</f>
        <v>#N/A</v>
      </c>
      <c r="X217" s="43">
        <f>VLOOKUP(X$84,'Infos Techniques'!$B$7:$E$12,3,0)/($V217*$X$39/12)</f>
        <v>4.0336134453781511</v>
      </c>
      <c r="Y217" s="43">
        <f>VLOOKUP(Y$84,'Infos Techniques'!$B$7:$E$12,3,0)/($V217*$X$39/12)</f>
        <v>2.7831932773109247</v>
      </c>
      <c r="Z217" s="43">
        <f>VLOOKUP(Z$84,'Infos Techniques'!$B$7:$E$12,3,0)/($V217*$X$39/12)</f>
        <v>2.3394957983193279</v>
      </c>
      <c r="AA217" s="43">
        <f>VLOOKUP(AA$84,'Infos Techniques'!$B$7:$E$12,3,0)/($V217*$X$39/12)</f>
        <v>1.6699159663865546</v>
      </c>
      <c r="AB217" s="43">
        <f>VLOOKUP(AB$84,'Infos Techniques'!$B$7:$E$12,3,0)/($V217*$X$39/12)</f>
        <v>1.3351260504201681</v>
      </c>
      <c r="AC217" s="43">
        <f>VLOOKUP(AC$84,'Infos Techniques'!$B$7:$E$12,2,0)/($V217*$X$39/12)</f>
        <v>4.8403361344537821</v>
      </c>
      <c r="AD217" s="43">
        <f>VLOOKUP(AD$84,'Infos Techniques'!$B$7:$E$12,2,0)/($V217*$X$39/12)</f>
        <v>4.8403361344537821</v>
      </c>
      <c r="AE217" s="43">
        <f>VLOOKUP(AE$84,'Infos Techniques'!$B$7:$E$12,2,0)/($V217*$X$39/12)</f>
        <v>4.6789915966386557</v>
      </c>
      <c r="AF217" s="43">
        <f>VLOOKUP(AF$84,'Infos Techniques'!$B$7:$E$12,2,0)/($V217*$X$39/12)</f>
        <v>3.3438655462184874</v>
      </c>
      <c r="AG217" s="43">
        <f>VLOOKUP(AG$84,'Infos Techniques'!$B$7:$E$12,2,0)/($V217*$X$39/12)</f>
        <v>2.6742857142857144</v>
      </c>
      <c r="AH217" s="43">
        <f>VLOOKUP(AH$84,'Infos Techniques'!$B$7:$E$12,4,0)/($V217*$X$39/12)</f>
        <v>6.0504201680672267</v>
      </c>
      <c r="AI217" s="43">
        <f>VLOOKUP(AI$84,'Infos Techniques'!$B$7:$E$12,4,0)/($V217*$X$39/12)</f>
        <v>6.0504201680672267</v>
      </c>
      <c r="AJ217" s="43">
        <f>VLOOKUP(AJ$84,'Infos Techniques'!$B$7:$E$12,4,0)/($V217*$X$39/12)</f>
        <v>6.0504201680672267</v>
      </c>
      <c r="AK217" s="247">
        <f>VLOOKUP(AK$84,'Infos Techniques'!$B$7:$E$12,4,0)/($V217*$X$39/12)</f>
        <v>3.3438655462184874</v>
      </c>
      <c r="AL217" s="248">
        <f>VLOOKUP(AL$84,'Infos Techniques'!$B$7:$E$12,4,0)/($V217*$X$39/12)</f>
        <v>2.6742857142857144</v>
      </c>
    </row>
    <row r="218" spans="2:38" ht="15" thickBot="1">
      <c r="B218" s="1849"/>
      <c r="C218" s="71">
        <v>75</v>
      </c>
      <c r="D218" s="76" t="e">
        <f t="shared" si="61"/>
        <v>#N/A</v>
      </c>
      <c r="E218" s="43" t="e">
        <f t="shared" si="62"/>
        <v>#N/A</v>
      </c>
      <c r="F218" s="43" t="e">
        <f t="shared" si="63"/>
        <v>#N/A</v>
      </c>
      <c r="G218" s="43" t="e">
        <f t="shared" si="64"/>
        <v>#N/A</v>
      </c>
      <c r="H218" s="43" t="e">
        <f t="shared" si="65"/>
        <v>#N/A</v>
      </c>
      <c r="I218" s="43" t="e">
        <f t="shared" si="66"/>
        <v>#N/A</v>
      </c>
      <c r="J218" s="43" t="e">
        <f t="shared" si="67"/>
        <v>#N/A</v>
      </c>
      <c r="K218" s="43" t="e">
        <f t="shared" si="68"/>
        <v>#N/A</v>
      </c>
      <c r="L218" s="43" t="e">
        <f t="shared" si="69"/>
        <v>#N/A</v>
      </c>
      <c r="M218" s="43" t="e">
        <f t="shared" si="70"/>
        <v>#N/A</v>
      </c>
      <c r="N218" s="43" t="e">
        <f t="shared" si="71"/>
        <v>#N/A</v>
      </c>
      <c r="O218" s="43" t="e">
        <f t="shared" si="72"/>
        <v>#N/A</v>
      </c>
      <c r="P218" s="43" t="e">
        <f t="shared" si="73"/>
        <v>#N/A</v>
      </c>
      <c r="Q218" s="43" t="e">
        <f t="shared" si="74"/>
        <v>#N/A</v>
      </c>
      <c r="R218" s="63" t="e">
        <f t="shared" si="75"/>
        <v>#N/A</v>
      </c>
      <c r="U218" s="1601"/>
      <c r="V218" s="28">
        <v>75</v>
      </c>
      <c r="W218" s="43" t="e" cm="1">
        <f t="array" ref="W218">VLOOKUP(MAX(IF('Courbe Déflexion'!$GJ$25:$GJ$305&lt;=V218,'Courbe Déflexion'!$GJ$25:$GJ$305)),'Courbe Déflexion'!$GJ$25:$IA$305,5,0)</f>
        <v>#N/A</v>
      </c>
      <c r="X218" s="43">
        <f>VLOOKUP(X$84,'Infos Techniques'!$B$7:$E$12,3,0)/($V218*$X$39/12)</f>
        <v>3.7647058823529411</v>
      </c>
      <c r="Y218" s="43">
        <f>VLOOKUP(Y$84,'Infos Techniques'!$B$7:$E$12,3,0)/($V218*$X$39/12)</f>
        <v>2.5976470588235294</v>
      </c>
      <c r="Z218" s="43">
        <f>VLOOKUP(Z$84,'Infos Techniques'!$B$7:$E$12,3,0)/($V218*$X$39/12)</f>
        <v>2.1835294117647059</v>
      </c>
      <c r="AA218" s="43">
        <f>VLOOKUP(AA$84,'Infos Techniques'!$B$7:$E$12,3,0)/($V218*$X$39/12)</f>
        <v>1.5585882352941176</v>
      </c>
      <c r="AB218" s="43">
        <f>VLOOKUP(AB$84,'Infos Techniques'!$B$7:$E$12,3,0)/($V218*$X$39/12)</f>
        <v>1.2461176470588236</v>
      </c>
      <c r="AC218" s="43">
        <f>VLOOKUP(AC$84,'Infos Techniques'!$B$7:$E$12,2,0)/($V218*$X$39/12)</f>
        <v>4.5176470588235293</v>
      </c>
      <c r="AD218" s="43">
        <f>VLOOKUP(AD$84,'Infos Techniques'!$B$7:$E$12,2,0)/($V218*$X$39/12)</f>
        <v>4.5176470588235293</v>
      </c>
      <c r="AE218" s="43">
        <f>VLOOKUP(AE$84,'Infos Techniques'!$B$7:$E$12,2,0)/($V218*$X$39/12)</f>
        <v>4.3670588235294119</v>
      </c>
      <c r="AF218" s="43">
        <f>VLOOKUP(AF$84,'Infos Techniques'!$B$7:$E$12,2,0)/($V218*$X$39/12)</f>
        <v>3.1209411764705881</v>
      </c>
      <c r="AG218" s="43">
        <f>VLOOKUP(AG$84,'Infos Techniques'!$B$7:$E$12,2,0)/($V218*$X$39/12)</f>
        <v>2.496</v>
      </c>
      <c r="AH218" s="43">
        <f>VLOOKUP(AH$84,'Infos Techniques'!$B$7:$E$12,4,0)/($V218*$X$39/12)</f>
        <v>5.6470588235294121</v>
      </c>
      <c r="AI218" s="43">
        <f>VLOOKUP(AI$84,'Infos Techniques'!$B$7:$E$12,4,0)/($V218*$X$39/12)</f>
        <v>5.6470588235294121</v>
      </c>
      <c r="AJ218" s="43">
        <f>VLOOKUP(AJ$84,'Infos Techniques'!$B$7:$E$12,4,0)/($V218*$X$39/12)</f>
        <v>5.6470588235294121</v>
      </c>
      <c r="AK218" s="247">
        <f>VLOOKUP(AK$84,'Infos Techniques'!$B$7:$E$12,4,0)/($V218*$X$39/12)</f>
        <v>3.1209411764705881</v>
      </c>
      <c r="AL218" s="248">
        <f>VLOOKUP(AL$84,'Infos Techniques'!$B$7:$E$12,4,0)/($V218*$X$39/12)</f>
        <v>2.496</v>
      </c>
    </row>
    <row r="219" spans="2:38">
      <c r="B219" s="1849"/>
      <c r="C219" s="72">
        <v>80</v>
      </c>
      <c r="D219" s="76" t="e">
        <f t="shared" si="61"/>
        <v>#N/A</v>
      </c>
      <c r="E219" s="43" t="e">
        <f t="shared" si="62"/>
        <v>#N/A</v>
      </c>
      <c r="F219" s="43" t="e">
        <f t="shared" si="63"/>
        <v>#N/A</v>
      </c>
      <c r="G219" s="43" t="e">
        <f t="shared" si="64"/>
        <v>#N/A</v>
      </c>
      <c r="H219" s="43" t="e">
        <f t="shared" si="65"/>
        <v>#N/A</v>
      </c>
      <c r="I219" s="43" t="e">
        <f t="shared" si="66"/>
        <v>#N/A</v>
      </c>
      <c r="J219" s="43" t="e">
        <f t="shared" si="67"/>
        <v>#N/A</v>
      </c>
      <c r="K219" s="43" t="e">
        <f t="shared" si="68"/>
        <v>#N/A</v>
      </c>
      <c r="L219" s="43" t="e">
        <f t="shared" si="69"/>
        <v>#N/A</v>
      </c>
      <c r="M219" s="43" t="e">
        <f t="shared" si="70"/>
        <v>#N/A</v>
      </c>
      <c r="N219" s="43" t="e">
        <f t="shared" si="71"/>
        <v>#N/A</v>
      </c>
      <c r="O219" s="43" t="e">
        <f t="shared" si="72"/>
        <v>#N/A</v>
      </c>
      <c r="P219" s="43" t="e">
        <f t="shared" si="73"/>
        <v>#N/A</v>
      </c>
      <c r="Q219" s="43" t="e">
        <f t="shared" si="74"/>
        <v>#N/A</v>
      </c>
      <c r="R219" s="63" t="e">
        <f t="shared" si="75"/>
        <v>#N/A</v>
      </c>
      <c r="U219" s="1601"/>
      <c r="V219" s="28">
        <v>80</v>
      </c>
      <c r="W219" s="43" t="e" cm="1">
        <f t="array" ref="W219">VLOOKUP(MAX(IF('Courbe Déflexion'!$GJ$25:$GJ$305&lt;=V219,'Courbe Déflexion'!$GJ$25:$GJ$305)),'Courbe Déflexion'!$GJ$25:$IA$305,5,0)</f>
        <v>#N/A</v>
      </c>
      <c r="X219" s="43">
        <f>VLOOKUP(X$84,'Infos Techniques'!$B$7:$E$12,3,0)/($V219*$X$39/12)</f>
        <v>3.5294117647058827</v>
      </c>
      <c r="Y219" s="43">
        <f>VLOOKUP(Y$84,'Infos Techniques'!$B$7:$E$12,3,0)/($V219*$X$39/12)</f>
        <v>2.4352941176470591</v>
      </c>
      <c r="Z219" s="43">
        <f>VLOOKUP(Z$84,'Infos Techniques'!$B$7:$E$12,3,0)/($V219*$X$39/12)</f>
        <v>2.047058823529412</v>
      </c>
      <c r="AA219" s="43">
        <f>VLOOKUP(AA$84,'Infos Techniques'!$B$7:$E$12,3,0)/($V219*$X$39/12)</f>
        <v>1.4611764705882353</v>
      </c>
      <c r="AB219" s="43">
        <f>VLOOKUP(AB$84,'Infos Techniques'!$B$7:$E$12,3,0)/($V219*$X$39/12)</f>
        <v>1.168235294117647</v>
      </c>
      <c r="AC219" s="43">
        <f>VLOOKUP(AC$84,'Infos Techniques'!$B$7:$E$12,2,0)/($V219*$X$39/12)</f>
        <v>4.2352941176470589</v>
      </c>
      <c r="AD219" s="43">
        <f>VLOOKUP(AD$84,'Infos Techniques'!$B$7:$E$12,2,0)/($V219*$X$39/12)</f>
        <v>4.2352941176470589</v>
      </c>
      <c r="AE219" s="43">
        <f>VLOOKUP(AE$84,'Infos Techniques'!$B$7:$E$12,2,0)/($V219*$X$39/12)</f>
        <v>4.0941176470588241</v>
      </c>
      <c r="AF219" s="43">
        <f>VLOOKUP(AF$84,'Infos Techniques'!$B$7:$E$12,2,0)/($V219*$X$39/12)</f>
        <v>2.9258823529411768</v>
      </c>
      <c r="AG219" s="43">
        <f>VLOOKUP(AG$84,'Infos Techniques'!$B$7:$E$12,2,0)/($V219*$X$39/12)</f>
        <v>2.3400000000000003</v>
      </c>
      <c r="AH219" s="43">
        <f>VLOOKUP(AH$84,'Infos Techniques'!$B$7:$E$12,4,0)/($V219*$X$39/12)</f>
        <v>5.2941176470588243</v>
      </c>
      <c r="AI219" s="43">
        <f>VLOOKUP(AI$84,'Infos Techniques'!$B$7:$E$12,4,0)/($V219*$X$39/12)</f>
        <v>5.2941176470588243</v>
      </c>
      <c r="AJ219" s="43">
        <f>VLOOKUP(AJ$84,'Infos Techniques'!$B$7:$E$12,4,0)/($V219*$X$39/12)</f>
        <v>5.2941176470588243</v>
      </c>
      <c r="AK219" s="247">
        <f>VLOOKUP(AK$84,'Infos Techniques'!$B$7:$E$12,4,0)/($V219*$X$39/12)</f>
        <v>2.9258823529411768</v>
      </c>
      <c r="AL219" s="248">
        <f>VLOOKUP(AL$84,'Infos Techniques'!$B$7:$E$12,4,0)/($V219*$X$39/12)</f>
        <v>2.3400000000000003</v>
      </c>
    </row>
    <row r="220" spans="2:38">
      <c r="B220" s="1849"/>
      <c r="C220" s="70">
        <v>85</v>
      </c>
      <c r="D220" s="76" t="e">
        <f t="shared" si="61"/>
        <v>#N/A</v>
      </c>
      <c r="E220" s="43" t="e">
        <f t="shared" si="62"/>
        <v>#N/A</v>
      </c>
      <c r="F220" s="43" t="e">
        <f t="shared" si="63"/>
        <v>#N/A</v>
      </c>
      <c r="G220" s="43" t="e">
        <f t="shared" si="64"/>
        <v>#N/A</v>
      </c>
      <c r="H220" s="43" t="e">
        <f t="shared" si="65"/>
        <v>#N/A</v>
      </c>
      <c r="I220" s="43" t="e">
        <f t="shared" si="66"/>
        <v>#N/A</v>
      </c>
      <c r="J220" s="43" t="e">
        <f t="shared" si="67"/>
        <v>#N/A</v>
      </c>
      <c r="K220" s="43" t="e">
        <f t="shared" si="68"/>
        <v>#N/A</v>
      </c>
      <c r="L220" s="43" t="e">
        <f t="shared" si="69"/>
        <v>#N/A</v>
      </c>
      <c r="M220" s="43" t="e">
        <f t="shared" si="70"/>
        <v>#N/A</v>
      </c>
      <c r="N220" s="43" t="e">
        <f t="shared" si="71"/>
        <v>#N/A</v>
      </c>
      <c r="O220" s="43" t="e">
        <f t="shared" si="72"/>
        <v>#N/A</v>
      </c>
      <c r="P220" s="43" t="e">
        <f t="shared" si="73"/>
        <v>#N/A</v>
      </c>
      <c r="Q220" s="43" t="e">
        <f t="shared" si="74"/>
        <v>#N/A</v>
      </c>
      <c r="R220" s="63" t="e">
        <f t="shared" si="75"/>
        <v>#N/A</v>
      </c>
      <c r="U220" s="1601"/>
      <c r="V220" s="28">
        <v>85</v>
      </c>
      <c r="W220" s="43" t="e" cm="1">
        <f t="array" ref="W220">VLOOKUP(MAX(IF('Courbe Déflexion'!$GJ$25:$GJ$305&lt;=V220,'Courbe Déflexion'!$GJ$25:$GJ$305)),'Courbe Déflexion'!$GJ$25:$IA$305,5,0)</f>
        <v>#N/A</v>
      </c>
      <c r="X220" s="43">
        <f>VLOOKUP(X$84,'Infos Techniques'!$B$7:$E$12,3,0)/($V220*$X$39/12)</f>
        <v>3.3217993079584773</v>
      </c>
      <c r="Y220" s="43">
        <f>VLOOKUP(Y$84,'Infos Techniques'!$B$7:$E$12,3,0)/($V220*$X$39/12)</f>
        <v>2.2920415224913495</v>
      </c>
      <c r="Z220" s="43">
        <f>VLOOKUP(Z$84,'Infos Techniques'!$B$7:$E$12,3,0)/($V220*$X$39/12)</f>
        <v>1.9266435986159169</v>
      </c>
      <c r="AA220" s="43">
        <f>VLOOKUP(AA$84,'Infos Techniques'!$B$7:$E$12,3,0)/($V220*$X$39/12)</f>
        <v>1.3752249134948096</v>
      </c>
      <c r="AB220" s="43">
        <f>VLOOKUP(AB$84,'Infos Techniques'!$B$7:$E$12,3,0)/($V220*$X$39/12)</f>
        <v>1.0995155709342559</v>
      </c>
      <c r="AC220" s="43">
        <f>VLOOKUP(AC$84,'Infos Techniques'!$B$7:$E$12,2,0)/($V220*$X$39/12)</f>
        <v>3.9861591695501728</v>
      </c>
      <c r="AD220" s="43">
        <f>VLOOKUP(AD$84,'Infos Techniques'!$B$7:$E$12,2,0)/($V220*$X$39/12)</f>
        <v>3.9861591695501728</v>
      </c>
      <c r="AE220" s="43">
        <f>VLOOKUP(AE$84,'Infos Techniques'!$B$7:$E$12,2,0)/($V220*$X$39/12)</f>
        <v>3.8532871972318339</v>
      </c>
      <c r="AF220" s="43">
        <f>VLOOKUP(AF$84,'Infos Techniques'!$B$7:$E$12,2,0)/($V220*$X$39/12)</f>
        <v>2.7537716262975778</v>
      </c>
      <c r="AG220" s="43">
        <f>VLOOKUP(AG$84,'Infos Techniques'!$B$7:$E$12,2,0)/($V220*$X$39/12)</f>
        <v>2.2023529411764704</v>
      </c>
      <c r="AH220" s="43">
        <f>VLOOKUP(AH$84,'Infos Techniques'!$B$7:$E$12,4,0)/($V220*$X$39/12)</f>
        <v>4.9826989619377162</v>
      </c>
      <c r="AI220" s="43">
        <f>VLOOKUP(AI$84,'Infos Techniques'!$B$7:$E$12,4,0)/($V220*$X$39/12)</f>
        <v>4.9826989619377162</v>
      </c>
      <c r="AJ220" s="43">
        <f>VLOOKUP(AJ$84,'Infos Techniques'!$B$7:$E$12,4,0)/($V220*$X$39/12)</f>
        <v>4.9826989619377162</v>
      </c>
      <c r="AK220" s="247">
        <f>VLOOKUP(AK$84,'Infos Techniques'!$B$7:$E$12,4,0)/($V220*$X$39/12)</f>
        <v>2.7537716262975778</v>
      </c>
      <c r="AL220" s="248">
        <f>VLOOKUP(AL$84,'Infos Techniques'!$B$7:$E$12,4,0)/($V220*$X$39/12)</f>
        <v>2.2023529411764704</v>
      </c>
    </row>
    <row r="221" spans="2:38">
      <c r="B221" s="1849"/>
      <c r="C221" s="70">
        <v>90</v>
      </c>
      <c r="D221" s="76" t="e">
        <f t="shared" si="61"/>
        <v>#N/A</v>
      </c>
      <c r="E221" s="43" t="e">
        <f t="shared" si="62"/>
        <v>#N/A</v>
      </c>
      <c r="F221" s="43" t="e">
        <f t="shared" si="63"/>
        <v>#N/A</v>
      </c>
      <c r="G221" s="43" t="e">
        <f t="shared" si="64"/>
        <v>#N/A</v>
      </c>
      <c r="H221" s="43" t="e">
        <f t="shared" si="65"/>
        <v>#N/A</v>
      </c>
      <c r="I221" s="43" t="e">
        <f t="shared" si="66"/>
        <v>#N/A</v>
      </c>
      <c r="J221" s="43" t="e">
        <f t="shared" si="67"/>
        <v>#N/A</v>
      </c>
      <c r="K221" s="43" t="e">
        <f t="shared" si="68"/>
        <v>#N/A</v>
      </c>
      <c r="L221" s="43" t="e">
        <f t="shared" si="69"/>
        <v>#N/A</v>
      </c>
      <c r="M221" s="43" t="e">
        <f t="shared" si="70"/>
        <v>#N/A</v>
      </c>
      <c r="N221" s="43" t="e">
        <f t="shared" si="71"/>
        <v>#N/A</v>
      </c>
      <c r="O221" s="43" t="e">
        <f t="shared" si="72"/>
        <v>#N/A</v>
      </c>
      <c r="P221" s="43" t="e">
        <f t="shared" si="73"/>
        <v>#N/A</v>
      </c>
      <c r="Q221" s="43" t="e">
        <f t="shared" si="74"/>
        <v>#N/A</v>
      </c>
      <c r="R221" s="63" t="e">
        <f t="shared" si="75"/>
        <v>#N/A</v>
      </c>
      <c r="U221" s="1601"/>
      <c r="V221" s="28">
        <v>90</v>
      </c>
      <c r="W221" s="43" t="e" cm="1">
        <f t="array" ref="W221">VLOOKUP(MAX(IF('Courbe Déflexion'!$GJ$25:$GJ$305&lt;=V221,'Courbe Déflexion'!$GJ$25:$GJ$305)),'Courbe Déflexion'!$GJ$25:$IA$305,5,0)</f>
        <v>#N/A</v>
      </c>
      <c r="X221" s="43">
        <f>VLOOKUP(X$84,'Infos Techniques'!$B$7:$E$12,3,0)/($V221*$X$39/12)</f>
        <v>3.1372549019607843</v>
      </c>
      <c r="Y221" s="43">
        <f>VLOOKUP(Y$84,'Infos Techniques'!$B$7:$E$12,3,0)/($V221*$X$39/12)</f>
        <v>2.164705882352941</v>
      </c>
      <c r="Z221" s="43">
        <f>VLOOKUP(Z$84,'Infos Techniques'!$B$7:$E$12,3,0)/($V221*$X$39/12)</f>
        <v>1.8196078431372549</v>
      </c>
      <c r="AA221" s="43">
        <f>VLOOKUP(AA$84,'Infos Techniques'!$B$7:$E$12,3,0)/($V221*$X$39/12)</f>
        <v>1.2988235294117647</v>
      </c>
      <c r="AB221" s="43">
        <f>VLOOKUP(AB$84,'Infos Techniques'!$B$7:$E$12,3,0)/($V221*$X$39/12)</f>
        <v>1.0384313725490195</v>
      </c>
      <c r="AC221" s="43">
        <f>VLOOKUP(AC$84,'Infos Techniques'!$B$7:$E$12,2,0)/($V221*$X$39/12)</f>
        <v>3.7647058823529411</v>
      </c>
      <c r="AD221" s="43">
        <f>VLOOKUP(AD$84,'Infos Techniques'!$B$7:$E$12,2,0)/($V221*$X$39/12)</f>
        <v>3.7647058823529411</v>
      </c>
      <c r="AE221" s="43">
        <f>VLOOKUP(AE$84,'Infos Techniques'!$B$7:$E$12,2,0)/($V221*$X$39/12)</f>
        <v>3.6392156862745098</v>
      </c>
      <c r="AF221" s="43">
        <f>VLOOKUP(AF$84,'Infos Techniques'!$B$7:$E$12,2,0)/($V221*$X$39/12)</f>
        <v>2.60078431372549</v>
      </c>
      <c r="AG221" s="43">
        <f>VLOOKUP(AG$84,'Infos Techniques'!$B$7:$E$12,2,0)/($V221*$X$39/12)</f>
        <v>2.08</v>
      </c>
      <c r="AH221" s="43">
        <f>VLOOKUP(AH$84,'Infos Techniques'!$B$7:$E$12,4,0)/($V221*$X$39/12)</f>
        <v>4.7058823529411766</v>
      </c>
      <c r="AI221" s="43">
        <f>VLOOKUP(AI$84,'Infos Techniques'!$B$7:$E$12,4,0)/($V221*$X$39/12)</f>
        <v>4.7058823529411766</v>
      </c>
      <c r="AJ221" s="43">
        <f>VLOOKUP(AJ$84,'Infos Techniques'!$B$7:$E$12,4,0)/($V221*$X$39/12)</f>
        <v>4.7058823529411766</v>
      </c>
      <c r="AK221" s="247">
        <f>VLOOKUP(AK$84,'Infos Techniques'!$B$7:$E$12,4,0)/($V221*$X$39/12)</f>
        <v>2.60078431372549</v>
      </c>
      <c r="AL221" s="248">
        <f>VLOOKUP(AL$84,'Infos Techniques'!$B$7:$E$12,4,0)/($V221*$X$39/12)</f>
        <v>2.08</v>
      </c>
    </row>
    <row r="222" spans="2:38">
      <c r="B222" s="1849"/>
      <c r="C222" s="70">
        <v>95</v>
      </c>
      <c r="D222" s="76" t="e">
        <f t="shared" si="61"/>
        <v>#N/A</v>
      </c>
      <c r="E222" s="43" t="e">
        <f t="shared" si="62"/>
        <v>#N/A</v>
      </c>
      <c r="F222" s="43" t="e">
        <f t="shared" si="63"/>
        <v>#N/A</v>
      </c>
      <c r="G222" s="43" t="e">
        <f t="shared" si="64"/>
        <v>#N/A</v>
      </c>
      <c r="H222" s="43" t="e">
        <f t="shared" si="65"/>
        <v>#N/A</v>
      </c>
      <c r="I222" s="43" t="e">
        <f t="shared" si="66"/>
        <v>#N/A</v>
      </c>
      <c r="J222" s="43" t="e">
        <f t="shared" si="67"/>
        <v>#N/A</v>
      </c>
      <c r="K222" s="43" t="e">
        <f t="shared" si="68"/>
        <v>#N/A</v>
      </c>
      <c r="L222" s="43" t="e">
        <f t="shared" si="69"/>
        <v>#N/A</v>
      </c>
      <c r="M222" s="43" t="e">
        <f t="shared" si="70"/>
        <v>#N/A</v>
      </c>
      <c r="N222" s="43" t="e">
        <f t="shared" si="71"/>
        <v>#N/A</v>
      </c>
      <c r="O222" s="43" t="e">
        <f t="shared" si="72"/>
        <v>#N/A</v>
      </c>
      <c r="P222" s="43" t="e">
        <f t="shared" si="73"/>
        <v>#N/A</v>
      </c>
      <c r="Q222" s="43" t="e">
        <f t="shared" si="74"/>
        <v>#N/A</v>
      </c>
      <c r="R222" s="63" t="e">
        <f t="shared" si="75"/>
        <v>#N/A</v>
      </c>
      <c r="U222" s="1601"/>
      <c r="V222" s="28">
        <v>95</v>
      </c>
      <c r="W222" s="43" t="e" cm="1">
        <f t="array" ref="W222">VLOOKUP(MAX(IF('Courbe Déflexion'!$GJ$25:$GJ$305&lt;=V222,'Courbe Déflexion'!$GJ$25:$GJ$305)),'Courbe Déflexion'!$GJ$25:$IA$305,5,0)</f>
        <v>#N/A</v>
      </c>
      <c r="X222" s="43">
        <f>VLOOKUP(X$84,'Infos Techniques'!$B$7:$E$12,3,0)/($V222*$X$39/12)</f>
        <v>2.9721362229102168</v>
      </c>
      <c r="Y222" s="43">
        <f>VLOOKUP(Y$84,'Infos Techniques'!$B$7:$E$12,3,0)/($V222*$X$39/12)</f>
        <v>2.0507739938080496</v>
      </c>
      <c r="Z222" s="43">
        <f>VLOOKUP(Z$84,'Infos Techniques'!$B$7:$E$12,3,0)/($V222*$X$39/12)</f>
        <v>1.7238390092879259</v>
      </c>
      <c r="AA222" s="43">
        <f>VLOOKUP(AA$84,'Infos Techniques'!$B$7:$E$12,3,0)/($V222*$X$39/12)</f>
        <v>1.2304643962848298</v>
      </c>
      <c r="AB222" s="43">
        <f>VLOOKUP(AB$84,'Infos Techniques'!$B$7:$E$12,3,0)/($V222*$X$39/12)</f>
        <v>0.98377708978328182</v>
      </c>
      <c r="AC222" s="43">
        <f>VLOOKUP(AC$84,'Infos Techniques'!$B$7:$E$12,2,0)/($V222*$X$39/12)</f>
        <v>3.5665634674922604</v>
      </c>
      <c r="AD222" s="43">
        <f>VLOOKUP(AD$84,'Infos Techniques'!$B$7:$E$12,2,0)/($V222*$X$39/12)</f>
        <v>3.5665634674922604</v>
      </c>
      <c r="AE222" s="43">
        <f>VLOOKUP(AE$84,'Infos Techniques'!$B$7:$E$12,2,0)/($V222*$X$39/12)</f>
        <v>3.4476780185758518</v>
      </c>
      <c r="AF222" s="43">
        <f>VLOOKUP(AF$84,'Infos Techniques'!$B$7:$E$12,2,0)/($V222*$X$39/12)</f>
        <v>2.4639009287925697</v>
      </c>
      <c r="AG222" s="43">
        <f>VLOOKUP(AG$84,'Infos Techniques'!$B$7:$E$12,2,0)/($V222*$X$39/12)</f>
        <v>1.9705263157894739</v>
      </c>
      <c r="AH222" s="43">
        <f>VLOOKUP(AH$84,'Infos Techniques'!$B$7:$E$12,4,0)/($V222*$X$39/12)</f>
        <v>4.458204334365325</v>
      </c>
      <c r="AI222" s="43">
        <f>VLOOKUP(AI$84,'Infos Techniques'!$B$7:$E$12,4,0)/($V222*$X$39/12)</f>
        <v>4.458204334365325</v>
      </c>
      <c r="AJ222" s="43">
        <f>VLOOKUP(AJ$84,'Infos Techniques'!$B$7:$E$12,4,0)/($V222*$X$39/12)</f>
        <v>4.458204334365325</v>
      </c>
      <c r="AK222" s="247">
        <f>VLOOKUP(AK$84,'Infos Techniques'!$B$7:$E$12,4,0)/($V222*$X$39/12)</f>
        <v>2.4639009287925697</v>
      </c>
      <c r="AL222" s="248">
        <f>VLOOKUP(AL$84,'Infos Techniques'!$B$7:$E$12,4,0)/($V222*$X$39/12)</f>
        <v>1.9705263157894739</v>
      </c>
    </row>
    <row r="223" spans="2:38" ht="15" thickBot="1">
      <c r="B223" s="1850"/>
      <c r="C223" s="73">
        <v>100</v>
      </c>
      <c r="D223" s="79" t="e">
        <f t="shared" si="61"/>
        <v>#N/A</v>
      </c>
      <c r="E223" s="45" t="e">
        <f t="shared" si="62"/>
        <v>#N/A</v>
      </c>
      <c r="F223" s="45" t="e">
        <f t="shared" si="63"/>
        <v>#N/A</v>
      </c>
      <c r="G223" s="45" t="e">
        <f t="shared" si="64"/>
        <v>#N/A</v>
      </c>
      <c r="H223" s="45" t="e">
        <f t="shared" si="65"/>
        <v>#N/A</v>
      </c>
      <c r="I223" s="45" t="e">
        <f t="shared" si="66"/>
        <v>#N/A</v>
      </c>
      <c r="J223" s="45" t="e">
        <f t="shared" si="67"/>
        <v>#N/A</v>
      </c>
      <c r="K223" s="45" t="e">
        <f t="shared" si="68"/>
        <v>#N/A</v>
      </c>
      <c r="L223" s="45" t="e">
        <f t="shared" si="69"/>
        <v>#N/A</v>
      </c>
      <c r="M223" s="45" t="e">
        <f t="shared" si="70"/>
        <v>#N/A</v>
      </c>
      <c r="N223" s="45" t="e">
        <f t="shared" si="71"/>
        <v>#N/A</v>
      </c>
      <c r="O223" s="45" t="e">
        <f t="shared" si="72"/>
        <v>#N/A</v>
      </c>
      <c r="P223" s="45" t="e">
        <f t="shared" si="73"/>
        <v>#N/A</v>
      </c>
      <c r="Q223" s="45" t="e">
        <f t="shared" si="74"/>
        <v>#N/A</v>
      </c>
      <c r="R223" s="66" t="e">
        <f t="shared" si="75"/>
        <v>#N/A</v>
      </c>
      <c r="U223" s="1602"/>
      <c r="V223" s="44">
        <v>100</v>
      </c>
      <c r="W223" s="45" t="e" cm="1">
        <f t="array" ref="W223">VLOOKUP(MAX(IF('Courbe Déflexion'!$GJ$25:$GJ$305&lt;=V223,'Courbe Déflexion'!$GJ$25:$GJ$305)),'Courbe Déflexion'!$GJ$25:$IA$305,5,0)</f>
        <v>#N/A</v>
      </c>
      <c r="X223" s="45">
        <f>VLOOKUP(X$84,'Infos Techniques'!$B$7:$E$12,3,0)/($V223*$X$39/12)</f>
        <v>2.8235294117647056</v>
      </c>
      <c r="Y223" s="45">
        <f>VLOOKUP(Y$84,'Infos Techniques'!$B$7:$E$12,3,0)/($V223*$X$39/12)</f>
        <v>1.9482352941176471</v>
      </c>
      <c r="Z223" s="45">
        <f>VLOOKUP(Z$84,'Infos Techniques'!$B$7:$E$12,3,0)/($V223*$X$39/12)</f>
        <v>1.6376470588235292</v>
      </c>
      <c r="AA223" s="45">
        <f>VLOOKUP(AA$84,'Infos Techniques'!$B$7:$E$12,3,0)/($V223*$X$39/12)</f>
        <v>1.1689411764705882</v>
      </c>
      <c r="AB223" s="45">
        <f>VLOOKUP(AB$84,'Infos Techniques'!$B$7:$E$12,3,0)/($V223*$X$39/12)</f>
        <v>0.93458823529411761</v>
      </c>
      <c r="AC223" s="45">
        <f>VLOOKUP(AC$84,'Infos Techniques'!$B$7:$E$12,2,0)/($V223*$X$39/12)</f>
        <v>3.388235294117647</v>
      </c>
      <c r="AD223" s="45">
        <f>VLOOKUP(AD$84,'Infos Techniques'!$B$7:$E$12,2,0)/($V223*$X$39/12)</f>
        <v>3.388235294117647</v>
      </c>
      <c r="AE223" s="45">
        <f>VLOOKUP(AE$84,'Infos Techniques'!$B$7:$E$12,2,0)/($V223*$X$39/12)</f>
        <v>3.2752941176470585</v>
      </c>
      <c r="AF223" s="45">
        <f>VLOOKUP(AF$84,'Infos Techniques'!$B$7:$E$12,2,0)/($V223*$X$39/12)</f>
        <v>2.3407058823529412</v>
      </c>
      <c r="AG223" s="45">
        <f>VLOOKUP(AG$84,'Infos Techniques'!$B$7:$E$12,2,0)/($V223*$X$39/12)</f>
        <v>1.8719999999999999</v>
      </c>
      <c r="AH223" s="249">
        <f>VLOOKUP(AH$84,'Infos Techniques'!$B$7:$E$12,4,0)/($V223*$X$39/12)</f>
        <v>4.2352941176470589</v>
      </c>
      <c r="AI223" s="45">
        <f>VLOOKUP(AI$84,'Infos Techniques'!$B$7:$E$12,4,0)/($V223*$X$39/12)</f>
        <v>4.2352941176470589</v>
      </c>
      <c r="AJ223" s="45">
        <f>VLOOKUP(AJ$84,'Infos Techniques'!$B$7:$E$12,4,0)/($V223*$X$39/12)</f>
        <v>4.2352941176470589</v>
      </c>
      <c r="AK223" s="250">
        <f>VLOOKUP(AK$84,'Infos Techniques'!$B$7:$E$12,4,0)/($V223*$X$39/12)</f>
        <v>2.3407058823529412</v>
      </c>
      <c r="AL223" s="251">
        <f>VLOOKUP(AL$84,'Infos Techniques'!$B$7:$E$12,4,0)/($V223*$X$39/12)</f>
        <v>1.8719999999999999</v>
      </c>
    </row>
    <row r="224" spans="2:38" ht="15" thickTop="1"/>
    <row r="241" spans="1:38" ht="25.9">
      <c r="A241" s="1802" t="s">
        <v>1677</v>
      </c>
      <c r="B241" s="1802"/>
      <c r="C241" s="1802"/>
      <c r="D241" s="1802"/>
      <c r="E241" s="1802"/>
      <c r="F241" s="1802"/>
      <c r="G241" s="1802"/>
      <c r="H241" s="1802"/>
      <c r="I241" s="1802"/>
      <c r="J241" s="1802"/>
      <c r="K241" s="1802"/>
      <c r="L241" s="1802"/>
      <c r="M241" s="1802"/>
      <c r="N241" s="1802"/>
      <c r="O241" s="264"/>
      <c r="P241" s="264"/>
      <c r="Q241" s="264"/>
      <c r="R241" s="264"/>
    </row>
    <row r="242" spans="1:38" ht="25.9">
      <c r="B242" s="262"/>
      <c r="C242" s="263"/>
      <c r="D242" s="263"/>
      <c r="E242" s="263"/>
      <c r="F242" s="263"/>
      <c r="G242" s="263"/>
      <c r="H242" s="263"/>
      <c r="I242" s="263"/>
      <c r="J242" s="263"/>
      <c r="K242" s="263"/>
      <c r="L242" s="263"/>
      <c r="M242" s="263"/>
      <c r="N242" s="263"/>
      <c r="O242" s="263"/>
      <c r="P242" s="263"/>
      <c r="Q242" s="263"/>
      <c r="R242" s="263"/>
    </row>
    <row r="243" spans="1:38" ht="26.45" thickBot="1">
      <c r="B243" s="1803" t="s">
        <v>1662</v>
      </c>
      <c r="C243" s="1803"/>
      <c r="D243" s="1803"/>
      <c r="E243" s="1803"/>
      <c r="F243" s="1803"/>
      <c r="G243" s="1803"/>
      <c r="H243" s="1803"/>
      <c r="I243" s="1803"/>
      <c r="J243" s="1803"/>
      <c r="K243" s="1803"/>
      <c r="L243" s="1803"/>
      <c r="M243" s="1803"/>
      <c r="N243" s="264"/>
      <c r="O243" s="264"/>
      <c r="P243" s="264"/>
      <c r="Q243" s="264"/>
      <c r="R243" s="264"/>
    </row>
    <row r="244" spans="1:38" ht="15.6" thickTop="1" thickBot="1">
      <c r="U244" s="1808"/>
      <c r="V244" s="1809"/>
      <c r="W244" s="1606" t="s">
        <v>315</v>
      </c>
      <c r="X244" s="1606" t="s">
        <v>263</v>
      </c>
      <c r="Y244" s="1606"/>
      <c r="Z244" s="1606"/>
      <c r="AA244" s="1606"/>
      <c r="AB244" s="1606"/>
      <c r="AC244" s="1606"/>
      <c r="AD244" s="1606"/>
      <c r="AE244" s="1606"/>
      <c r="AF244" s="1606"/>
      <c r="AG244" s="1606"/>
      <c r="AH244" s="1606"/>
      <c r="AI244" s="1606"/>
      <c r="AJ244" s="1606"/>
      <c r="AK244" s="1606"/>
      <c r="AL244" s="1832"/>
    </row>
    <row r="245" spans="1:38" ht="22.15" thickTop="1" thickBot="1">
      <c r="B245" s="1812"/>
      <c r="C245" s="1813"/>
      <c r="D245" s="1817" t="s">
        <v>263</v>
      </c>
      <c r="E245" s="1818"/>
      <c r="F245" s="1818"/>
      <c r="G245" s="1818"/>
      <c r="H245" s="1818"/>
      <c r="I245" s="1818"/>
      <c r="J245" s="1818"/>
      <c r="K245" s="1818"/>
      <c r="L245" s="1818"/>
      <c r="M245" s="1818"/>
      <c r="N245" s="278"/>
      <c r="O245" s="279"/>
      <c r="P245" s="279"/>
      <c r="Q245" s="279"/>
      <c r="R245" s="279"/>
      <c r="U245" s="1810"/>
      <c r="V245" s="1811"/>
      <c r="W245" s="1571"/>
      <c r="X245" s="54"/>
      <c r="Y245" s="55"/>
      <c r="Z245" s="55"/>
      <c r="AA245" s="55"/>
      <c r="AB245" s="56"/>
      <c r="AC245" s="54"/>
      <c r="AD245" s="55"/>
      <c r="AE245" s="55"/>
      <c r="AF245" s="55"/>
      <c r="AG245" s="56"/>
      <c r="AH245" s="54"/>
      <c r="AI245" s="55"/>
      <c r="AJ245" s="55"/>
      <c r="AK245" s="55"/>
      <c r="AL245" s="57"/>
    </row>
    <row r="246" spans="1:38" ht="16.149999999999999" thickBot="1">
      <c r="B246" s="1814"/>
      <c r="C246" s="1397"/>
      <c r="D246" s="1820" t="s">
        <v>321</v>
      </c>
      <c r="E246" s="1821"/>
      <c r="F246" s="1821"/>
      <c r="G246" s="1821"/>
      <c r="H246" s="1822"/>
      <c r="I246" s="1823" t="s">
        <v>322</v>
      </c>
      <c r="J246" s="1821"/>
      <c r="K246" s="1821"/>
      <c r="L246" s="1821"/>
      <c r="M246" s="1821"/>
      <c r="N246" s="285"/>
      <c r="O246" s="283"/>
      <c r="P246" s="283"/>
      <c r="Q246" s="283"/>
      <c r="R246" s="283"/>
      <c r="U246" s="1646"/>
      <c r="V246" s="1113"/>
      <c r="W246" s="1603"/>
      <c r="X246" s="1833" t="s">
        <v>1663</v>
      </c>
      <c r="Y246" s="1834"/>
      <c r="Z246" s="1834"/>
      <c r="AA246" s="1834"/>
      <c r="AB246" s="1835"/>
      <c r="AC246" s="1833" t="s">
        <v>321</v>
      </c>
      <c r="AD246" s="1834"/>
      <c r="AE246" s="1834"/>
      <c r="AF246" s="1834"/>
      <c r="AG246" s="1835"/>
      <c r="AH246" s="1833" t="s">
        <v>322</v>
      </c>
      <c r="AI246" s="1834"/>
      <c r="AJ246" s="1834"/>
      <c r="AK246" s="1834"/>
      <c r="AL246" s="1836"/>
    </row>
    <row r="247" spans="1:38" ht="18" thickTop="1">
      <c r="B247" s="1814"/>
      <c r="C247" s="1397"/>
      <c r="D247" s="1825" t="s">
        <v>1664</v>
      </c>
      <c r="E247" s="1826"/>
      <c r="F247" s="1826"/>
      <c r="G247" s="1826"/>
      <c r="H247" s="1827"/>
      <c r="I247" s="1825" t="s">
        <v>1664</v>
      </c>
      <c r="J247" s="1826"/>
      <c r="K247" s="1826"/>
      <c r="L247" s="1826"/>
      <c r="M247" s="1826"/>
      <c r="N247" s="286"/>
      <c r="O247" s="284"/>
      <c r="P247" s="284"/>
      <c r="Q247" s="284"/>
      <c r="R247" s="284"/>
      <c r="U247" s="1646"/>
      <c r="V247" s="1113"/>
      <c r="W247" s="29"/>
      <c r="X247" s="237"/>
      <c r="Y247" s="80"/>
      <c r="Z247" s="80"/>
      <c r="AA247" s="80"/>
      <c r="AB247" s="239"/>
      <c r="AC247" s="237"/>
      <c r="AD247" s="80"/>
      <c r="AE247" s="80"/>
      <c r="AF247" s="80"/>
      <c r="AG247" s="239"/>
      <c r="AH247" s="237"/>
      <c r="AI247" s="80"/>
      <c r="AJ247" s="80"/>
      <c r="AK247" s="80"/>
      <c r="AL247" s="238"/>
    </row>
    <row r="248" spans="1:38" ht="14.45" customHeight="1" thickBot="1">
      <c r="B248" s="1815"/>
      <c r="C248" s="1816"/>
      <c r="D248" s="49" t="s">
        <v>1665</v>
      </c>
      <c r="E248" s="50" t="s">
        <v>1666</v>
      </c>
      <c r="F248" s="50" t="s">
        <v>1667</v>
      </c>
      <c r="G248" s="50" t="s">
        <v>1668</v>
      </c>
      <c r="H248" s="52" t="s">
        <v>1669</v>
      </c>
      <c r="I248" s="49" t="s">
        <v>1670</v>
      </c>
      <c r="J248" s="50" t="s">
        <v>1666</v>
      </c>
      <c r="K248" s="50" t="s">
        <v>1667</v>
      </c>
      <c r="L248" s="50" t="s">
        <v>1668</v>
      </c>
      <c r="M248" s="52" t="s">
        <v>1669</v>
      </c>
      <c r="N248" s="287"/>
      <c r="O248" s="129"/>
      <c r="P248" s="129"/>
      <c r="Q248" s="129"/>
      <c r="R248" s="129"/>
      <c r="U248" s="1646"/>
      <c r="V248" s="1113"/>
      <c r="W248" s="29" t="s">
        <v>333</v>
      </c>
      <c r="X248" s="28">
        <v>0.1875</v>
      </c>
      <c r="Y248" s="28" t="s">
        <v>334</v>
      </c>
      <c r="Z248" s="28" t="s">
        <v>335</v>
      </c>
      <c r="AA248" s="28" t="s">
        <v>336</v>
      </c>
      <c r="AB248" s="28" t="s">
        <v>337</v>
      </c>
      <c r="AC248" s="28">
        <v>0.1875</v>
      </c>
      <c r="AD248" s="28" t="s">
        <v>334</v>
      </c>
      <c r="AE248" s="28" t="s">
        <v>335</v>
      </c>
      <c r="AF248" s="28" t="s">
        <v>336</v>
      </c>
      <c r="AG248" s="28" t="s">
        <v>337</v>
      </c>
      <c r="AH248" s="28">
        <v>0.1875</v>
      </c>
      <c r="AI248" s="28" t="s">
        <v>334</v>
      </c>
      <c r="AJ248" s="28" t="s">
        <v>335</v>
      </c>
      <c r="AK248" s="28" t="s">
        <v>336</v>
      </c>
      <c r="AL248" s="40" t="s">
        <v>337</v>
      </c>
    </row>
    <row r="249" spans="1:38" ht="14.45" customHeight="1">
      <c r="B249" s="1829" t="s">
        <v>1671</v>
      </c>
      <c r="C249" s="69">
        <v>5</v>
      </c>
      <c r="D249" s="59">
        <f t="shared" ref="D249:D267" si="76">MIN($X$41,AC249,$W249)</f>
        <v>12</v>
      </c>
      <c r="E249" s="59">
        <f t="shared" ref="E249:E267" si="77">MIN($X$41,AD249,$W249)</f>
        <v>12</v>
      </c>
      <c r="F249" s="59">
        <f t="shared" ref="F249:F267" si="78">MIN($X$41,AE249,$W249)</f>
        <v>12</v>
      </c>
      <c r="G249" s="59">
        <f t="shared" ref="G249:G267" si="79">MIN($X$41,AF249,$W249)</f>
        <v>12</v>
      </c>
      <c r="H249" s="59">
        <f t="shared" ref="H249:H268" si="80">MIN($X$41,AG249,$W249)</f>
        <v>12</v>
      </c>
      <c r="I249" s="59">
        <f t="shared" ref="I249:I267" si="81">MIN($X$41,AH249,$W249)</f>
        <v>12</v>
      </c>
      <c r="J249" s="59">
        <f t="shared" ref="J249:J267" si="82">MIN($X$41,AI249,$W249)</f>
        <v>12</v>
      </c>
      <c r="K249" s="59">
        <f t="shared" ref="K249:K267" si="83">MIN($X$41,AJ249,$W249)</f>
        <v>12</v>
      </c>
      <c r="L249" s="59">
        <f t="shared" ref="L249:L267" si="84">MIN($X$41,AK249,$W249)</f>
        <v>12</v>
      </c>
      <c r="M249" s="280">
        <f t="shared" ref="M249:M268" si="85">MIN($X$41,AL249,$W249)</f>
        <v>12</v>
      </c>
      <c r="N249" s="288"/>
      <c r="O249" s="17"/>
      <c r="P249" s="17"/>
      <c r="Q249" s="17"/>
      <c r="R249" s="17"/>
      <c r="U249" s="1601" t="s">
        <v>314</v>
      </c>
      <c r="V249" s="28">
        <v>5</v>
      </c>
      <c r="W249" s="43" t="s">
        <v>1674</v>
      </c>
      <c r="X249" s="276"/>
      <c r="Y249" s="276"/>
      <c r="Z249" s="276"/>
      <c r="AA249" s="276"/>
      <c r="AB249" s="276"/>
      <c r="AC249" s="43">
        <f>VLOOKUP(AC$84,'Infos Techniques'!$B$7:$H$12,5,0)/($V249*$X$39/12)</f>
        <v>42.352941176470594</v>
      </c>
      <c r="AD249" s="43">
        <f>VLOOKUP(AD$84,'Infos Techniques'!$B$7:$H$12,5,0)/($V249*$X$39/12)</f>
        <v>42.352941176470594</v>
      </c>
      <c r="AE249" s="43">
        <f>VLOOKUP(AE$84,'Infos Techniques'!$B$7:$H$12,5,0)/($V249*$X$39/12)</f>
        <v>42.352941176470594</v>
      </c>
      <c r="AF249" s="43">
        <f>VLOOKUP(AF$84,'Infos Techniques'!$B$7:$H$12,5,0)/($V249*$X$39/12)</f>
        <v>42.352941176470594</v>
      </c>
      <c r="AG249" s="43">
        <f>VLOOKUP(AG$84,'Infos Techniques'!$B$7:$H$12,5,0)/($V249*$X$39/12)</f>
        <v>37.440000000000005</v>
      </c>
      <c r="AH249" s="43">
        <f>VLOOKUP(AH$84,'Infos Techniques'!$B$7:$H$12,7,0)/($V249*$X$39/12)</f>
        <v>56.470588235294123</v>
      </c>
      <c r="AI249" s="43">
        <f>VLOOKUP(AI$84,'Infos Techniques'!$B$7:$H$12,7,0)/($V249*$X$39/12)</f>
        <v>56.470588235294123</v>
      </c>
      <c r="AJ249" s="43">
        <f>VLOOKUP(AJ$84,'Infos Techniques'!$B$7:$H$12,7,0)/($V249*$X$39/12)</f>
        <v>56.470588235294123</v>
      </c>
      <c r="AK249" s="43">
        <f>VLOOKUP(AK$84,'Infos Techniques'!$B$7:$H$12,7,0)/($V249*$X$39/12)</f>
        <v>42.352941176470594</v>
      </c>
      <c r="AL249" s="63">
        <f>VLOOKUP(AL$84,'Infos Techniques'!$B$7:$H$12,7,0)/($V249*$X$39/12)</f>
        <v>37.440000000000005</v>
      </c>
    </row>
    <row r="250" spans="1:38">
      <c r="B250" s="1830"/>
      <c r="C250" s="70">
        <v>10</v>
      </c>
      <c r="D250" s="43" t="e">
        <f t="shared" si="76"/>
        <v>#REF!</v>
      </c>
      <c r="E250" s="43" t="e">
        <f t="shared" si="77"/>
        <v>#REF!</v>
      </c>
      <c r="F250" s="43" t="e">
        <f t="shared" si="78"/>
        <v>#REF!</v>
      </c>
      <c r="G250" s="43" t="e">
        <f t="shared" si="79"/>
        <v>#REF!</v>
      </c>
      <c r="H250" s="43" t="e">
        <f t="shared" si="80"/>
        <v>#REF!</v>
      </c>
      <c r="I250" s="43" t="e">
        <f t="shared" si="81"/>
        <v>#REF!</v>
      </c>
      <c r="J250" s="43" t="e">
        <f t="shared" si="82"/>
        <v>#REF!</v>
      </c>
      <c r="K250" s="43" t="e">
        <f t="shared" si="83"/>
        <v>#REF!</v>
      </c>
      <c r="L250" s="43" t="e">
        <f t="shared" si="84"/>
        <v>#REF!</v>
      </c>
      <c r="M250" s="281" t="e">
        <f t="shared" si="85"/>
        <v>#REF!</v>
      </c>
      <c r="N250" s="288"/>
      <c r="O250" s="17"/>
      <c r="P250" s="17"/>
      <c r="Q250" s="17"/>
      <c r="R250" s="17"/>
      <c r="U250" s="1601"/>
      <c r="V250" s="28">
        <v>10</v>
      </c>
      <c r="W250" s="43" t="e" cm="1">
        <f t="array" ref="W250">VLOOKUP(MAX(IF('Courbe Déflexion'!$GK$5:$GK$285&lt;=V250,'Courbe Déflexion'!$GK$5:$GK$285)),'Courbe Déflexion'!#REF!,4,0)</f>
        <v>#REF!</v>
      </c>
      <c r="X250" s="276"/>
      <c r="Y250" s="276"/>
      <c r="Z250" s="276"/>
      <c r="AA250" s="276"/>
      <c r="AB250" s="276"/>
      <c r="AC250" s="43">
        <f>VLOOKUP(AC$84,'Infos Techniques'!$B$7:$H$12,5,0)/($V250*$X$39/12)</f>
        <v>21.176470588235297</v>
      </c>
      <c r="AD250" s="43">
        <f>VLOOKUP(AD$84,'Infos Techniques'!$B$7:$H$12,5,0)/($V250*$X$39/12)</f>
        <v>21.176470588235297</v>
      </c>
      <c r="AE250" s="43">
        <f>VLOOKUP(AE$84,'Infos Techniques'!$B$7:$H$12,5,0)/($V250*$X$39/12)</f>
        <v>21.176470588235297</v>
      </c>
      <c r="AF250" s="43">
        <f>VLOOKUP(AF$84,'Infos Techniques'!$B$7:$H$12,5,0)/($V250*$X$39/12)</f>
        <v>21.176470588235297</v>
      </c>
      <c r="AG250" s="43">
        <f>VLOOKUP(AG$84,'Infos Techniques'!$B$7:$H$12,5,0)/($V250*$X$39/12)</f>
        <v>18.720000000000002</v>
      </c>
      <c r="AH250" s="43">
        <f>VLOOKUP(AH$84,'Infos Techniques'!$B$7:$H$12,7,0)/($V250*$X$39/12)</f>
        <v>28.235294117647062</v>
      </c>
      <c r="AI250" s="43">
        <f>VLOOKUP(AI$84,'Infos Techniques'!$B$7:$H$12,7,0)/($V250*$X$39/12)</f>
        <v>28.235294117647062</v>
      </c>
      <c r="AJ250" s="43">
        <f>VLOOKUP(AJ$84,'Infos Techniques'!$B$7:$H$12,7,0)/($V250*$X$39/12)</f>
        <v>28.235294117647062</v>
      </c>
      <c r="AK250" s="43">
        <f>VLOOKUP(AK$84,'Infos Techniques'!$B$7:$H$12,7,0)/($V250*$X$39/12)</f>
        <v>21.176470588235297</v>
      </c>
      <c r="AL250" s="63">
        <f>VLOOKUP(AL$84,'Infos Techniques'!$B$7:$E$12,4,0)/($V250*$X$39/12)</f>
        <v>18.720000000000002</v>
      </c>
    </row>
    <row r="251" spans="1:38">
      <c r="B251" s="1830"/>
      <c r="C251" s="70">
        <v>15</v>
      </c>
      <c r="D251" s="43" t="e">
        <f t="shared" si="76"/>
        <v>#REF!</v>
      </c>
      <c r="E251" s="43" t="e">
        <f t="shared" si="77"/>
        <v>#REF!</v>
      </c>
      <c r="F251" s="43" t="e">
        <f t="shared" si="78"/>
        <v>#REF!</v>
      </c>
      <c r="G251" s="43" t="e">
        <f t="shared" si="79"/>
        <v>#REF!</v>
      </c>
      <c r="H251" s="43" t="e">
        <f t="shared" si="80"/>
        <v>#REF!</v>
      </c>
      <c r="I251" s="43" t="e">
        <f t="shared" si="81"/>
        <v>#REF!</v>
      </c>
      <c r="J251" s="43" t="e">
        <f t="shared" si="82"/>
        <v>#REF!</v>
      </c>
      <c r="K251" s="43" t="e">
        <f t="shared" si="83"/>
        <v>#REF!</v>
      </c>
      <c r="L251" s="43" t="e">
        <f t="shared" si="84"/>
        <v>#REF!</v>
      </c>
      <c r="M251" s="281" t="e">
        <f t="shared" si="85"/>
        <v>#REF!</v>
      </c>
      <c r="N251" s="288"/>
      <c r="O251" s="17"/>
      <c r="P251" s="17"/>
      <c r="Q251" s="17"/>
      <c r="R251" s="17"/>
      <c r="U251" s="1601"/>
      <c r="V251" s="28">
        <v>15</v>
      </c>
      <c r="W251" s="43" t="e" cm="1">
        <f t="array" ref="W251">VLOOKUP(MAX(IF('Courbe Déflexion'!$GK$5:$GK$285&lt;=V251,'Courbe Déflexion'!$GK$5:$GK$285)),'Courbe Déflexion'!#REF!,4,0)</f>
        <v>#REF!</v>
      </c>
      <c r="X251" s="276"/>
      <c r="Y251" s="276"/>
      <c r="Z251" s="276"/>
      <c r="AA251" s="276"/>
      <c r="AB251" s="276"/>
      <c r="AC251" s="43">
        <f>VLOOKUP(AC$84,'Infos Techniques'!$B$7:$H$12,5,0)/($V251*$X$39/12)</f>
        <v>14.117647058823529</v>
      </c>
      <c r="AD251" s="43">
        <f>VLOOKUP(AD$84,'Infos Techniques'!$B$7:$H$12,5,0)/($V251*$X$39/12)</f>
        <v>14.117647058823529</v>
      </c>
      <c r="AE251" s="43">
        <f>VLOOKUP(AE$84,'Infos Techniques'!$B$7:$H$12,5,0)/($V251*$X$39/12)</f>
        <v>14.117647058823529</v>
      </c>
      <c r="AF251" s="43">
        <f>VLOOKUP(AF$84,'Infos Techniques'!$B$7:$H$12,5,0)/($V251*$X$39/12)</f>
        <v>14.117647058823529</v>
      </c>
      <c r="AG251" s="43">
        <f>VLOOKUP(AG$84,'Infos Techniques'!$B$7:$H$12,5,0)/($V251*$X$39/12)</f>
        <v>12.48</v>
      </c>
      <c r="AH251" s="43">
        <f>VLOOKUP(AH$84,'Infos Techniques'!$B$7:$H$12,7,0)/($V251*$X$39/12)</f>
        <v>18.823529411764707</v>
      </c>
      <c r="AI251" s="43">
        <f>VLOOKUP(AI$84,'Infos Techniques'!$B$7:$H$12,7,0)/($V251*$X$39/12)</f>
        <v>18.823529411764707</v>
      </c>
      <c r="AJ251" s="43">
        <f>VLOOKUP(AJ$84,'Infos Techniques'!$B$7:$H$12,7,0)/($V251*$X$39/12)</f>
        <v>18.823529411764707</v>
      </c>
      <c r="AK251" s="43">
        <f>VLOOKUP(AK$84,'Infos Techniques'!$B$7:$H$12,7,0)/($V251*$X$39/12)</f>
        <v>14.117647058823529</v>
      </c>
      <c r="AL251" s="63">
        <f>VLOOKUP(AL$84,'Infos Techniques'!$B$7:$E$12,4,0)/($V251*$X$39/12)</f>
        <v>12.48</v>
      </c>
    </row>
    <row r="252" spans="1:38">
      <c r="B252" s="1830"/>
      <c r="C252" s="70">
        <v>20</v>
      </c>
      <c r="D252" s="43" t="e">
        <f t="shared" si="76"/>
        <v>#REF!</v>
      </c>
      <c r="E252" s="43" t="e">
        <f t="shared" si="77"/>
        <v>#REF!</v>
      </c>
      <c r="F252" s="43" t="e">
        <f t="shared" si="78"/>
        <v>#REF!</v>
      </c>
      <c r="G252" s="43" t="e">
        <f t="shared" si="79"/>
        <v>#REF!</v>
      </c>
      <c r="H252" s="43" t="e">
        <f t="shared" si="80"/>
        <v>#REF!</v>
      </c>
      <c r="I252" s="43" t="e">
        <f t="shared" si="81"/>
        <v>#REF!</v>
      </c>
      <c r="J252" s="43" t="e">
        <f t="shared" si="82"/>
        <v>#REF!</v>
      </c>
      <c r="K252" s="43" t="e">
        <f t="shared" si="83"/>
        <v>#REF!</v>
      </c>
      <c r="L252" s="43" t="e">
        <f t="shared" si="84"/>
        <v>#REF!</v>
      </c>
      <c r="M252" s="281" t="e">
        <f t="shared" si="85"/>
        <v>#REF!</v>
      </c>
      <c r="N252" s="288"/>
      <c r="O252" s="17"/>
      <c r="P252" s="17"/>
      <c r="Q252" s="17"/>
      <c r="R252" s="17"/>
      <c r="U252" s="1601"/>
      <c r="V252" s="28">
        <v>20</v>
      </c>
      <c r="W252" s="43" t="e" cm="1">
        <f t="array" ref="W252">VLOOKUP(MAX(IF('Courbe Déflexion'!$GK$5:$GK$285&lt;=V252,'Courbe Déflexion'!$GK$5:$GK$285)),'Courbe Déflexion'!#REF!,4,0)</f>
        <v>#REF!</v>
      </c>
      <c r="X252" s="276"/>
      <c r="Y252" s="276"/>
      <c r="Z252" s="276"/>
      <c r="AA252" s="276"/>
      <c r="AB252" s="276"/>
      <c r="AC252" s="43">
        <f>VLOOKUP(AC$84,'Infos Techniques'!$B$7:$H$12,5,0)/($V252*$X$39/12)</f>
        <v>10.588235294117649</v>
      </c>
      <c r="AD252" s="43">
        <f>VLOOKUP(AD$84,'Infos Techniques'!$B$7:$H$12,5,0)/($V252*$X$39/12)</f>
        <v>10.588235294117649</v>
      </c>
      <c r="AE252" s="43">
        <f>VLOOKUP(AE$84,'Infos Techniques'!$B$7:$H$12,5,0)/($V252*$X$39/12)</f>
        <v>10.588235294117649</v>
      </c>
      <c r="AF252" s="43">
        <f>VLOOKUP(AF$84,'Infos Techniques'!$B$7:$H$12,5,0)/($V252*$X$39/12)</f>
        <v>10.588235294117649</v>
      </c>
      <c r="AG252" s="43">
        <f>VLOOKUP(AG$84,'Infos Techniques'!$B$7:$H$12,5,0)/($V252*$X$39/12)</f>
        <v>9.3600000000000012</v>
      </c>
      <c r="AH252" s="43">
        <f>VLOOKUP(AH$84,'Infos Techniques'!$B$7:$H$12,7,0)/($V252*$X$39/12)</f>
        <v>14.117647058823531</v>
      </c>
      <c r="AI252" s="43">
        <f>VLOOKUP(AI$84,'Infos Techniques'!$B$7:$H$12,7,0)/($V252*$X$39/12)</f>
        <v>14.117647058823531</v>
      </c>
      <c r="AJ252" s="43">
        <f>VLOOKUP(AJ$84,'Infos Techniques'!$B$7:$H$12,7,0)/($V252*$X$39/12)</f>
        <v>14.117647058823531</v>
      </c>
      <c r="AK252" s="43">
        <f>VLOOKUP(AK$84,'Infos Techniques'!$B$7:$H$12,7,0)/($V252*$X$39/12)</f>
        <v>10.588235294117649</v>
      </c>
      <c r="AL252" s="63">
        <f>VLOOKUP(AL$84,'Infos Techniques'!$B$7:$E$12,4,0)/($V252*$X$39/12)</f>
        <v>9.3600000000000012</v>
      </c>
    </row>
    <row r="253" spans="1:38" ht="15" thickBot="1">
      <c r="B253" s="1830"/>
      <c r="C253" s="71">
        <v>25</v>
      </c>
      <c r="D253" s="43" t="e">
        <f t="shared" si="76"/>
        <v>#REF!</v>
      </c>
      <c r="E253" s="43" t="e">
        <f t="shared" si="77"/>
        <v>#REF!</v>
      </c>
      <c r="F253" s="43" t="e">
        <f t="shared" si="78"/>
        <v>#REF!</v>
      </c>
      <c r="G253" s="43" t="e">
        <f t="shared" si="79"/>
        <v>#REF!</v>
      </c>
      <c r="H253" s="43" t="e">
        <f t="shared" si="80"/>
        <v>#REF!</v>
      </c>
      <c r="I253" s="43" t="e">
        <f t="shared" si="81"/>
        <v>#REF!</v>
      </c>
      <c r="J253" s="43" t="e">
        <f t="shared" si="82"/>
        <v>#REF!</v>
      </c>
      <c r="K253" s="43" t="e">
        <f t="shared" si="83"/>
        <v>#REF!</v>
      </c>
      <c r="L253" s="43" t="e">
        <f t="shared" si="84"/>
        <v>#REF!</v>
      </c>
      <c r="M253" s="281" t="e">
        <f t="shared" si="85"/>
        <v>#REF!</v>
      </c>
      <c r="N253" s="288"/>
      <c r="O253" s="17"/>
      <c r="P253" s="17"/>
      <c r="Q253" s="17"/>
      <c r="R253" s="17"/>
      <c r="U253" s="1601"/>
      <c r="V253" s="28">
        <v>25</v>
      </c>
      <c r="W253" s="43" t="e" cm="1">
        <f t="array" ref="W253">VLOOKUP(MAX(IF('Courbe Déflexion'!$GK$5:$GK$285&lt;=V253,'Courbe Déflexion'!$GK$5:$GK$285)),'Courbe Déflexion'!#REF!,4,0)</f>
        <v>#REF!</v>
      </c>
      <c r="X253" s="276"/>
      <c r="Y253" s="276"/>
      <c r="Z253" s="276"/>
      <c r="AA253" s="276"/>
      <c r="AB253" s="276"/>
      <c r="AC253" s="43">
        <f>VLOOKUP(AC$84,'Infos Techniques'!$B$7:$H$12,5,0)/($V253*$X$39/12)</f>
        <v>8.4705882352941178</v>
      </c>
      <c r="AD253" s="43">
        <f>VLOOKUP(AD$84,'Infos Techniques'!$B$7:$H$12,5,0)/($V253*$X$39/12)</f>
        <v>8.4705882352941178</v>
      </c>
      <c r="AE253" s="43">
        <f>VLOOKUP(AE$84,'Infos Techniques'!$B$7:$H$12,5,0)/($V253*$X$39/12)</f>
        <v>8.4705882352941178</v>
      </c>
      <c r="AF253" s="43">
        <f>VLOOKUP(AF$84,'Infos Techniques'!$B$7:$H$12,5,0)/($V253*$X$39/12)</f>
        <v>8.4705882352941178</v>
      </c>
      <c r="AG253" s="43">
        <f>VLOOKUP(AG$84,'Infos Techniques'!$B$7:$H$12,5,0)/($V253*$X$39/12)</f>
        <v>7.4879999999999995</v>
      </c>
      <c r="AH253" s="43">
        <f>VLOOKUP(AH$84,'Infos Techniques'!$B$7:$H$12,7,0)/($V253*$X$39/12)</f>
        <v>11.294117647058822</v>
      </c>
      <c r="AI253" s="43">
        <f>VLOOKUP(AI$84,'Infos Techniques'!$B$7:$H$12,7,0)/($V253*$X$39/12)</f>
        <v>11.294117647058822</v>
      </c>
      <c r="AJ253" s="43">
        <f>VLOOKUP(AJ$84,'Infos Techniques'!$B$7:$H$12,7,0)/($V253*$X$39/12)</f>
        <v>11.294117647058822</v>
      </c>
      <c r="AK253" s="43">
        <f>VLOOKUP(AK$84,'Infos Techniques'!$B$7:$H$12,7,0)/($V253*$X$39/12)</f>
        <v>8.4705882352941178</v>
      </c>
      <c r="AL253" s="63">
        <f>VLOOKUP(AL$84,'Infos Techniques'!$B$7:$E$12,4,0)/($V253*$X$39/12)</f>
        <v>7.4879999999999995</v>
      </c>
    </row>
    <row r="254" spans="1:38">
      <c r="B254" s="1830"/>
      <c r="C254" s="69">
        <v>30</v>
      </c>
      <c r="D254" s="43" t="e">
        <f t="shared" si="76"/>
        <v>#REF!</v>
      </c>
      <c r="E254" s="43" t="e">
        <f t="shared" si="77"/>
        <v>#REF!</v>
      </c>
      <c r="F254" s="43" t="e">
        <f t="shared" si="78"/>
        <v>#REF!</v>
      </c>
      <c r="G254" s="43" t="e">
        <f t="shared" si="79"/>
        <v>#REF!</v>
      </c>
      <c r="H254" s="43" t="e">
        <f t="shared" si="80"/>
        <v>#REF!</v>
      </c>
      <c r="I254" s="43" t="e">
        <f t="shared" si="81"/>
        <v>#REF!</v>
      </c>
      <c r="J254" s="43" t="e">
        <f t="shared" si="82"/>
        <v>#REF!</v>
      </c>
      <c r="K254" s="43" t="e">
        <f t="shared" si="83"/>
        <v>#REF!</v>
      </c>
      <c r="L254" s="43" t="e">
        <f t="shared" si="84"/>
        <v>#REF!</v>
      </c>
      <c r="M254" s="281" t="e">
        <f t="shared" si="85"/>
        <v>#REF!</v>
      </c>
      <c r="N254" s="288"/>
      <c r="O254" s="17"/>
      <c r="P254" s="17"/>
      <c r="Q254" s="17"/>
      <c r="R254" s="17"/>
      <c r="U254" s="1601"/>
      <c r="V254" s="28">
        <v>30</v>
      </c>
      <c r="W254" s="43" t="e" cm="1">
        <f t="array" ref="W254">VLOOKUP(MAX(IF('Courbe Déflexion'!$GK$5:$GK$285&lt;=V254,'Courbe Déflexion'!$GK$5:$GK$285)),'Courbe Déflexion'!#REF!,4,0)</f>
        <v>#REF!</v>
      </c>
      <c r="X254" s="276"/>
      <c r="Y254" s="276"/>
      <c r="Z254" s="276"/>
      <c r="AA254" s="276"/>
      <c r="AB254" s="276"/>
      <c r="AC254" s="43">
        <f>VLOOKUP(AC$84,'Infos Techniques'!$B$7:$H$12,5,0)/($V254*$X$39/12)</f>
        <v>7.0588235294117645</v>
      </c>
      <c r="AD254" s="43">
        <f>VLOOKUP(AD$84,'Infos Techniques'!$B$7:$H$12,5,0)/($V254*$X$39/12)</f>
        <v>7.0588235294117645</v>
      </c>
      <c r="AE254" s="43">
        <f>VLOOKUP(AE$84,'Infos Techniques'!$B$7:$H$12,5,0)/($V254*$X$39/12)</f>
        <v>7.0588235294117645</v>
      </c>
      <c r="AF254" s="43">
        <f>VLOOKUP(AF$84,'Infos Techniques'!$B$7:$H$12,5,0)/($V254*$X$39/12)</f>
        <v>7.0588235294117645</v>
      </c>
      <c r="AG254" s="43">
        <f>VLOOKUP(AG$84,'Infos Techniques'!$B$7:$H$12,5,0)/($V254*$X$39/12)</f>
        <v>6.24</v>
      </c>
      <c r="AH254" s="43">
        <f>VLOOKUP(AH$84,'Infos Techniques'!$B$7:$H$12,7,0)/($V254*$X$39/12)</f>
        <v>9.4117647058823533</v>
      </c>
      <c r="AI254" s="43">
        <f>VLOOKUP(AI$84,'Infos Techniques'!$B$7:$H$12,7,0)/($V254*$X$39/12)</f>
        <v>9.4117647058823533</v>
      </c>
      <c r="AJ254" s="43">
        <f>VLOOKUP(AJ$84,'Infos Techniques'!$B$7:$H$12,7,0)/($V254*$X$39/12)</f>
        <v>9.4117647058823533</v>
      </c>
      <c r="AK254" s="43">
        <f>VLOOKUP(AK$84,'Infos Techniques'!$B$7:$H$12,7,0)/($V254*$X$39/12)</f>
        <v>7.0588235294117645</v>
      </c>
      <c r="AL254" s="63">
        <f>VLOOKUP(AL$84,'Infos Techniques'!$B$7:$E$12,4,0)/($V254*$X$39/12)</f>
        <v>6.24</v>
      </c>
    </row>
    <row r="255" spans="1:38">
      <c r="B255" s="1830"/>
      <c r="C255" s="70">
        <v>35</v>
      </c>
      <c r="D255" s="43" t="e">
        <f t="shared" si="76"/>
        <v>#REF!</v>
      </c>
      <c r="E255" s="43" t="e">
        <f t="shared" si="77"/>
        <v>#REF!</v>
      </c>
      <c r="F255" s="43" t="e">
        <f t="shared" si="78"/>
        <v>#REF!</v>
      </c>
      <c r="G255" s="43" t="e">
        <f t="shared" si="79"/>
        <v>#REF!</v>
      </c>
      <c r="H255" s="43" t="e">
        <f t="shared" si="80"/>
        <v>#REF!</v>
      </c>
      <c r="I255" s="43" t="e">
        <f t="shared" si="81"/>
        <v>#REF!</v>
      </c>
      <c r="J255" s="43" t="e">
        <f t="shared" si="82"/>
        <v>#REF!</v>
      </c>
      <c r="K255" s="43" t="e">
        <f t="shared" si="83"/>
        <v>#REF!</v>
      </c>
      <c r="L255" s="43" t="e">
        <f t="shared" si="84"/>
        <v>#REF!</v>
      </c>
      <c r="M255" s="281" t="e">
        <f t="shared" si="85"/>
        <v>#REF!</v>
      </c>
      <c r="N255" s="288"/>
      <c r="O255" s="17"/>
      <c r="P255" s="17"/>
      <c r="Q255" s="17"/>
      <c r="R255" s="17"/>
      <c r="U255" s="1601"/>
      <c r="V255" s="28">
        <v>35</v>
      </c>
      <c r="W255" s="43" t="e" cm="1">
        <f t="array" ref="W255">VLOOKUP(MAX(IF('Courbe Déflexion'!$GK$5:$GK$285&lt;=V255,'Courbe Déflexion'!$GK$5:$GK$285)),'Courbe Déflexion'!#REF!,4,0)</f>
        <v>#REF!</v>
      </c>
      <c r="X255" s="276"/>
      <c r="Y255" s="276"/>
      <c r="Z255" s="276"/>
      <c r="AA255" s="276"/>
      <c r="AB255" s="276"/>
      <c r="AC255" s="43">
        <f>VLOOKUP(AC$84,'Infos Techniques'!$B$7:$H$12,5,0)/($V255*$X$39/12)</f>
        <v>6.0504201680672267</v>
      </c>
      <c r="AD255" s="43">
        <f>VLOOKUP(AD$84,'Infos Techniques'!$B$7:$H$12,5,0)/($V255*$X$39/12)</f>
        <v>6.0504201680672267</v>
      </c>
      <c r="AE255" s="43">
        <f>VLOOKUP(AE$84,'Infos Techniques'!$B$7:$H$12,5,0)/($V255*$X$39/12)</f>
        <v>6.0504201680672267</v>
      </c>
      <c r="AF255" s="43">
        <f>VLOOKUP(AF$84,'Infos Techniques'!$B$7:$H$12,5,0)/($V255*$X$39/12)</f>
        <v>6.0504201680672267</v>
      </c>
      <c r="AG255" s="43">
        <f>VLOOKUP(AG$84,'Infos Techniques'!$B$7:$H$12,5,0)/($V255*$X$39/12)</f>
        <v>5.3485714285714288</v>
      </c>
      <c r="AH255" s="43">
        <f>VLOOKUP(AH$84,'Infos Techniques'!$B$7:$H$12,7,0)/($V255*$X$39/12)</f>
        <v>8.0672268907563023</v>
      </c>
      <c r="AI255" s="43">
        <f>VLOOKUP(AI$84,'Infos Techniques'!$B$7:$H$12,7,0)/($V255*$X$39/12)</f>
        <v>8.0672268907563023</v>
      </c>
      <c r="AJ255" s="43">
        <f>VLOOKUP(AJ$84,'Infos Techniques'!$B$7:$H$12,7,0)/($V255*$X$39/12)</f>
        <v>8.0672268907563023</v>
      </c>
      <c r="AK255" s="43">
        <f>VLOOKUP(AK$84,'Infos Techniques'!$B$7:$H$12,7,0)/($V255*$X$39/12)</f>
        <v>6.0504201680672267</v>
      </c>
      <c r="AL255" s="63">
        <f>VLOOKUP(AL$84,'Infos Techniques'!$B$7:$E$12,4,0)/($V255*$X$39/12)</f>
        <v>5.3485714285714288</v>
      </c>
    </row>
    <row r="256" spans="1:38">
      <c r="B256" s="1830"/>
      <c r="C256" s="70">
        <v>40</v>
      </c>
      <c r="D256" s="43" t="e">
        <f t="shared" si="76"/>
        <v>#REF!</v>
      </c>
      <c r="E256" s="43" t="e">
        <f t="shared" si="77"/>
        <v>#REF!</v>
      </c>
      <c r="F256" s="43" t="e">
        <f t="shared" si="78"/>
        <v>#REF!</v>
      </c>
      <c r="G256" s="43" t="e">
        <f t="shared" si="79"/>
        <v>#REF!</v>
      </c>
      <c r="H256" s="43" t="e">
        <f t="shared" si="80"/>
        <v>#REF!</v>
      </c>
      <c r="I256" s="43" t="e">
        <f t="shared" si="81"/>
        <v>#REF!</v>
      </c>
      <c r="J256" s="43" t="e">
        <f t="shared" si="82"/>
        <v>#REF!</v>
      </c>
      <c r="K256" s="43" t="e">
        <f t="shared" si="83"/>
        <v>#REF!</v>
      </c>
      <c r="L256" s="43" t="e">
        <f t="shared" si="84"/>
        <v>#REF!</v>
      </c>
      <c r="M256" s="281" t="e">
        <f t="shared" si="85"/>
        <v>#REF!</v>
      </c>
      <c r="N256" s="288"/>
      <c r="O256" s="17"/>
      <c r="P256" s="17"/>
      <c r="Q256" s="17"/>
      <c r="R256" s="17"/>
      <c r="U256" s="1601"/>
      <c r="V256" s="28">
        <v>40</v>
      </c>
      <c r="W256" s="43" t="e" cm="1">
        <f t="array" ref="W256">VLOOKUP(MAX(IF('Courbe Déflexion'!$GK$5:$GK$285&lt;=V256,'Courbe Déflexion'!$GK$5:$GK$285)),'Courbe Déflexion'!#REF!,4,0)</f>
        <v>#REF!</v>
      </c>
      <c r="X256" s="276"/>
      <c r="Y256" s="276"/>
      <c r="Z256" s="276"/>
      <c r="AA256" s="276"/>
      <c r="AB256" s="276"/>
      <c r="AC256" s="43">
        <f>VLOOKUP(AC$84,'Infos Techniques'!$B$7:$H$12,5,0)/($V256*$X$39/12)</f>
        <v>5.2941176470588243</v>
      </c>
      <c r="AD256" s="43">
        <f>VLOOKUP(AD$84,'Infos Techniques'!$B$7:$H$12,5,0)/($V256*$X$39/12)</f>
        <v>5.2941176470588243</v>
      </c>
      <c r="AE256" s="43">
        <f>VLOOKUP(AE$84,'Infos Techniques'!$B$7:$H$12,5,0)/($V256*$X$39/12)</f>
        <v>5.2941176470588243</v>
      </c>
      <c r="AF256" s="43">
        <f>VLOOKUP(AF$84,'Infos Techniques'!$B$7:$H$12,5,0)/($V256*$X$39/12)</f>
        <v>5.2941176470588243</v>
      </c>
      <c r="AG256" s="43">
        <f>VLOOKUP(AG$84,'Infos Techniques'!$B$7:$H$12,5,0)/($V256*$X$39/12)</f>
        <v>4.6800000000000006</v>
      </c>
      <c r="AH256" s="43">
        <f>VLOOKUP(AH$84,'Infos Techniques'!$B$7:$H$12,7,0)/($V256*$X$39/12)</f>
        <v>7.0588235294117654</v>
      </c>
      <c r="AI256" s="43">
        <f>VLOOKUP(AI$84,'Infos Techniques'!$B$7:$H$12,7,0)/($V256*$X$39/12)</f>
        <v>7.0588235294117654</v>
      </c>
      <c r="AJ256" s="43">
        <f>VLOOKUP(AJ$84,'Infos Techniques'!$B$7:$H$12,7,0)/($V256*$X$39/12)</f>
        <v>7.0588235294117654</v>
      </c>
      <c r="AK256" s="43">
        <f>VLOOKUP(AK$84,'Infos Techniques'!$B$7:$H$12,7,0)/($V256*$X$39/12)</f>
        <v>5.2941176470588243</v>
      </c>
      <c r="AL256" s="63">
        <f>VLOOKUP(AL$84,'Infos Techniques'!$B$7:$E$12,4,0)/($V256*$X$39/12)</f>
        <v>4.6800000000000006</v>
      </c>
    </row>
    <row r="257" spans="2:38">
      <c r="B257" s="1830"/>
      <c r="C257" s="70">
        <v>45</v>
      </c>
      <c r="D257" s="43" t="e">
        <f t="shared" si="76"/>
        <v>#REF!</v>
      </c>
      <c r="E257" s="43" t="e">
        <f t="shared" si="77"/>
        <v>#REF!</v>
      </c>
      <c r="F257" s="43" t="e">
        <f t="shared" si="78"/>
        <v>#REF!</v>
      </c>
      <c r="G257" s="43" t="e">
        <f t="shared" si="79"/>
        <v>#REF!</v>
      </c>
      <c r="H257" s="43" t="e">
        <f t="shared" si="80"/>
        <v>#REF!</v>
      </c>
      <c r="I257" s="43" t="e">
        <f t="shared" si="81"/>
        <v>#REF!</v>
      </c>
      <c r="J257" s="43" t="e">
        <f t="shared" si="82"/>
        <v>#REF!</v>
      </c>
      <c r="K257" s="43" t="e">
        <f t="shared" si="83"/>
        <v>#REF!</v>
      </c>
      <c r="L257" s="43" t="e">
        <f t="shared" si="84"/>
        <v>#REF!</v>
      </c>
      <c r="M257" s="281" t="e">
        <f t="shared" si="85"/>
        <v>#REF!</v>
      </c>
      <c r="N257" s="288"/>
      <c r="O257" s="17"/>
      <c r="P257" s="17"/>
      <c r="Q257" s="17"/>
      <c r="R257" s="17"/>
      <c r="U257" s="1601"/>
      <c r="V257" s="28">
        <v>45</v>
      </c>
      <c r="W257" s="43" t="e" cm="1">
        <f t="array" ref="W257">VLOOKUP(MAX(IF('Courbe Déflexion'!$GK$5:$GK$285&lt;=V257,'Courbe Déflexion'!$GK$5:$GK$285)),'Courbe Déflexion'!#REF!,4,0)</f>
        <v>#REF!</v>
      </c>
      <c r="X257" s="276"/>
      <c r="Y257" s="276"/>
      <c r="Z257" s="276"/>
      <c r="AA257" s="276"/>
      <c r="AB257" s="276"/>
      <c r="AC257" s="43">
        <f>VLOOKUP(AC$84,'Infos Techniques'!$B$7:$H$12,5,0)/($V257*$X$39/12)</f>
        <v>4.7058823529411766</v>
      </c>
      <c r="AD257" s="43">
        <f>VLOOKUP(AD$84,'Infos Techniques'!$B$7:$H$12,5,0)/($V257*$X$39/12)</f>
        <v>4.7058823529411766</v>
      </c>
      <c r="AE257" s="43">
        <f>VLOOKUP(AE$84,'Infos Techniques'!$B$7:$H$12,5,0)/($V257*$X$39/12)</f>
        <v>4.7058823529411766</v>
      </c>
      <c r="AF257" s="43">
        <f>VLOOKUP(AF$84,'Infos Techniques'!$B$7:$H$12,5,0)/($V257*$X$39/12)</f>
        <v>4.7058823529411766</v>
      </c>
      <c r="AG257" s="43">
        <f>VLOOKUP(AG$84,'Infos Techniques'!$B$7:$H$12,5,0)/($V257*$X$39/12)</f>
        <v>4.16</v>
      </c>
      <c r="AH257" s="43">
        <f>VLOOKUP(AH$84,'Infos Techniques'!$B$7:$H$12,7,0)/($V257*$X$39/12)</f>
        <v>6.2745098039215685</v>
      </c>
      <c r="AI257" s="43">
        <f>VLOOKUP(AI$84,'Infos Techniques'!$B$7:$H$12,7,0)/($V257*$X$39/12)</f>
        <v>6.2745098039215685</v>
      </c>
      <c r="AJ257" s="43">
        <f>VLOOKUP(AJ$84,'Infos Techniques'!$B$7:$H$12,7,0)/($V257*$X$39/12)</f>
        <v>6.2745098039215685</v>
      </c>
      <c r="AK257" s="43">
        <f>VLOOKUP(AK$84,'Infos Techniques'!$B$7:$H$12,7,0)/($V257*$X$39/12)</f>
        <v>4.7058823529411766</v>
      </c>
      <c r="AL257" s="63">
        <f>VLOOKUP(AL$84,'Infos Techniques'!$B$7:$E$12,4,0)/($V257*$X$39/12)</f>
        <v>4.16</v>
      </c>
    </row>
    <row r="258" spans="2:38" ht="15" thickBot="1">
      <c r="B258" s="1830"/>
      <c r="C258" s="71">
        <v>50</v>
      </c>
      <c r="D258" s="43" t="e">
        <f t="shared" si="76"/>
        <v>#REF!</v>
      </c>
      <c r="E258" s="43" t="e">
        <f t="shared" si="77"/>
        <v>#REF!</v>
      </c>
      <c r="F258" s="43" t="e">
        <f t="shared" si="78"/>
        <v>#REF!</v>
      </c>
      <c r="G258" s="43" t="e">
        <f t="shared" si="79"/>
        <v>#REF!</v>
      </c>
      <c r="H258" s="43" t="e">
        <f t="shared" si="80"/>
        <v>#REF!</v>
      </c>
      <c r="I258" s="43" t="e">
        <f t="shared" si="81"/>
        <v>#REF!</v>
      </c>
      <c r="J258" s="43" t="e">
        <f t="shared" si="82"/>
        <v>#REF!</v>
      </c>
      <c r="K258" s="43" t="e">
        <f t="shared" si="83"/>
        <v>#REF!</v>
      </c>
      <c r="L258" s="43" t="e">
        <f t="shared" si="84"/>
        <v>#REF!</v>
      </c>
      <c r="M258" s="281" t="e">
        <f t="shared" si="85"/>
        <v>#REF!</v>
      </c>
      <c r="N258" s="288"/>
      <c r="O258" s="17"/>
      <c r="P258" s="17"/>
      <c r="Q258" s="17"/>
      <c r="R258" s="17"/>
      <c r="U258" s="1601"/>
      <c r="V258" s="28">
        <v>50</v>
      </c>
      <c r="W258" s="43" t="e" cm="1">
        <f t="array" ref="W258">VLOOKUP(MAX(IF('Courbe Déflexion'!$GK$5:$GK$285&lt;=V258,'Courbe Déflexion'!$GK$5:$GK$285)),'Courbe Déflexion'!#REF!,4,0)</f>
        <v>#REF!</v>
      </c>
      <c r="X258" s="276"/>
      <c r="Y258" s="276"/>
      <c r="Z258" s="276"/>
      <c r="AA258" s="276"/>
      <c r="AB258" s="276"/>
      <c r="AC258" s="43">
        <f>VLOOKUP(AC$84,'Infos Techniques'!$B$7:$H$12,5,0)/($V258*$X$39/12)</f>
        <v>4.2352941176470589</v>
      </c>
      <c r="AD258" s="43">
        <f>VLOOKUP(AD$84,'Infos Techniques'!$B$7:$H$12,5,0)/($V258*$X$39/12)</f>
        <v>4.2352941176470589</v>
      </c>
      <c r="AE258" s="43">
        <f>VLOOKUP(AE$84,'Infos Techniques'!$B$7:$H$12,5,0)/($V258*$X$39/12)</f>
        <v>4.2352941176470589</v>
      </c>
      <c r="AF258" s="43">
        <f>VLOOKUP(AF$84,'Infos Techniques'!$B$7:$H$12,5,0)/($V258*$X$39/12)</f>
        <v>4.2352941176470589</v>
      </c>
      <c r="AG258" s="43">
        <f>VLOOKUP(AG$84,'Infos Techniques'!$B$7:$H$12,5,0)/($V258*$X$39/12)</f>
        <v>3.7439999999999998</v>
      </c>
      <c r="AH258" s="43">
        <f>VLOOKUP(AH$84,'Infos Techniques'!$B$7:$H$12,7,0)/($V258*$X$39/12)</f>
        <v>5.6470588235294112</v>
      </c>
      <c r="AI258" s="43">
        <f>VLOOKUP(AI$84,'Infos Techniques'!$B$7:$H$12,7,0)/($V258*$X$39/12)</f>
        <v>5.6470588235294112</v>
      </c>
      <c r="AJ258" s="43">
        <f>VLOOKUP(AJ$84,'Infos Techniques'!$B$7:$H$12,7,0)/($V258*$X$39/12)</f>
        <v>5.6470588235294112</v>
      </c>
      <c r="AK258" s="43">
        <f>VLOOKUP(AK$84,'Infos Techniques'!$B$7:$H$12,7,0)/($V258*$X$39/12)</f>
        <v>4.2352941176470589</v>
      </c>
      <c r="AL258" s="63">
        <f>VLOOKUP(AL$84,'Infos Techniques'!$B$7:$E$12,4,0)/($V258*$X$39/12)</f>
        <v>3.7439999999999998</v>
      </c>
    </row>
    <row r="259" spans="2:38">
      <c r="B259" s="1830"/>
      <c r="C259" s="69">
        <v>55</v>
      </c>
      <c r="D259" s="43" t="e">
        <f t="shared" si="76"/>
        <v>#REF!</v>
      </c>
      <c r="E259" s="43" t="e">
        <f t="shared" si="77"/>
        <v>#REF!</v>
      </c>
      <c r="F259" s="43" t="e">
        <f t="shared" si="78"/>
        <v>#REF!</v>
      </c>
      <c r="G259" s="43" t="e">
        <f t="shared" si="79"/>
        <v>#REF!</v>
      </c>
      <c r="H259" s="43" t="e">
        <f t="shared" si="80"/>
        <v>#REF!</v>
      </c>
      <c r="I259" s="43" t="e">
        <f t="shared" si="81"/>
        <v>#REF!</v>
      </c>
      <c r="J259" s="43" t="e">
        <f t="shared" si="82"/>
        <v>#REF!</v>
      </c>
      <c r="K259" s="43" t="e">
        <f t="shared" si="83"/>
        <v>#REF!</v>
      </c>
      <c r="L259" s="43" t="e">
        <f t="shared" si="84"/>
        <v>#REF!</v>
      </c>
      <c r="M259" s="281" t="e">
        <f t="shared" si="85"/>
        <v>#REF!</v>
      </c>
      <c r="N259" s="288"/>
      <c r="O259" s="17"/>
      <c r="P259" s="17"/>
      <c r="Q259" s="17"/>
      <c r="R259" s="17"/>
      <c r="U259" s="1601"/>
      <c r="V259" s="28">
        <v>55</v>
      </c>
      <c r="W259" s="43" t="e" cm="1">
        <f t="array" ref="W259">VLOOKUP(MAX(IF('Courbe Déflexion'!$GK$5:$GK$285&lt;=V259,'Courbe Déflexion'!$GK$5:$GK$285)),'Courbe Déflexion'!#REF!,4,0)</f>
        <v>#REF!</v>
      </c>
      <c r="X259" s="276"/>
      <c r="Y259" s="276"/>
      <c r="Z259" s="276"/>
      <c r="AA259" s="276"/>
      <c r="AB259" s="276"/>
      <c r="AC259" s="43">
        <f>VLOOKUP(AC$84,'Infos Techniques'!$B$7:$H$12,5,0)/($V259*$X$39/12)</f>
        <v>3.8502673796791447</v>
      </c>
      <c r="AD259" s="43">
        <f>VLOOKUP(AD$84,'Infos Techniques'!$B$7:$H$12,5,0)/($V259*$X$39/12)</f>
        <v>3.8502673796791447</v>
      </c>
      <c r="AE259" s="43">
        <f>VLOOKUP(AE$84,'Infos Techniques'!$B$7:$H$12,5,0)/($V259*$X$39/12)</f>
        <v>3.8502673796791447</v>
      </c>
      <c r="AF259" s="43">
        <f>VLOOKUP(AF$84,'Infos Techniques'!$B$7:$H$12,5,0)/($V259*$X$39/12)</f>
        <v>3.8502673796791447</v>
      </c>
      <c r="AG259" s="43">
        <f>VLOOKUP(AG$84,'Infos Techniques'!$B$7:$H$12,5,0)/($V259*$X$39/12)</f>
        <v>3.4036363636363638</v>
      </c>
      <c r="AH259" s="43">
        <f>VLOOKUP(AH$84,'Infos Techniques'!$B$7:$H$12,7,0)/($V259*$X$39/12)</f>
        <v>5.1336898395721926</v>
      </c>
      <c r="AI259" s="43">
        <f>VLOOKUP(AI$84,'Infos Techniques'!$B$7:$H$12,7,0)/($V259*$X$39/12)</f>
        <v>5.1336898395721926</v>
      </c>
      <c r="AJ259" s="43">
        <f>VLOOKUP(AJ$84,'Infos Techniques'!$B$7:$H$12,7,0)/($V259*$X$39/12)</f>
        <v>5.1336898395721926</v>
      </c>
      <c r="AK259" s="43">
        <f>VLOOKUP(AK$84,'Infos Techniques'!$B$7:$H$12,7,0)/($V259*$X$39/12)</f>
        <v>3.8502673796791447</v>
      </c>
      <c r="AL259" s="63">
        <f>VLOOKUP(AL$84,'Infos Techniques'!$B$7:$E$12,4,0)/($V259*$X$39/12)</f>
        <v>3.4036363636363638</v>
      </c>
    </row>
    <row r="260" spans="2:38">
      <c r="B260" s="1830"/>
      <c r="C260" s="70">
        <v>60</v>
      </c>
      <c r="D260" s="43" t="e">
        <f t="shared" si="76"/>
        <v>#REF!</v>
      </c>
      <c r="E260" s="43" t="e">
        <f t="shared" si="77"/>
        <v>#REF!</v>
      </c>
      <c r="F260" s="43" t="e">
        <f t="shared" si="78"/>
        <v>#REF!</v>
      </c>
      <c r="G260" s="43" t="e">
        <f t="shared" si="79"/>
        <v>#REF!</v>
      </c>
      <c r="H260" s="43" t="e">
        <f t="shared" si="80"/>
        <v>#REF!</v>
      </c>
      <c r="I260" s="43" t="e">
        <f t="shared" si="81"/>
        <v>#REF!</v>
      </c>
      <c r="J260" s="43" t="e">
        <f t="shared" si="82"/>
        <v>#REF!</v>
      </c>
      <c r="K260" s="43" t="e">
        <f t="shared" si="83"/>
        <v>#REF!</v>
      </c>
      <c r="L260" s="43" t="e">
        <f t="shared" si="84"/>
        <v>#REF!</v>
      </c>
      <c r="M260" s="281" t="e">
        <f t="shared" si="85"/>
        <v>#REF!</v>
      </c>
      <c r="N260" s="288"/>
      <c r="O260" s="17"/>
      <c r="P260" s="17"/>
      <c r="Q260" s="17"/>
      <c r="R260" s="17"/>
      <c r="U260" s="1601"/>
      <c r="V260" s="28">
        <v>60</v>
      </c>
      <c r="W260" s="43" t="e" cm="1">
        <f t="array" ref="W260">VLOOKUP(MAX(IF('Courbe Déflexion'!$GK$5:$GK$285&lt;=V260,'Courbe Déflexion'!$GK$5:$GK$285)),'Courbe Déflexion'!#REF!,4,0)</f>
        <v>#REF!</v>
      </c>
      <c r="X260" s="276"/>
      <c r="Y260" s="276"/>
      <c r="Z260" s="276"/>
      <c r="AA260" s="276"/>
      <c r="AB260" s="276"/>
      <c r="AC260" s="43">
        <f>VLOOKUP(AC$84,'Infos Techniques'!$B$7:$H$12,5,0)/($V260*$X$39/12)</f>
        <v>3.5294117647058822</v>
      </c>
      <c r="AD260" s="43">
        <f>VLOOKUP(AD$84,'Infos Techniques'!$B$7:$H$12,5,0)/($V260*$X$39/12)</f>
        <v>3.5294117647058822</v>
      </c>
      <c r="AE260" s="43">
        <f>VLOOKUP(AE$84,'Infos Techniques'!$B$7:$H$12,5,0)/($V260*$X$39/12)</f>
        <v>3.5294117647058822</v>
      </c>
      <c r="AF260" s="43">
        <f>VLOOKUP(AF$84,'Infos Techniques'!$B$7:$H$12,5,0)/($V260*$X$39/12)</f>
        <v>3.5294117647058822</v>
      </c>
      <c r="AG260" s="43">
        <f>VLOOKUP(AG$84,'Infos Techniques'!$B$7:$H$12,5,0)/($V260*$X$39/12)</f>
        <v>3.12</v>
      </c>
      <c r="AH260" s="43">
        <f>VLOOKUP(AH$84,'Infos Techniques'!$B$7:$H$12,7,0)/($V260*$X$39/12)</f>
        <v>4.7058823529411766</v>
      </c>
      <c r="AI260" s="43">
        <f>VLOOKUP(AI$84,'Infos Techniques'!$B$7:$H$12,7,0)/($V260*$X$39/12)</f>
        <v>4.7058823529411766</v>
      </c>
      <c r="AJ260" s="43">
        <f>VLOOKUP(AJ$84,'Infos Techniques'!$B$7:$H$12,7,0)/($V260*$X$39/12)</f>
        <v>4.7058823529411766</v>
      </c>
      <c r="AK260" s="43">
        <f>VLOOKUP(AK$84,'Infos Techniques'!$B$7:$H$12,7,0)/($V260*$X$39/12)</f>
        <v>3.5294117647058822</v>
      </c>
      <c r="AL260" s="63">
        <f>VLOOKUP(AL$84,'Infos Techniques'!$B$7:$E$12,4,0)/($V260*$X$39/12)</f>
        <v>3.12</v>
      </c>
    </row>
    <row r="261" spans="2:38">
      <c r="B261" s="1830"/>
      <c r="C261" s="70">
        <v>65</v>
      </c>
      <c r="D261" s="43" t="e">
        <f t="shared" si="76"/>
        <v>#REF!</v>
      </c>
      <c r="E261" s="43" t="e">
        <f t="shared" si="77"/>
        <v>#REF!</v>
      </c>
      <c r="F261" s="43" t="e">
        <f t="shared" si="78"/>
        <v>#REF!</v>
      </c>
      <c r="G261" s="43" t="e">
        <f t="shared" si="79"/>
        <v>#REF!</v>
      </c>
      <c r="H261" s="43" t="e">
        <f t="shared" si="80"/>
        <v>#REF!</v>
      </c>
      <c r="I261" s="43" t="e">
        <f t="shared" si="81"/>
        <v>#REF!</v>
      </c>
      <c r="J261" s="43" t="e">
        <f t="shared" si="82"/>
        <v>#REF!</v>
      </c>
      <c r="K261" s="43" t="e">
        <f t="shared" si="83"/>
        <v>#REF!</v>
      </c>
      <c r="L261" s="43" t="e">
        <f t="shared" si="84"/>
        <v>#REF!</v>
      </c>
      <c r="M261" s="281" t="e">
        <f t="shared" si="85"/>
        <v>#REF!</v>
      </c>
      <c r="N261" s="288"/>
      <c r="O261" s="17"/>
      <c r="P261" s="17"/>
      <c r="Q261" s="17"/>
      <c r="R261" s="17"/>
      <c r="U261" s="1601"/>
      <c r="V261" s="28">
        <v>65</v>
      </c>
      <c r="W261" s="43" t="e" cm="1">
        <f t="array" ref="W261">VLOOKUP(MAX(IF('Courbe Déflexion'!$GK$5:$GK$285&lt;=V261,'Courbe Déflexion'!$GK$5:$GK$285)),'Courbe Déflexion'!#REF!,4,0)</f>
        <v>#REF!</v>
      </c>
      <c r="X261" s="276"/>
      <c r="Y261" s="276"/>
      <c r="Z261" s="276"/>
      <c r="AA261" s="276"/>
      <c r="AB261" s="276"/>
      <c r="AC261" s="43">
        <f>VLOOKUP(AC$84,'Infos Techniques'!$B$7:$H$12,5,0)/($V261*$X$39/12)</f>
        <v>3.2579185520361991</v>
      </c>
      <c r="AD261" s="43">
        <f>VLOOKUP(AD$84,'Infos Techniques'!$B$7:$H$12,5,0)/($V261*$X$39/12)</f>
        <v>3.2579185520361991</v>
      </c>
      <c r="AE261" s="43">
        <f>VLOOKUP(AE$84,'Infos Techniques'!$B$7:$H$12,5,0)/($V261*$X$39/12)</f>
        <v>3.2579185520361991</v>
      </c>
      <c r="AF261" s="43">
        <f>VLOOKUP(AF$84,'Infos Techniques'!$B$7:$H$12,5,0)/($V261*$X$39/12)</f>
        <v>3.2579185520361991</v>
      </c>
      <c r="AG261" s="43">
        <f>VLOOKUP(AG$84,'Infos Techniques'!$B$7:$H$12,5,0)/($V261*$X$39/12)</f>
        <v>2.88</v>
      </c>
      <c r="AH261" s="43">
        <f>VLOOKUP(AH$84,'Infos Techniques'!$B$7:$H$12,7,0)/($V261*$X$39/12)</f>
        <v>4.3438914027149318</v>
      </c>
      <c r="AI261" s="43">
        <f>VLOOKUP(AI$84,'Infos Techniques'!$B$7:$H$12,7,0)/($V261*$X$39/12)</f>
        <v>4.3438914027149318</v>
      </c>
      <c r="AJ261" s="43">
        <f>VLOOKUP(AJ$84,'Infos Techniques'!$B$7:$H$12,7,0)/($V261*$X$39/12)</f>
        <v>4.3438914027149318</v>
      </c>
      <c r="AK261" s="43">
        <f>VLOOKUP(AK$84,'Infos Techniques'!$B$7:$H$12,7,0)/($V261*$X$39/12)</f>
        <v>3.2579185520361991</v>
      </c>
      <c r="AL261" s="63">
        <f>VLOOKUP(AL$84,'Infos Techniques'!$B$7:$E$12,4,0)/($V261*$X$39/12)</f>
        <v>2.88</v>
      </c>
    </row>
    <row r="262" spans="2:38">
      <c r="B262" s="1830"/>
      <c r="C262" s="70">
        <v>70</v>
      </c>
      <c r="D262" s="43" t="e">
        <f t="shared" si="76"/>
        <v>#REF!</v>
      </c>
      <c r="E262" s="43" t="e">
        <f t="shared" si="77"/>
        <v>#REF!</v>
      </c>
      <c r="F262" s="43" t="e">
        <f t="shared" si="78"/>
        <v>#REF!</v>
      </c>
      <c r="G262" s="43" t="e">
        <f t="shared" si="79"/>
        <v>#REF!</v>
      </c>
      <c r="H262" s="43" t="e">
        <f t="shared" si="80"/>
        <v>#REF!</v>
      </c>
      <c r="I262" s="43" t="e">
        <f t="shared" si="81"/>
        <v>#REF!</v>
      </c>
      <c r="J262" s="43" t="e">
        <f t="shared" si="82"/>
        <v>#REF!</v>
      </c>
      <c r="K262" s="43" t="e">
        <f t="shared" si="83"/>
        <v>#REF!</v>
      </c>
      <c r="L262" s="43" t="e">
        <f t="shared" si="84"/>
        <v>#REF!</v>
      </c>
      <c r="M262" s="281" t="e">
        <f t="shared" si="85"/>
        <v>#REF!</v>
      </c>
      <c r="N262" s="288"/>
      <c r="O262" s="17"/>
      <c r="P262" s="17"/>
      <c r="Q262" s="17"/>
      <c r="R262" s="17"/>
      <c r="U262" s="1601"/>
      <c r="V262" s="28">
        <v>70</v>
      </c>
      <c r="W262" s="43" t="e" cm="1">
        <f t="array" ref="W262">VLOOKUP(MAX(IF('Courbe Déflexion'!$GK$5:$GK$285&lt;=V262,'Courbe Déflexion'!$GK$5:$GK$285)),'Courbe Déflexion'!#REF!,4,0)</f>
        <v>#REF!</v>
      </c>
      <c r="X262" s="276"/>
      <c r="Y262" s="276"/>
      <c r="Z262" s="276"/>
      <c r="AA262" s="276"/>
      <c r="AB262" s="276"/>
      <c r="AC262" s="43">
        <f>VLOOKUP(AC$84,'Infos Techniques'!$B$7:$H$12,5,0)/($V262*$X$39/12)</f>
        <v>3.0252100840336134</v>
      </c>
      <c r="AD262" s="43">
        <f>VLOOKUP(AD$84,'Infos Techniques'!$B$7:$H$12,5,0)/($V262*$X$39/12)</f>
        <v>3.0252100840336134</v>
      </c>
      <c r="AE262" s="43">
        <f>VLOOKUP(AE$84,'Infos Techniques'!$B$7:$H$12,5,0)/($V262*$X$39/12)</f>
        <v>3.0252100840336134</v>
      </c>
      <c r="AF262" s="43">
        <f>VLOOKUP(AF$84,'Infos Techniques'!$B$7:$H$12,5,0)/($V262*$X$39/12)</f>
        <v>3.0252100840336134</v>
      </c>
      <c r="AG262" s="43">
        <f>VLOOKUP(AG$84,'Infos Techniques'!$B$7:$H$12,5,0)/($V262*$X$39/12)</f>
        <v>2.6742857142857144</v>
      </c>
      <c r="AH262" s="43">
        <f>VLOOKUP(AH$84,'Infos Techniques'!$B$7:$H$12,7,0)/($V262*$X$39/12)</f>
        <v>4.0336134453781511</v>
      </c>
      <c r="AI262" s="43">
        <f>VLOOKUP(AI$84,'Infos Techniques'!$B$7:$H$12,7,0)/($V262*$X$39/12)</f>
        <v>4.0336134453781511</v>
      </c>
      <c r="AJ262" s="43">
        <f>VLOOKUP(AJ$84,'Infos Techniques'!$B$7:$H$12,7,0)/($V262*$X$39/12)</f>
        <v>4.0336134453781511</v>
      </c>
      <c r="AK262" s="43">
        <f>VLOOKUP(AK$84,'Infos Techniques'!$B$7:$H$12,7,0)/($V262*$X$39/12)</f>
        <v>3.0252100840336134</v>
      </c>
      <c r="AL262" s="63">
        <f>VLOOKUP(AL$84,'Infos Techniques'!$B$7:$E$12,4,0)/($V262*$X$39/12)</f>
        <v>2.6742857142857144</v>
      </c>
    </row>
    <row r="263" spans="2:38" ht="15" thickBot="1">
      <c r="B263" s="1830"/>
      <c r="C263" s="71">
        <v>75</v>
      </c>
      <c r="D263" s="43" t="e">
        <f t="shared" si="76"/>
        <v>#REF!</v>
      </c>
      <c r="E263" s="43" t="e">
        <f t="shared" si="77"/>
        <v>#REF!</v>
      </c>
      <c r="F263" s="43" t="e">
        <f t="shared" si="78"/>
        <v>#REF!</v>
      </c>
      <c r="G263" s="43" t="e">
        <f t="shared" si="79"/>
        <v>#REF!</v>
      </c>
      <c r="H263" s="43" t="e">
        <f t="shared" si="80"/>
        <v>#REF!</v>
      </c>
      <c r="I263" s="43" t="e">
        <f t="shared" si="81"/>
        <v>#REF!</v>
      </c>
      <c r="J263" s="43" t="e">
        <f t="shared" si="82"/>
        <v>#REF!</v>
      </c>
      <c r="K263" s="43" t="e">
        <f t="shared" si="83"/>
        <v>#REF!</v>
      </c>
      <c r="L263" s="43" t="e">
        <f t="shared" si="84"/>
        <v>#REF!</v>
      </c>
      <c r="M263" s="281" t="e">
        <f t="shared" si="85"/>
        <v>#REF!</v>
      </c>
      <c r="N263" s="288"/>
      <c r="O263" s="17"/>
      <c r="P263" s="17"/>
      <c r="Q263" s="17"/>
      <c r="R263" s="17"/>
      <c r="U263" s="1601"/>
      <c r="V263" s="28">
        <v>75</v>
      </c>
      <c r="W263" s="43" t="e" cm="1">
        <f t="array" ref="W263">VLOOKUP(MAX(IF('Courbe Déflexion'!$GK$5:$GK$285&lt;=V263,'Courbe Déflexion'!$GK$5:$GK$285)),'Courbe Déflexion'!#REF!,4,0)</f>
        <v>#REF!</v>
      </c>
      <c r="X263" s="276"/>
      <c r="Y263" s="276"/>
      <c r="Z263" s="276"/>
      <c r="AA263" s="276"/>
      <c r="AB263" s="276"/>
      <c r="AC263" s="43">
        <f>VLOOKUP(AC$84,'Infos Techniques'!$B$7:$H$12,5,0)/($V263*$X$39/12)</f>
        <v>2.8235294117647061</v>
      </c>
      <c r="AD263" s="43">
        <f>VLOOKUP(AD$84,'Infos Techniques'!$B$7:$H$12,5,0)/($V263*$X$39/12)</f>
        <v>2.8235294117647061</v>
      </c>
      <c r="AE263" s="43">
        <f>VLOOKUP(AE$84,'Infos Techniques'!$B$7:$H$12,5,0)/($V263*$X$39/12)</f>
        <v>2.8235294117647061</v>
      </c>
      <c r="AF263" s="43">
        <f>VLOOKUP(AF$84,'Infos Techniques'!$B$7:$H$12,5,0)/($V263*$X$39/12)</f>
        <v>2.8235294117647061</v>
      </c>
      <c r="AG263" s="43">
        <f>VLOOKUP(AG$84,'Infos Techniques'!$B$7:$H$12,5,0)/($V263*$X$39/12)</f>
        <v>2.496</v>
      </c>
      <c r="AH263" s="43">
        <f>VLOOKUP(AH$84,'Infos Techniques'!$B$7:$H$12,7,0)/($V263*$X$39/12)</f>
        <v>3.7647058823529411</v>
      </c>
      <c r="AI263" s="43">
        <f>VLOOKUP(AI$84,'Infos Techniques'!$B$7:$H$12,7,0)/($V263*$X$39/12)</f>
        <v>3.7647058823529411</v>
      </c>
      <c r="AJ263" s="43">
        <f>VLOOKUP(AJ$84,'Infos Techniques'!$B$7:$H$12,7,0)/($V263*$X$39/12)</f>
        <v>3.7647058823529411</v>
      </c>
      <c r="AK263" s="43">
        <f>VLOOKUP(AK$84,'Infos Techniques'!$B$7:$H$12,7,0)/($V263*$X$39/12)</f>
        <v>2.8235294117647061</v>
      </c>
      <c r="AL263" s="63">
        <f>VLOOKUP(AL$84,'Infos Techniques'!$B$7:$E$12,4,0)/($V263*$X$39/12)</f>
        <v>2.496</v>
      </c>
    </row>
    <row r="264" spans="2:38">
      <c r="B264" s="1830"/>
      <c r="C264" s="72">
        <v>80</v>
      </c>
      <c r="D264" s="43" t="e">
        <f t="shared" si="76"/>
        <v>#REF!</v>
      </c>
      <c r="E264" s="43" t="e">
        <f t="shared" si="77"/>
        <v>#REF!</v>
      </c>
      <c r="F264" s="43" t="e">
        <f t="shared" si="78"/>
        <v>#REF!</v>
      </c>
      <c r="G264" s="43" t="e">
        <f t="shared" si="79"/>
        <v>#REF!</v>
      </c>
      <c r="H264" s="43" t="e">
        <f t="shared" si="80"/>
        <v>#REF!</v>
      </c>
      <c r="I264" s="43" t="e">
        <f t="shared" si="81"/>
        <v>#REF!</v>
      </c>
      <c r="J264" s="43" t="e">
        <f t="shared" si="82"/>
        <v>#REF!</v>
      </c>
      <c r="K264" s="43" t="e">
        <f t="shared" si="83"/>
        <v>#REF!</v>
      </c>
      <c r="L264" s="43" t="e">
        <f t="shared" si="84"/>
        <v>#REF!</v>
      </c>
      <c r="M264" s="281" t="e">
        <f t="shared" si="85"/>
        <v>#REF!</v>
      </c>
      <c r="N264" s="288"/>
      <c r="O264" s="17"/>
      <c r="P264" s="17"/>
      <c r="Q264" s="17"/>
      <c r="R264" s="17"/>
      <c r="U264" s="1601"/>
      <c r="V264" s="28">
        <v>80</v>
      </c>
      <c r="W264" s="43" t="e" cm="1">
        <f t="array" ref="W264">VLOOKUP(MAX(IF('Courbe Déflexion'!$GK$5:$GK$285&lt;=V264,'Courbe Déflexion'!$GK$5:$GK$285)),'Courbe Déflexion'!#REF!,4,0)</f>
        <v>#REF!</v>
      </c>
      <c r="X264" s="276"/>
      <c r="Y264" s="276"/>
      <c r="Z264" s="276"/>
      <c r="AA264" s="276"/>
      <c r="AB264" s="276"/>
      <c r="AC264" s="43">
        <f>VLOOKUP(AC$84,'Infos Techniques'!$B$7:$H$12,5,0)/($V264*$X$39/12)</f>
        <v>2.6470588235294121</v>
      </c>
      <c r="AD264" s="43">
        <f>VLOOKUP(AD$84,'Infos Techniques'!$B$7:$H$12,5,0)/($V264*$X$39/12)</f>
        <v>2.6470588235294121</v>
      </c>
      <c r="AE264" s="43">
        <f>VLOOKUP(AE$84,'Infos Techniques'!$B$7:$H$12,5,0)/($V264*$X$39/12)</f>
        <v>2.6470588235294121</v>
      </c>
      <c r="AF264" s="43">
        <f>VLOOKUP(AF$84,'Infos Techniques'!$B$7:$H$12,5,0)/($V264*$X$39/12)</f>
        <v>2.6470588235294121</v>
      </c>
      <c r="AG264" s="43">
        <f>VLOOKUP(AG$84,'Infos Techniques'!$B$7:$H$12,5,0)/($V264*$X$39/12)</f>
        <v>2.3400000000000003</v>
      </c>
      <c r="AH264" s="43">
        <f>VLOOKUP(AH$84,'Infos Techniques'!$B$7:$H$12,7,0)/($V264*$X$39/12)</f>
        <v>3.5294117647058827</v>
      </c>
      <c r="AI264" s="43">
        <f>VLOOKUP(AI$84,'Infos Techniques'!$B$7:$H$12,7,0)/($V264*$X$39/12)</f>
        <v>3.5294117647058827</v>
      </c>
      <c r="AJ264" s="43">
        <f>VLOOKUP(AJ$84,'Infos Techniques'!$B$7:$H$12,7,0)/($V264*$X$39/12)</f>
        <v>3.5294117647058827</v>
      </c>
      <c r="AK264" s="43">
        <f>VLOOKUP(AK$84,'Infos Techniques'!$B$7:$H$12,7,0)/($V264*$X$39/12)</f>
        <v>2.6470588235294121</v>
      </c>
      <c r="AL264" s="63">
        <f>VLOOKUP(AL$84,'Infos Techniques'!$B$7:$E$12,4,0)/($V264*$X$39/12)</f>
        <v>2.3400000000000003</v>
      </c>
    </row>
    <row r="265" spans="2:38">
      <c r="B265" s="1830"/>
      <c r="C265" s="70">
        <v>85</v>
      </c>
      <c r="D265" s="43" t="e">
        <f t="shared" si="76"/>
        <v>#REF!</v>
      </c>
      <c r="E265" s="43" t="e">
        <f t="shared" si="77"/>
        <v>#REF!</v>
      </c>
      <c r="F265" s="43" t="e">
        <f t="shared" si="78"/>
        <v>#REF!</v>
      </c>
      <c r="G265" s="43" t="e">
        <f t="shared" si="79"/>
        <v>#REF!</v>
      </c>
      <c r="H265" s="43" t="e">
        <f t="shared" si="80"/>
        <v>#REF!</v>
      </c>
      <c r="I265" s="43" t="e">
        <f t="shared" si="81"/>
        <v>#REF!</v>
      </c>
      <c r="J265" s="43" t="e">
        <f t="shared" si="82"/>
        <v>#REF!</v>
      </c>
      <c r="K265" s="43" t="e">
        <f t="shared" si="83"/>
        <v>#REF!</v>
      </c>
      <c r="L265" s="43" t="e">
        <f t="shared" si="84"/>
        <v>#REF!</v>
      </c>
      <c r="M265" s="281" t="e">
        <f t="shared" si="85"/>
        <v>#REF!</v>
      </c>
      <c r="N265" s="288"/>
      <c r="O265" s="17"/>
      <c r="P265" s="17"/>
      <c r="Q265" s="17"/>
      <c r="R265" s="17"/>
      <c r="U265" s="1601"/>
      <c r="V265" s="28">
        <v>85</v>
      </c>
      <c r="W265" s="43" t="e" cm="1">
        <f t="array" ref="W265">VLOOKUP(MAX(IF('Courbe Déflexion'!$GK$5:$GK$285&lt;=V265,'Courbe Déflexion'!$GK$5:$GK$285)),'Courbe Déflexion'!#REF!,4,0)</f>
        <v>#REF!</v>
      </c>
      <c r="X265" s="276"/>
      <c r="Y265" s="276"/>
      <c r="Z265" s="276"/>
      <c r="AA265" s="276"/>
      <c r="AB265" s="276"/>
      <c r="AC265" s="43">
        <f>VLOOKUP(AC$84,'Infos Techniques'!$B$7:$H$12,5,0)/($V265*$X$39/12)</f>
        <v>2.4913494809688581</v>
      </c>
      <c r="AD265" s="43">
        <f>VLOOKUP(AD$84,'Infos Techniques'!$B$7:$H$12,5,0)/($V265*$X$39/12)</f>
        <v>2.4913494809688581</v>
      </c>
      <c r="AE265" s="43">
        <f>VLOOKUP(AE$84,'Infos Techniques'!$B$7:$H$12,5,0)/($V265*$X$39/12)</f>
        <v>2.4913494809688581</v>
      </c>
      <c r="AF265" s="43">
        <f>VLOOKUP(AF$84,'Infos Techniques'!$B$7:$H$12,5,0)/($V265*$X$39/12)</f>
        <v>2.4913494809688581</v>
      </c>
      <c r="AG265" s="43">
        <f>VLOOKUP(AG$84,'Infos Techniques'!$B$7:$H$12,5,0)/($V265*$X$39/12)</f>
        <v>2.2023529411764704</v>
      </c>
      <c r="AH265" s="43">
        <f>VLOOKUP(AH$84,'Infos Techniques'!$B$7:$H$12,7,0)/($V265*$X$39/12)</f>
        <v>3.3217993079584773</v>
      </c>
      <c r="AI265" s="43">
        <f>VLOOKUP(AI$84,'Infos Techniques'!$B$7:$H$12,7,0)/($V265*$X$39/12)</f>
        <v>3.3217993079584773</v>
      </c>
      <c r="AJ265" s="43">
        <f>VLOOKUP(AJ$84,'Infos Techniques'!$B$7:$H$12,7,0)/($V265*$X$39/12)</f>
        <v>3.3217993079584773</v>
      </c>
      <c r="AK265" s="43">
        <f>VLOOKUP(AK$84,'Infos Techniques'!$B$7:$H$12,7,0)/($V265*$X$39/12)</f>
        <v>2.4913494809688581</v>
      </c>
      <c r="AL265" s="63">
        <f>VLOOKUP(AL$84,'Infos Techniques'!$B$7:$E$12,4,0)/($V265*$X$39/12)</f>
        <v>2.2023529411764704</v>
      </c>
    </row>
    <row r="266" spans="2:38">
      <c r="B266" s="1830"/>
      <c r="C266" s="70">
        <v>90</v>
      </c>
      <c r="D266" s="43" t="e">
        <f t="shared" si="76"/>
        <v>#REF!</v>
      </c>
      <c r="E266" s="43" t="e">
        <f t="shared" si="77"/>
        <v>#REF!</v>
      </c>
      <c r="F266" s="43" t="e">
        <f t="shared" si="78"/>
        <v>#REF!</v>
      </c>
      <c r="G266" s="43" t="e">
        <f t="shared" si="79"/>
        <v>#REF!</v>
      </c>
      <c r="H266" s="43" t="e">
        <f t="shared" si="80"/>
        <v>#REF!</v>
      </c>
      <c r="I266" s="43" t="e">
        <f t="shared" si="81"/>
        <v>#REF!</v>
      </c>
      <c r="J266" s="43" t="e">
        <f t="shared" si="82"/>
        <v>#REF!</v>
      </c>
      <c r="K266" s="43" t="e">
        <f t="shared" si="83"/>
        <v>#REF!</v>
      </c>
      <c r="L266" s="43" t="e">
        <f t="shared" si="84"/>
        <v>#REF!</v>
      </c>
      <c r="M266" s="281" t="e">
        <f t="shared" si="85"/>
        <v>#REF!</v>
      </c>
      <c r="N266" s="288"/>
      <c r="O266" s="17"/>
      <c r="P266" s="17"/>
      <c r="Q266" s="17"/>
      <c r="R266" s="17"/>
      <c r="U266" s="1601"/>
      <c r="V266" s="28">
        <v>90</v>
      </c>
      <c r="W266" s="43" t="e" cm="1">
        <f t="array" ref="W266">VLOOKUP(MAX(IF('Courbe Déflexion'!$GK$5:$GK$285&lt;=V266,'Courbe Déflexion'!$GK$5:$GK$285)),'Courbe Déflexion'!#REF!,4,0)</f>
        <v>#REF!</v>
      </c>
      <c r="X266" s="276"/>
      <c r="Y266" s="276"/>
      <c r="Z266" s="276"/>
      <c r="AA266" s="276"/>
      <c r="AB266" s="276"/>
      <c r="AC266" s="43">
        <f>VLOOKUP(AC$84,'Infos Techniques'!$B$7:$H$12,5,0)/($V266*$X$39/12)</f>
        <v>2.3529411764705883</v>
      </c>
      <c r="AD266" s="43">
        <f>VLOOKUP(AD$84,'Infos Techniques'!$B$7:$H$12,5,0)/($V266*$X$39/12)</f>
        <v>2.3529411764705883</v>
      </c>
      <c r="AE266" s="43">
        <f>VLOOKUP(AE$84,'Infos Techniques'!$B$7:$H$12,5,0)/($V266*$X$39/12)</f>
        <v>2.3529411764705883</v>
      </c>
      <c r="AF266" s="43">
        <f>VLOOKUP(AF$84,'Infos Techniques'!$B$7:$H$12,5,0)/($V266*$X$39/12)</f>
        <v>2.3529411764705883</v>
      </c>
      <c r="AG266" s="43">
        <f>VLOOKUP(AG$84,'Infos Techniques'!$B$7:$H$12,5,0)/($V266*$X$39/12)</f>
        <v>2.08</v>
      </c>
      <c r="AH266" s="43">
        <f>VLOOKUP(AH$84,'Infos Techniques'!$B$7:$H$12,7,0)/($V266*$X$39/12)</f>
        <v>3.1372549019607843</v>
      </c>
      <c r="AI266" s="43">
        <f>VLOOKUP(AI$84,'Infos Techniques'!$B$7:$H$12,7,0)/($V266*$X$39/12)</f>
        <v>3.1372549019607843</v>
      </c>
      <c r="AJ266" s="43">
        <f>VLOOKUP(AJ$84,'Infos Techniques'!$B$7:$H$12,7,0)/($V266*$X$39/12)</f>
        <v>3.1372549019607843</v>
      </c>
      <c r="AK266" s="43">
        <f>VLOOKUP(AK$84,'Infos Techniques'!$B$7:$H$12,7,0)/($V266*$X$39/12)</f>
        <v>2.3529411764705883</v>
      </c>
      <c r="AL266" s="63">
        <f>VLOOKUP(AL$84,'Infos Techniques'!$B$7:$E$12,4,0)/($V266*$X$39/12)</f>
        <v>2.08</v>
      </c>
    </row>
    <row r="267" spans="2:38">
      <c r="B267" s="1830"/>
      <c r="C267" s="70">
        <v>95</v>
      </c>
      <c r="D267" s="43" t="e">
        <f t="shared" si="76"/>
        <v>#REF!</v>
      </c>
      <c r="E267" s="43" t="e">
        <f t="shared" si="77"/>
        <v>#REF!</v>
      </c>
      <c r="F267" s="43" t="e">
        <f t="shared" si="78"/>
        <v>#REF!</v>
      </c>
      <c r="G267" s="43" t="e">
        <f t="shared" si="79"/>
        <v>#REF!</v>
      </c>
      <c r="H267" s="43" t="e">
        <f t="shared" si="80"/>
        <v>#REF!</v>
      </c>
      <c r="I267" s="43" t="e">
        <f t="shared" si="81"/>
        <v>#REF!</v>
      </c>
      <c r="J267" s="43" t="e">
        <f t="shared" si="82"/>
        <v>#REF!</v>
      </c>
      <c r="K267" s="43" t="e">
        <f t="shared" si="83"/>
        <v>#REF!</v>
      </c>
      <c r="L267" s="43" t="e">
        <f t="shared" si="84"/>
        <v>#REF!</v>
      </c>
      <c r="M267" s="281" t="e">
        <f t="shared" si="85"/>
        <v>#REF!</v>
      </c>
      <c r="N267" s="288"/>
      <c r="O267" s="17"/>
      <c r="P267" s="17"/>
      <c r="Q267" s="17"/>
      <c r="R267" s="17"/>
      <c r="U267" s="1601"/>
      <c r="V267" s="28">
        <v>95</v>
      </c>
      <c r="W267" s="43" t="e" cm="1">
        <f t="array" ref="W267">VLOOKUP(MAX(IF('Courbe Déflexion'!$GK$5:$GK$285&lt;=V267,'Courbe Déflexion'!$GK$5:$GK$285)),'Courbe Déflexion'!#REF!,4,0)</f>
        <v>#REF!</v>
      </c>
      <c r="X267" s="276"/>
      <c r="Y267" s="276"/>
      <c r="Z267" s="276"/>
      <c r="AA267" s="276"/>
      <c r="AB267" s="276"/>
      <c r="AC267" s="43">
        <f>VLOOKUP(AC$84,'Infos Techniques'!$B$7:$H$12,5,0)/($V267*$X$39/12)</f>
        <v>2.2291021671826625</v>
      </c>
      <c r="AD267" s="43">
        <f>VLOOKUP(AD$84,'Infos Techniques'!$B$7:$H$12,5,0)/($V267*$X$39/12)</f>
        <v>2.2291021671826625</v>
      </c>
      <c r="AE267" s="43">
        <f>VLOOKUP(AE$84,'Infos Techniques'!$B$7:$H$12,5,0)/($V267*$X$39/12)</f>
        <v>2.2291021671826625</v>
      </c>
      <c r="AF267" s="43">
        <f>VLOOKUP(AF$84,'Infos Techniques'!$B$7:$H$12,5,0)/($V267*$X$39/12)</f>
        <v>2.2291021671826625</v>
      </c>
      <c r="AG267" s="43">
        <f>VLOOKUP(AG$84,'Infos Techniques'!$B$7:$H$12,5,0)/($V267*$X$39/12)</f>
        <v>1.9705263157894739</v>
      </c>
      <c r="AH267" s="43">
        <f>VLOOKUP(AH$84,'Infos Techniques'!$B$7:$H$12,7,0)/($V267*$X$39/12)</f>
        <v>2.9721362229102168</v>
      </c>
      <c r="AI267" s="43">
        <f>VLOOKUP(AI$84,'Infos Techniques'!$B$7:$H$12,7,0)/($V267*$X$39/12)</f>
        <v>2.9721362229102168</v>
      </c>
      <c r="AJ267" s="43">
        <f>VLOOKUP(AJ$84,'Infos Techniques'!$B$7:$H$12,7,0)/($V267*$X$39/12)</f>
        <v>2.9721362229102168</v>
      </c>
      <c r="AK267" s="43">
        <f>VLOOKUP(AK$84,'Infos Techniques'!$B$7:$H$12,7,0)/($V267*$X$39/12)</f>
        <v>2.2291021671826625</v>
      </c>
      <c r="AL267" s="63">
        <f>VLOOKUP(AL$84,'Infos Techniques'!$B$7:$E$12,4,0)/($V267*$X$39/12)</f>
        <v>1.9705263157894739</v>
      </c>
    </row>
    <row r="268" spans="2:38" ht="15" thickBot="1">
      <c r="B268" s="1831"/>
      <c r="C268" s="73">
        <v>100</v>
      </c>
      <c r="D268" s="300"/>
      <c r="E268" s="300"/>
      <c r="F268" s="300"/>
      <c r="G268" s="300"/>
      <c r="H268" s="45">
        <f t="shared" si="80"/>
        <v>1.8719999999999999</v>
      </c>
      <c r="I268" s="301"/>
      <c r="J268" s="301"/>
      <c r="K268" s="301"/>
      <c r="L268" s="301"/>
      <c r="M268" s="282">
        <f t="shared" si="85"/>
        <v>1.8719999999999999</v>
      </c>
      <c r="N268" s="288"/>
      <c r="O268" s="17"/>
      <c r="P268" s="17"/>
      <c r="Q268" s="17"/>
      <c r="R268" s="17"/>
      <c r="U268" s="1602"/>
      <c r="V268" s="44">
        <v>100</v>
      </c>
      <c r="W268" s="45" t="s">
        <v>1674</v>
      </c>
      <c r="X268" s="277"/>
      <c r="Y268" s="277"/>
      <c r="Z268" s="277"/>
      <c r="AA268" s="277"/>
      <c r="AB268" s="277"/>
      <c r="AC268" s="45">
        <f>VLOOKUP(AC$84,'Infos Techniques'!$B$7:$H$12,5,0)/($V268*$X$39/12)</f>
        <v>2.1176470588235294</v>
      </c>
      <c r="AD268" s="45">
        <f>VLOOKUP(AD$84,'Infos Techniques'!$B$7:$H$12,5,0)/($V268*$X$39/12)</f>
        <v>2.1176470588235294</v>
      </c>
      <c r="AE268" s="45">
        <f>VLOOKUP(AE$84,'Infos Techniques'!$B$7:$H$12,5,0)/($V268*$X$39/12)</f>
        <v>2.1176470588235294</v>
      </c>
      <c r="AF268" s="45">
        <f>VLOOKUP(AF$84,'Infos Techniques'!$B$7:$H$12,5,0)/($V268*$X$39/12)</f>
        <v>2.1176470588235294</v>
      </c>
      <c r="AG268" s="45">
        <f>VLOOKUP(AG$84,'Infos Techniques'!$B$7:$H$12,5,0)/($V268*$X$39/12)</f>
        <v>1.8719999999999999</v>
      </c>
      <c r="AH268" s="45">
        <f>VLOOKUP(AH$84,'Infos Techniques'!$B$7:$H$12,7,0)/($V268*$X$39/12)</f>
        <v>2.8235294117647056</v>
      </c>
      <c r="AI268" s="45">
        <f>VLOOKUP(AI$84,'Infos Techniques'!$B$7:$H$12,7,0)/($V268*$X$39/12)</f>
        <v>2.8235294117647056</v>
      </c>
      <c r="AJ268" s="45">
        <f>VLOOKUP(AJ$84,'Infos Techniques'!$B$7:$H$12,7,0)/($V268*$X$39/12)</f>
        <v>2.8235294117647056</v>
      </c>
      <c r="AK268" s="45">
        <f>VLOOKUP(AK$84,'Infos Techniques'!$B$7:$H$12,7,0)/($V268*$X$39/12)</f>
        <v>2.1176470588235294</v>
      </c>
      <c r="AL268" s="66">
        <f>VLOOKUP(AL$84,'Infos Techniques'!$B$7:$E$12,4,0)/($V268*$X$39/12)</f>
        <v>1.8719999999999999</v>
      </c>
    </row>
    <row r="269" spans="2:38" ht="15" thickTop="1">
      <c r="M269" s="176"/>
    </row>
    <row r="270" spans="2:38">
      <c r="B270" t="s">
        <v>1678</v>
      </c>
    </row>
    <row r="278" spans="1:38" ht="25.9">
      <c r="A278" s="1802" t="s">
        <v>1679</v>
      </c>
      <c r="B278" s="1802"/>
      <c r="C278" s="1802"/>
      <c r="D278" s="1802"/>
      <c r="E278" s="1802"/>
      <c r="F278" s="1802"/>
      <c r="G278" s="1802"/>
      <c r="H278" s="1802"/>
      <c r="I278" s="1802"/>
      <c r="J278" s="1802"/>
      <c r="K278" s="1802"/>
      <c r="L278" s="1802"/>
      <c r="M278" s="1802"/>
      <c r="N278" s="1802"/>
      <c r="O278" s="264"/>
      <c r="P278" s="264"/>
      <c r="Q278" s="264"/>
      <c r="R278" s="264"/>
    </row>
    <row r="279" spans="1:38" ht="25.9">
      <c r="B279" s="262"/>
      <c r="C279" s="263"/>
      <c r="D279" s="263"/>
      <c r="E279" s="263"/>
      <c r="F279" s="263"/>
      <c r="G279" s="263"/>
      <c r="H279" s="263"/>
      <c r="I279" s="263"/>
      <c r="J279" s="263"/>
      <c r="K279" s="263"/>
      <c r="L279" s="263"/>
      <c r="M279" s="263"/>
      <c r="N279" s="263"/>
      <c r="O279" s="263"/>
      <c r="P279" s="263"/>
      <c r="Q279" s="263"/>
      <c r="R279" s="263"/>
    </row>
    <row r="280" spans="1:38" ht="25.9">
      <c r="B280" s="1803" t="s">
        <v>1662</v>
      </c>
      <c r="C280" s="1803"/>
      <c r="D280" s="1803"/>
      <c r="E280" s="1803"/>
      <c r="F280" s="1803"/>
      <c r="G280" s="1803"/>
      <c r="H280" s="1803"/>
      <c r="I280" s="1803"/>
      <c r="J280" s="1803"/>
      <c r="K280" s="1803"/>
      <c r="L280" s="1803"/>
      <c r="M280" s="1803"/>
      <c r="N280" s="264"/>
      <c r="O280" s="264"/>
      <c r="P280" s="264"/>
      <c r="Q280" s="264"/>
      <c r="R280" s="264"/>
    </row>
    <row r="281" spans="1:38" ht="15" thickBot="1"/>
    <row r="282" spans="1:38" ht="15.6" thickTop="1" thickBot="1">
      <c r="U282" s="1808"/>
      <c r="V282" s="1809"/>
      <c r="W282" s="1606" t="s">
        <v>315</v>
      </c>
      <c r="X282" s="1606" t="s">
        <v>263</v>
      </c>
      <c r="Y282" s="1606"/>
      <c r="Z282" s="1606"/>
      <c r="AA282" s="1606"/>
      <c r="AB282" s="1606"/>
      <c r="AC282" s="1606"/>
      <c r="AD282" s="1606"/>
      <c r="AE282" s="1606"/>
      <c r="AF282" s="1606"/>
      <c r="AG282" s="1606"/>
      <c r="AH282" s="1606"/>
      <c r="AI282" s="1606"/>
      <c r="AJ282" s="1606"/>
      <c r="AK282" s="1606"/>
      <c r="AL282" s="1832"/>
    </row>
    <row r="283" spans="1:38" ht="22.15" thickTop="1" thickBot="1">
      <c r="B283" s="1812"/>
      <c r="C283" s="1813"/>
      <c r="D283" s="1817" t="s">
        <v>263</v>
      </c>
      <c r="E283" s="1818"/>
      <c r="F283" s="1818"/>
      <c r="G283" s="1818"/>
      <c r="H283" s="1818"/>
      <c r="I283" s="1818"/>
      <c r="J283" s="1818"/>
      <c r="K283" s="1818"/>
      <c r="L283" s="1818"/>
      <c r="M283" s="1818"/>
      <c r="N283" s="278"/>
      <c r="O283" s="279"/>
      <c r="P283" s="279"/>
      <c r="Q283" s="279"/>
      <c r="R283" s="279"/>
      <c r="U283" s="1810"/>
      <c r="V283" s="1811"/>
      <c r="W283" s="1571"/>
      <c r="X283" s="54"/>
      <c r="Y283" s="55"/>
      <c r="Z283" s="55"/>
      <c r="AA283" s="55"/>
      <c r="AB283" s="56"/>
      <c r="AC283" s="54"/>
      <c r="AD283" s="55"/>
      <c r="AE283" s="55"/>
      <c r="AF283" s="55"/>
      <c r="AG283" s="56"/>
      <c r="AH283" s="54"/>
      <c r="AI283" s="55"/>
      <c r="AJ283" s="55"/>
      <c r="AK283" s="55"/>
      <c r="AL283" s="57"/>
    </row>
    <row r="284" spans="1:38" ht="16.149999999999999" thickBot="1">
      <c r="B284" s="1814"/>
      <c r="C284" s="1397"/>
      <c r="D284" s="1820" t="s">
        <v>321</v>
      </c>
      <c r="E284" s="1821"/>
      <c r="F284" s="1821"/>
      <c r="G284" s="1821"/>
      <c r="H284" s="1822"/>
      <c r="I284" s="1823" t="s">
        <v>322</v>
      </c>
      <c r="J284" s="1821"/>
      <c r="K284" s="1821"/>
      <c r="L284" s="1821"/>
      <c r="M284" s="1821"/>
      <c r="N284" s="285"/>
      <c r="O284" s="283"/>
      <c r="P284" s="283"/>
      <c r="Q284" s="283"/>
      <c r="R284" s="283"/>
      <c r="U284" s="1646"/>
      <c r="V284" s="1113"/>
      <c r="W284" s="1603"/>
      <c r="X284" s="1833" t="s">
        <v>1663</v>
      </c>
      <c r="Y284" s="1834"/>
      <c r="Z284" s="1834"/>
      <c r="AA284" s="1834"/>
      <c r="AB284" s="1835"/>
      <c r="AC284" s="1833" t="s">
        <v>321</v>
      </c>
      <c r="AD284" s="1834"/>
      <c r="AE284" s="1834"/>
      <c r="AF284" s="1834"/>
      <c r="AG284" s="1835"/>
      <c r="AH284" s="1833" t="s">
        <v>322</v>
      </c>
      <c r="AI284" s="1834"/>
      <c r="AJ284" s="1834"/>
      <c r="AK284" s="1834"/>
      <c r="AL284" s="1836"/>
    </row>
    <row r="285" spans="1:38" ht="18" thickTop="1">
      <c r="B285" s="1814"/>
      <c r="C285" s="1397"/>
      <c r="D285" s="1825" t="s">
        <v>1664</v>
      </c>
      <c r="E285" s="1826"/>
      <c r="F285" s="1826"/>
      <c r="G285" s="1826"/>
      <c r="H285" s="1827"/>
      <c r="I285" s="1825" t="s">
        <v>1664</v>
      </c>
      <c r="J285" s="1826"/>
      <c r="K285" s="1826"/>
      <c r="L285" s="1826"/>
      <c r="M285" s="1826"/>
      <c r="N285" s="286"/>
      <c r="O285" s="284"/>
      <c r="P285" s="284"/>
      <c r="Q285" s="284"/>
      <c r="R285" s="284"/>
      <c r="U285" s="1646"/>
      <c r="V285" s="1113"/>
      <c r="W285" s="29"/>
      <c r="X285" s="237"/>
      <c r="Y285" s="80"/>
      <c r="Z285" s="80"/>
      <c r="AA285" s="80"/>
      <c r="AB285" s="239"/>
      <c r="AC285" s="237"/>
      <c r="AD285" s="80"/>
      <c r="AE285" s="80"/>
      <c r="AF285" s="80"/>
      <c r="AG285" s="239"/>
      <c r="AH285" s="237"/>
      <c r="AI285" s="80"/>
      <c r="AJ285" s="80"/>
      <c r="AK285" s="80"/>
      <c r="AL285" s="238"/>
    </row>
    <row r="286" spans="1:38" ht="15" thickBot="1">
      <c r="B286" s="1815"/>
      <c r="C286" s="1816"/>
      <c r="D286" s="49" t="s">
        <v>1665</v>
      </c>
      <c r="E286" s="50" t="s">
        <v>1666</v>
      </c>
      <c r="F286" s="50" t="s">
        <v>1667</v>
      </c>
      <c r="G286" s="50" t="s">
        <v>1668</v>
      </c>
      <c r="H286" s="52" t="s">
        <v>1669</v>
      </c>
      <c r="I286" s="49" t="s">
        <v>1670</v>
      </c>
      <c r="J286" s="50" t="s">
        <v>1666</v>
      </c>
      <c r="K286" s="50" t="s">
        <v>1667</v>
      </c>
      <c r="L286" s="50" t="s">
        <v>1668</v>
      </c>
      <c r="M286" s="52" t="s">
        <v>1669</v>
      </c>
      <c r="N286" s="287"/>
      <c r="O286" s="129"/>
      <c r="P286" s="129"/>
      <c r="Q286" s="129"/>
      <c r="R286" s="129"/>
      <c r="U286" s="1646"/>
      <c r="V286" s="1113"/>
      <c r="W286" s="29" t="s">
        <v>333</v>
      </c>
      <c r="X286" s="28">
        <v>0.1875</v>
      </c>
      <c r="Y286" s="28" t="s">
        <v>334</v>
      </c>
      <c r="Z286" s="28" t="s">
        <v>335</v>
      </c>
      <c r="AA286" s="28" t="s">
        <v>336</v>
      </c>
      <c r="AB286" s="28" t="s">
        <v>337</v>
      </c>
      <c r="AC286" s="28">
        <v>0.1875</v>
      </c>
      <c r="AD286" s="28" t="s">
        <v>334</v>
      </c>
      <c r="AE286" s="28" t="s">
        <v>335</v>
      </c>
      <c r="AF286" s="28" t="s">
        <v>336</v>
      </c>
      <c r="AG286" s="28" t="s">
        <v>337</v>
      </c>
      <c r="AH286" s="28">
        <v>0.1875</v>
      </c>
      <c r="AI286" s="28" t="s">
        <v>334</v>
      </c>
      <c r="AJ286" s="28" t="s">
        <v>335</v>
      </c>
      <c r="AK286" s="28" t="s">
        <v>336</v>
      </c>
      <c r="AL286" s="40" t="s">
        <v>337</v>
      </c>
    </row>
    <row r="287" spans="1:38" ht="14.45" customHeight="1">
      <c r="B287" s="1829" t="s">
        <v>1671</v>
      </c>
      <c r="C287" s="69">
        <v>5</v>
      </c>
      <c r="D287" s="59">
        <f t="shared" ref="D287:D306" si="86">MIN($X$41,AC287,$W287)</f>
        <v>12</v>
      </c>
      <c r="E287" s="59">
        <f t="shared" ref="E287:E306" si="87">MIN($X$41,AD287,$W287)</f>
        <v>12</v>
      </c>
      <c r="F287" s="59">
        <f t="shared" ref="F287:F306" si="88">MIN($X$41,AE287,$W287)</f>
        <v>12</v>
      </c>
      <c r="G287" s="59">
        <f t="shared" ref="G287:G306" si="89">MIN($X$41,AF287,$W287)</f>
        <v>12</v>
      </c>
      <c r="H287" s="59">
        <f t="shared" ref="H287:H306" si="90">MIN($X$41,AG287,$W287)</f>
        <v>12</v>
      </c>
      <c r="I287" s="59">
        <f t="shared" ref="I287:I306" si="91">MIN($X$41,AH287,$W287)</f>
        <v>12</v>
      </c>
      <c r="J287" s="59">
        <f t="shared" ref="J287:J306" si="92">MIN($X$41,AI287,$W287)</f>
        <v>12</v>
      </c>
      <c r="K287" s="59">
        <f t="shared" ref="K287:K306" si="93">MIN($X$41,AJ287,$W287)</f>
        <v>12</v>
      </c>
      <c r="L287" s="59">
        <f t="shared" ref="L287:L306" si="94">MIN($X$41,AK287,$W287)</f>
        <v>12</v>
      </c>
      <c r="M287" s="280">
        <f t="shared" ref="M287:M306" si="95">MIN($X$41,AL287,$W287)</f>
        <v>12</v>
      </c>
      <c r="N287" s="288"/>
      <c r="O287" s="17"/>
      <c r="P287" s="17"/>
      <c r="Q287" s="17"/>
      <c r="R287" s="17"/>
      <c r="U287" s="1601" t="s">
        <v>314</v>
      </c>
      <c r="V287" s="28">
        <v>5</v>
      </c>
      <c r="W287" s="43" t="s">
        <v>1674</v>
      </c>
      <c r="X287" s="276"/>
      <c r="Y287" s="276"/>
      <c r="Z287" s="276"/>
      <c r="AA287" s="276"/>
      <c r="AB287" s="276"/>
      <c r="AC287" s="43">
        <f>VLOOKUP(AC$84,'Infos Techniques'!$B$7:$H$12,5,0)/($V287*$X$39/12)</f>
        <v>42.352941176470594</v>
      </c>
      <c r="AD287" s="43">
        <f>VLOOKUP(AD$84,'Infos Techniques'!$B$7:$H$12,5,0)/($V287*$X$39/12)</f>
        <v>42.352941176470594</v>
      </c>
      <c r="AE287" s="43">
        <f>VLOOKUP(AE$84,'Infos Techniques'!$B$7:$H$12,5,0)/($V287*$X$39/12)</f>
        <v>42.352941176470594</v>
      </c>
      <c r="AF287" s="43">
        <f>VLOOKUP(AF$84,'Infos Techniques'!$B$7:$H$12,5,0)/($V287*$X$39/12)</f>
        <v>42.352941176470594</v>
      </c>
      <c r="AG287" s="43">
        <f>VLOOKUP(AG$84,'Infos Techniques'!$B$7:$H$12,5,0)/($V287*$X$39/12)</f>
        <v>37.440000000000005</v>
      </c>
      <c r="AH287" s="43">
        <f>VLOOKUP(AH$84,'Infos Techniques'!$B$7:$H$12,7,0)/($V287*$X$39/12)</f>
        <v>56.470588235294123</v>
      </c>
      <c r="AI287" s="43">
        <f>VLOOKUP(AI$84,'Infos Techniques'!$B$7:$H$12,7,0)/($V287*$X$39/12)</f>
        <v>56.470588235294123</v>
      </c>
      <c r="AJ287" s="43">
        <f>VLOOKUP(AJ$84,'Infos Techniques'!$B$7:$H$12,7,0)/($V287*$X$39/12)</f>
        <v>56.470588235294123</v>
      </c>
      <c r="AK287" s="43">
        <f>VLOOKUP(AK$84,'Infos Techniques'!$B$7:$H$12,7,0)/($V287*$X$39/12)</f>
        <v>42.352941176470594</v>
      </c>
      <c r="AL287" s="63">
        <f>VLOOKUP(AL$84,'Infos Techniques'!$B$7:$H$12,7,0)/($V287*$X$39/12)</f>
        <v>37.440000000000005</v>
      </c>
    </row>
    <row r="288" spans="1:38">
      <c r="B288" s="1830"/>
      <c r="C288" s="70">
        <v>10</v>
      </c>
      <c r="D288" s="43" t="e">
        <f t="shared" si="86"/>
        <v>#REF!</v>
      </c>
      <c r="E288" s="43" t="e">
        <f t="shared" si="87"/>
        <v>#REF!</v>
      </c>
      <c r="F288" s="43" t="e">
        <f t="shared" si="88"/>
        <v>#REF!</v>
      </c>
      <c r="G288" s="43" t="e">
        <f t="shared" si="89"/>
        <v>#REF!</v>
      </c>
      <c r="H288" s="43" t="e">
        <f t="shared" si="90"/>
        <v>#REF!</v>
      </c>
      <c r="I288" s="43" t="e">
        <f t="shared" si="91"/>
        <v>#REF!</v>
      </c>
      <c r="J288" s="43" t="e">
        <f t="shared" si="92"/>
        <v>#REF!</v>
      </c>
      <c r="K288" s="43" t="e">
        <f t="shared" si="93"/>
        <v>#REF!</v>
      </c>
      <c r="L288" s="43" t="e">
        <f t="shared" si="94"/>
        <v>#REF!</v>
      </c>
      <c r="M288" s="281" t="e">
        <f t="shared" si="95"/>
        <v>#REF!</v>
      </c>
      <c r="N288" s="288"/>
      <c r="O288" s="17"/>
      <c r="P288" s="17"/>
      <c r="Q288" s="17"/>
      <c r="R288" s="17"/>
      <c r="U288" s="1601"/>
      <c r="V288" s="28">
        <v>10</v>
      </c>
      <c r="W288" s="43" t="e" cm="1">
        <f t="array" ref="W288">VLOOKUP(MAX(IF('Courbe Déflexion'!$GV$5:$GV$285&lt;=V288,'Courbe Déflexion'!$GV$5:$GV$285)),'Courbe Déflexion'!#REF!,3,0)</f>
        <v>#REF!</v>
      </c>
      <c r="X288" s="276"/>
      <c r="Y288" s="276"/>
      <c r="Z288" s="276"/>
      <c r="AA288" s="276"/>
      <c r="AB288" s="276"/>
      <c r="AC288" s="43">
        <f>VLOOKUP(AC$84,'Infos Techniques'!$B$7:$H$12,5,0)/($V288*$X$39/12)</f>
        <v>21.176470588235297</v>
      </c>
      <c r="AD288" s="43">
        <f>VLOOKUP(AD$84,'Infos Techniques'!$B$7:$H$12,5,0)/($V288*$X$39/12)</f>
        <v>21.176470588235297</v>
      </c>
      <c r="AE288" s="43">
        <f>VLOOKUP(AE$84,'Infos Techniques'!$B$7:$H$12,5,0)/($V288*$X$39/12)</f>
        <v>21.176470588235297</v>
      </c>
      <c r="AF288" s="43">
        <f>VLOOKUP(AF$84,'Infos Techniques'!$B$7:$H$12,5,0)/($V288*$X$39/12)</f>
        <v>21.176470588235297</v>
      </c>
      <c r="AG288" s="43">
        <f>VLOOKUP(AG$84,'Infos Techniques'!$B$7:$H$12,5,0)/($V288*$X$39/12)</f>
        <v>18.720000000000002</v>
      </c>
      <c r="AH288" s="43">
        <f>VLOOKUP(AH$84,'Infos Techniques'!$B$7:$H$12,7,0)/($V288*$X$39/12)</f>
        <v>28.235294117647062</v>
      </c>
      <c r="AI288" s="43">
        <f>VLOOKUP(AI$84,'Infos Techniques'!$B$7:$H$12,7,0)/($V288*$X$39/12)</f>
        <v>28.235294117647062</v>
      </c>
      <c r="AJ288" s="43">
        <f>VLOOKUP(AJ$84,'Infos Techniques'!$B$7:$H$12,7,0)/($V288*$X$39/12)</f>
        <v>28.235294117647062</v>
      </c>
      <c r="AK288" s="43">
        <f>VLOOKUP(AK$84,'Infos Techniques'!$B$7:$H$12,7,0)/($V288*$X$39/12)</f>
        <v>21.176470588235297</v>
      </c>
      <c r="AL288" s="63">
        <f>VLOOKUP(AL$84,'Infos Techniques'!$B$7:$E$12,4,0)/($V288*$X$39/12)</f>
        <v>18.720000000000002</v>
      </c>
    </row>
    <row r="289" spans="2:38">
      <c r="B289" s="1830"/>
      <c r="C289" s="70">
        <v>15</v>
      </c>
      <c r="D289" s="43" t="e">
        <f t="shared" si="86"/>
        <v>#REF!</v>
      </c>
      <c r="E289" s="43" t="e">
        <f t="shared" si="87"/>
        <v>#REF!</v>
      </c>
      <c r="F289" s="43" t="e">
        <f t="shared" si="88"/>
        <v>#REF!</v>
      </c>
      <c r="G289" s="43" t="e">
        <f t="shared" si="89"/>
        <v>#REF!</v>
      </c>
      <c r="H289" s="43" t="e">
        <f t="shared" si="90"/>
        <v>#REF!</v>
      </c>
      <c r="I289" s="43" t="e">
        <f t="shared" si="91"/>
        <v>#REF!</v>
      </c>
      <c r="J289" s="43" t="e">
        <f t="shared" si="92"/>
        <v>#REF!</v>
      </c>
      <c r="K289" s="43" t="e">
        <f t="shared" si="93"/>
        <v>#REF!</v>
      </c>
      <c r="L289" s="43" t="e">
        <f t="shared" si="94"/>
        <v>#REF!</v>
      </c>
      <c r="M289" s="281" t="e">
        <f t="shared" si="95"/>
        <v>#REF!</v>
      </c>
      <c r="N289" s="288"/>
      <c r="O289" s="17"/>
      <c r="P289" s="17"/>
      <c r="Q289" s="17"/>
      <c r="R289" s="17"/>
      <c r="U289" s="1601"/>
      <c r="V289" s="28">
        <v>15</v>
      </c>
      <c r="W289" s="43" t="e" cm="1">
        <f t="array" ref="W289">VLOOKUP(MAX(IF('Courbe Déflexion'!$GV$5:$GV$285&lt;=V289,'Courbe Déflexion'!$GV$5:$GV$285)),'Courbe Déflexion'!#REF!,3,0)</f>
        <v>#REF!</v>
      </c>
      <c r="X289" s="276"/>
      <c r="Y289" s="276"/>
      <c r="Z289" s="276"/>
      <c r="AA289" s="276"/>
      <c r="AB289" s="276"/>
      <c r="AC289" s="43">
        <f>VLOOKUP(AC$84,'Infos Techniques'!$B$7:$H$12,5,0)/($V289*$X$39/12)</f>
        <v>14.117647058823529</v>
      </c>
      <c r="AD289" s="43">
        <f>VLOOKUP(AD$84,'Infos Techniques'!$B$7:$H$12,5,0)/($V289*$X$39/12)</f>
        <v>14.117647058823529</v>
      </c>
      <c r="AE289" s="43">
        <f>VLOOKUP(AE$84,'Infos Techniques'!$B$7:$H$12,5,0)/($V289*$X$39/12)</f>
        <v>14.117647058823529</v>
      </c>
      <c r="AF289" s="43">
        <f>VLOOKUP(AF$84,'Infos Techniques'!$B$7:$H$12,5,0)/($V289*$X$39/12)</f>
        <v>14.117647058823529</v>
      </c>
      <c r="AG289" s="43">
        <f>VLOOKUP(AG$84,'Infos Techniques'!$B$7:$H$12,5,0)/($V289*$X$39/12)</f>
        <v>12.48</v>
      </c>
      <c r="AH289" s="43">
        <f>VLOOKUP(AH$84,'Infos Techniques'!$B$7:$H$12,7,0)/($V289*$X$39/12)</f>
        <v>18.823529411764707</v>
      </c>
      <c r="AI289" s="43">
        <f>VLOOKUP(AI$84,'Infos Techniques'!$B$7:$H$12,7,0)/($V289*$X$39/12)</f>
        <v>18.823529411764707</v>
      </c>
      <c r="AJ289" s="43">
        <f>VLOOKUP(AJ$84,'Infos Techniques'!$B$7:$H$12,7,0)/($V289*$X$39/12)</f>
        <v>18.823529411764707</v>
      </c>
      <c r="AK289" s="43">
        <f>VLOOKUP(AK$84,'Infos Techniques'!$B$7:$H$12,7,0)/($V289*$X$39/12)</f>
        <v>14.117647058823529</v>
      </c>
      <c r="AL289" s="63">
        <f>VLOOKUP(AL$84,'Infos Techniques'!$B$7:$E$12,4,0)/($V289*$X$39/12)</f>
        <v>12.48</v>
      </c>
    </row>
    <row r="290" spans="2:38">
      <c r="B290" s="1830"/>
      <c r="C290" s="70">
        <v>20</v>
      </c>
      <c r="D290" s="43" t="e">
        <f t="shared" si="86"/>
        <v>#REF!</v>
      </c>
      <c r="E290" s="43" t="e">
        <f t="shared" si="87"/>
        <v>#REF!</v>
      </c>
      <c r="F290" s="43" t="e">
        <f t="shared" si="88"/>
        <v>#REF!</v>
      </c>
      <c r="G290" s="43" t="e">
        <f t="shared" si="89"/>
        <v>#REF!</v>
      </c>
      <c r="H290" s="43" t="e">
        <f t="shared" si="90"/>
        <v>#REF!</v>
      </c>
      <c r="I290" s="43" t="e">
        <f t="shared" si="91"/>
        <v>#REF!</v>
      </c>
      <c r="J290" s="43" t="e">
        <f t="shared" si="92"/>
        <v>#REF!</v>
      </c>
      <c r="K290" s="43" t="e">
        <f t="shared" si="93"/>
        <v>#REF!</v>
      </c>
      <c r="L290" s="43" t="e">
        <f t="shared" si="94"/>
        <v>#REF!</v>
      </c>
      <c r="M290" s="281" t="e">
        <f t="shared" si="95"/>
        <v>#REF!</v>
      </c>
      <c r="N290" s="288"/>
      <c r="O290" s="17"/>
      <c r="P290" s="17"/>
      <c r="Q290" s="17"/>
      <c r="R290" s="17"/>
      <c r="U290" s="1601"/>
      <c r="V290" s="28">
        <v>20</v>
      </c>
      <c r="W290" s="43" t="e" cm="1">
        <f t="array" ref="W290">VLOOKUP(MAX(IF('Courbe Déflexion'!$GV$5:$GV$285&lt;=V290,'Courbe Déflexion'!$GV$5:$GV$285)),'Courbe Déflexion'!#REF!,3,0)</f>
        <v>#REF!</v>
      </c>
      <c r="X290" s="276"/>
      <c r="Y290" s="276"/>
      <c r="Z290" s="276"/>
      <c r="AA290" s="276"/>
      <c r="AB290" s="276"/>
      <c r="AC290" s="43">
        <f>VLOOKUP(AC$84,'Infos Techniques'!$B$7:$H$12,5,0)/($V290*$X$39/12)</f>
        <v>10.588235294117649</v>
      </c>
      <c r="AD290" s="43">
        <f>VLOOKUP(AD$84,'Infos Techniques'!$B$7:$H$12,5,0)/($V290*$X$39/12)</f>
        <v>10.588235294117649</v>
      </c>
      <c r="AE290" s="43">
        <f>VLOOKUP(AE$84,'Infos Techniques'!$B$7:$H$12,5,0)/($V290*$X$39/12)</f>
        <v>10.588235294117649</v>
      </c>
      <c r="AF290" s="43">
        <f>VLOOKUP(AF$84,'Infos Techniques'!$B$7:$H$12,5,0)/($V290*$X$39/12)</f>
        <v>10.588235294117649</v>
      </c>
      <c r="AG290" s="43">
        <f>VLOOKUP(AG$84,'Infos Techniques'!$B$7:$H$12,5,0)/($V290*$X$39/12)</f>
        <v>9.3600000000000012</v>
      </c>
      <c r="AH290" s="43">
        <f>VLOOKUP(AH$84,'Infos Techniques'!$B$7:$H$12,7,0)/($V290*$X$39/12)</f>
        <v>14.117647058823531</v>
      </c>
      <c r="AI290" s="43">
        <f>VLOOKUP(AI$84,'Infos Techniques'!$B$7:$H$12,7,0)/($V290*$X$39/12)</f>
        <v>14.117647058823531</v>
      </c>
      <c r="AJ290" s="43">
        <f>VLOOKUP(AJ$84,'Infos Techniques'!$B$7:$H$12,7,0)/($V290*$X$39/12)</f>
        <v>14.117647058823531</v>
      </c>
      <c r="AK290" s="43">
        <f>VLOOKUP(AK$84,'Infos Techniques'!$B$7:$H$12,7,0)/($V290*$X$39/12)</f>
        <v>10.588235294117649</v>
      </c>
      <c r="AL290" s="63">
        <f>VLOOKUP(AL$84,'Infos Techniques'!$B$7:$E$12,4,0)/($V290*$X$39/12)</f>
        <v>9.3600000000000012</v>
      </c>
    </row>
    <row r="291" spans="2:38" ht="15" thickBot="1">
      <c r="B291" s="1830"/>
      <c r="C291" s="71">
        <v>25</v>
      </c>
      <c r="D291" s="43" t="e">
        <f t="shared" si="86"/>
        <v>#REF!</v>
      </c>
      <c r="E291" s="43" t="e">
        <f t="shared" si="87"/>
        <v>#REF!</v>
      </c>
      <c r="F291" s="43" t="e">
        <f t="shared" si="88"/>
        <v>#REF!</v>
      </c>
      <c r="G291" s="43" t="e">
        <f t="shared" si="89"/>
        <v>#REF!</v>
      </c>
      <c r="H291" s="43" t="e">
        <f t="shared" si="90"/>
        <v>#REF!</v>
      </c>
      <c r="I291" s="43" t="e">
        <f t="shared" si="91"/>
        <v>#REF!</v>
      </c>
      <c r="J291" s="43" t="e">
        <f t="shared" si="92"/>
        <v>#REF!</v>
      </c>
      <c r="K291" s="43" t="e">
        <f t="shared" si="93"/>
        <v>#REF!</v>
      </c>
      <c r="L291" s="43" t="e">
        <f t="shared" si="94"/>
        <v>#REF!</v>
      </c>
      <c r="M291" s="281" t="e">
        <f t="shared" si="95"/>
        <v>#REF!</v>
      </c>
      <c r="N291" s="288"/>
      <c r="O291" s="17"/>
      <c r="P291" s="17"/>
      <c r="Q291" s="17"/>
      <c r="R291" s="17"/>
      <c r="U291" s="1601"/>
      <c r="V291" s="28">
        <v>25</v>
      </c>
      <c r="W291" s="43" t="e" cm="1">
        <f t="array" ref="W291">VLOOKUP(MAX(IF('Courbe Déflexion'!$GV$5:$GV$285&lt;=V291,'Courbe Déflexion'!$GV$5:$GV$285)),'Courbe Déflexion'!#REF!,3,0)</f>
        <v>#REF!</v>
      </c>
      <c r="X291" s="276"/>
      <c r="Y291" s="276"/>
      <c r="Z291" s="276"/>
      <c r="AA291" s="276"/>
      <c r="AB291" s="276"/>
      <c r="AC291" s="43">
        <f>VLOOKUP(AC$84,'Infos Techniques'!$B$7:$H$12,5,0)/($V291*$X$39/12)</f>
        <v>8.4705882352941178</v>
      </c>
      <c r="AD291" s="43">
        <f>VLOOKUP(AD$84,'Infos Techniques'!$B$7:$H$12,5,0)/($V291*$X$39/12)</f>
        <v>8.4705882352941178</v>
      </c>
      <c r="AE291" s="43">
        <f>VLOOKUP(AE$84,'Infos Techniques'!$B$7:$H$12,5,0)/($V291*$X$39/12)</f>
        <v>8.4705882352941178</v>
      </c>
      <c r="AF291" s="43">
        <f>VLOOKUP(AF$84,'Infos Techniques'!$B$7:$H$12,5,0)/($V291*$X$39/12)</f>
        <v>8.4705882352941178</v>
      </c>
      <c r="AG291" s="43">
        <f>VLOOKUP(AG$84,'Infos Techniques'!$B$7:$H$12,5,0)/($V291*$X$39/12)</f>
        <v>7.4879999999999995</v>
      </c>
      <c r="AH291" s="43">
        <f>VLOOKUP(AH$84,'Infos Techniques'!$B$7:$H$12,7,0)/($V291*$X$39/12)</f>
        <v>11.294117647058822</v>
      </c>
      <c r="AI291" s="43">
        <f>VLOOKUP(AI$84,'Infos Techniques'!$B$7:$H$12,7,0)/($V291*$X$39/12)</f>
        <v>11.294117647058822</v>
      </c>
      <c r="AJ291" s="43">
        <f>VLOOKUP(AJ$84,'Infos Techniques'!$B$7:$H$12,7,0)/($V291*$X$39/12)</f>
        <v>11.294117647058822</v>
      </c>
      <c r="AK291" s="43">
        <f>VLOOKUP(AK$84,'Infos Techniques'!$B$7:$H$12,7,0)/($V291*$X$39/12)</f>
        <v>8.4705882352941178</v>
      </c>
      <c r="AL291" s="63">
        <f>VLOOKUP(AL$84,'Infos Techniques'!$B$7:$E$12,4,0)/($V291*$X$39/12)</f>
        <v>7.4879999999999995</v>
      </c>
    </row>
    <row r="292" spans="2:38">
      <c r="B292" s="1830"/>
      <c r="C292" s="69">
        <v>30</v>
      </c>
      <c r="D292" s="43" t="e">
        <f t="shared" si="86"/>
        <v>#REF!</v>
      </c>
      <c r="E292" s="43" t="e">
        <f t="shared" si="87"/>
        <v>#REF!</v>
      </c>
      <c r="F292" s="43" t="e">
        <f t="shared" si="88"/>
        <v>#REF!</v>
      </c>
      <c r="G292" s="43" t="e">
        <f t="shared" si="89"/>
        <v>#REF!</v>
      </c>
      <c r="H292" s="43" t="e">
        <f t="shared" si="90"/>
        <v>#REF!</v>
      </c>
      <c r="I292" s="43" t="e">
        <f t="shared" si="91"/>
        <v>#REF!</v>
      </c>
      <c r="J292" s="43" t="e">
        <f t="shared" si="92"/>
        <v>#REF!</v>
      </c>
      <c r="K292" s="43" t="e">
        <f t="shared" si="93"/>
        <v>#REF!</v>
      </c>
      <c r="L292" s="43" t="e">
        <f t="shared" si="94"/>
        <v>#REF!</v>
      </c>
      <c r="M292" s="281" t="e">
        <f t="shared" si="95"/>
        <v>#REF!</v>
      </c>
      <c r="N292" s="288"/>
      <c r="O292" s="17"/>
      <c r="P292" s="17"/>
      <c r="Q292" s="17"/>
      <c r="R292" s="17"/>
      <c r="U292" s="1601"/>
      <c r="V292" s="28">
        <v>30</v>
      </c>
      <c r="W292" s="43" t="e" cm="1">
        <f t="array" ref="W292">VLOOKUP(MAX(IF('Courbe Déflexion'!$GV$5:$GV$285&lt;=V292,'Courbe Déflexion'!$GV$5:$GV$285)),'Courbe Déflexion'!#REF!,3,0)</f>
        <v>#REF!</v>
      </c>
      <c r="X292" s="276"/>
      <c r="Y292" s="276"/>
      <c r="Z292" s="276"/>
      <c r="AA292" s="276"/>
      <c r="AB292" s="276"/>
      <c r="AC292" s="43">
        <f>VLOOKUP(AC$84,'Infos Techniques'!$B$7:$H$12,5,0)/($V292*$X$39/12)</f>
        <v>7.0588235294117645</v>
      </c>
      <c r="AD292" s="43">
        <f>VLOOKUP(AD$84,'Infos Techniques'!$B$7:$H$12,5,0)/($V292*$X$39/12)</f>
        <v>7.0588235294117645</v>
      </c>
      <c r="AE292" s="43">
        <f>VLOOKUP(AE$84,'Infos Techniques'!$B$7:$H$12,5,0)/($V292*$X$39/12)</f>
        <v>7.0588235294117645</v>
      </c>
      <c r="AF292" s="43">
        <f>VLOOKUP(AF$84,'Infos Techniques'!$B$7:$H$12,5,0)/($V292*$X$39/12)</f>
        <v>7.0588235294117645</v>
      </c>
      <c r="AG292" s="43">
        <f>VLOOKUP(AG$84,'Infos Techniques'!$B$7:$H$12,5,0)/($V292*$X$39/12)</f>
        <v>6.24</v>
      </c>
      <c r="AH292" s="43">
        <f>VLOOKUP(AH$84,'Infos Techniques'!$B$7:$H$12,7,0)/($V292*$X$39/12)</f>
        <v>9.4117647058823533</v>
      </c>
      <c r="AI292" s="43">
        <f>VLOOKUP(AI$84,'Infos Techniques'!$B$7:$H$12,7,0)/($V292*$X$39/12)</f>
        <v>9.4117647058823533</v>
      </c>
      <c r="AJ292" s="43">
        <f>VLOOKUP(AJ$84,'Infos Techniques'!$B$7:$H$12,7,0)/($V292*$X$39/12)</f>
        <v>9.4117647058823533</v>
      </c>
      <c r="AK292" s="43">
        <f>VLOOKUP(AK$84,'Infos Techniques'!$B$7:$H$12,7,0)/($V292*$X$39/12)</f>
        <v>7.0588235294117645</v>
      </c>
      <c r="AL292" s="63">
        <f>VLOOKUP(AL$84,'Infos Techniques'!$B$7:$E$12,4,0)/($V292*$X$39/12)</f>
        <v>6.24</v>
      </c>
    </row>
    <row r="293" spans="2:38">
      <c r="B293" s="1830"/>
      <c r="C293" s="70">
        <v>35</v>
      </c>
      <c r="D293" s="43" t="e">
        <f t="shared" si="86"/>
        <v>#REF!</v>
      </c>
      <c r="E293" s="43" t="e">
        <f t="shared" si="87"/>
        <v>#REF!</v>
      </c>
      <c r="F293" s="43" t="e">
        <f t="shared" si="88"/>
        <v>#REF!</v>
      </c>
      <c r="G293" s="43" t="e">
        <f t="shared" si="89"/>
        <v>#REF!</v>
      </c>
      <c r="H293" s="43" t="e">
        <f t="shared" si="90"/>
        <v>#REF!</v>
      </c>
      <c r="I293" s="43" t="e">
        <f t="shared" si="91"/>
        <v>#REF!</v>
      </c>
      <c r="J293" s="43" t="e">
        <f t="shared" si="92"/>
        <v>#REF!</v>
      </c>
      <c r="K293" s="43" t="e">
        <f t="shared" si="93"/>
        <v>#REF!</v>
      </c>
      <c r="L293" s="43" t="e">
        <f t="shared" si="94"/>
        <v>#REF!</v>
      </c>
      <c r="M293" s="281" t="e">
        <f t="shared" si="95"/>
        <v>#REF!</v>
      </c>
      <c r="N293" s="288"/>
      <c r="O293" s="17"/>
      <c r="P293" s="17"/>
      <c r="Q293" s="17"/>
      <c r="R293" s="17"/>
      <c r="U293" s="1601"/>
      <c r="V293" s="28">
        <v>35</v>
      </c>
      <c r="W293" s="43" t="e" cm="1">
        <f t="array" ref="W293">VLOOKUP(MAX(IF('Courbe Déflexion'!$GV$5:$GV$285&lt;=V293,'Courbe Déflexion'!$GV$5:$GV$285)),'Courbe Déflexion'!#REF!,3,0)</f>
        <v>#REF!</v>
      </c>
      <c r="X293" s="276"/>
      <c r="Y293" s="276"/>
      <c r="Z293" s="276"/>
      <c r="AA293" s="276"/>
      <c r="AB293" s="276"/>
      <c r="AC293" s="43">
        <f>VLOOKUP(AC$84,'Infos Techniques'!$B$7:$H$12,5,0)/($V293*$X$39/12)</f>
        <v>6.0504201680672267</v>
      </c>
      <c r="AD293" s="43">
        <f>VLOOKUP(AD$84,'Infos Techniques'!$B$7:$H$12,5,0)/($V293*$X$39/12)</f>
        <v>6.0504201680672267</v>
      </c>
      <c r="AE293" s="43">
        <f>VLOOKUP(AE$84,'Infos Techniques'!$B$7:$H$12,5,0)/($V293*$X$39/12)</f>
        <v>6.0504201680672267</v>
      </c>
      <c r="AF293" s="43">
        <f>VLOOKUP(AF$84,'Infos Techniques'!$B$7:$H$12,5,0)/($V293*$X$39/12)</f>
        <v>6.0504201680672267</v>
      </c>
      <c r="AG293" s="43">
        <f>VLOOKUP(AG$84,'Infos Techniques'!$B$7:$H$12,5,0)/($V293*$X$39/12)</f>
        <v>5.3485714285714288</v>
      </c>
      <c r="AH293" s="43">
        <f>VLOOKUP(AH$84,'Infos Techniques'!$B$7:$H$12,7,0)/($V293*$X$39/12)</f>
        <v>8.0672268907563023</v>
      </c>
      <c r="AI293" s="43">
        <f>VLOOKUP(AI$84,'Infos Techniques'!$B$7:$H$12,7,0)/($V293*$X$39/12)</f>
        <v>8.0672268907563023</v>
      </c>
      <c r="AJ293" s="43">
        <f>VLOOKUP(AJ$84,'Infos Techniques'!$B$7:$H$12,7,0)/($V293*$X$39/12)</f>
        <v>8.0672268907563023</v>
      </c>
      <c r="AK293" s="43">
        <f>VLOOKUP(AK$84,'Infos Techniques'!$B$7:$H$12,7,0)/($V293*$X$39/12)</f>
        <v>6.0504201680672267</v>
      </c>
      <c r="AL293" s="63">
        <f>VLOOKUP(AL$84,'Infos Techniques'!$B$7:$E$12,4,0)/($V293*$X$39/12)</f>
        <v>5.3485714285714288</v>
      </c>
    </row>
    <row r="294" spans="2:38">
      <c r="B294" s="1830"/>
      <c r="C294" s="70">
        <v>40</v>
      </c>
      <c r="D294" s="43" t="e">
        <f t="shared" si="86"/>
        <v>#REF!</v>
      </c>
      <c r="E294" s="43" t="e">
        <f t="shared" si="87"/>
        <v>#REF!</v>
      </c>
      <c r="F294" s="43" t="e">
        <f t="shared" si="88"/>
        <v>#REF!</v>
      </c>
      <c r="G294" s="43" t="e">
        <f t="shared" si="89"/>
        <v>#REF!</v>
      </c>
      <c r="H294" s="43" t="e">
        <f t="shared" si="90"/>
        <v>#REF!</v>
      </c>
      <c r="I294" s="43" t="e">
        <f t="shared" si="91"/>
        <v>#REF!</v>
      </c>
      <c r="J294" s="43" t="e">
        <f t="shared" si="92"/>
        <v>#REF!</v>
      </c>
      <c r="K294" s="43" t="e">
        <f t="shared" si="93"/>
        <v>#REF!</v>
      </c>
      <c r="L294" s="43" t="e">
        <f t="shared" si="94"/>
        <v>#REF!</v>
      </c>
      <c r="M294" s="281" t="e">
        <f t="shared" si="95"/>
        <v>#REF!</v>
      </c>
      <c r="N294" s="288"/>
      <c r="O294" s="17"/>
      <c r="P294" s="17"/>
      <c r="Q294" s="17"/>
      <c r="R294" s="17"/>
      <c r="U294" s="1601"/>
      <c r="V294" s="28">
        <v>40</v>
      </c>
      <c r="W294" s="43" t="e" cm="1">
        <f t="array" ref="W294">VLOOKUP(MAX(IF('Courbe Déflexion'!$GV$5:$GV$285&lt;=V294,'Courbe Déflexion'!$GV$5:$GV$285)),'Courbe Déflexion'!#REF!,3,0)</f>
        <v>#REF!</v>
      </c>
      <c r="X294" s="276"/>
      <c r="Y294" s="276"/>
      <c r="Z294" s="276"/>
      <c r="AA294" s="276"/>
      <c r="AB294" s="276"/>
      <c r="AC294" s="43">
        <f>VLOOKUP(AC$84,'Infos Techniques'!$B$7:$H$12,5,0)/($V294*$X$39/12)</f>
        <v>5.2941176470588243</v>
      </c>
      <c r="AD294" s="43">
        <f>VLOOKUP(AD$84,'Infos Techniques'!$B$7:$H$12,5,0)/($V294*$X$39/12)</f>
        <v>5.2941176470588243</v>
      </c>
      <c r="AE294" s="43">
        <f>VLOOKUP(AE$84,'Infos Techniques'!$B$7:$H$12,5,0)/($V294*$X$39/12)</f>
        <v>5.2941176470588243</v>
      </c>
      <c r="AF294" s="43">
        <f>VLOOKUP(AF$84,'Infos Techniques'!$B$7:$H$12,5,0)/($V294*$X$39/12)</f>
        <v>5.2941176470588243</v>
      </c>
      <c r="AG294" s="43">
        <f>VLOOKUP(AG$84,'Infos Techniques'!$B$7:$H$12,5,0)/($V294*$X$39/12)</f>
        <v>4.6800000000000006</v>
      </c>
      <c r="AH294" s="43">
        <f>VLOOKUP(AH$84,'Infos Techniques'!$B$7:$H$12,7,0)/($V294*$X$39/12)</f>
        <v>7.0588235294117654</v>
      </c>
      <c r="AI294" s="43">
        <f>VLOOKUP(AI$84,'Infos Techniques'!$B$7:$H$12,7,0)/($V294*$X$39/12)</f>
        <v>7.0588235294117654</v>
      </c>
      <c r="AJ294" s="43">
        <f>VLOOKUP(AJ$84,'Infos Techniques'!$B$7:$H$12,7,0)/($V294*$X$39/12)</f>
        <v>7.0588235294117654</v>
      </c>
      <c r="AK294" s="43">
        <f>VLOOKUP(AK$84,'Infos Techniques'!$B$7:$H$12,7,0)/($V294*$X$39/12)</f>
        <v>5.2941176470588243</v>
      </c>
      <c r="AL294" s="63">
        <f>VLOOKUP(AL$84,'Infos Techniques'!$B$7:$E$12,4,0)/($V294*$X$39/12)</f>
        <v>4.6800000000000006</v>
      </c>
    </row>
    <row r="295" spans="2:38">
      <c r="B295" s="1830"/>
      <c r="C295" s="70">
        <v>45</v>
      </c>
      <c r="D295" s="43" t="e">
        <f t="shared" si="86"/>
        <v>#REF!</v>
      </c>
      <c r="E295" s="43" t="e">
        <f t="shared" si="87"/>
        <v>#REF!</v>
      </c>
      <c r="F295" s="43" t="e">
        <f t="shared" si="88"/>
        <v>#REF!</v>
      </c>
      <c r="G295" s="43" t="e">
        <f t="shared" si="89"/>
        <v>#REF!</v>
      </c>
      <c r="H295" s="43" t="e">
        <f t="shared" si="90"/>
        <v>#REF!</v>
      </c>
      <c r="I295" s="43" t="e">
        <f t="shared" si="91"/>
        <v>#REF!</v>
      </c>
      <c r="J295" s="43" t="e">
        <f t="shared" si="92"/>
        <v>#REF!</v>
      </c>
      <c r="K295" s="43" t="e">
        <f t="shared" si="93"/>
        <v>#REF!</v>
      </c>
      <c r="L295" s="43" t="e">
        <f t="shared" si="94"/>
        <v>#REF!</v>
      </c>
      <c r="M295" s="281" t="e">
        <f t="shared" si="95"/>
        <v>#REF!</v>
      </c>
      <c r="N295" s="288"/>
      <c r="O295" s="17"/>
      <c r="P295" s="17"/>
      <c r="Q295" s="17"/>
      <c r="R295" s="17"/>
      <c r="U295" s="1601"/>
      <c r="V295" s="28">
        <v>45</v>
      </c>
      <c r="W295" s="43" t="e" cm="1">
        <f t="array" ref="W295">VLOOKUP(MAX(IF('Courbe Déflexion'!$GV$5:$GV$285&lt;=V295,'Courbe Déflexion'!$GV$5:$GV$285)),'Courbe Déflexion'!#REF!,3,0)</f>
        <v>#REF!</v>
      </c>
      <c r="X295" s="276"/>
      <c r="Y295" s="276"/>
      <c r="Z295" s="276"/>
      <c r="AA295" s="276"/>
      <c r="AB295" s="276"/>
      <c r="AC295" s="43">
        <f>VLOOKUP(AC$84,'Infos Techniques'!$B$7:$H$12,5,0)/($V295*$X$39/12)</f>
        <v>4.7058823529411766</v>
      </c>
      <c r="AD295" s="43">
        <f>VLOOKUP(AD$84,'Infos Techniques'!$B$7:$H$12,5,0)/($V295*$X$39/12)</f>
        <v>4.7058823529411766</v>
      </c>
      <c r="AE295" s="43">
        <f>VLOOKUP(AE$84,'Infos Techniques'!$B$7:$H$12,5,0)/($V295*$X$39/12)</f>
        <v>4.7058823529411766</v>
      </c>
      <c r="AF295" s="43">
        <f>VLOOKUP(AF$84,'Infos Techniques'!$B$7:$H$12,5,0)/($V295*$X$39/12)</f>
        <v>4.7058823529411766</v>
      </c>
      <c r="AG295" s="43">
        <f>VLOOKUP(AG$84,'Infos Techniques'!$B$7:$H$12,5,0)/($V295*$X$39/12)</f>
        <v>4.16</v>
      </c>
      <c r="AH295" s="43">
        <f>VLOOKUP(AH$84,'Infos Techniques'!$B$7:$H$12,7,0)/($V295*$X$39/12)</f>
        <v>6.2745098039215685</v>
      </c>
      <c r="AI295" s="43">
        <f>VLOOKUP(AI$84,'Infos Techniques'!$B$7:$H$12,7,0)/($V295*$X$39/12)</f>
        <v>6.2745098039215685</v>
      </c>
      <c r="AJ295" s="43">
        <f>VLOOKUP(AJ$84,'Infos Techniques'!$B$7:$H$12,7,0)/($V295*$X$39/12)</f>
        <v>6.2745098039215685</v>
      </c>
      <c r="AK295" s="43">
        <f>VLOOKUP(AK$84,'Infos Techniques'!$B$7:$H$12,7,0)/($V295*$X$39/12)</f>
        <v>4.7058823529411766</v>
      </c>
      <c r="AL295" s="63">
        <f>VLOOKUP(AL$84,'Infos Techniques'!$B$7:$E$12,4,0)/($V295*$X$39/12)</f>
        <v>4.16</v>
      </c>
    </row>
    <row r="296" spans="2:38" ht="15" thickBot="1">
      <c r="B296" s="1830"/>
      <c r="C296" s="71">
        <v>50</v>
      </c>
      <c r="D296" s="43" t="e">
        <f t="shared" si="86"/>
        <v>#REF!</v>
      </c>
      <c r="E296" s="43" t="e">
        <f t="shared" si="87"/>
        <v>#REF!</v>
      </c>
      <c r="F296" s="43" t="e">
        <f t="shared" si="88"/>
        <v>#REF!</v>
      </c>
      <c r="G296" s="43" t="e">
        <f t="shared" si="89"/>
        <v>#REF!</v>
      </c>
      <c r="H296" s="43" t="e">
        <f t="shared" si="90"/>
        <v>#REF!</v>
      </c>
      <c r="I296" s="43" t="e">
        <f t="shared" si="91"/>
        <v>#REF!</v>
      </c>
      <c r="J296" s="43" t="e">
        <f t="shared" si="92"/>
        <v>#REF!</v>
      </c>
      <c r="K296" s="43" t="e">
        <f t="shared" si="93"/>
        <v>#REF!</v>
      </c>
      <c r="L296" s="43" t="e">
        <f t="shared" si="94"/>
        <v>#REF!</v>
      </c>
      <c r="M296" s="281" t="e">
        <f t="shared" si="95"/>
        <v>#REF!</v>
      </c>
      <c r="N296" s="288"/>
      <c r="O296" s="17"/>
      <c r="P296" s="17"/>
      <c r="Q296" s="17"/>
      <c r="R296" s="17"/>
      <c r="U296" s="1601"/>
      <c r="V296" s="28">
        <v>50</v>
      </c>
      <c r="W296" s="43" t="e" cm="1">
        <f t="array" ref="W296">VLOOKUP(MAX(IF('Courbe Déflexion'!$GV$5:$GV$285&lt;=V296,'Courbe Déflexion'!$GV$5:$GV$285)),'Courbe Déflexion'!#REF!,3,0)</f>
        <v>#REF!</v>
      </c>
      <c r="X296" s="276"/>
      <c r="Y296" s="276"/>
      <c r="Z296" s="276"/>
      <c r="AA296" s="276"/>
      <c r="AB296" s="276"/>
      <c r="AC296" s="43">
        <f>VLOOKUP(AC$84,'Infos Techniques'!$B$7:$H$12,5,0)/($V296*$X$39/12)</f>
        <v>4.2352941176470589</v>
      </c>
      <c r="AD296" s="43">
        <f>VLOOKUP(AD$84,'Infos Techniques'!$B$7:$H$12,5,0)/($V296*$X$39/12)</f>
        <v>4.2352941176470589</v>
      </c>
      <c r="AE296" s="43">
        <f>VLOOKUP(AE$84,'Infos Techniques'!$B$7:$H$12,5,0)/($V296*$X$39/12)</f>
        <v>4.2352941176470589</v>
      </c>
      <c r="AF296" s="43">
        <f>VLOOKUP(AF$84,'Infos Techniques'!$B$7:$H$12,5,0)/($V296*$X$39/12)</f>
        <v>4.2352941176470589</v>
      </c>
      <c r="AG296" s="43">
        <f>VLOOKUP(AG$84,'Infos Techniques'!$B$7:$H$12,5,0)/($V296*$X$39/12)</f>
        <v>3.7439999999999998</v>
      </c>
      <c r="AH296" s="43">
        <f>VLOOKUP(AH$84,'Infos Techniques'!$B$7:$H$12,7,0)/($V296*$X$39/12)</f>
        <v>5.6470588235294112</v>
      </c>
      <c r="AI296" s="43">
        <f>VLOOKUP(AI$84,'Infos Techniques'!$B$7:$H$12,7,0)/($V296*$X$39/12)</f>
        <v>5.6470588235294112</v>
      </c>
      <c r="AJ296" s="43">
        <f>VLOOKUP(AJ$84,'Infos Techniques'!$B$7:$H$12,7,0)/($V296*$X$39/12)</f>
        <v>5.6470588235294112</v>
      </c>
      <c r="AK296" s="43">
        <f>VLOOKUP(AK$84,'Infos Techniques'!$B$7:$H$12,7,0)/($V296*$X$39/12)</f>
        <v>4.2352941176470589</v>
      </c>
      <c r="AL296" s="63">
        <f>VLOOKUP(AL$84,'Infos Techniques'!$B$7:$E$12,4,0)/($V296*$X$39/12)</f>
        <v>3.7439999999999998</v>
      </c>
    </row>
    <row r="297" spans="2:38">
      <c r="B297" s="1830"/>
      <c r="C297" s="69">
        <v>55</v>
      </c>
      <c r="D297" s="43" t="e">
        <f t="shared" si="86"/>
        <v>#REF!</v>
      </c>
      <c r="E297" s="43" t="e">
        <f t="shared" si="87"/>
        <v>#REF!</v>
      </c>
      <c r="F297" s="43" t="e">
        <f t="shared" si="88"/>
        <v>#REF!</v>
      </c>
      <c r="G297" s="43" t="e">
        <f t="shared" si="89"/>
        <v>#REF!</v>
      </c>
      <c r="H297" s="43" t="e">
        <f t="shared" si="90"/>
        <v>#REF!</v>
      </c>
      <c r="I297" s="43" t="e">
        <f t="shared" si="91"/>
        <v>#REF!</v>
      </c>
      <c r="J297" s="43" t="e">
        <f t="shared" si="92"/>
        <v>#REF!</v>
      </c>
      <c r="K297" s="43" t="e">
        <f t="shared" si="93"/>
        <v>#REF!</v>
      </c>
      <c r="L297" s="43" t="e">
        <f t="shared" si="94"/>
        <v>#REF!</v>
      </c>
      <c r="M297" s="281" t="e">
        <f t="shared" si="95"/>
        <v>#REF!</v>
      </c>
      <c r="N297" s="288"/>
      <c r="O297" s="17"/>
      <c r="P297" s="17"/>
      <c r="Q297" s="17"/>
      <c r="R297" s="17"/>
      <c r="U297" s="1601"/>
      <c r="V297" s="28">
        <v>55</v>
      </c>
      <c r="W297" s="43" t="e" cm="1">
        <f t="array" ref="W297">VLOOKUP(MAX(IF('Courbe Déflexion'!$GV$5:$GV$285&lt;=V297,'Courbe Déflexion'!$GV$5:$GV$285)),'Courbe Déflexion'!#REF!,3,0)</f>
        <v>#REF!</v>
      </c>
      <c r="X297" s="276"/>
      <c r="Y297" s="276"/>
      <c r="Z297" s="276"/>
      <c r="AA297" s="276"/>
      <c r="AB297" s="276"/>
      <c r="AC297" s="43">
        <f>VLOOKUP(AC$84,'Infos Techniques'!$B$7:$H$12,5,0)/($V297*$X$39/12)</f>
        <v>3.8502673796791447</v>
      </c>
      <c r="AD297" s="43">
        <f>VLOOKUP(AD$84,'Infos Techniques'!$B$7:$H$12,5,0)/($V297*$X$39/12)</f>
        <v>3.8502673796791447</v>
      </c>
      <c r="AE297" s="43">
        <f>VLOOKUP(AE$84,'Infos Techniques'!$B$7:$H$12,5,0)/($V297*$X$39/12)</f>
        <v>3.8502673796791447</v>
      </c>
      <c r="AF297" s="43">
        <f>VLOOKUP(AF$84,'Infos Techniques'!$B$7:$H$12,5,0)/($V297*$X$39/12)</f>
        <v>3.8502673796791447</v>
      </c>
      <c r="AG297" s="43">
        <f>VLOOKUP(AG$84,'Infos Techniques'!$B$7:$H$12,5,0)/($V297*$X$39/12)</f>
        <v>3.4036363636363638</v>
      </c>
      <c r="AH297" s="43">
        <f>VLOOKUP(AH$84,'Infos Techniques'!$B$7:$H$12,7,0)/($V297*$X$39/12)</f>
        <v>5.1336898395721926</v>
      </c>
      <c r="AI297" s="43">
        <f>VLOOKUP(AI$84,'Infos Techniques'!$B$7:$H$12,7,0)/($V297*$X$39/12)</f>
        <v>5.1336898395721926</v>
      </c>
      <c r="AJ297" s="43">
        <f>VLOOKUP(AJ$84,'Infos Techniques'!$B$7:$H$12,7,0)/($V297*$X$39/12)</f>
        <v>5.1336898395721926</v>
      </c>
      <c r="AK297" s="43">
        <f>VLOOKUP(AK$84,'Infos Techniques'!$B$7:$H$12,7,0)/($V297*$X$39/12)</f>
        <v>3.8502673796791447</v>
      </c>
      <c r="AL297" s="63">
        <f>VLOOKUP(AL$84,'Infos Techniques'!$B$7:$E$12,4,0)/($V297*$X$39/12)</f>
        <v>3.4036363636363638</v>
      </c>
    </row>
    <row r="298" spans="2:38">
      <c r="B298" s="1830"/>
      <c r="C298" s="70">
        <v>60</v>
      </c>
      <c r="D298" s="43" t="e">
        <f t="shared" si="86"/>
        <v>#REF!</v>
      </c>
      <c r="E298" s="43" t="e">
        <f t="shared" si="87"/>
        <v>#REF!</v>
      </c>
      <c r="F298" s="43" t="e">
        <f t="shared" si="88"/>
        <v>#REF!</v>
      </c>
      <c r="G298" s="43" t="e">
        <f t="shared" si="89"/>
        <v>#REF!</v>
      </c>
      <c r="H298" s="43" t="e">
        <f t="shared" si="90"/>
        <v>#REF!</v>
      </c>
      <c r="I298" s="43" t="e">
        <f t="shared" si="91"/>
        <v>#REF!</v>
      </c>
      <c r="J298" s="43" t="e">
        <f t="shared" si="92"/>
        <v>#REF!</v>
      </c>
      <c r="K298" s="43" t="e">
        <f t="shared" si="93"/>
        <v>#REF!</v>
      </c>
      <c r="L298" s="43" t="e">
        <f t="shared" si="94"/>
        <v>#REF!</v>
      </c>
      <c r="M298" s="281" t="e">
        <f t="shared" si="95"/>
        <v>#REF!</v>
      </c>
      <c r="N298" s="288"/>
      <c r="O298" s="17"/>
      <c r="P298" s="17"/>
      <c r="Q298" s="17"/>
      <c r="R298" s="17"/>
      <c r="U298" s="1601"/>
      <c r="V298" s="28">
        <v>60</v>
      </c>
      <c r="W298" s="43" t="e" cm="1">
        <f t="array" ref="W298">VLOOKUP(MAX(IF('Courbe Déflexion'!$GV$5:$GV$285&lt;=V298,'Courbe Déflexion'!$GV$5:$GV$285)),'Courbe Déflexion'!#REF!,3,0)</f>
        <v>#REF!</v>
      </c>
      <c r="X298" s="276"/>
      <c r="Y298" s="276"/>
      <c r="Z298" s="276"/>
      <c r="AA298" s="276"/>
      <c r="AB298" s="276"/>
      <c r="AC298" s="43">
        <f>VLOOKUP(AC$84,'Infos Techniques'!$B$7:$H$12,5,0)/($V298*$X$39/12)</f>
        <v>3.5294117647058822</v>
      </c>
      <c r="AD298" s="43">
        <f>VLOOKUP(AD$84,'Infos Techniques'!$B$7:$H$12,5,0)/($V298*$X$39/12)</f>
        <v>3.5294117647058822</v>
      </c>
      <c r="AE298" s="43">
        <f>VLOOKUP(AE$84,'Infos Techniques'!$B$7:$H$12,5,0)/($V298*$X$39/12)</f>
        <v>3.5294117647058822</v>
      </c>
      <c r="AF298" s="43">
        <f>VLOOKUP(AF$84,'Infos Techniques'!$B$7:$H$12,5,0)/($V298*$X$39/12)</f>
        <v>3.5294117647058822</v>
      </c>
      <c r="AG298" s="43">
        <f>VLOOKUP(AG$84,'Infos Techniques'!$B$7:$H$12,5,0)/($V298*$X$39/12)</f>
        <v>3.12</v>
      </c>
      <c r="AH298" s="43">
        <f>VLOOKUP(AH$84,'Infos Techniques'!$B$7:$H$12,7,0)/($V298*$X$39/12)</f>
        <v>4.7058823529411766</v>
      </c>
      <c r="AI298" s="43">
        <f>VLOOKUP(AI$84,'Infos Techniques'!$B$7:$H$12,7,0)/($V298*$X$39/12)</f>
        <v>4.7058823529411766</v>
      </c>
      <c r="AJ298" s="43">
        <f>VLOOKUP(AJ$84,'Infos Techniques'!$B$7:$H$12,7,0)/($V298*$X$39/12)</f>
        <v>4.7058823529411766</v>
      </c>
      <c r="AK298" s="43">
        <f>VLOOKUP(AK$84,'Infos Techniques'!$B$7:$H$12,7,0)/($V298*$X$39/12)</f>
        <v>3.5294117647058822</v>
      </c>
      <c r="AL298" s="63">
        <f>VLOOKUP(AL$84,'Infos Techniques'!$B$7:$E$12,4,0)/($V298*$X$39/12)</f>
        <v>3.12</v>
      </c>
    </row>
    <row r="299" spans="2:38">
      <c r="B299" s="1830"/>
      <c r="C299" s="70">
        <v>65</v>
      </c>
      <c r="D299" s="43" t="e">
        <f t="shared" si="86"/>
        <v>#REF!</v>
      </c>
      <c r="E299" s="43" t="e">
        <f t="shared" si="87"/>
        <v>#REF!</v>
      </c>
      <c r="F299" s="43" t="e">
        <f t="shared" si="88"/>
        <v>#REF!</v>
      </c>
      <c r="G299" s="43" t="e">
        <f t="shared" si="89"/>
        <v>#REF!</v>
      </c>
      <c r="H299" s="43" t="e">
        <f t="shared" si="90"/>
        <v>#REF!</v>
      </c>
      <c r="I299" s="43" t="e">
        <f t="shared" si="91"/>
        <v>#REF!</v>
      </c>
      <c r="J299" s="43" t="e">
        <f t="shared" si="92"/>
        <v>#REF!</v>
      </c>
      <c r="K299" s="43" t="e">
        <f t="shared" si="93"/>
        <v>#REF!</v>
      </c>
      <c r="L299" s="43" t="e">
        <f t="shared" si="94"/>
        <v>#REF!</v>
      </c>
      <c r="M299" s="281" t="e">
        <f t="shared" si="95"/>
        <v>#REF!</v>
      </c>
      <c r="N299" s="288"/>
      <c r="O299" s="17"/>
      <c r="P299" s="17"/>
      <c r="Q299" s="17"/>
      <c r="R299" s="17"/>
      <c r="U299" s="1601"/>
      <c r="V299" s="28">
        <v>65</v>
      </c>
      <c r="W299" s="43" t="e" cm="1">
        <f t="array" ref="W299">VLOOKUP(MAX(IF('Courbe Déflexion'!$GV$5:$GV$285&lt;=V299,'Courbe Déflexion'!$GV$5:$GV$285)),'Courbe Déflexion'!#REF!,3,0)</f>
        <v>#REF!</v>
      </c>
      <c r="X299" s="276"/>
      <c r="Y299" s="276"/>
      <c r="Z299" s="276"/>
      <c r="AA299" s="276"/>
      <c r="AB299" s="276"/>
      <c r="AC299" s="43">
        <f>VLOOKUP(AC$84,'Infos Techniques'!$B$7:$H$12,5,0)/($V299*$X$39/12)</f>
        <v>3.2579185520361991</v>
      </c>
      <c r="AD299" s="43">
        <f>VLOOKUP(AD$84,'Infos Techniques'!$B$7:$H$12,5,0)/($V299*$X$39/12)</f>
        <v>3.2579185520361991</v>
      </c>
      <c r="AE299" s="43">
        <f>VLOOKUP(AE$84,'Infos Techniques'!$B$7:$H$12,5,0)/($V299*$X$39/12)</f>
        <v>3.2579185520361991</v>
      </c>
      <c r="AF299" s="43">
        <f>VLOOKUP(AF$84,'Infos Techniques'!$B$7:$H$12,5,0)/($V299*$X$39/12)</f>
        <v>3.2579185520361991</v>
      </c>
      <c r="AG299" s="43">
        <f>VLOOKUP(AG$84,'Infos Techniques'!$B$7:$H$12,5,0)/($V299*$X$39/12)</f>
        <v>2.88</v>
      </c>
      <c r="AH299" s="43">
        <f>VLOOKUP(AH$84,'Infos Techniques'!$B$7:$H$12,7,0)/($V299*$X$39/12)</f>
        <v>4.3438914027149318</v>
      </c>
      <c r="AI299" s="43">
        <f>VLOOKUP(AI$84,'Infos Techniques'!$B$7:$H$12,7,0)/($V299*$X$39/12)</f>
        <v>4.3438914027149318</v>
      </c>
      <c r="AJ299" s="43">
        <f>VLOOKUP(AJ$84,'Infos Techniques'!$B$7:$H$12,7,0)/($V299*$X$39/12)</f>
        <v>4.3438914027149318</v>
      </c>
      <c r="AK299" s="43">
        <f>VLOOKUP(AK$84,'Infos Techniques'!$B$7:$H$12,7,0)/($V299*$X$39/12)</f>
        <v>3.2579185520361991</v>
      </c>
      <c r="AL299" s="63">
        <f>VLOOKUP(AL$84,'Infos Techniques'!$B$7:$E$12,4,0)/($V299*$X$39/12)</f>
        <v>2.88</v>
      </c>
    </row>
    <row r="300" spans="2:38">
      <c r="B300" s="1830"/>
      <c r="C300" s="70">
        <v>70</v>
      </c>
      <c r="D300" s="43" t="e">
        <f t="shared" si="86"/>
        <v>#REF!</v>
      </c>
      <c r="E300" s="43" t="e">
        <f t="shared" si="87"/>
        <v>#REF!</v>
      </c>
      <c r="F300" s="43" t="e">
        <f t="shared" si="88"/>
        <v>#REF!</v>
      </c>
      <c r="G300" s="43" t="e">
        <f t="shared" si="89"/>
        <v>#REF!</v>
      </c>
      <c r="H300" s="43" t="e">
        <f t="shared" si="90"/>
        <v>#REF!</v>
      </c>
      <c r="I300" s="43" t="e">
        <f t="shared" si="91"/>
        <v>#REF!</v>
      </c>
      <c r="J300" s="43" t="e">
        <f t="shared" si="92"/>
        <v>#REF!</v>
      </c>
      <c r="K300" s="43" t="e">
        <f t="shared" si="93"/>
        <v>#REF!</v>
      </c>
      <c r="L300" s="43" t="e">
        <f t="shared" si="94"/>
        <v>#REF!</v>
      </c>
      <c r="M300" s="281" t="e">
        <f t="shared" si="95"/>
        <v>#REF!</v>
      </c>
      <c r="N300" s="288"/>
      <c r="O300" s="17"/>
      <c r="P300" s="17"/>
      <c r="Q300" s="17"/>
      <c r="R300" s="17"/>
      <c r="U300" s="1601"/>
      <c r="V300" s="28">
        <v>70</v>
      </c>
      <c r="W300" s="43" t="e" cm="1">
        <f t="array" ref="W300">VLOOKUP(MAX(IF('Courbe Déflexion'!$GV$5:$GV$285&lt;=V300,'Courbe Déflexion'!$GV$5:$GV$285)),'Courbe Déflexion'!#REF!,3,0)</f>
        <v>#REF!</v>
      </c>
      <c r="X300" s="276"/>
      <c r="Y300" s="276"/>
      <c r="Z300" s="276"/>
      <c r="AA300" s="276"/>
      <c r="AB300" s="276"/>
      <c r="AC300" s="43">
        <f>VLOOKUP(AC$84,'Infos Techniques'!$B$7:$H$12,5,0)/($V300*$X$39/12)</f>
        <v>3.0252100840336134</v>
      </c>
      <c r="AD300" s="43">
        <f>VLOOKUP(AD$84,'Infos Techniques'!$B$7:$H$12,5,0)/($V300*$X$39/12)</f>
        <v>3.0252100840336134</v>
      </c>
      <c r="AE300" s="43">
        <f>VLOOKUP(AE$84,'Infos Techniques'!$B$7:$H$12,5,0)/($V300*$X$39/12)</f>
        <v>3.0252100840336134</v>
      </c>
      <c r="AF300" s="43">
        <f>VLOOKUP(AF$84,'Infos Techniques'!$B$7:$H$12,5,0)/($V300*$X$39/12)</f>
        <v>3.0252100840336134</v>
      </c>
      <c r="AG300" s="43">
        <f>VLOOKUP(AG$84,'Infos Techniques'!$B$7:$H$12,5,0)/($V300*$X$39/12)</f>
        <v>2.6742857142857144</v>
      </c>
      <c r="AH300" s="43">
        <f>VLOOKUP(AH$84,'Infos Techniques'!$B$7:$H$12,7,0)/($V300*$X$39/12)</f>
        <v>4.0336134453781511</v>
      </c>
      <c r="AI300" s="43">
        <f>VLOOKUP(AI$84,'Infos Techniques'!$B$7:$H$12,7,0)/($V300*$X$39/12)</f>
        <v>4.0336134453781511</v>
      </c>
      <c r="AJ300" s="43">
        <f>VLOOKUP(AJ$84,'Infos Techniques'!$B$7:$H$12,7,0)/($V300*$X$39/12)</f>
        <v>4.0336134453781511</v>
      </c>
      <c r="AK300" s="43">
        <f>VLOOKUP(AK$84,'Infos Techniques'!$B$7:$H$12,7,0)/($V300*$X$39/12)</f>
        <v>3.0252100840336134</v>
      </c>
      <c r="AL300" s="63">
        <f>VLOOKUP(AL$84,'Infos Techniques'!$B$7:$E$12,4,0)/($V300*$X$39/12)</f>
        <v>2.6742857142857144</v>
      </c>
    </row>
    <row r="301" spans="2:38" ht="15" thickBot="1">
      <c r="B301" s="1830"/>
      <c r="C301" s="71">
        <v>75</v>
      </c>
      <c r="D301" s="43" t="e">
        <f t="shared" si="86"/>
        <v>#REF!</v>
      </c>
      <c r="E301" s="43" t="e">
        <f t="shared" si="87"/>
        <v>#REF!</v>
      </c>
      <c r="F301" s="43" t="e">
        <f t="shared" si="88"/>
        <v>#REF!</v>
      </c>
      <c r="G301" s="43" t="e">
        <f t="shared" si="89"/>
        <v>#REF!</v>
      </c>
      <c r="H301" s="43" t="e">
        <f t="shared" si="90"/>
        <v>#REF!</v>
      </c>
      <c r="I301" s="43" t="e">
        <f t="shared" si="91"/>
        <v>#REF!</v>
      </c>
      <c r="J301" s="43" t="e">
        <f t="shared" si="92"/>
        <v>#REF!</v>
      </c>
      <c r="K301" s="43" t="e">
        <f t="shared" si="93"/>
        <v>#REF!</v>
      </c>
      <c r="L301" s="43" t="e">
        <f t="shared" si="94"/>
        <v>#REF!</v>
      </c>
      <c r="M301" s="281" t="e">
        <f t="shared" si="95"/>
        <v>#REF!</v>
      </c>
      <c r="N301" s="288"/>
      <c r="O301" s="17"/>
      <c r="P301" s="17"/>
      <c r="Q301" s="17"/>
      <c r="R301" s="17"/>
      <c r="U301" s="1601"/>
      <c r="V301" s="28">
        <v>75</v>
      </c>
      <c r="W301" s="43" t="e" cm="1">
        <f t="array" ref="W301">VLOOKUP(MAX(IF('Courbe Déflexion'!$GV$5:$GV$285&lt;=V301,'Courbe Déflexion'!$GV$5:$GV$285)),'Courbe Déflexion'!#REF!,3,0)</f>
        <v>#REF!</v>
      </c>
      <c r="X301" s="276"/>
      <c r="Y301" s="276"/>
      <c r="Z301" s="276"/>
      <c r="AA301" s="276"/>
      <c r="AB301" s="276"/>
      <c r="AC301" s="43">
        <f>VLOOKUP(AC$84,'Infos Techniques'!$B$7:$H$12,5,0)/($V301*$X$39/12)</f>
        <v>2.8235294117647061</v>
      </c>
      <c r="AD301" s="43">
        <f>VLOOKUP(AD$84,'Infos Techniques'!$B$7:$H$12,5,0)/($V301*$X$39/12)</f>
        <v>2.8235294117647061</v>
      </c>
      <c r="AE301" s="43">
        <f>VLOOKUP(AE$84,'Infos Techniques'!$B$7:$H$12,5,0)/($V301*$X$39/12)</f>
        <v>2.8235294117647061</v>
      </c>
      <c r="AF301" s="43">
        <f>VLOOKUP(AF$84,'Infos Techniques'!$B$7:$H$12,5,0)/($V301*$X$39/12)</f>
        <v>2.8235294117647061</v>
      </c>
      <c r="AG301" s="43">
        <f>VLOOKUP(AG$84,'Infos Techniques'!$B$7:$H$12,5,0)/($V301*$X$39/12)</f>
        <v>2.496</v>
      </c>
      <c r="AH301" s="43">
        <f>VLOOKUP(AH$84,'Infos Techniques'!$B$7:$H$12,7,0)/($V301*$X$39/12)</f>
        <v>3.7647058823529411</v>
      </c>
      <c r="AI301" s="43">
        <f>VLOOKUP(AI$84,'Infos Techniques'!$B$7:$H$12,7,0)/($V301*$X$39/12)</f>
        <v>3.7647058823529411</v>
      </c>
      <c r="AJ301" s="43">
        <f>VLOOKUP(AJ$84,'Infos Techniques'!$B$7:$H$12,7,0)/($V301*$X$39/12)</f>
        <v>3.7647058823529411</v>
      </c>
      <c r="AK301" s="43">
        <f>VLOOKUP(AK$84,'Infos Techniques'!$B$7:$H$12,7,0)/($V301*$X$39/12)</f>
        <v>2.8235294117647061</v>
      </c>
      <c r="AL301" s="63">
        <f>VLOOKUP(AL$84,'Infos Techniques'!$B$7:$E$12,4,0)/($V301*$X$39/12)</f>
        <v>2.496</v>
      </c>
    </row>
    <row r="302" spans="2:38">
      <c r="B302" s="1830"/>
      <c r="C302" s="72">
        <v>80</v>
      </c>
      <c r="D302" s="43" t="e">
        <f t="shared" si="86"/>
        <v>#REF!</v>
      </c>
      <c r="E302" s="43" t="e">
        <f t="shared" si="87"/>
        <v>#REF!</v>
      </c>
      <c r="F302" s="43" t="e">
        <f t="shared" si="88"/>
        <v>#REF!</v>
      </c>
      <c r="G302" s="43" t="e">
        <f t="shared" si="89"/>
        <v>#REF!</v>
      </c>
      <c r="H302" s="43" t="e">
        <f t="shared" si="90"/>
        <v>#REF!</v>
      </c>
      <c r="I302" s="43" t="e">
        <f t="shared" si="91"/>
        <v>#REF!</v>
      </c>
      <c r="J302" s="43" t="e">
        <f t="shared" si="92"/>
        <v>#REF!</v>
      </c>
      <c r="K302" s="43" t="e">
        <f t="shared" si="93"/>
        <v>#REF!</v>
      </c>
      <c r="L302" s="43" t="e">
        <f t="shared" si="94"/>
        <v>#REF!</v>
      </c>
      <c r="M302" s="281" t="e">
        <f t="shared" si="95"/>
        <v>#REF!</v>
      </c>
      <c r="N302" s="288"/>
      <c r="O302" s="17"/>
      <c r="P302" s="17"/>
      <c r="Q302" s="17"/>
      <c r="R302" s="17"/>
      <c r="U302" s="1601"/>
      <c r="V302" s="28">
        <v>80</v>
      </c>
      <c r="W302" s="43" t="e" cm="1">
        <f t="array" ref="W302">VLOOKUP(MAX(IF('Courbe Déflexion'!$GV$5:$GV$285&lt;=V302,'Courbe Déflexion'!$GV$5:$GV$285)),'Courbe Déflexion'!#REF!,3,0)</f>
        <v>#REF!</v>
      </c>
      <c r="X302" s="276"/>
      <c r="Y302" s="276"/>
      <c r="Z302" s="276"/>
      <c r="AA302" s="276"/>
      <c r="AB302" s="276"/>
      <c r="AC302" s="43">
        <f>VLOOKUP(AC$84,'Infos Techniques'!$B$7:$H$12,5,0)/($V302*$X$39/12)</f>
        <v>2.6470588235294121</v>
      </c>
      <c r="AD302" s="43">
        <f>VLOOKUP(AD$84,'Infos Techniques'!$B$7:$H$12,5,0)/($V302*$X$39/12)</f>
        <v>2.6470588235294121</v>
      </c>
      <c r="AE302" s="43">
        <f>VLOOKUP(AE$84,'Infos Techniques'!$B$7:$H$12,5,0)/($V302*$X$39/12)</f>
        <v>2.6470588235294121</v>
      </c>
      <c r="AF302" s="43">
        <f>VLOOKUP(AF$84,'Infos Techniques'!$B$7:$H$12,5,0)/($V302*$X$39/12)</f>
        <v>2.6470588235294121</v>
      </c>
      <c r="AG302" s="43">
        <f>VLOOKUP(AG$84,'Infos Techniques'!$B$7:$H$12,5,0)/($V302*$X$39/12)</f>
        <v>2.3400000000000003</v>
      </c>
      <c r="AH302" s="43">
        <f>VLOOKUP(AH$84,'Infos Techniques'!$B$7:$H$12,7,0)/($V302*$X$39/12)</f>
        <v>3.5294117647058827</v>
      </c>
      <c r="AI302" s="43">
        <f>VLOOKUP(AI$84,'Infos Techniques'!$B$7:$H$12,7,0)/($V302*$X$39/12)</f>
        <v>3.5294117647058827</v>
      </c>
      <c r="AJ302" s="43">
        <f>VLOOKUP(AJ$84,'Infos Techniques'!$B$7:$H$12,7,0)/($V302*$X$39/12)</f>
        <v>3.5294117647058827</v>
      </c>
      <c r="AK302" s="43">
        <f>VLOOKUP(AK$84,'Infos Techniques'!$B$7:$H$12,7,0)/($V302*$X$39/12)</f>
        <v>2.6470588235294121</v>
      </c>
      <c r="AL302" s="63">
        <f>VLOOKUP(AL$84,'Infos Techniques'!$B$7:$E$12,4,0)/($V302*$X$39/12)</f>
        <v>2.3400000000000003</v>
      </c>
    </row>
    <row r="303" spans="2:38">
      <c r="B303" s="1830"/>
      <c r="C303" s="70">
        <v>85</v>
      </c>
      <c r="D303" s="43" t="e">
        <f t="shared" si="86"/>
        <v>#REF!</v>
      </c>
      <c r="E303" s="43" t="e">
        <f t="shared" si="87"/>
        <v>#REF!</v>
      </c>
      <c r="F303" s="43" t="e">
        <f t="shared" si="88"/>
        <v>#REF!</v>
      </c>
      <c r="G303" s="43" t="e">
        <f t="shared" si="89"/>
        <v>#REF!</v>
      </c>
      <c r="H303" s="43" t="e">
        <f t="shared" si="90"/>
        <v>#REF!</v>
      </c>
      <c r="I303" s="43" t="e">
        <f t="shared" si="91"/>
        <v>#REF!</v>
      </c>
      <c r="J303" s="43" t="e">
        <f t="shared" si="92"/>
        <v>#REF!</v>
      </c>
      <c r="K303" s="43" t="e">
        <f t="shared" si="93"/>
        <v>#REF!</v>
      </c>
      <c r="L303" s="43" t="e">
        <f t="shared" si="94"/>
        <v>#REF!</v>
      </c>
      <c r="M303" s="281" t="e">
        <f t="shared" si="95"/>
        <v>#REF!</v>
      </c>
      <c r="N303" s="288"/>
      <c r="O303" s="17"/>
      <c r="P303" s="17"/>
      <c r="Q303" s="17"/>
      <c r="R303" s="17"/>
      <c r="U303" s="1601"/>
      <c r="V303" s="28">
        <v>85</v>
      </c>
      <c r="W303" s="43" t="e" cm="1">
        <f t="array" ref="W303">VLOOKUP(MAX(IF('Courbe Déflexion'!$GV$5:$GV$285&lt;=V303,'Courbe Déflexion'!$GV$5:$GV$285)),'Courbe Déflexion'!#REF!,3,0)</f>
        <v>#REF!</v>
      </c>
      <c r="X303" s="276"/>
      <c r="Y303" s="276"/>
      <c r="Z303" s="276"/>
      <c r="AA303" s="276"/>
      <c r="AB303" s="276"/>
      <c r="AC303" s="43">
        <f>VLOOKUP(AC$84,'Infos Techniques'!$B$7:$H$12,5,0)/($V303*$X$39/12)</f>
        <v>2.4913494809688581</v>
      </c>
      <c r="AD303" s="43">
        <f>VLOOKUP(AD$84,'Infos Techniques'!$B$7:$H$12,5,0)/($V303*$X$39/12)</f>
        <v>2.4913494809688581</v>
      </c>
      <c r="AE303" s="43">
        <f>VLOOKUP(AE$84,'Infos Techniques'!$B$7:$H$12,5,0)/($V303*$X$39/12)</f>
        <v>2.4913494809688581</v>
      </c>
      <c r="AF303" s="43">
        <f>VLOOKUP(AF$84,'Infos Techniques'!$B$7:$H$12,5,0)/($V303*$X$39/12)</f>
        <v>2.4913494809688581</v>
      </c>
      <c r="AG303" s="43">
        <f>VLOOKUP(AG$84,'Infos Techniques'!$B$7:$H$12,5,0)/($V303*$X$39/12)</f>
        <v>2.2023529411764704</v>
      </c>
      <c r="AH303" s="43">
        <f>VLOOKUP(AH$84,'Infos Techniques'!$B$7:$H$12,7,0)/($V303*$X$39/12)</f>
        <v>3.3217993079584773</v>
      </c>
      <c r="AI303" s="43">
        <f>VLOOKUP(AI$84,'Infos Techniques'!$B$7:$H$12,7,0)/($V303*$X$39/12)</f>
        <v>3.3217993079584773</v>
      </c>
      <c r="AJ303" s="43">
        <f>VLOOKUP(AJ$84,'Infos Techniques'!$B$7:$H$12,7,0)/($V303*$X$39/12)</f>
        <v>3.3217993079584773</v>
      </c>
      <c r="AK303" s="43">
        <f>VLOOKUP(AK$84,'Infos Techniques'!$B$7:$H$12,7,0)/($V303*$X$39/12)</f>
        <v>2.4913494809688581</v>
      </c>
      <c r="AL303" s="63">
        <f>VLOOKUP(AL$84,'Infos Techniques'!$B$7:$E$12,4,0)/($V303*$X$39/12)</f>
        <v>2.2023529411764704</v>
      </c>
    </row>
    <row r="304" spans="2:38">
      <c r="B304" s="1830"/>
      <c r="C304" s="70">
        <v>90</v>
      </c>
      <c r="D304" s="43" t="e">
        <f t="shared" si="86"/>
        <v>#REF!</v>
      </c>
      <c r="E304" s="43" t="e">
        <f t="shared" si="87"/>
        <v>#REF!</v>
      </c>
      <c r="F304" s="43" t="e">
        <f t="shared" si="88"/>
        <v>#REF!</v>
      </c>
      <c r="G304" s="43" t="e">
        <f t="shared" si="89"/>
        <v>#REF!</v>
      </c>
      <c r="H304" s="43" t="e">
        <f t="shared" si="90"/>
        <v>#REF!</v>
      </c>
      <c r="I304" s="43" t="e">
        <f t="shared" si="91"/>
        <v>#REF!</v>
      </c>
      <c r="J304" s="43" t="e">
        <f t="shared" si="92"/>
        <v>#REF!</v>
      </c>
      <c r="K304" s="43" t="e">
        <f t="shared" si="93"/>
        <v>#REF!</v>
      </c>
      <c r="L304" s="43" t="e">
        <f t="shared" si="94"/>
        <v>#REF!</v>
      </c>
      <c r="M304" s="281" t="e">
        <f t="shared" si="95"/>
        <v>#REF!</v>
      </c>
      <c r="N304" s="288"/>
      <c r="O304" s="17"/>
      <c r="P304" s="17"/>
      <c r="Q304" s="17"/>
      <c r="R304" s="17"/>
      <c r="U304" s="1601"/>
      <c r="V304" s="28">
        <v>90</v>
      </c>
      <c r="W304" s="43" t="e" cm="1">
        <f t="array" ref="W304">VLOOKUP(MAX(IF('Courbe Déflexion'!$GV$5:$GV$285&lt;=V304,'Courbe Déflexion'!$GV$5:$GV$285)),'Courbe Déflexion'!#REF!,3,0)</f>
        <v>#REF!</v>
      </c>
      <c r="X304" s="276"/>
      <c r="Y304" s="276"/>
      <c r="Z304" s="276"/>
      <c r="AA304" s="276"/>
      <c r="AB304" s="276"/>
      <c r="AC304" s="43">
        <f>VLOOKUP(AC$84,'Infos Techniques'!$B$7:$H$12,5,0)/($V304*$X$39/12)</f>
        <v>2.3529411764705883</v>
      </c>
      <c r="AD304" s="43">
        <f>VLOOKUP(AD$84,'Infos Techniques'!$B$7:$H$12,5,0)/($V304*$X$39/12)</f>
        <v>2.3529411764705883</v>
      </c>
      <c r="AE304" s="43">
        <f>VLOOKUP(AE$84,'Infos Techniques'!$B$7:$H$12,5,0)/($V304*$X$39/12)</f>
        <v>2.3529411764705883</v>
      </c>
      <c r="AF304" s="43">
        <f>VLOOKUP(AF$84,'Infos Techniques'!$B$7:$H$12,5,0)/($V304*$X$39/12)</f>
        <v>2.3529411764705883</v>
      </c>
      <c r="AG304" s="43">
        <f>VLOOKUP(AG$84,'Infos Techniques'!$B$7:$H$12,5,0)/($V304*$X$39/12)</f>
        <v>2.08</v>
      </c>
      <c r="AH304" s="43">
        <f>VLOOKUP(AH$84,'Infos Techniques'!$B$7:$H$12,7,0)/($V304*$X$39/12)</f>
        <v>3.1372549019607843</v>
      </c>
      <c r="AI304" s="43">
        <f>VLOOKUP(AI$84,'Infos Techniques'!$B$7:$H$12,7,0)/($V304*$X$39/12)</f>
        <v>3.1372549019607843</v>
      </c>
      <c r="AJ304" s="43">
        <f>VLOOKUP(AJ$84,'Infos Techniques'!$B$7:$H$12,7,0)/($V304*$X$39/12)</f>
        <v>3.1372549019607843</v>
      </c>
      <c r="AK304" s="43">
        <f>VLOOKUP(AK$84,'Infos Techniques'!$B$7:$H$12,7,0)/($V304*$X$39/12)</f>
        <v>2.3529411764705883</v>
      </c>
      <c r="AL304" s="63">
        <f>VLOOKUP(AL$84,'Infos Techniques'!$B$7:$E$12,4,0)/($V304*$X$39/12)</f>
        <v>2.08</v>
      </c>
    </row>
    <row r="305" spans="2:38">
      <c r="B305" s="1830"/>
      <c r="C305" s="70">
        <v>95</v>
      </c>
      <c r="D305" s="43" t="e">
        <f t="shared" si="86"/>
        <v>#REF!</v>
      </c>
      <c r="E305" s="43" t="e">
        <f t="shared" si="87"/>
        <v>#REF!</v>
      </c>
      <c r="F305" s="43" t="e">
        <f t="shared" si="88"/>
        <v>#REF!</v>
      </c>
      <c r="G305" s="43" t="e">
        <f t="shared" si="89"/>
        <v>#REF!</v>
      </c>
      <c r="H305" s="43" t="e">
        <f t="shared" si="90"/>
        <v>#REF!</v>
      </c>
      <c r="I305" s="43" t="e">
        <f t="shared" si="91"/>
        <v>#REF!</v>
      </c>
      <c r="J305" s="43" t="e">
        <f t="shared" si="92"/>
        <v>#REF!</v>
      </c>
      <c r="K305" s="43" t="e">
        <f t="shared" si="93"/>
        <v>#REF!</v>
      </c>
      <c r="L305" s="43" t="e">
        <f t="shared" si="94"/>
        <v>#REF!</v>
      </c>
      <c r="M305" s="281" t="e">
        <f t="shared" si="95"/>
        <v>#REF!</v>
      </c>
      <c r="N305" s="288"/>
      <c r="O305" s="17"/>
      <c r="P305" s="17"/>
      <c r="Q305" s="17"/>
      <c r="R305" s="17"/>
      <c r="U305" s="1601"/>
      <c r="V305" s="28">
        <v>95</v>
      </c>
      <c r="W305" s="43" t="e" cm="1">
        <f t="array" ref="W305">VLOOKUP(MAX(IF('Courbe Déflexion'!$GV$5:$GV$285&lt;=V305,'Courbe Déflexion'!$GV$5:$GV$285)),'Courbe Déflexion'!#REF!,3,0)</f>
        <v>#REF!</v>
      </c>
      <c r="X305" s="276"/>
      <c r="Y305" s="276"/>
      <c r="Z305" s="276"/>
      <c r="AA305" s="276"/>
      <c r="AB305" s="276"/>
      <c r="AC305" s="43">
        <f>VLOOKUP(AC$84,'Infos Techniques'!$B$7:$H$12,5,0)/($V305*$X$39/12)</f>
        <v>2.2291021671826625</v>
      </c>
      <c r="AD305" s="43">
        <f>VLOOKUP(AD$84,'Infos Techniques'!$B$7:$H$12,5,0)/($V305*$X$39/12)</f>
        <v>2.2291021671826625</v>
      </c>
      <c r="AE305" s="43">
        <f>VLOOKUP(AE$84,'Infos Techniques'!$B$7:$H$12,5,0)/($V305*$X$39/12)</f>
        <v>2.2291021671826625</v>
      </c>
      <c r="AF305" s="43">
        <f>VLOOKUP(AF$84,'Infos Techniques'!$B$7:$H$12,5,0)/($V305*$X$39/12)</f>
        <v>2.2291021671826625</v>
      </c>
      <c r="AG305" s="43">
        <f>VLOOKUP(AG$84,'Infos Techniques'!$B$7:$H$12,5,0)/($V305*$X$39/12)</f>
        <v>1.9705263157894739</v>
      </c>
      <c r="AH305" s="43">
        <f>VLOOKUP(AH$84,'Infos Techniques'!$B$7:$H$12,7,0)/($V305*$X$39/12)</f>
        <v>2.9721362229102168</v>
      </c>
      <c r="AI305" s="43">
        <f>VLOOKUP(AI$84,'Infos Techniques'!$B$7:$H$12,7,0)/($V305*$X$39/12)</f>
        <v>2.9721362229102168</v>
      </c>
      <c r="AJ305" s="43">
        <f>VLOOKUP(AJ$84,'Infos Techniques'!$B$7:$H$12,7,0)/($V305*$X$39/12)</f>
        <v>2.9721362229102168</v>
      </c>
      <c r="AK305" s="43">
        <f>VLOOKUP(AK$84,'Infos Techniques'!$B$7:$H$12,7,0)/($V305*$X$39/12)</f>
        <v>2.2291021671826625</v>
      </c>
      <c r="AL305" s="63">
        <f>VLOOKUP(AL$84,'Infos Techniques'!$B$7:$E$12,4,0)/($V305*$X$39/12)</f>
        <v>1.9705263157894739</v>
      </c>
    </row>
    <row r="306" spans="2:38" ht="15" thickBot="1">
      <c r="B306" s="1831"/>
      <c r="C306" s="73">
        <v>100</v>
      </c>
      <c r="D306" s="45" t="e">
        <f t="shared" si="86"/>
        <v>#REF!</v>
      </c>
      <c r="E306" s="45" t="e">
        <f t="shared" si="87"/>
        <v>#REF!</v>
      </c>
      <c r="F306" s="45" t="e">
        <f t="shared" si="88"/>
        <v>#REF!</v>
      </c>
      <c r="G306" s="45" t="e">
        <f t="shared" si="89"/>
        <v>#REF!</v>
      </c>
      <c r="H306" s="45" t="e">
        <f t="shared" si="90"/>
        <v>#REF!</v>
      </c>
      <c r="I306" s="45" t="e">
        <f t="shared" si="91"/>
        <v>#REF!</v>
      </c>
      <c r="J306" s="45" t="e">
        <f t="shared" si="92"/>
        <v>#REF!</v>
      </c>
      <c r="K306" s="45" t="e">
        <f t="shared" si="93"/>
        <v>#REF!</v>
      </c>
      <c r="L306" s="45" t="e">
        <f t="shared" si="94"/>
        <v>#REF!</v>
      </c>
      <c r="M306" s="282" t="e">
        <f t="shared" si="95"/>
        <v>#REF!</v>
      </c>
      <c r="N306" s="288"/>
      <c r="O306" s="17"/>
      <c r="P306" s="17"/>
      <c r="Q306" s="17"/>
      <c r="R306" s="17"/>
      <c r="U306" s="1602"/>
      <c r="V306" s="44">
        <v>100</v>
      </c>
      <c r="W306" s="45" t="e" cm="1">
        <f t="array" ref="W306">VLOOKUP(MAX(IF('Courbe Déflexion'!$GV$5:$GV$285&lt;=V306,'Courbe Déflexion'!$GV$5:$GV$285)),'Courbe Déflexion'!#REF!,3,0)</f>
        <v>#REF!</v>
      </c>
      <c r="X306" s="277"/>
      <c r="Y306" s="277"/>
      <c r="Z306" s="277"/>
      <c r="AA306" s="277"/>
      <c r="AB306" s="277"/>
      <c r="AC306" s="45">
        <f>VLOOKUP(AC$84,'Infos Techniques'!$B$7:$H$12,5,0)/($V306*$X$39/12)</f>
        <v>2.1176470588235294</v>
      </c>
      <c r="AD306" s="45">
        <f>VLOOKUP(AD$84,'Infos Techniques'!$B$7:$H$12,5,0)/($V306*$X$39/12)</f>
        <v>2.1176470588235294</v>
      </c>
      <c r="AE306" s="45">
        <f>VLOOKUP(AE$84,'Infos Techniques'!$B$7:$H$12,5,0)/($V306*$X$39/12)</f>
        <v>2.1176470588235294</v>
      </c>
      <c r="AF306" s="45">
        <f>VLOOKUP(AF$84,'Infos Techniques'!$B$7:$H$12,5,0)/($V306*$X$39/12)</f>
        <v>2.1176470588235294</v>
      </c>
      <c r="AG306" s="45">
        <f>VLOOKUP(AG$84,'Infos Techniques'!$B$7:$H$12,5,0)/($V306*$X$39/12)</f>
        <v>1.8719999999999999</v>
      </c>
      <c r="AH306" s="45">
        <f>VLOOKUP(AH$84,'Infos Techniques'!$B$7:$H$12,7,0)/($V306*$X$39/12)</f>
        <v>2.8235294117647056</v>
      </c>
      <c r="AI306" s="45">
        <f>VLOOKUP(AI$84,'Infos Techniques'!$B$7:$H$12,7,0)/($V306*$X$39/12)</f>
        <v>2.8235294117647056</v>
      </c>
      <c r="AJ306" s="45">
        <f>VLOOKUP(AJ$84,'Infos Techniques'!$B$7:$H$12,7,0)/($V306*$X$39/12)</f>
        <v>2.8235294117647056</v>
      </c>
      <c r="AK306" s="45">
        <f>VLOOKUP(AK$84,'Infos Techniques'!$B$7:$H$12,7,0)/($V306*$X$39/12)</f>
        <v>2.1176470588235294</v>
      </c>
      <c r="AL306" s="66">
        <f>VLOOKUP(AL$84,'Infos Techniques'!$B$7:$E$12,4,0)/($V306*$X$39/12)</f>
        <v>1.8719999999999999</v>
      </c>
    </row>
    <row r="307" spans="2:38" ht="15" thickTop="1"/>
    <row r="321" spans="1:38" ht="25.9">
      <c r="A321" s="1802" t="s">
        <v>1680</v>
      </c>
      <c r="B321" s="1802"/>
      <c r="C321" s="1802"/>
      <c r="D321" s="1802"/>
      <c r="E321" s="1802"/>
      <c r="F321" s="1802"/>
      <c r="G321" s="1802"/>
      <c r="H321" s="1802"/>
      <c r="I321" s="1802"/>
      <c r="J321" s="1802"/>
      <c r="K321" s="1802"/>
      <c r="L321" s="1802"/>
      <c r="M321" s="1802"/>
      <c r="N321" s="1802"/>
      <c r="O321" s="264"/>
      <c r="P321" s="264"/>
      <c r="Q321" s="264"/>
      <c r="R321" s="264"/>
    </row>
    <row r="322" spans="1:38" ht="25.9">
      <c r="B322" s="262"/>
      <c r="C322" s="263"/>
      <c r="D322" s="263"/>
      <c r="E322" s="263"/>
      <c r="F322" s="263"/>
      <c r="G322" s="263"/>
      <c r="H322" s="263"/>
      <c r="I322" s="263"/>
      <c r="J322" s="263"/>
      <c r="K322" s="263"/>
      <c r="L322" s="263"/>
      <c r="M322" s="263"/>
      <c r="N322" s="263"/>
      <c r="O322" s="263"/>
      <c r="P322" s="263"/>
      <c r="Q322" s="263"/>
      <c r="R322" s="263"/>
    </row>
    <row r="323" spans="1:38" ht="26.45" thickBot="1">
      <c r="B323" s="1803" t="s">
        <v>1662</v>
      </c>
      <c r="C323" s="1803"/>
      <c r="D323" s="1803"/>
      <c r="E323" s="1803"/>
      <c r="F323" s="1803"/>
      <c r="G323" s="1803"/>
      <c r="H323" s="1803"/>
      <c r="I323" s="1803"/>
      <c r="J323" s="1803"/>
      <c r="K323" s="1803"/>
      <c r="L323" s="1803"/>
      <c r="M323" s="1803"/>
      <c r="N323" s="264"/>
      <c r="O323" s="264"/>
      <c r="P323" s="264"/>
      <c r="Q323" s="264"/>
      <c r="R323" s="264"/>
    </row>
    <row r="324" spans="1:38" ht="15.6" thickTop="1" thickBot="1">
      <c r="U324" s="254"/>
      <c r="V324" s="255"/>
      <c r="W324" s="252" t="s">
        <v>315</v>
      </c>
      <c r="X324" s="1606" t="s">
        <v>263</v>
      </c>
      <c r="Y324" s="1606"/>
      <c r="Z324" s="1606"/>
      <c r="AA324" s="1606"/>
      <c r="AB324" s="1606"/>
      <c r="AC324" s="1606"/>
      <c r="AD324" s="1606"/>
      <c r="AE324" s="1606"/>
      <c r="AF324" s="1606"/>
      <c r="AG324" s="1606"/>
      <c r="AH324" s="1606"/>
      <c r="AI324" s="1606"/>
      <c r="AJ324" s="1606"/>
      <c r="AK324" s="1606"/>
      <c r="AL324" s="1832"/>
    </row>
    <row r="325" spans="1:38" ht="22.15" thickTop="1" thickBot="1">
      <c r="B325" s="1812"/>
      <c r="C325" s="1813"/>
      <c r="D325" s="1870" t="s">
        <v>263</v>
      </c>
      <c r="E325" s="1871"/>
      <c r="F325" s="1871"/>
      <c r="G325" s="1871"/>
      <c r="H325" s="1871"/>
      <c r="I325" s="1871"/>
      <c r="J325" s="1871"/>
      <c r="K325" s="1871"/>
      <c r="L325" s="1871"/>
      <c r="M325" s="1872"/>
      <c r="N325" s="278"/>
      <c r="O325" s="279"/>
      <c r="P325" s="279"/>
      <c r="Q325" s="279"/>
      <c r="R325" s="279"/>
      <c r="U325" s="256"/>
      <c r="V325" s="257"/>
      <c r="W325" s="253"/>
      <c r="X325" s="54"/>
      <c r="Y325" s="55"/>
      <c r="Z325" s="55"/>
      <c r="AA325" s="55"/>
      <c r="AB325" s="56"/>
      <c r="AC325" s="54"/>
      <c r="AD325" s="55"/>
      <c r="AE325" s="55"/>
      <c r="AF325" s="55"/>
      <c r="AG325" s="56"/>
      <c r="AH325" s="54"/>
      <c r="AI325" s="55"/>
      <c r="AJ325" s="55"/>
      <c r="AK325" s="55"/>
      <c r="AL325" s="57"/>
    </row>
    <row r="326" spans="1:38" ht="16.149999999999999" thickBot="1">
      <c r="B326" s="1814"/>
      <c r="C326" s="1397"/>
      <c r="D326" s="1867" t="s">
        <v>321</v>
      </c>
      <c r="E326" s="1868"/>
      <c r="F326" s="1868"/>
      <c r="G326" s="1868"/>
      <c r="H326" s="1868"/>
      <c r="I326" s="1868" t="s">
        <v>322</v>
      </c>
      <c r="J326" s="1868"/>
      <c r="K326" s="1868"/>
      <c r="L326" s="1868"/>
      <c r="M326" s="1869"/>
      <c r="U326" s="258"/>
      <c r="V326" s="28"/>
      <c r="W326" s="29"/>
      <c r="X326" s="273" t="s">
        <v>1663</v>
      </c>
      <c r="Y326" s="274"/>
      <c r="Z326" s="274"/>
      <c r="AA326" s="274"/>
      <c r="AB326" s="275"/>
      <c r="AC326" s="237" t="s">
        <v>321</v>
      </c>
      <c r="AD326" s="80"/>
      <c r="AE326" s="80"/>
      <c r="AF326" s="80"/>
      <c r="AG326" s="239"/>
      <c r="AH326" s="237" t="s">
        <v>322</v>
      </c>
      <c r="AI326" s="80"/>
      <c r="AJ326" s="80"/>
      <c r="AK326" s="80"/>
      <c r="AL326" s="238"/>
    </row>
    <row r="327" spans="1:38" ht="18" thickTop="1">
      <c r="B327" s="1814"/>
      <c r="C327" s="1397"/>
      <c r="D327" s="1846" t="s">
        <v>1664</v>
      </c>
      <c r="E327" s="1844"/>
      <c r="F327" s="1844"/>
      <c r="G327" s="1844"/>
      <c r="H327" s="1845"/>
      <c r="I327" s="1846" t="s">
        <v>1664</v>
      </c>
      <c r="J327" s="1844"/>
      <c r="K327" s="1844"/>
      <c r="L327" s="1844"/>
      <c r="M327" s="1847"/>
      <c r="U327" s="258"/>
      <c r="V327" s="28"/>
      <c r="W327" s="29"/>
      <c r="X327" s="237"/>
      <c r="Y327" s="80"/>
      <c r="Z327" s="80"/>
      <c r="AA327" s="80"/>
      <c r="AB327" s="239"/>
      <c r="AC327" s="237"/>
      <c r="AD327" s="80"/>
      <c r="AE327" s="80"/>
      <c r="AF327" s="80"/>
      <c r="AG327" s="239"/>
      <c r="AH327" s="237"/>
      <c r="AI327" s="80"/>
      <c r="AJ327" s="80"/>
      <c r="AK327" s="80"/>
      <c r="AL327" s="238"/>
    </row>
    <row r="328" spans="1:38" ht="14.45" customHeight="1" thickBot="1">
      <c r="B328" s="1815"/>
      <c r="C328" s="1816"/>
      <c r="D328" s="49" t="s">
        <v>1665</v>
      </c>
      <c r="E328" s="50" t="s">
        <v>1666</v>
      </c>
      <c r="F328" s="50" t="s">
        <v>1667</v>
      </c>
      <c r="G328" s="50" t="s">
        <v>1668</v>
      </c>
      <c r="H328" s="52" t="s">
        <v>1669</v>
      </c>
      <c r="I328" s="49" t="s">
        <v>1670</v>
      </c>
      <c r="J328" s="50" t="s">
        <v>1666</v>
      </c>
      <c r="K328" s="50" t="s">
        <v>1667</v>
      </c>
      <c r="L328" s="50" t="s">
        <v>1668</v>
      </c>
      <c r="M328" s="53" t="s">
        <v>1669</v>
      </c>
      <c r="U328" s="258"/>
      <c r="V328" s="28"/>
      <c r="W328" s="29" t="s">
        <v>333</v>
      </c>
      <c r="X328" s="28">
        <v>0.1875</v>
      </c>
      <c r="Y328" s="28" t="s">
        <v>334</v>
      </c>
      <c r="Z328" s="28" t="s">
        <v>335</v>
      </c>
      <c r="AA328" s="28" t="s">
        <v>336</v>
      </c>
      <c r="AB328" s="28" t="s">
        <v>337</v>
      </c>
      <c r="AC328" s="28">
        <v>0.1875</v>
      </c>
      <c r="AD328" s="28" t="s">
        <v>334</v>
      </c>
      <c r="AE328" s="28" t="s">
        <v>335</v>
      </c>
      <c r="AF328" s="28" t="s">
        <v>336</v>
      </c>
      <c r="AG328" s="28" t="s">
        <v>337</v>
      </c>
      <c r="AH328" s="28">
        <v>0.1875</v>
      </c>
      <c r="AI328" s="28" t="s">
        <v>334</v>
      </c>
      <c r="AJ328" s="28" t="s">
        <v>335</v>
      </c>
      <c r="AK328" s="28" t="s">
        <v>336</v>
      </c>
      <c r="AL328" s="40" t="s">
        <v>337</v>
      </c>
    </row>
    <row r="329" spans="1:38">
      <c r="B329" s="1848" t="s">
        <v>1671</v>
      </c>
      <c r="C329" s="69">
        <v>5</v>
      </c>
      <c r="D329" s="59">
        <f t="shared" ref="D329:D348" si="96">MIN($X$41,AC329,$W329)</f>
        <v>12</v>
      </c>
      <c r="E329" s="59">
        <f t="shared" ref="E329:E348" si="97">MIN($X$41,AD329,$W329)</f>
        <v>12</v>
      </c>
      <c r="F329" s="59">
        <f t="shared" ref="F329:F348" si="98">MIN($X$41,AE329,$W329)</f>
        <v>12</v>
      </c>
      <c r="G329" s="59">
        <f t="shared" ref="G329:G348" si="99">MIN($X$41,AF329,$W329)</f>
        <v>12</v>
      </c>
      <c r="H329" s="59">
        <f t="shared" ref="H329:H348" si="100">MIN($X$41,AG329,$W329)</f>
        <v>12</v>
      </c>
      <c r="I329" s="59">
        <f t="shared" ref="I329:I348" si="101">MIN($X$41,AH329,$W329)</f>
        <v>12</v>
      </c>
      <c r="J329" s="59">
        <f t="shared" ref="J329:J348" si="102">MIN($X$41,AI329,$W329)</f>
        <v>12</v>
      </c>
      <c r="K329" s="59">
        <f t="shared" ref="K329:K348" si="103">MIN($X$41,AJ329,$W329)</f>
        <v>12</v>
      </c>
      <c r="L329" s="59">
        <f t="shared" ref="L329:L348" si="104">MIN($X$41,AK329,$W329)</f>
        <v>12</v>
      </c>
      <c r="M329" s="62">
        <f t="shared" ref="M329:M348" si="105">MIN($X$41,AL329,$W329)</f>
        <v>12</v>
      </c>
      <c r="U329" s="1601" t="s">
        <v>314</v>
      </c>
      <c r="V329" s="28">
        <v>5</v>
      </c>
      <c r="W329" s="43" t="s">
        <v>1674</v>
      </c>
      <c r="X329" s="276"/>
      <c r="Y329" s="276"/>
      <c r="Z329" s="276"/>
      <c r="AA329" s="276"/>
      <c r="AB329" s="276"/>
      <c r="AC329" s="43">
        <f>VLOOKUP(AC$84,'Infos Techniques'!$B$7:$H$12,5,0)/($V329*$X$39/12)</f>
        <v>42.352941176470594</v>
      </c>
      <c r="AD329" s="43">
        <f>VLOOKUP(AD$84,'Infos Techniques'!$B$7:$H$12,5,0)/($V329*$X$39/12)</f>
        <v>42.352941176470594</v>
      </c>
      <c r="AE329" s="43">
        <f>VLOOKUP(AE$84,'Infos Techniques'!$B$7:$H$12,5,0)/($V329*$X$39/12)</f>
        <v>42.352941176470594</v>
      </c>
      <c r="AF329" s="43">
        <f>VLOOKUP(AF$84,'Infos Techniques'!$B$7:$H$12,5,0)/($V329*$X$39/12)</f>
        <v>42.352941176470594</v>
      </c>
      <c r="AG329" s="43">
        <f>VLOOKUP(AG$84,'Infos Techniques'!$B$7:$H$12,5,0)/($V329*$X$39/12)</f>
        <v>37.440000000000005</v>
      </c>
      <c r="AH329" s="43">
        <f>VLOOKUP(AH$84,'Infos Techniques'!$B$7:$H$12,7,0)/($V329*$X$39/12)</f>
        <v>56.470588235294123</v>
      </c>
      <c r="AI329" s="43">
        <f>VLOOKUP(AI$84,'Infos Techniques'!$B$7:$H$12,7,0)/($V329*$X$39/12)</f>
        <v>56.470588235294123</v>
      </c>
      <c r="AJ329" s="43">
        <f>VLOOKUP(AJ$84,'Infos Techniques'!$B$7:$H$12,7,0)/($V329*$X$39/12)</f>
        <v>56.470588235294123</v>
      </c>
      <c r="AK329" s="43">
        <f>VLOOKUP(AK$84,'Infos Techniques'!$B$7:$H$12,7,0)/($V329*$X$39/12)</f>
        <v>42.352941176470594</v>
      </c>
      <c r="AL329" s="63">
        <f>VLOOKUP(AL$84,'Infos Techniques'!$B$7:$H$12,7,0)/($V329*$X$39/12)</f>
        <v>37.440000000000005</v>
      </c>
    </row>
    <row r="330" spans="1:38">
      <c r="B330" s="1849"/>
      <c r="C330" s="70">
        <v>10</v>
      </c>
      <c r="D330" s="43" t="e">
        <f t="shared" si="96"/>
        <v>#REF!</v>
      </c>
      <c r="E330" s="43" t="e">
        <f t="shared" si="97"/>
        <v>#REF!</v>
      </c>
      <c r="F330" s="43" t="e">
        <f t="shared" si="98"/>
        <v>#REF!</v>
      </c>
      <c r="G330" s="43" t="e">
        <f t="shared" si="99"/>
        <v>#REF!</v>
      </c>
      <c r="H330" s="43" t="e">
        <f t="shared" si="100"/>
        <v>#REF!</v>
      </c>
      <c r="I330" s="43" t="e">
        <f t="shared" si="101"/>
        <v>#REF!</v>
      </c>
      <c r="J330" s="43" t="e">
        <f t="shared" si="102"/>
        <v>#REF!</v>
      </c>
      <c r="K330" s="43" t="e">
        <f t="shared" si="103"/>
        <v>#REF!</v>
      </c>
      <c r="L330" s="43" t="e">
        <f t="shared" si="104"/>
        <v>#REF!</v>
      </c>
      <c r="M330" s="63" t="e">
        <f t="shared" si="105"/>
        <v>#REF!</v>
      </c>
      <c r="U330" s="1601"/>
      <c r="V330" s="28">
        <v>10</v>
      </c>
      <c r="W330" s="43" t="e" cm="1">
        <f t="array" ref="W330">VLOOKUP(MAX(IF('Courbe Déflexion'!$HG$5:$HG$285&lt;=V330,'Courbe Déflexion'!$HG$5:$HG$285)),'Courbe Déflexion'!#REF!,2,0)</f>
        <v>#REF!</v>
      </c>
      <c r="X330" s="276"/>
      <c r="Y330" s="276"/>
      <c r="Z330" s="276"/>
      <c r="AA330" s="276"/>
      <c r="AB330" s="276"/>
      <c r="AC330" s="43">
        <f>VLOOKUP(AC$84,'Infos Techniques'!$B$7:$H$12,5,0)/($V330*$X$39/12)</f>
        <v>21.176470588235297</v>
      </c>
      <c r="AD330" s="43">
        <f>VLOOKUP(AD$84,'Infos Techniques'!$B$7:$H$12,5,0)/($V330*$X$39/12)</f>
        <v>21.176470588235297</v>
      </c>
      <c r="AE330" s="43">
        <f>VLOOKUP(AE$84,'Infos Techniques'!$B$7:$H$12,5,0)/($V330*$X$39/12)</f>
        <v>21.176470588235297</v>
      </c>
      <c r="AF330" s="43">
        <f>VLOOKUP(AF$84,'Infos Techniques'!$B$7:$H$12,5,0)/($V330*$X$39/12)</f>
        <v>21.176470588235297</v>
      </c>
      <c r="AG330" s="43">
        <f>VLOOKUP(AG$84,'Infos Techniques'!$B$7:$H$12,5,0)/($V330*$X$39/12)</f>
        <v>18.720000000000002</v>
      </c>
      <c r="AH330" s="43">
        <f>VLOOKUP(AH$84,'Infos Techniques'!$B$7:$H$12,7,0)/($V330*$X$39/12)</f>
        <v>28.235294117647062</v>
      </c>
      <c r="AI330" s="43">
        <f>VLOOKUP(AI$84,'Infos Techniques'!$B$7:$H$12,7,0)/($V330*$X$39/12)</f>
        <v>28.235294117647062</v>
      </c>
      <c r="AJ330" s="43">
        <f>VLOOKUP(AJ$84,'Infos Techniques'!$B$7:$H$12,7,0)/($V330*$X$39/12)</f>
        <v>28.235294117647062</v>
      </c>
      <c r="AK330" s="43">
        <f>VLOOKUP(AK$84,'Infos Techniques'!$B$7:$H$12,7,0)/($V330*$X$39/12)</f>
        <v>21.176470588235297</v>
      </c>
      <c r="AL330" s="63">
        <f>VLOOKUP(AL$84,'Infos Techniques'!$B$7:$E$12,4,0)/($V330*$X$39/12)</f>
        <v>18.720000000000002</v>
      </c>
    </row>
    <row r="331" spans="1:38">
      <c r="B331" s="1849"/>
      <c r="C331" s="70">
        <v>15</v>
      </c>
      <c r="D331" s="43" t="e">
        <f t="shared" si="96"/>
        <v>#REF!</v>
      </c>
      <c r="E331" s="43" t="e">
        <f t="shared" si="97"/>
        <v>#REF!</v>
      </c>
      <c r="F331" s="43" t="e">
        <f t="shared" si="98"/>
        <v>#REF!</v>
      </c>
      <c r="G331" s="43" t="e">
        <f t="shared" si="99"/>
        <v>#REF!</v>
      </c>
      <c r="H331" s="43" t="e">
        <f t="shared" si="100"/>
        <v>#REF!</v>
      </c>
      <c r="I331" s="43" t="e">
        <f t="shared" si="101"/>
        <v>#REF!</v>
      </c>
      <c r="J331" s="43" t="e">
        <f t="shared" si="102"/>
        <v>#REF!</v>
      </c>
      <c r="K331" s="43" t="e">
        <f t="shared" si="103"/>
        <v>#REF!</v>
      </c>
      <c r="L331" s="43" t="e">
        <f t="shared" si="104"/>
        <v>#REF!</v>
      </c>
      <c r="M331" s="63" t="e">
        <f t="shared" si="105"/>
        <v>#REF!</v>
      </c>
      <c r="U331" s="1601"/>
      <c r="V331" s="28">
        <v>15</v>
      </c>
      <c r="W331" s="43" t="e" cm="1">
        <f t="array" ref="W331">VLOOKUP(MAX(IF('Courbe Déflexion'!$HG$5:$HG$285&lt;=V331,'Courbe Déflexion'!$HG$5:$HG$285)),'Courbe Déflexion'!#REF!,2,0)</f>
        <v>#REF!</v>
      </c>
      <c r="X331" s="276"/>
      <c r="Y331" s="276"/>
      <c r="Z331" s="276"/>
      <c r="AA331" s="276"/>
      <c r="AB331" s="276"/>
      <c r="AC331" s="43">
        <f>VLOOKUP(AC$84,'Infos Techniques'!$B$7:$H$12,5,0)/($V331*$X$39/12)</f>
        <v>14.117647058823529</v>
      </c>
      <c r="AD331" s="43">
        <f>VLOOKUP(AD$84,'Infos Techniques'!$B$7:$H$12,5,0)/($V331*$X$39/12)</f>
        <v>14.117647058823529</v>
      </c>
      <c r="AE331" s="43">
        <f>VLOOKUP(AE$84,'Infos Techniques'!$B$7:$H$12,5,0)/($V331*$X$39/12)</f>
        <v>14.117647058823529</v>
      </c>
      <c r="AF331" s="43">
        <f>VLOOKUP(AF$84,'Infos Techniques'!$B$7:$H$12,5,0)/($V331*$X$39/12)</f>
        <v>14.117647058823529</v>
      </c>
      <c r="AG331" s="43">
        <f>VLOOKUP(AG$84,'Infos Techniques'!$B$7:$H$12,5,0)/($V331*$X$39/12)</f>
        <v>12.48</v>
      </c>
      <c r="AH331" s="43">
        <f>VLOOKUP(AH$84,'Infos Techniques'!$B$7:$H$12,7,0)/($V331*$X$39/12)</f>
        <v>18.823529411764707</v>
      </c>
      <c r="AI331" s="43">
        <f>VLOOKUP(AI$84,'Infos Techniques'!$B$7:$H$12,7,0)/($V331*$X$39/12)</f>
        <v>18.823529411764707</v>
      </c>
      <c r="AJ331" s="43">
        <f>VLOOKUP(AJ$84,'Infos Techniques'!$B$7:$H$12,7,0)/($V331*$X$39/12)</f>
        <v>18.823529411764707</v>
      </c>
      <c r="AK331" s="43">
        <f>VLOOKUP(AK$84,'Infos Techniques'!$B$7:$H$12,7,0)/($V331*$X$39/12)</f>
        <v>14.117647058823529</v>
      </c>
      <c r="AL331" s="63">
        <f>VLOOKUP(AL$84,'Infos Techniques'!$B$7:$E$12,4,0)/($V331*$X$39/12)</f>
        <v>12.48</v>
      </c>
    </row>
    <row r="332" spans="1:38">
      <c r="B332" s="1849"/>
      <c r="C332" s="70">
        <v>20</v>
      </c>
      <c r="D332" s="43" t="e">
        <f t="shared" si="96"/>
        <v>#REF!</v>
      </c>
      <c r="E332" s="43" t="e">
        <f t="shared" si="97"/>
        <v>#REF!</v>
      </c>
      <c r="F332" s="43" t="e">
        <f t="shared" si="98"/>
        <v>#REF!</v>
      </c>
      <c r="G332" s="43" t="e">
        <f t="shared" si="99"/>
        <v>#REF!</v>
      </c>
      <c r="H332" s="43" t="e">
        <f t="shared" si="100"/>
        <v>#REF!</v>
      </c>
      <c r="I332" s="43" t="e">
        <f t="shared" si="101"/>
        <v>#REF!</v>
      </c>
      <c r="J332" s="43" t="e">
        <f t="shared" si="102"/>
        <v>#REF!</v>
      </c>
      <c r="K332" s="43" t="e">
        <f t="shared" si="103"/>
        <v>#REF!</v>
      </c>
      <c r="L332" s="43" t="e">
        <f t="shared" si="104"/>
        <v>#REF!</v>
      </c>
      <c r="M332" s="63" t="e">
        <f t="shared" si="105"/>
        <v>#REF!</v>
      </c>
      <c r="U332" s="1601"/>
      <c r="V332" s="28">
        <v>20</v>
      </c>
      <c r="W332" s="43" t="e" cm="1">
        <f t="array" ref="W332">VLOOKUP(MAX(IF('Courbe Déflexion'!$HG$5:$HG$285&lt;=V332,'Courbe Déflexion'!$HG$5:$HG$285)),'Courbe Déflexion'!#REF!,2,0)</f>
        <v>#REF!</v>
      </c>
      <c r="X332" s="276"/>
      <c r="Y332" s="276"/>
      <c r="Z332" s="276"/>
      <c r="AA332" s="276"/>
      <c r="AB332" s="276"/>
      <c r="AC332" s="43">
        <f>VLOOKUP(AC$84,'Infos Techniques'!$B$7:$H$12,5,0)/($V332*$X$39/12)</f>
        <v>10.588235294117649</v>
      </c>
      <c r="AD332" s="43">
        <f>VLOOKUP(AD$84,'Infos Techniques'!$B$7:$H$12,5,0)/($V332*$X$39/12)</f>
        <v>10.588235294117649</v>
      </c>
      <c r="AE332" s="43">
        <f>VLOOKUP(AE$84,'Infos Techniques'!$B$7:$H$12,5,0)/($V332*$X$39/12)</f>
        <v>10.588235294117649</v>
      </c>
      <c r="AF332" s="43">
        <f>VLOOKUP(AF$84,'Infos Techniques'!$B$7:$H$12,5,0)/($V332*$X$39/12)</f>
        <v>10.588235294117649</v>
      </c>
      <c r="AG332" s="43">
        <f>VLOOKUP(AG$84,'Infos Techniques'!$B$7:$H$12,5,0)/($V332*$X$39/12)</f>
        <v>9.3600000000000012</v>
      </c>
      <c r="AH332" s="43">
        <f>VLOOKUP(AH$84,'Infos Techniques'!$B$7:$H$12,7,0)/($V332*$X$39/12)</f>
        <v>14.117647058823531</v>
      </c>
      <c r="AI332" s="43">
        <f>VLOOKUP(AI$84,'Infos Techniques'!$B$7:$H$12,7,0)/($V332*$X$39/12)</f>
        <v>14.117647058823531</v>
      </c>
      <c r="AJ332" s="43">
        <f>VLOOKUP(AJ$84,'Infos Techniques'!$B$7:$H$12,7,0)/($V332*$X$39/12)</f>
        <v>14.117647058823531</v>
      </c>
      <c r="AK332" s="43">
        <f>VLOOKUP(AK$84,'Infos Techniques'!$B$7:$H$12,7,0)/($V332*$X$39/12)</f>
        <v>10.588235294117649</v>
      </c>
      <c r="AL332" s="63">
        <f>VLOOKUP(AL$84,'Infos Techniques'!$B$7:$E$12,4,0)/($V332*$X$39/12)</f>
        <v>9.3600000000000012</v>
      </c>
    </row>
    <row r="333" spans="1:38" ht="15" thickBot="1">
      <c r="B333" s="1849"/>
      <c r="C333" s="71">
        <v>25</v>
      </c>
      <c r="D333" s="43" t="e">
        <f t="shared" si="96"/>
        <v>#REF!</v>
      </c>
      <c r="E333" s="43" t="e">
        <f t="shared" si="97"/>
        <v>#REF!</v>
      </c>
      <c r="F333" s="43" t="e">
        <f t="shared" si="98"/>
        <v>#REF!</v>
      </c>
      <c r="G333" s="43" t="e">
        <f t="shared" si="99"/>
        <v>#REF!</v>
      </c>
      <c r="H333" s="43" t="e">
        <f t="shared" si="100"/>
        <v>#REF!</v>
      </c>
      <c r="I333" s="43" t="e">
        <f t="shared" si="101"/>
        <v>#REF!</v>
      </c>
      <c r="J333" s="43" t="e">
        <f t="shared" si="102"/>
        <v>#REF!</v>
      </c>
      <c r="K333" s="43" t="e">
        <f t="shared" si="103"/>
        <v>#REF!</v>
      </c>
      <c r="L333" s="43" t="e">
        <f t="shared" si="104"/>
        <v>#REF!</v>
      </c>
      <c r="M333" s="63" t="e">
        <f t="shared" si="105"/>
        <v>#REF!</v>
      </c>
      <c r="U333" s="1601"/>
      <c r="V333" s="28">
        <v>25</v>
      </c>
      <c r="W333" s="43" t="e" cm="1">
        <f t="array" ref="W333">VLOOKUP(MAX(IF('Courbe Déflexion'!$HG$5:$HG$285&lt;=V333,'Courbe Déflexion'!$HG$5:$HG$285)),'Courbe Déflexion'!#REF!,2,0)</f>
        <v>#REF!</v>
      </c>
      <c r="X333" s="276"/>
      <c r="Y333" s="276"/>
      <c r="Z333" s="276"/>
      <c r="AA333" s="276"/>
      <c r="AB333" s="276"/>
      <c r="AC333" s="43">
        <f>VLOOKUP(AC$84,'Infos Techniques'!$B$7:$H$12,5,0)/($V333*$X$39/12)</f>
        <v>8.4705882352941178</v>
      </c>
      <c r="AD333" s="43">
        <f>VLOOKUP(AD$84,'Infos Techniques'!$B$7:$H$12,5,0)/($V333*$X$39/12)</f>
        <v>8.4705882352941178</v>
      </c>
      <c r="AE333" s="43">
        <f>VLOOKUP(AE$84,'Infos Techniques'!$B$7:$H$12,5,0)/($V333*$X$39/12)</f>
        <v>8.4705882352941178</v>
      </c>
      <c r="AF333" s="43">
        <f>VLOOKUP(AF$84,'Infos Techniques'!$B$7:$H$12,5,0)/($V333*$X$39/12)</f>
        <v>8.4705882352941178</v>
      </c>
      <c r="AG333" s="43">
        <f>VLOOKUP(AG$84,'Infos Techniques'!$B$7:$H$12,5,0)/($V333*$X$39/12)</f>
        <v>7.4879999999999995</v>
      </c>
      <c r="AH333" s="43">
        <f>VLOOKUP(AH$84,'Infos Techniques'!$B$7:$H$12,7,0)/($V333*$X$39/12)</f>
        <v>11.294117647058822</v>
      </c>
      <c r="AI333" s="43">
        <f>VLOOKUP(AI$84,'Infos Techniques'!$B$7:$H$12,7,0)/($V333*$X$39/12)</f>
        <v>11.294117647058822</v>
      </c>
      <c r="AJ333" s="43">
        <f>VLOOKUP(AJ$84,'Infos Techniques'!$B$7:$H$12,7,0)/($V333*$X$39/12)</f>
        <v>11.294117647058822</v>
      </c>
      <c r="AK333" s="43">
        <f>VLOOKUP(AK$84,'Infos Techniques'!$B$7:$H$12,7,0)/($V333*$X$39/12)</f>
        <v>8.4705882352941178</v>
      </c>
      <c r="AL333" s="63">
        <f>VLOOKUP(AL$84,'Infos Techniques'!$B$7:$E$12,4,0)/($V333*$X$39/12)</f>
        <v>7.4879999999999995</v>
      </c>
    </row>
    <row r="334" spans="1:38">
      <c r="B334" s="1849"/>
      <c r="C334" s="69">
        <v>30</v>
      </c>
      <c r="D334" s="43" t="e">
        <f t="shared" si="96"/>
        <v>#REF!</v>
      </c>
      <c r="E334" s="43" t="e">
        <f t="shared" si="97"/>
        <v>#REF!</v>
      </c>
      <c r="F334" s="43" t="e">
        <f t="shared" si="98"/>
        <v>#REF!</v>
      </c>
      <c r="G334" s="43" t="e">
        <f t="shared" si="99"/>
        <v>#REF!</v>
      </c>
      <c r="H334" s="43" t="e">
        <f t="shared" si="100"/>
        <v>#REF!</v>
      </c>
      <c r="I334" s="43" t="e">
        <f t="shared" si="101"/>
        <v>#REF!</v>
      </c>
      <c r="J334" s="43" t="e">
        <f t="shared" si="102"/>
        <v>#REF!</v>
      </c>
      <c r="K334" s="43" t="e">
        <f t="shared" si="103"/>
        <v>#REF!</v>
      </c>
      <c r="L334" s="43" t="e">
        <f t="shared" si="104"/>
        <v>#REF!</v>
      </c>
      <c r="M334" s="63" t="e">
        <f t="shared" si="105"/>
        <v>#REF!</v>
      </c>
      <c r="U334" s="1601"/>
      <c r="V334" s="28">
        <v>30</v>
      </c>
      <c r="W334" s="43" t="e" cm="1">
        <f t="array" ref="W334">VLOOKUP(MAX(IF('Courbe Déflexion'!$HG$5:$HG$285&lt;=V334,'Courbe Déflexion'!$HG$5:$HG$285)),'Courbe Déflexion'!#REF!,2,0)</f>
        <v>#REF!</v>
      </c>
      <c r="X334" s="276"/>
      <c r="Y334" s="276"/>
      <c r="Z334" s="276"/>
      <c r="AA334" s="276"/>
      <c r="AB334" s="276"/>
      <c r="AC334" s="43">
        <f>VLOOKUP(AC$84,'Infos Techniques'!$B$7:$H$12,5,0)/($V334*$X$39/12)</f>
        <v>7.0588235294117645</v>
      </c>
      <c r="AD334" s="43">
        <f>VLOOKUP(AD$84,'Infos Techniques'!$B$7:$H$12,5,0)/($V334*$X$39/12)</f>
        <v>7.0588235294117645</v>
      </c>
      <c r="AE334" s="43">
        <f>VLOOKUP(AE$84,'Infos Techniques'!$B$7:$H$12,5,0)/($V334*$X$39/12)</f>
        <v>7.0588235294117645</v>
      </c>
      <c r="AF334" s="43">
        <f>VLOOKUP(AF$84,'Infos Techniques'!$B$7:$H$12,5,0)/($V334*$X$39/12)</f>
        <v>7.0588235294117645</v>
      </c>
      <c r="AG334" s="43">
        <f>VLOOKUP(AG$84,'Infos Techniques'!$B$7:$H$12,5,0)/($V334*$X$39/12)</f>
        <v>6.24</v>
      </c>
      <c r="AH334" s="43">
        <f>VLOOKUP(AH$84,'Infos Techniques'!$B$7:$H$12,7,0)/($V334*$X$39/12)</f>
        <v>9.4117647058823533</v>
      </c>
      <c r="AI334" s="43">
        <f>VLOOKUP(AI$84,'Infos Techniques'!$B$7:$H$12,7,0)/($V334*$X$39/12)</f>
        <v>9.4117647058823533</v>
      </c>
      <c r="AJ334" s="43">
        <f>VLOOKUP(AJ$84,'Infos Techniques'!$B$7:$H$12,7,0)/($V334*$X$39/12)</f>
        <v>9.4117647058823533</v>
      </c>
      <c r="AK334" s="43">
        <f>VLOOKUP(AK$84,'Infos Techniques'!$B$7:$H$12,7,0)/($V334*$X$39/12)</f>
        <v>7.0588235294117645</v>
      </c>
      <c r="AL334" s="63">
        <f>VLOOKUP(AL$84,'Infos Techniques'!$B$7:$E$12,4,0)/($V334*$X$39/12)</f>
        <v>6.24</v>
      </c>
    </row>
    <row r="335" spans="1:38">
      <c r="B335" s="1849"/>
      <c r="C335" s="70">
        <v>35</v>
      </c>
      <c r="D335" s="43" t="e">
        <f t="shared" si="96"/>
        <v>#REF!</v>
      </c>
      <c r="E335" s="43" t="e">
        <f t="shared" si="97"/>
        <v>#REF!</v>
      </c>
      <c r="F335" s="43" t="e">
        <f t="shared" si="98"/>
        <v>#REF!</v>
      </c>
      <c r="G335" s="43" t="e">
        <f t="shared" si="99"/>
        <v>#REF!</v>
      </c>
      <c r="H335" s="43" t="e">
        <f t="shared" si="100"/>
        <v>#REF!</v>
      </c>
      <c r="I335" s="43" t="e">
        <f t="shared" si="101"/>
        <v>#REF!</v>
      </c>
      <c r="J335" s="43" t="e">
        <f t="shared" si="102"/>
        <v>#REF!</v>
      </c>
      <c r="K335" s="43" t="e">
        <f t="shared" si="103"/>
        <v>#REF!</v>
      </c>
      <c r="L335" s="43" t="e">
        <f t="shared" si="104"/>
        <v>#REF!</v>
      </c>
      <c r="M335" s="63" t="e">
        <f t="shared" si="105"/>
        <v>#REF!</v>
      </c>
      <c r="U335" s="1601"/>
      <c r="V335" s="28">
        <v>35</v>
      </c>
      <c r="W335" s="43" t="e" cm="1">
        <f t="array" ref="W335">VLOOKUP(MAX(IF('Courbe Déflexion'!$HG$5:$HG$285&lt;=V335,'Courbe Déflexion'!$HG$5:$HG$285)),'Courbe Déflexion'!#REF!,2,0)</f>
        <v>#REF!</v>
      </c>
      <c r="X335" s="276"/>
      <c r="Y335" s="276"/>
      <c r="Z335" s="276"/>
      <c r="AA335" s="276"/>
      <c r="AB335" s="276"/>
      <c r="AC335" s="43">
        <f>VLOOKUP(AC$84,'Infos Techniques'!$B$7:$H$12,5,0)/($V335*$X$39/12)</f>
        <v>6.0504201680672267</v>
      </c>
      <c r="AD335" s="43">
        <f>VLOOKUP(AD$84,'Infos Techniques'!$B$7:$H$12,5,0)/($V335*$X$39/12)</f>
        <v>6.0504201680672267</v>
      </c>
      <c r="AE335" s="43">
        <f>VLOOKUP(AE$84,'Infos Techniques'!$B$7:$H$12,5,0)/($V335*$X$39/12)</f>
        <v>6.0504201680672267</v>
      </c>
      <c r="AF335" s="43">
        <f>VLOOKUP(AF$84,'Infos Techniques'!$B$7:$H$12,5,0)/($V335*$X$39/12)</f>
        <v>6.0504201680672267</v>
      </c>
      <c r="AG335" s="43">
        <f>VLOOKUP(AG$84,'Infos Techniques'!$B$7:$H$12,5,0)/($V335*$X$39/12)</f>
        <v>5.3485714285714288</v>
      </c>
      <c r="AH335" s="43">
        <f>VLOOKUP(AH$84,'Infos Techniques'!$B$7:$H$12,7,0)/($V335*$X$39/12)</f>
        <v>8.0672268907563023</v>
      </c>
      <c r="AI335" s="43">
        <f>VLOOKUP(AI$84,'Infos Techniques'!$B$7:$H$12,7,0)/($V335*$X$39/12)</f>
        <v>8.0672268907563023</v>
      </c>
      <c r="AJ335" s="43">
        <f>VLOOKUP(AJ$84,'Infos Techniques'!$B$7:$H$12,7,0)/($V335*$X$39/12)</f>
        <v>8.0672268907563023</v>
      </c>
      <c r="AK335" s="43">
        <f>VLOOKUP(AK$84,'Infos Techniques'!$B$7:$H$12,7,0)/($V335*$X$39/12)</f>
        <v>6.0504201680672267</v>
      </c>
      <c r="AL335" s="63">
        <f>VLOOKUP(AL$84,'Infos Techniques'!$B$7:$E$12,4,0)/($V335*$X$39/12)</f>
        <v>5.3485714285714288</v>
      </c>
    </row>
    <row r="336" spans="1:38">
      <c r="B336" s="1849"/>
      <c r="C336" s="70">
        <v>40</v>
      </c>
      <c r="D336" s="43" t="e">
        <f t="shared" si="96"/>
        <v>#REF!</v>
      </c>
      <c r="E336" s="43" t="e">
        <f t="shared" si="97"/>
        <v>#REF!</v>
      </c>
      <c r="F336" s="43" t="e">
        <f t="shared" si="98"/>
        <v>#REF!</v>
      </c>
      <c r="G336" s="43" t="e">
        <f t="shared" si="99"/>
        <v>#REF!</v>
      </c>
      <c r="H336" s="43" t="e">
        <f t="shared" si="100"/>
        <v>#REF!</v>
      </c>
      <c r="I336" s="43" t="e">
        <f t="shared" si="101"/>
        <v>#REF!</v>
      </c>
      <c r="J336" s="43" t="e">
        <f t="shared" si="102"/>
        <v>#REF!</v>
      </c>
      <c r="K336" s="43" t="e">
        <f t="shared" si="103"/>
        <v>#REF!</v>
      </c>
      <c r="L336" s="43" t="e">
        <f t="shared" si="104"/>
        <v>#REF!</v>
      </c>
      <c r="M336" s="63" t="e">
        <f t="shared" si="105"/>
        <v>#REF!</v>
      </c>
      <c r="U336" s="1601"/>
      <c r="V336" s="28">
        <v>40</v>
      </c>
      <c r="W336" s="43" t="e" cm="1">
        <f t="array" ref="W336">VLOOKUP(MAX(IF('Courbe Déflexion'!$HG$5:$HG$285&lt;=V336,'Courbe Déflexion'!$HG$5:$HG$285)),'Courbe Déflexion'!#REF!,2,0)</f>
        <v>#REF!</v>
      </c>
      <c r="X336" s="276"/>
      <c r="Y336" s="276"/>
      <c r="Z336" s="276"/>
      <c r="AA336" s="276"/>
      <c r="AB336" s="276"/>
      <c r="AC336" s="43">
        <f>VLOOKUP(AC$84,'Infos Techniques'!$B$7:$H$12,5,0)/($V336*$X$39/12)</f>
        <v>5.2941176470588243</v>
      </c>
      <c r="AD336" s="43">
        <f>VLOOKUP(AD$84,'Infos Techniques'!$B$7:$H$12,5,0)/($V336*$X$39/12)</f>
        <v>5.2941176470588243</v>
      </c>
      <c r="AE336" s="43">
        <f>VLOOKUP(AE$84,'Infos Techniques'!$B$7:$H$12,5,0)/($V336*$X$39/12)</f>
        <v>5.2941176470588243</v>
      </c>
      <c r="AF336" s="43">
        <f>VLOOKUP(AF$84,'Infos Techniques'!$B$7:$H$12,5,0)/($V336*$X$39/12)</f>
        <v>5.2941176470588243</v>
      </c>
      <c r="AG336" s="43">
        <f>VLOOKUP(AG$84,'Infos Techniques'!$B$7:$H$12,5,0)/($V336*$X$39/12)</f>
        <v>4.6800000000000006</v>
      </c>
      <c r="AH336" s="43">
        <f>VLOOKUP(AH$84,'Infos Techniques'!$B$7:$H$12,7,0)/($V336*$X$39/12)</f>
        <v>7.0588235294117654</v>
      </c>
      <c r="AI336" s="43">
        <f>VLOOKUP(AI$84,'Infos Techniques'!$B$7:$H$12,7,0)/($V336*$X$39/12)</f>
        <v>7.0588235294117654</v>
      </c>
      <c r="AJ336" s="43">
        <f>VLOOKUP(AJ$84,'Infos Techniques'!$B$7:$H$12,7,0)/($V336*$X$39/12)</f>
        <v>7.0588235294117654</v>
      </c>
      <c r="AK336" s="43">
        <f>VLOOKUP(AK$84,'Infos Techniques'!$B$7:$H$12,7,0)/($V336*$X$39/12)</f>
        <v>5.2941176470588243</v>
      </c>
      <c r="AL336" s="63">
        <f>VLOOKUP(AL$84,'Infos Techniques'!$B$7:$E$12,4,0)/($V336*$X$39/12)</f>
        <v>4.6800000000000006</v>
      </c>
    </row>
    <row r="337" spans="2:38">
      <c r="B337" s="1849"/>
      <c r="C337" s="70">
        <v>45</v>
      </c>
      <c r="D337" s="43" t="e">
        <f t="shared" si="96"/>
        <v>#REF!</v>
      </c>
      <c r="E337" s="43" t="e">
        <f t="shared" si="97"/>
        <v>#REF!</v>
      </c>
      <c r="F337" s="43" t="e">
        <f t="shared" si="98"/>
        <v>#REF!</v>
      </c>
      <c r="G337" s="43" t="e">
        <f t="shared" si="99"/>
        <v>#REF!</v>
      </c>
      <c r="H337" s="43" t="e">
        <f t="shared" si="100"/>
        <v>#REF!</v>
      </c>
      <c r="I337" s="43" t="e">
        <f t="shared" si="101"/>
        <v>#REF!</v>
      </c>
      <c r="J337" s="43" t="e">
        <f t="shared" si="102"/>
        <v>#REF!</v>
      </c>
      <c r="K337" s="43" t="e">
        <f t="shared" si="103"/>
        <v>#REF!</v>
      </c>
      <c r="L337" s="43" t="e">
        <f t="shared" si="104"/>
        <v>#REF!</v>
      </c>
      <c r="M337" s="63" t="e">
        <f t="shared" si="105"/>
        <v>#REF!</v>
      </c>
      <c r="U337" s="1601"/>
      <c r="V337" s="28">
        <v>45</v>
      </c>
      <c r="W337" s="43" t="e" cm="1">
        <f t="array" ref="W337">VLOOKUP(MAX(IF('Courbe Déflexion'!$HG$5:$HG$285&lt;=V337,'Courbe Déflexion'!$HG$5:$HG$285)),'Courbe Déflexion'!#REF!,2,0)</f>
        <v>#REF!</v>
      </c>
      <c r="X337" s="276"/>
      <c r="Y337" s="276"/>
      <c r="Z337" s="276"/>
      <c r="AA337" s="276"/>
      <c r="AB337" s="276"/>
      <c r="AC337" s="43">
        <f>VLOOKUP(AC$84,'Infos Techniques'!$B$7:$H$12,5,0)/($V337*$X$39/12)</f>
        <v>4.7058823529411766</v>
      </c>
      <c r="AD337" s="43">
        <f>VLOOKUP(AD$84,'Infos Techniques'!$B$7:$H$12,5,0)/($V337*$X$39/12)</f>
        <v>4.7058823529411766</v>
      </c>
      <c r="AE337" s="43">
        <f>VLOOKUP(AE$84,'Infos Techniques'!$B$7:$H$12,5,0)/($V337*$X$39/12)</f>
        <v>4.7058823529411766</v>
      </c>
      <c r="AF337" s="43">
        <f>VLOOKUP(AF$84,'Infos Techniques'!$B$7:$H$12,5,0)/($V337*$X$39/12)</f>
        <v>4.7058823529411766</v>
      </c>
      <c r="AG337" s="43">
        <f>VLOOKUP(AG$84,'Infos Techniques'!$B$7:$H$12,5,0)/($V337*$X$39/12)</f>
        <v>4.16</v>
      </c>
      <c r="AH337" s="43">
        <f>VLOOKUP(AH$84,'Infos Techniques'!$B$7:$H$12,7,0)/($V337*$X$39/12)</f>
        <v>6.2745098039215685</v>
      </c>
      <c r="AI337" s="43">
        <f>VLOOKUP(AI$84,'Infos Techniques'!$B$7:$H$12,7,0)/($V337*$X$39/12)</f>
        <v>6.2745098039215685</v>
      </c>
      <c r="AJ337" s="43">
        <f>VLOOKUP(AJ$84,'Infos Techniques'!$B$7:$H$12,7,0)/($V337*$X$39/12)</f>
        <v>6.2745098039215685</v>
      </c>
      <c r="AK337" s="43">
        <f>VLOOKUP(AK$84,'Infos Techniques'!$B$7:$H$12,7,0)/($V337*$X$39/12)</f>
        <v>4.7058823529411766</v>
      </c>
      <c r="AL337" s="63">
        <f>VLOOKUP(AL$84,'Infos Techniques'!$B$7:$E$12,4,0)/($V337*$X$39/12)</f>
        <v>4.16</v>
      </c>
    </row>
    <row r="338" spans="2:38" ht="15" thickBot="1">
      <c r="B338" s="1849"/>
      <c r="C338" s="71">
        <v>50</v>
      </c>
      <c r="D338" s="43" t="e">
        <f t="shared" si="96"/>
        <v>#REF!</v>
      </c>
      <c r="E338" s="43" t="e">
        <f t="shared" si="97"/>
        <v>#REF!</v>
      </c>
      <c r="F338" s="43" t="e">
        <f t="shared" si="98"/>
        <v>#REF!</v>
      </c>
      <c r="G338" s="43" t="e">
        <f t="shared" si="99"/>
        <v>#REF!</v>
      </c>
      <c r="H338" s="43" t="e">
        <f t="shared" si="100"/>
        <v>#REF!</v>
      </c>
      <c r="I338" s="43" t="e">
        <f t="shared" si="101"/>
        <v>#REF!</v>
      </c>
      <c r="J338" s="43" t="e">
        <f t="shared" si="102"/>
        <v>#REF!</v>
      </c>
      <c r="K338" s="43" t="e">
        <f t="shared" si="103"/>
        <v>#REF!</v>
      </c>
      <c r="L338" s="43" t="e">
        <f t="shared" si="104"/>
        <v>#REF!</v>
      </c>
      <c r="M338" s="63" t="e">
        <f t="shared" si="105"/>
        <v>#REF!</v>
      </c>
      <c r="U338" s="1601"/>
      <c r="V338" s="28">
        <v>50</v>
      </c>
      <c r="W338" s="43" t="e" cm="1">
        <f t="array" ref="W338">VLOOKUP(MAX(IF('Courbe Déflexion'!$HG$5:$HG$285&lt;=V338,'Courbe Déflexion'!$HG$5:$HG$285)),'Courbe Déflexion'!#REF!,2,0)</f>
        <v>#REF!</v>
      </c>
      <c r="X338" s="276"/>
      <c r="Y338" s="276"/>
      <c r="Z338" s="276"/>
      <c r="AA338" s="276"/>
      <c r="AB338" s="276"/>
      <c r="AC338" s="43">
        <f>VLOOKUP(AC$84,'Infos Techniques'!$B$7:$H$12,5,0)/($V338*$X$39/12)</f>
        <v>4.2352941176470589</v>
      </c>
      <c r="AD338" s="43">
        <f>VLOOKUP(AD$84,'Infos Techniques'!$B$7:$H$12,5,0)/($V338*$X$39/12)</f>
        <v>4.2352941176470589</v>
      </c>
      <c r="AE338" s="43">
        <f>VLOOKUP(AE$84,'Infos Techniques'!$B$7:$H$12,5,0)/($V338*$X$39/12)</f>
        <v>4.2352941176470589</v>
      </c>
      <c r="AF338" s="43">
        <f>VLOOKUP(AF$84,'Infos Techniques'!$B$7:$H$12,5,0)/($V338*$X$39/12)</f>
        <v>4.2352941176470589</v>
      </c>
      <c r="AG338" s="43">
        <f>VLOOKUP(AG$84,'Infos Techniques'!$B$7:$H$12,5,0)/($V338*$X$39/12)</f>
        <v>3.7439999999999998</v>
      </c>
      <c r="AH338" s="43">
        <f>VLOOKUP(AH$84,'Infos Techniques'!$B$7:$H$12,7,0)/($V338*$X$39/12)</f>
        <v>5.6470588235294112</v>
      </c>
      <c r="AI338" s="43">
        <f>VLOOKUP(AI$84,'Infos Techniques'!$B$7:$H$12,7,0)/($V338*$X$39/12)</f>
        <v>5.6470588235294112</v>
      </c>
      <c r="AJ338" s="43">
        <f>VLOOKUP(AJ$84,'Infos Techniques'!$B$7:$H$12,7,0)/($V338*$X$39/12)</f>
        <v>5.6470588235294112</v>
      </c>
      <c r="AK338" s="43">
        <f>VLOOKUP(AK$84,'Infos Techniques'!$B$7:$H$12,7,0)/($V338*$X$39/12)</f>
        <v>4.2352941176470589</v>
      </c>
      <c r="AL338" s="63">
        <f>VLOOKUP(AL$84,'Infos Techniques'!$B$7:$E$12,4,0)/($V338*$X$39/12)</f>
        <v>3.7439999999999998</v>
      </c>
    </row>
    <row r="339" spans="2:38">
      <c r="B339" s="1849"/>
      <c r="C339" s="69">
        <v>55</v>
      </c>
      <c r="D339" s="43" t="e">
        <f t="shared" si="96"/>
        <v>#REF!</v>
      </c>
      <c r="E339" s="43" t="e">
        <f t="shared" si="97"/>
        <v>#REF!</v>
      </c>
      <c r="F339" s="43" t="e">
        <f t="shared" si="98"/>
        <v>#REF!</v>
      </c>
      <c r="G339" s="43" t="e">
        <f t="shared" si="99"/>
        <v>#REF!</v>
      </c>
      <c r="H339" s="43" t="e">
        <f t="shared" si="100"/>
        <v>#REF!</v>
      </c>
      <c r="I339" s="43" t="e">
        <f t="shared" si="101"/>
        <v>#REF!</v>
      </c>
      <c r="J339" s="43" t="e">
        <f t="shared" si="102"/>
        <v>#REF!</v>
      </c>
      <c r="K339" s="43" t="e">
        <f t="shared" si="103"/>
        <v>#REF!</v>
      </c>
      <c r="L339" s="43" t="e">
        <f t="shared" si="104"/>
        <v>#REF!</v>
      </c>
      <c r="M339" s="63" t="e">
        <f t="shared" si="105"/>
        <v>#REF!</v>
      </c>
      <c r="U339" s="1601"/>
      <c r="V339" s="28">
        <v>55</v>
      </c>
      <c r="W339" s="43" t="e" cm="1">
        <f t="array" ref="W339">VLOOKUP(MAX(IF('Courbe Déflexion'!$HG$5:$HG$285&lt;=V339,'Courbe Déflexion'!$HG$5:$HG$285)),'Courbe Déflexion'!#REF!,2,0)</f>
        <v>#REF!</v>
      </c>
      <c r="X339" s="276"/>
      <c r="Y339" s="276"/>
      <c r="Z339" s="276"/>
      <c r="AA339" s="276"/>
      <c r="AB339" s="276"/>
      <c r="AC339" s="43">
        <f>VLOOKUP(AC$84,'Infos Techniques'!$B$7:$H$12,5,0)/($V339*$X$39/12)</f>
        <v>3.8502673796791447</v>
      </c>
      <c r="AD339" s="43">
        <f>VLOOKUP(AD$84,'Infos Techniques'!$B$7:$H$12,5,0)/($V339*$X$39/12)</f>
        <v>3.8502673796791447</v>
      </c>
      <c r="AE339" s="43">
        <f>VLOOKUP(AE$84,'Infos Techniques'!$B$7:$H$12,5,0)/($V339*$X$39/12)</f>
        <v>3.8502673796791447</v>
      </c>
      <c r="AF339" s="43">
        <f>VLOOKUP(AF$84,'Infos Techniques'!$B$7:$H$12,5,0)/($V339*$X$39/12)</f>
        <v>3.8502673796791447</v>
      </c>
      <c r="AG339" s="43">
        <f>VLOOKUP(AG$84,'Infos Techniques'!$B$7:$H$12,5,0)/($V339*$X$39/12)</f>
        <v>3.4036363636363638</v>
      </c>
      <c r="AH339" s="43">
        <f>VLOOKUP(AH$84,'Infos Techniques'!$B$7:$H$12,7,0)/($V339*$X$39/12)</f>
        <v>5.1336898395721926</v>
      </c>
      <c r="AI339" s="43">
        <f>VLOOKUP(AI$84,'Infos Techniques'!$B$7:$H$12,7,0)/($V339*$X$39/12)</f>
        <v>5.1336898395721926</v>
      </c>
      <c r="AJ339" s="43">
        <f>VLOOKUP(AJ$84,'Infos Techniques'!$B$7:$H$12,7,0)/($V339*$X$39/12)</f>
        <v>5.1336898395721926</v>
      </c>
      <c r="AK339" s="43">
        <f>VLOOKUP(AK$84,'Infos Techniques'!$B$7:$H$12,7,0)/($V339*$X$39/12)</f>
        <v>3.8502673796791447</v>
      </c>
      <c r="AL339" s="63">
        <f>VLOOKUP(AL$84,'Infos Techniques'!$B$7:$E$12,4,0)/($V339*$X$39/12)</f>
        <v>3.4036363636363638</v>
      </c>
    </row>
    <row r="340" spans="2:38">
      <c r="B340" s="1849"/>
      <c r="C340" s="70">
        <v>60</v>
      </c>
      <c r="D340" s="43" t="e">
        <f t="shared" si="96"/>
        <v>#REF!</v>
      </c>
      <c r="E340" s="43" t="e">
        <f t="shared" si="97"/>
        <v>#REF!</v>
      </c>
      <c r="F340" s="43" t="e">
        <f t="shared" si="98"/>
        <v>#REF!</v>
      </c>
      <c r="G340" s="43" t="e">
        <f t="shared" si="99"/>
        <v>#REF!</v>
      </c>
      <c r="H340" s="43" t="e">
        <f t="shared" si="100"/>
        <v>#REF!</v>
      </c>
      <c r="I340" s="43" t="e">
        <f t="shared" si="101"/>
        <v>#REF!</v>
      </c>
      <c r="J340" s="43" t="e">
        <f t="shared" si="102"/>
        <v>#REF!</v>
      </c>
      <c r="K340" s="43" t="e">
        <f t="shared" si="103"/>
        <v>#REF!</v>
      </c>
      <c r="L340" s="43" t="e">
        <f t="shared" si="104"/>
        <v>#REF!</v>
      </c>
      <c r="M340" s="63" t="e">
        <f t="shared" si="105"/>
        <v>#REF!</v>
      </c>
      <c r="U340" s="1601"/>
      <c r="V340" s="28">
        <v>60</v>
      </c>
      <c r="W340" s="43" t="e" cm="1">
        <f t="array" ref="W340">VLOOKUP(MAX(IF('Courbe Déflexion'!$HG$5:$HG$285&lt;=V340,'Courbe Déflexion'!$HG$5:$HG$285)),'Courbe Déflexion'!#REF!,2,0)</f>
        <v>#REF!</v>
      </c>
      <c r="X340" s="276"/>
      <c r="Y340" s="276"/>
      <c r="Z340" s="276"/>
      <c r="AA340" s="276"/>
      <c r="AB340" s="276"/>
      <c r="AC340" s="43">
        <f>VLOOKUP(AC$84,'Infos Techniques'!$B$7:$H$12,5,0)/($V340*$X$39/12)</f>
        <v>3.5294117647058822</v>
      </c>
      <c r="AD340" s="43">
        <f>VLOOKUP(AD$84,'Infos Techniques'!$B$7:$H$12,5,0)/($V340*$X$39/12)</f>
        <v>3.5294117647058822</v>
      </c>
      <c r="AE340" s="43">
        <f>VLOOKUP(AE$84,'Infos Techniques'!$B$7:$H$12,5,0)/($V340*$X$39/12)</f>
        <v>3.5294117647058822</v>
      </c>
      <c r="AF340" s="43">
        <f>VLOOKUP(AF$84,'Infos Techniques'!$B$7:$H$12,5,0)/($V340*$X$39/12)</f>
        <v>3.5294117647058822</v>
      </c>
      <c r="AG340" s="43">
        <f>VLOOKUP(AG$84,'Infos Techniques'!$B$7:$H$12,5,0)/($V340*$X$39/12)</f>
        <v>3.12</v>
      </c>
      <c r="AH340" s="43">
        <f>VLOOKUP(AH$84,'Infos Techniques'!$B$7:$H$12,7,0)/($V340*$X$39/12)</f>
        <v>4.7058823529411766</v>
      </c>
      <c r="AI340" s="43">
        <f>VLOOKUP(AI$84,'Infos Techniques'!$B$7:$H$12,7,0)/($V340*$X$39/12)</f>
        <v>4.7058823529411766</v>
      </c>
      <c r="AJ340" s="43">
        <f>VLOOKUP(AJ$84,'Infos Techniques'!$B$7:$H$12,7,0)/($V340*$X$39/12)</f>
        <v>4.7058823529411766</v>
      </c>
      <c r="AK340" s="43">
        <f>VLOOKUP(AK$84,'Infos Techniques'!$B$7:$H$12,7,0)/($V340*$X$39/12)</f>
        <v>3.5294117647058822</v>
      </c>
      <c r="AL340" s="63">
        <f>VLOOKUP(AL$84,'Infos Techniques'!$B$7:$E$12,4,0)/($V340*$X$39/12)</f>
        <v>3.12</v>
      </c>
    </row>
    <row r="341" spans="2:38">
      <c r="B341" s="1849"/>
      <c r="C341" s="70">
        <v>65</v>
      </c>
      <c r="D341" s="43" t="e">
        <f t="shared" si="96"/>
        <v>#REF!</v>
      </c>
      <c r="E341" s="43" t="e">
        <f t="shared" si="97"/>
        <v>#REF!</v>
      </c>
      <c r="F341" s="43" t="e">
        <f t="shared" si="98"/>
        <v>#REF!</v>
      </c>
      <c r="G341" s="43" t="e">
        <f t="shared" si="99"/>
        <v>#REF!</v>
      </c>
      <c r="H341" s="43" t="e">
        <f t="shared" si="100"/>
        <v>#REF!</v>
      </c>
      <c r="I341" s="43" t="e">
        <f t="shared" si="101"/>
        <v>#REF!</v>
      </c>
      <c r="J341" s="43" t="e">
        <f t="shared" si="102"/>
        <v>#REF!</v>
      </c>
      <c r="K341" s="43" t="e">
        <f t="shared" si="103"/>
        <v>#REF!</v>
      </c>
      <c r="L341" s="43" t="e">
        <f t="shared" si="104"/>
        <v>#REF!</v>
      </c>
      <c r="M341" s="63" t="e">
        <f t="shared" si="105"/>
        <v>#REF!</v>
      </c>
      <c r="U341" s="1601"/>
      <c r="V341" s="28">
        <v>65</v>
      </c>
      <c r="W341" s="43" t="e" cm="1">
        <f t="array" ref="W341">VLOOKUP(MAX(IF('Courbe Déflexion'!$HG$5:$HG$285&lt;=V341,'Courbe Déflexion'!$HG$5:$HG$285)),'Courbe Déflexion'!#REF!,2,0)</f>
        <v>#REF!</v>
      </c>
      <c r="X341" s="276"/>
      <c r="Y341" s="276"/>
      <c r="Z341" s="276"/>
      <c r="AA341" s="276"/>
      <c r="AB341" s="276"/>
      <c r="AC341" s="43">
        <f>VLOOKUP(AC$84,'Infos Techniques'!$B$7:$H$12,5,0)/($V341*$X$39/12)</f>
        <v>3.2579185520361991</v>
      </c>
      <c r="AD341" s="43">
        <f>VLOOKUP(AD$84,'Infos Techniques'!$B$7:$H$12,5,0)/($V341*$X$39/12)</f>
        <v>3.2579185520361991</v>
      </c>
      <c r="AE341" s="43">
        <f>VLOOKUP(AE$84,'Infos Techniques'!$B$7:$H$12,5,0)/($V341*$X$39/12)</f>
        <v>3.2579185520361991</v>
      </c>
      <c r="AF341" s="43">
        <f>VLOOKUP(AF$84,'Infos Techniques'!$B$7:$H$12,5,0)/($V341*$X$39/12)</f>
        <v>3.2579185520361991</v>
      </c>
      <c r="AG341" s="43">
        <f>VLOOKUP(AG$84,'Infos Techniques'!$B$7:$H$12,5,0)/($V341*$X$39/12)</f>
        <v>2.88</v>
      </c>
      <c r="AH341" s="43">
        <f>VLOOKUP(AH$84,'Infos Techniques'!$B$7:$H$12,7,0)/($V341*$X$39/12)</f>
        <v>4.3438914027149318</v>
      </c>
      <c r="AI341" s="43">
        <f>VLOOKUP(AI$84,'Infos Techniques'!$B$7:$H$12,7,0)/($V341*$X$39/12)</f>
        <v>4.3438914027149318</v>
      </c>
      <c r="AJ341" s="43">
        <f>VLOOKUP(AJ$84,'Infos Techniques'!$B$7:$H$12,7,0)/($V341*$X$39/12)</f>
        <v>4.3438914027149318</v>
      </c>
      <c r="AK341" s="43">
        <f>VLOOKUP(AK$84,'Infos Techniques'!$B$7:$H$12,7,0)/($V341*$X$39/12)</f>
        <v>3.2579185520361991</v>
      </c>
      <c r="AL341" s="63">
        <f>VLOOKUP(AL$84,'Infos Techniques'!$B$7:$E$12,4,0)/($V341*$X$39/12)</f>
        <v>2.88</v>
      </c>
    </row>
    <row r="342" spans="2:38">
      <c r="B342" s="1849"/>
      <c r="C342" s="70">
        <v>70</v>
      </c>
      <c r="D342" s="43" t="e">
        <f t="shared" si="96"/>
        <v>#REF!</v>
      </c>
      <c r="E342" s="43" t="e">
        <f t="shared" si="97"/>
        <v>#REF!</v>
      </c>
      <c r="F342" s="43" t="e">
        <f t="shared" si="98"/>
        <v>#REF!</v>
      </c>
      <c r="G342" s="43" t="e">
        <f t="shared" si="99"/>
        <v>#REF!</v>
      </c>
      <c r="H342" s="43" t="e">
        <f t="shared" si="100"/>
        <v>#REF!</v>
      </c>
      <c r="I342" s="43" t="e">
        <f t="shared" si="101"/>
        <v>#REF!</v>
      </c>
      <c r="J342" s="43" t="e">
        <f t="shared" si="102"/>
        <v>#REF!</v>
      </c>
      <c r="K342" s="43" t="e">
        <f t="shared" si="103"/>
        <v>#REF!</v>
      </c>
      <c r="L342" s="43" t="e">
        <f t="shared" si="104"/>
        <v>#REF!</v>
      </c>
      <c r="M342" s="63" t="e">
        <f t="shared" si="105"/>
        <v>#REF!</v>
      </c>
      <c r="U342" s="1601"/>
      <c r="V342" s="28">
        <v>70</v>
      </c>
      <c r="W342" s="43" t="e" cm="1">
        <f t="array" ref="W342">VLOOKUP(MAX(IF('Courbe Déflexion'!$HG$5:$HG$285&lt;=V342,'Courbe Déflexion'!$HG$5:$HG$285)),'Courbe Déflexion'!#REF!,2,0)</f>
        <v>#REF!</v>
      </c>
      <c r="X342" s="276"/>
      <c r="Y342" s="276"/>
      <c r="Z342" s="276"/>
      <c r="AA342" s="276"/>
      <c r="AB342" s="276"/>
      <c r="AC342" s="43">
        <f>VLOOKUP(AC$84,'Infos Techniques'!$B$7:$H$12,5,0)/($V342*$X$39/12)</f>
        <v>3.0252100840336134</v>
      </c>
      <c r="AD342" s="43">
        <f>VLOOKUP(AD$84,'Infos Techniques'!$B$7:$H$12,5,0)/($V342*$X$39/12)</f>
        <v>3.0252100840336134</v>
      </c>
      <c r="AE342" s="43">
        <f>VLOOKUP(AE$84,'Infos Techniques'!$B$7:$H$12,5,0)/($V342*$X$39/12)</f>
        <v>3.0252100840336134</v>
      </c>
      <c r="AF342" s="43">
        <f>VLOOKUP(AF$84,'Infos Techniques'!$B$7:$H$12,5,0)/($V342*$X$39/12)</f>
        <v>3.0252100840336134</v>
      </c>
      <c r="AG342" s="43">
        <f>VLOOKUP(AG$84,'Infos Techniques'!$B$7:$H$12,5,0)/($V342*$X$39/12)</f>
        <v>2.6742857142857144</v>
      </c>
      <c r="AH342" s="43">
        <f>VLOOKUP(AH$84,'Infos Techniques'!$B$7:$H$12,7,0)/($V342*$X$39/12)</f>
        <v>4.0336134453781511</v>
      </c>
      <c r="AI342" s="43">
        <f>VLOOKUP(AI$84,'Infos Techniques'!$B$7:$H$12,7,0)/($V342*$X$39/12)</f>
        <v>4.0336134453781511</v>
      </c>
      <c r="AJ342" s="43">
        <f>VLOOKUP(AJ$84,'Infos Techniques'!$B$7:$H$12,7,0)/($V342*$X$39/12)</f>
        <v>4.0336134453781511</v>
      </c>
      <c r="AK342" s="43">
        <f>VLOOKUP(AK$84,'Infos Techniques'!$B$7:$H$12,7,0)/($V342*$X$39/12)</f>
        <v>3.0252100840336134</v>
      </c>
      <c r="AL342" s="63">
        <f>VLOOKUP(AL$84,'Infos Techniques'!$B$7:$E$12,4,0)/($V342*$X$39/12)</f>
        <v>2.6742857142857144</v>
      </c>
    </row>
    <row r="343" spans="2:38" ht="15" thickBot="1">
      <c r="B343" s="1849"/>
      <c r="C343" s="71">
        <v>75</v>
      </c>
      <c r="D343" s="43" t="e">
        <f t="shared" si="96"/>
        <v>#REF!</v>
      </c>
      <c r="E343" s="43" t="e">
        <f t="shared" si="97"/>
        <v>#REF!</v>
      </c>
      <c r="F343" s="43" t="e">
        <f t="shared" si="98"/>
        <v>#REF!</v>
      </c>
      <c r="G343" s="43" t="e">
        <f t="shared" si="99"/>
        <v>#REF!</v>
      </c>
      <c r="H343" s="43" t="e">
        <f t="shared" si="100"/>
        <v>#REF!</v>
      </c>
      <c r="I343" s="43" t="e">
        <f t="shared" si="101"/>
        <v>#REF!</v>
      </c>
      <c r="J343" s="43" t="e">
        <f t="shared" si="102"/>
        <v>#REF!</v>
      </c>
      <c r="K343" s="43" t="e">
        <f t="shared" si="103"/>
        <v>#REF!</v>
      </c>
      <c r="L343" s="43" t="e">
        <f t="shared" si="104"/>
        <v>#REF!</v>
      </c>
      <c r="M343" s="63" t="e">
        <f t="shared" si="105"/>
        <v>#REF!</v>
      </c>
      <c r="U343" s="1601"/>
      <c r="V343" s="28">
        <v>75</v>
      </c>
      <c r="W343" s="43" t="e" cm="1">
        <f t="array" ref="W343">VLOOKUP(MAX(IF('Courbe Déflexion'!$HG$5:$HG$285&lt;=V343,'Courbe Déflexion'!$HG$5:$HG$285)),'Courbe Déflexion'!#REF!,2,0)</f>
        <v>#REF!</v>
      </c>
      <c r="X343" s="276"/>
      <c r="Y343" s="276"/>
      <c r="Z343" s="276"/>
      <c r="AA343" s="276"/>
      <c r="AB343" s="276"/>
      <c r="AC343" s="43">
        <f>VLOOKUP(AC$84,'Infos Techniques'!$B$7:$H$12,5,0)/($V343*$X$39/12)</f>
        <v>2.8235294117647061</v>
      </c>
      <c r="AD343" s="43">
        <f>VLOOKUP(AD$84,'Infos Techniques'!$B$7:$H$12,5,0)/($V343*$X$39/12)</f>
        <v>2.8235294117647061</v>
      </c>
      <c r="AE343" s="43">
        <f>VLOOKUP(AE$84,'Infos Techniques'!$B$7:$H$12,5,0)/($V343*$X$39/12)</f>
        <v>2.8235294117647061</v>
      </c>
      <c r="AF343" s="43">
        <f>VLOOKUP(AF$84,'Infos Techniques'!$B$7:$H$12,5,0)/($V343*$X$39/12)</f>
        <v>2.8235294117647061</v>
      </c>
      <c r="AG343" s="43">
        <f>VLOOKUP(AG$84,'Infos Techniques'!$B$7:$H$12,5,0)/($V343*$X$39/12)</f>
        <v>2.496</v>
      </c>
      <c r="AH343" s="43">
        <f>VLOOKUP(AH$84,'Infos Techniques'!$B$7:$H$12,7,0)/($V343*$X$39/12)</f>
        <v>3.7647058823529411</v>
      </c>
      <c r="AI343" s="43">
        <f>VLOOKUP(AI$84,'Infos Techniques'!$B$7:$H$12,7,0)/($V343*$X$39/12)</f>
        <v>3.7647058823529411</v>
      </c>
      <c r="AJ343" s="43">
        <f>VLOOKUP(AJ$84,'Infos Techniques'!$B$7:$H$12,7,0)/($V343*$X$39/12)</f>
        <v>3.7647058823529411</v>
      </c>
      <c r="AK343" s="43">
        <f>VLOOKUP(AK$84,'Infos Techniques'!$B$7:$H$12,7,0)/($V343*$X$39/12)</f>
        <v>2.8235294117647061</v>
      </c>
      <c r="AL343" s="63">
        <f>VLOOKUP(AL$84,'Infos Techniques'!$B$7:$E$12,4,0)/($V343*$X$39/12)</f>
        <v>2.496</v>
      </c>
    </row>
    <row r="344" spans="2:38">
      <c r="B344" s="1849"/>
      <c r="C344" s="72">
        <v>80</v>
      </c>
      <c r="D344" s="43" t="e">
        <f t="shared" si="96"/>
        <v>#REF!</v>
      </c>
      <c r="E344" s="43" t="e">
        <f t="shared" si="97"/>
        <v>#REF!</v>
      </c>
      <c r="F344" s="43" t="e">
        <f t="shared" si="98"/>
        <v>#REF!</v>
      </c>
      <c r="G344" s="43" t="e">
        <f t="shared" si="99"/>
        <v>#REF!</v>
      </c>
      <c r="H344" s="43" t="e">
        <f t="shared" si="100"/>
        <v>#REF!</v>
      </c>
      <c r="I344" s="43" t="e">
        <f t="shared" si="101"/>
        <v>#REF!</v>
      </c>
      <c r="J344" s="43" t="e">
        <f t="shared" si="102"/>
        <v>#REF!</v>
      </c>
      <c r="K344" s="43" t="e">
        <f t="shared" si="103"/>
        <v>#REF!</v>
      </c>
      <c r="L344" s="43" t="e">
        <f t="shared" si="104"/>
        <v>#REF!</v>
      </c>
      <c r="M344" s="63" t="e">
        <f t="shared" si="105"/>
        <v>#REF!</v>
      </c>
      <c r="U344" s="1601"/>
      <c r="V344" s="28">
        <v>80</v>
      </c>
      <c r="W344" s="43" t="e" cm="1">
        <f t="array" ref="W344">VLOOKUP(MAX(IF('Courbe Déflexion'!$HG$5:$HG$285&lt;=V344,'Courbe Déflexion'!$HG$5:$HG$285)),'Courbe Déflexion'!#REF!,2,0)</f>
        <v>#REF!</v>
      </c>
      <c r="X344" s="276"/>
      <c r="Y344" s="276"/>
      <c r="Z344" s="276"/>
      <c r="AA344" s="276"/>
      <c r="AB344" s="276"/>
      <c r="AC344" s="43">
        <f>VLOOKUP(AC$84,'Infos Techniques'!$B$7:$H$12,5,0)/($V344*$X$39/12)</f>
        <v>2.6470588235294121</v>
      </c>
      <c r="AD344" s="43">
        <f>VLOOKUP(AD$84,'Infos Techniques'!$B$7:$H$12,5,0)/($V344*$X$39/12)</f>
        <v>2.6470588235294121</v>
      </c>
      <c r="AE344" s="43">
        <f>VLOOKUP(AE$84,'Infos Techniques'!$B$7:$H$12,5,0)/($V344*$X$39/12)</f>
        <v>2.6470588235294121</v>
      </c>
      <c r="AF344" s="43">
        <f>VLOOKUP(AF$84,'Infos Techniques'!$B$7:$H$12,5,0)/($V344*$X$39/12)</f>
        <v>2.6470588235294121</v>
      </c>
      <c r="AG344" s="43">
        <f>VLOOKUP(AG$84,'Infos Techniques'!$B$7:$H$12,5,0)/($V344*$X$39/12)</f>
        <v>2.3400000000000003</v>
      </c>
      <c r="AH344" s="43">
        <f>VLOOKUP(AH$84,'Infos Techniques'!$B$7:$H$12,7,0)/($V344*$X$39/12)</f>
        <v>3.5294117647058827</v>
      </c>
      <c r="AI344" s="43">
        <f>VLOOKUP(AI$84,'Infos Techniques'!$B$7:$H$12,7,0)/($V344*$X$39/12)</f>
        <v>3.5294117647058827</v>
      </c>
      <c r="AJ344" s="43">
        <f>VLOOKUP(AJ$84,'Infos Techniques'!$B$7:$H$12,7,0)/($V344*$X$39/12)</f>
        <v>3.5294117647058827</v>
      </c>
      <c r="AK344" s="43">
        <f>VLOOKUP(AK$84,'Infos Techniques'!$B$7:$H$12,7,0)/($V344*$X$39/12)</f>
        <v>2.6470588235294121</v>
      </c>
      <c r="AL344" s="63">
        <f>VLOOKUP(AL$84,'Infos Techniques'!$B$7:$E$12,4,0)/($V344*$X$39/12)</f>
        <v>2.3400000000000003</v>
      </c>
    </row>
    <row r="345" spans="2:38">
      <c r="B345" s="1849"/>
      <c r="C345" s="70">
        <v>85</v>
      </c>
      <c r="D345" s="43" t="e">
        <f t="shared" si="96"/>
        <v>#REF!</v>
      </c>
      <c r="E345" s="43" t="e">
        <f t="shared" si="97"/>
        <v>#REF!</v>
      </c>
      <c r="F345" s="43" t="e">
        <f t="shared" si="98"/>
        <v>#REF!</v>
      </c>
      <c r="G345" s="43" t="e">
        <f t="shared" si="99"/>
        <v>#REF!</v>
      </c>
      <c r="H345" s="43" t="e">
        <f t="shared" si="100"/>
        <v>#REF!</v>
      </c>
      <c r="I345" s="43" t="e">
        <f t="shared" si="101"/>
        <v>#REF!</v>
      </c>
      <c r="J345" s="43" t="e">
        <f t="shared" si="102"/>
        <v>#REF!</v>
      </c>
      <c r="K345" s="43" t="e">
        <f t="shared" si="103"/>
        <v>#REF!</v>
      </c>
      <c r="L345" s="43" t="e">
        <f t="shared" si="104"/>
        <v>#REF!</v>
      </c>
      <c r="M345" s="63" t="e">
        <f t="shared" si="105"/>
        <v>#REF!</v>
      </c>
      <c r="U345" s="1601"/>
      <c r="V345" s="28">
        <v>85</v>
      </c>
      <c r="W345" s="43" t="e" cm="1">
        <f t="array" ref="W345">VLOOKUP(MAX(IF('Courbe Déflexion'!$HG$5:$HG$285&lt;=V345,'Courbe Déflexion'!$HG$5:$HG$285)),'Courbe Déflexion'!#REF!,2,0)</f>
        <v>#REF!</v>
      </c>
      <c r="X345" s="276"/>
      <c r="Y345" s="276"/>
      <c r="Z345" s="276"/>
      <c r="AA345" s="276"/>
      <c r="AB345" s="276"/>
      <c r="AC345" s="43">
        <f>VLOOKUP(AC$84,'Infos Techniques'!$B$7:$H$12,5,0)/($V345*$X$39/12)</f>
        <v>2.4913494809688581</v>
      </c>
      <c r="AD345" s="43">
        <f>VLOOKUP(AD$84,'Infos Techniques'!$B$7:$H$12,5,0)/($V345*$X$39/12)</f>
        <v>2.4913494809688581</v>
      </c>
      <c r="AE345" s="43">
        <f>VLOOKUP(AE$84,'Infos Techniques'!$B$7:$H$12,5,0)/($V345*$X$39/12)</f>
        <v>2.4913494809688581</v>
      </c>
      <c r="AF345" s="43">
        <f>VLOOKUP(AF$84,'Infos Techniques'!$B$7:$H$12,5,0)/($V345*$X$39/12)</f>
        <v>2.4913494809688581</v>
      </c>
      <c r="AG345" s="43">
        <f>VLOOKUP(AG$84,'Infos Techniques'!$B$7:$H$12,5,0)/($V345*$X$39/12)</f>
        <v>2.2023529411764704</v>
      </c>
      <c r="AH345" s="43">
        <f>VLOOKUP(AH$84,'Infos Techniques'!$B$7:$H$12,7,0)/($V345*$X$39/12)</f>
        <v>3.3217993079584773</v>
      </c>
      <c r="AI345" s="43">
        <f>VLOOKUP(AI$84,'Infos Techniques'!$B$7:$H$12,7,0)/($V345*$X$39/12)</f>
        <v>3.3217993079584773</v>
      </c>
      <c r="AJ345" s="43">
        <f>VLOOKUP(AJ$84,'Infos Techniques'!$B$7:$H$12,7,0)/($V345*$X$39/12)</f>
        <v>3.3217993079584773</v>
      </c>
      <c r="AK345" s="43">
        <f>VLOOKUP(AK$84,'Infos Techniques'!$B$7:$H$12,7,0)/($V345*$X$39/12)</f>
        <v>2.4913494809688581</v>
      </c>
      <c r="AL345" s="63">
        <f>VLOOKUP(AL$84,'Infos Techniques'!$B$7:$E$12,4,0)/($V345*$X$39/12)</f>
        <v>2.2023529411764704</v>
      </c>
    </row>
    <row r="346" spans="2:38">
      <c r="B346" s="1849"/>
      <c r="C346" s="70">
        <v>90</v>
      </c>
      <c r="D346" s="43" t="e">
        <f t="shared" si="96"/>
        <v>#REF!</v>
      </c>
      <c r="E346" s="43" t="e">
        <f t="shared" si="97"/>
        <v>#REF!</v>
      </c>
      <c r="F346" s="43" t="e">
        <f t="shared" si="98"/>
        <v>#REF!</v>
      </c>
      <c r="G346" s="43" t="e">
        <f t="shared" si="99"/>
        <v>#REF!</v>
      </c>
      <c r="H346" s="43" t="e">
        <f t="shared" si="100"/>
        <v>#REF!</v>
      </c>
      <c r="I346" s="43" t="e">
        <f t="shared" si="101"/>
        <v>#REF!</v>
      </c>
      <c r="J346" s="43" t="e">
        <f t="shared" si="102"/>
        <v>#REF!</v>
      </c>
      <c r="K346" s="43" t="e">
        <f t="shared" si="103"/>
        <v>#REF!</v>
      </c>
      <c r="L346" s="43" t="e">
        <f t="shared" si="104"/>
        <v>#REF!</v>
      </c>
      <c r="M346" s="63" t="e">
        <f t="shared" si="105"/>
        <v>#REF!</v>
      </c>
      <c r="U346" s="1601"/>
      <c r="V346" s="28">
        <v>90</v>
      </c>
      <c r="W346" s="43" t="e" cm="1">
        <f t="array" ref="W346">VLOOKUP(MAX(IF('Courbe Déflexion'!$HG$5:$HG$285&lt;=V346,'Courbe Déflexion'!$HG$5:$HG$285)),'Courbe Déflexion'!#REF!,2,0)</f>
        <v>#REF!</v>
      </c>
      <c r="X346" s="276"/>
      <c r="Y346" s="276"/>
      <c r="Z346" s="276"/>
      <c r="AA346" s="276"/>
      <c r="AB346" s="276"/>
      <c r="AC346" s="43">
        <f>VLOOKUP(AC$84,'Infos Techniques'!$B$7:$H$12,5,0)/($V346*$X$39/12)</f>
        <v>2.3529411764705883</v>
      </c>
      <c r="AD346" s="43">
        <f>VLOOKUP(AD$84,'Infos Techniques'!$B$7:$H$12,5,0)/($V346*$X$39/12)</f>
        <v>2.3529411764705883</v>
      </c>
      <c r="AE346" s="43">
        <f>VLOOKUP(AE$84,'Infos Techniques'!$B$7:$H$12,5,0)/($V346*$X$39/12)</f>
        <v>2.3529411764705883</v>
      </c>
      <c r="AF346" s="43">
        <f>VLOOKUP(AF$84,'Infos Techniques'!$B$7:$H$12,5,0)/($V346*$X$39/12)</f>
        <v>2.3529411764705883</v>
      </c>
      <c r="AG346" s="43">
        <f>VLOOKUP(AG$84,'Infos Techniques'!$B$7:$H$12,5,0)/($V346*$X$39/12)</f>
        <v>2.08</v>
      </c>
      <c r="AH346" s="43">
        <f>VLOOKUP(AH$84,'Infos Techniques'!$B$7:$H$12,7,0)/($V346*$X$39/12)</f>
        <v>3.1372549019607843</v>
      </c>
      <c r="AI346" s="43">
        <f>VLOOKUP(AI$84,'Infos Techniques'!$B$7:$H$12,7,0)/($V346*$X$39/12)</f>
        <v>3.1372549019607843</v>
      </c>
      <c r="AJ346" s="43">
        <f>VLOOKUP(AJ$84,'Infos Techniques'!$B$7:$H$12,7,0)/($V346*$X$39/12)</f>
        <v>3.1372549019607843</v>
      </c>
      <c r="AK346" s="43">
        <f>VLOOKUP(AK$84,'Infos Techniques'!$B$7:$H$12,7,0)/($V346*$X$39/12)</f>
        <v>2.3529411764705883</v>
      </c>
      <c r="AL346" s="63">
        <f>VLOOKUP(AL$84,'Infos Techniques'!$B$7:$E$12,4,0)/($V346*$X$39/12)</f>
        <v>2.08</v>
      </c>
    </row>
    <row r="347" spans="2:38">
      <c r="B347" s="1849"/>
      <c r="C347" s="70">
        <v>95</v>
      </c>
      <c r="D347" s="43" t="e">
        <f t="shared" si="96"/>
        <v>#REF!</v>
      </c>
      <c r="E347" s="43" t="e">
        <f t="shared" si="97"/>
        <v>#REF!</v>
      </c>
      <c r="F347" s="43" t="e">
        <f t="shared" si="98"/>
        <v>#REF!</v>
      </c>
      <c r="G347" s="43" t="e">
        <f t="shared" si="99"/>
        <v>#REF!</v>
      </c>
      <c r="H347" s="43" t="e">
        <f t="shared" si="100"/>
        <v>#REF!</v>
      </c>
      <c r="I347" s="43" t="e">
        <f t="shared" si="101"/>
        <v>#REF!</v>
      </c>
      <c r="J347" s="43" t="e">
        <f t="shared" si="102"/>
        <v>#REF!</v>
      </c>
      <c r="K347" s="43" t="e">
        <f t="shared" si="103"/>
        <v>#REF!</v>
      </c>
      <c r="L347" s="43" t="e">
        <f t="shared" si="104"/>
        <v>#REF!</v>
      </c>
      <c r="M347" s="63" t="e">
        <f t="shared" si="105"/>
        <v>#REF!</v>
      </c>
      <c r="U347" s="1601"/>
      <c r="V347" s="28">
        <v>95</v>
      </c>
      <c r="W347" s="43" t="e" cm="1">
        <f t="array" ref="W347">VLOOKUP(MAX(IF('Courbe Déflexion'!$HG$5:$HG$285&lt;=V347,'Courbe Déflexion'!$HG$5:$HG$285)),'Courbe Déflexion'!#REF!,2,0)</f>
        <v>#REF!</v>
      </c>
      <c r="X347" s="276"/>
      <c r="Y347" s="276"/>
      <c r="Z347" s="276"/>
      <c r="AA347" s="276"/>
      <c r="AB347" s="276"/>
      <c r="AC347" s="43">
        <f>VLOOKUP(AC$84,'Infos Techniques'!$B$7:$H$12,5,0)/($V347*$X$39/12)</f>
        <v>2.2291021671826625</v>
      </c>
      <c r="AD347" s="43">
        <f>VLOOKUP(AD$84,'Infos Techniques'!$B$7:$H$12,5,0)/($V347*$X$39/12)</f>
        <v>2.2291021671826625</v>
      </c>
      <c r="AE347" s="43">
        <f>VLOOKUP(AE$84,'Infos Techniques'!$B$7:$H$12,5,0)/($V347*$X$39/12)</f>
        <v>2.2291021671826625</v>
      </c>
      <c r="AF347" s="43">
        <f>VLOOKUP(AF$84,'Infos Techniques'!$B$7:$H$12,5,0)/($V347*$X$39/12)</f>
        <v>2.2291021671826625</v>
      </c>
      <c r="AG347" s="43">
        <f>VLOOKUP(AG$84,'Infos Techniques'!$B$7:$H$12,5,0)/($V347*$X$39/12)</f>
        <v>1.9705263157894739</v>
      </c>
      <c r="AH347" s="43">
        <f>VLOOKUP(AH$84,'Infos Techniques'!$B$7:$H$12,7,0)/($V347*$X$39/12)</f>
        <v>2.9721362229102168</v>
      </c>
      <c r="AI347" s="43">
        <f>VLOOKUP(AI$84,'Infos Techniques'!$B$7:$H$12,7,0)/($V347*$X$39/12)</f>
        <v>2.9721362229102168</v>
      </c>
      <c r="AJ347" s="43">
        <f>VLOOKUP(AJ$84,'Infos Techniques'!$B$7:$H$12,7,0)/($V347*$X$39/12)</f>
        <v>2.9721362229102168</v>
      </c>
      <c r="AK347" s="43">
        <f>VLOOKUP(AK$84,'Infos Techniques'!$B$7:$H$12,7,0)/($V347*$X$39/12)</f>
        <v>2.2291021671826625</v>
      </c>
      <c r="AL347" s="63">
        <f>VLOOKUP(AL$84,'Infos Techniques'!$B$7:$E$12,4,0)/($V347*$X$39/12)</f>
        <v>1.9705263157894739</v>
      </c>
    </row>
    <row r="348" spans="2:38" ht="15" thickBot="1">
      <c r="B348" s="1850"/>
      <c r="C348" s="73">
        <v>100</v>
      </c>
      <c r="D348" s="45" t="e">
        <f t="shared" si="96"/>
        <v>#REF!</v>
      </c>
      <c r="E348" s="45" t="e">
        <f t="shared" si="97"/>
        <v>#REF!</v>
      </c>
      <c r="F348" s="45" t="e">
        <f t="shared" si="98"/>
        <v>#REF!</v>
      </c>
      <c r="G348" s="45" t="e">
        <f t="shared" si="99"/>
        <v>#REF!</v>
      </c>
      <c r="H348" s="45" t="e">
        <f t="shared" si="100"/>
        <v>#REF!</v>
      </c>
      <c r="I348" s="45" t="e">
        <f t="shared" si="101"/>
        <v>#REF!</v>
      </c>
      <c r="J348" s="45" t="e">
        <f t="shared" si="102"/>
        <v>#REF!</v>
      </c>
      <c r="K348" s="45" t="e">
        <f t="shared" si="103"/>
        <v>#REF!</v>
      </c>
      <c r="L348" s="45" t="e">
        <f t="shared" si="104"/>
        <v>#REF!</v>
      </c>
      <c r="M348" s="66" t="e">
        <f t="shared" si="105"/>
        <v>#REF!</v>
      </c>
      <c r="U348" s="1602"/>
      <c r="V348" s="44">
        <v>100</v>
      </c>
      <c r="W348" s="45" t="e" cm="1">
        <f t="array" ref="W348">VLOOKUP(MAX(IF('Courbe Déflexion'!$HG$5:$HG$285&lt;=V348,'Courbe Déflexion'!$HG$5:$HG$285)),'Courbe Déflexion'!#REF!,2,0)</f>
        <v>#REF!</v>
      </c>
      <c r="X348" s="277"/>
      <c r="Y348" s="277"/>
      <c r="Z348" s="277"/>
      <c r="AA348" s="277"/>
      <c r="AB348" s="277"/>
      <c r="AC348" s="45">
        <f>VLOOKUP(AC$84,'Infos Techniques'!$B$7:$H$12,5,0)/($V348*$X$39/12)</f>
        <v>2.1176470588235294</v>
      </c>
      <c r="AD348" s="45">
        <f>VLOOKUP(AD$84,'Infos Techniques'!$B$7:$H$12,5,0)/($V348*$X$39/12)</f>
        <v>2.1176470588235294</v>
      </c>
      <c r="AE348" s="45">
        <f>VLOOKUP(AE$84,'Infos Techniques'!$B$7:$H$12,5,0)/($V348*$X$39/12)</f>
        <v>2.1176470588235294</v>
      </c>
      <c r="AF348" s="45">
        <f>VLOOKUP(AF$84,'Infos Techniques'!$B$7:$H$12,5,0)/($V348*$X$39/12)</f>
        <v>2.1176470588235294</v>
      </c>
      <c r="AG348" s="45">
        <f>VLOOKUP(AG$84,'Infos Techniques'!$B$7:$H$12,5,0)/($V348*$X$39/12)</f>
        <v>1.8719999999999999</v>
      </c>
      <c r="AH348" s="45">
        <f>VLOOKUP(AH$84,'Infos Techniques'!$B$7:$H$12,7,0)/($V348*$X$39/12)</f>
        <v>2.8235294117647056</v>
      </c>
      <c r="AI348" s="45">
        <f>VLOOKUP(AI$84,'Infos Techniques'!$B$7:$H$12,7,0)/($V348*$X$39/12)</f>
        <v>2.8235294117647056</v>
      </c>
      <c r="AJ348" s="45">
        <f>VLOOKUP(AJ$84,'Infos Techniques'!$B$7:$H$12,7,0)/($V348*$X$39/12)</f>
        <v>2.8235294117647056</v>
      </c>
      <c r="AK348" s="45">
        <f>VLOOKUP(AK$84,'Infos Techniques'!$B$7:$H$12,7,0)/($V348*$X$39/12)</f>
        <v>2.1176470588235294</v>
      </c>
      <c r="AL348" s="66">
        <f>VLOOKUP(AL$84,'Infos Techniques'!$B$7:$E$12,4,0)/($V348*$X$39/12)</f>
        <v>1.8719999999999999</v>
      </c>
    </row>
    <row r="349" spans="2:38" ht="15" thickTop="1"/>
    <row r="352" spans="2:38">
      <c r="W352" s="30" t="s">
        <v>1659</v>
      </c>
      <c r="X352">
        <v>36</v>
      </c>
    </row>
    <row r="354" spans="2:38">
      <c r="W354" s="30" t="s">
        <v>1661</v>
      </c>
      <c r="X354">
        <v>12</v>
      </c>
    </row>
    <row r="357" spans="2:38" ht="25.9">
      <c r="B357" s="1851" t="s">
        <v>1681</v>
      </c>
      <c r="C357" s="1852"/>
      <c r="D357" s="1852"/>
      <c r="E357" s="1852"/>
      <c r="F357" s="1852"/>
      <c r="G357" s="1852"/>
      <c r="H357" s="1852"/>
      <c r="I357" s="1852"/>
      <c r="J357" s="1852"/>
      <c r="K357" s="1852"/>
      <c r="L357" s="1852"/>
      <c r="M357" s="1852"/>
      <c r="N357" s="1852"/>
      <c r="O357" s="1852"/>
      <c r="P357" s="1852"/>
      <c r="Q357" s="1852"/>
      <c r="R357" s="1852"/>
    </row>
    <row r="358" spans="2:38" ht="25.9">
      <c r="B358" s="262"/>
      <c r="C358" s="263"/>
      <c r="D358" s="263"/>
      <c r="E358" s="263"/>
      <c r="F358" s="263"/>
      <c r="G358" s="263"/>
      <c r="H358" s="263"/>
      <c r="I358" s="263"/>
      <c r="J358" s="263"/>
      <c r="K358" s="263"/>
      <c r="L358" s="263"/>
      <c r="M358" s="263"/>
      <c r="N358" s="263"/>
      <c r="O358" s="263"/>
      <c r="P358" s="263"/>
      <c r="Q358" s="263"/>
      <c r="R358" s="263"/>
    </row>
    <row r="359" spans="2:38" ht="26.45" thickBot="1">
      <c r="B359" s="1803" t="s">
        <v>1662</v>
      </c>
      <c r="C359" s="1803"/>
      <c r="D359" s="1803"/>
      <c r="E359" s="1803"/>
      <c r="F359" s="1803"/>
      <c r="G359" s="1803"/>
      <c r="H359" s="1803"/>
      <c r="I359" s="1803"/>
      <c r="J359" s="1803"/>
      <c r="K359" s="1803"/>
      <c r="L359" s="1803"/>
      <c r="M359" s="1803"/>
      <c r="N359" s="1803"/>
      <c r="O359" s="1803"/>
      <c r="P359" s="1803"/>
      <c r="Q359" s="1803"/>
      <c r="R359" s="1803"/>
    </row>
    <row r="360" spans="2:38" ht="15.6" thickTop="1" thickBot="1">
      <c r="U360" s="1808"/>
      <c r="V360" s="1809"/>
      <c r="W360" s="1606" t="s">
        <v>315</v>
      </c>
      <c r="X360" s="1606" t="s">
        <v>263</v>
      </c>
      <c r="Y360" s="1606"/>
      <c r="Z360" s="1606"/>
      <c r="AA360" s="1606"/>
      <c r="AB360" s="1606"/>
      <c r="AC360" s="1606"/>
      <c r="AD360" s="1606"/>
      <c r="AE360" s="1606"/>
      <c r="AF360" s="1606"/>
      <c r="AG360" s="1606"/>
      <c r="AH360" s="1606"/>
      <c r="AI360" s="1606"/>
      <c r="AJ360" s="1606"/>
      <c r="AK360" s="1606"/>
      <c r="AL360" s="1832"/>
    </row>
    <row r="361" spans="2:38" ht="21.6" thickTop="1">
      <c r="B361" s="1812"/>
      <c r="C361" s="1813"/>
      <c r="D361" s="1837" t="s">
        <v>263</v>
      </c>
      <c r="E361" s="1838"/>
      <c r="F361" s="1838"/>
      <c r="G361" s="1838"/>
      <c r="H361" s="1838"/>
      <c r="I361" s="1838"/>
      <c r="J361" s="1838"/>
      <c r="K361" s="1838"/>
      <c r="L361" s="1838"/>
      <c r="M361" s="1838"/>
      <c r="N361" s="1838"/>
      <c r="O361" s="1838"/>
      <c r="P361" s="1838"/>
      <c r="Q361" s="1838"/>
      <c r="R361" s="1839"/>
      <c r="U361" s="1810"/>
      <c r="V361" s="1811"/>
      <c r="W361" s="1571"/>
      <c r="X361" s="54"/>
      <c r="Y361" s="55"/>
      <c r="Z361" s="55"/>
      <c r="AA361" s="55"/>
      <c r="AB361" s="56"/>
      <c r="AC361" s="54"/>
      <c r="AD361" s="55"/>
      <c r="AE361" s="55"/>
      <c r="AF361" s="55"/>
      <c r="AG361" s="56"/>
      <c r="AH361" s="54"/>
      <c r="AI361" s="55"/>
      <c r="AJ361" s="55"/>
      <c r="AK361" s="55"/>
      <c r="AL361" s="57"/>
    </row>
    <row r="362" spans="2:38" ht="16.149999999999999" thickBot="1">
      <c r="B362" s="1814"/>
      <c r="C362" s="1397"/>
      <c r="D362" s="1840" t="s">
        <v>1663</v>
      </c>
      <c r="E362" s="1841"/>
      <c r="F362" s="1841"/>
      <c r="G362" s="1841"/>
      <c r="H362" s="1841"/>
      <c r="I362" s="1841" t="s">
        <v>321</v>
      </c>
      <c r="J362" s="1841"/>
      <c r="K362" s="1841"/>
      <c r="L362" s="1841"/>
      <c r="M362" s="1841"/>
      <c r="N362" s="1841" t="s">
        <v>322</v>
      </c>
      <c r="O362" s="1841"/>
      <c r="P362" s="1841"/>
      <c r="Q362" s="1841"/>
      <c r="R362" s="1842"/>
      <c r="U362" s="1646"/>
      <c r="V362" s="1113"/>
      <c r="W362" s="1603"/>
      <c r="X362" s="1833" t="s">
        <v>1663</v>
      </c>
      <c r="Y362" s="1834"/>
      <c r="Z362" s="1834"/>
      <c r="AA362" s="1834"/>
      <c r="AB362" s="1835"/>
      <c r="AC362" s="1833" t="s">
        <v>321</v>
      </c>
      <c r="AD362" s="1834"/>
      <c r="AE362" s="1834"/>
      <c r="AF362" s="1834"/>
      <c r="AG362" s="1835"/>
      <c r="AH362" s="1833" t="s">
        <v>322</v>
      </c>
      <c r="AI362" s="1834"/>
      <c r="AJ362" s="1834"/>
      <c r="AK362" s="1834"/>
      <c r="AL362" s="1836"/>
    </row>
    <row r="363" spans="2:38" ht="17.45">
      <c r="B363" s="1814"/>
      <c r="C363" s="1397"/>
      <c r="D363" s="1843" t="s">
        <v>1664</v>
      </c>
      <c r="E363" s="1844"/>
      <c r="F363" s="1844"/>
      <c r="G363" s="1844"/>
      <c r="H363" s="1845"/>
      <c r="I363" s="1846" t="s">
        <v>1664</v>
      </c>
      <c r="J363" s="1844"/>
      <c r="K363" s="1844"/>
      <c r="L363" s="1844"/>
      <c r="M363" s="1845"/>
      <c r="N363" s="1846" t="s">
        <v>1664</v>
      </c>
      <c r="O363" s="1844"/>
      <c r="P363" s="1844"/>
      <c r="Q363" s="1844"/>
      <c r="R363" s="1847"/>
      <c r="U363" s="1646"/>
      <c r="V363" s="1113"/>
      <c r="W363" s="29"/>
      <c r="X363" s="237"/>
      <c r="Y363" s="80"/>
      <c r="Z363" s="80"/>
      <c r="AA363" s="80"/>
      <c r="AB363" s="239"/>
      <c r="AC363" s="237"/>
      <c r="AD363" s="80"/>
      <c r="AE363" s="80"/>
      <c r="AF363" s="80"/>
      <c r="AG363" s="239"/>
      <c r="AH363" s="237"/>
      <c r="AI363" s="80"/>
      <c r="AJ363" s="80"/>
      <c r="AK363" s="80"/>
      <c r="AL363" s="238"/>
    </row>
    <row r="364" spans="2:38" ht="15" thickBot="1">
      <c r="B364" s="1815"/>
      <c r="C364" s="1816"/>
      <c r="D364" s="74" t="s">
        <v>1665</v>
      </c>
      <c r="E364" s="50" t="s">
        <v>334</v>
      </c>
      <c r="F364" s="50" t="s">
        <v>335</v>
      </c>
      <c r="G364" s="50" t="s">
        <v>336</v>
      </c>
      <c r="H364" s="51" t="s">
        <v>337</v>
      </c>
      <c r="I364" s="49" t="s">
        <v>1665</v>
      </c>
      <c r="J364" s="50" t="s">
        <v>1666</v>
      </c>
      <c r="K364" s="50" t="s">
        <v>1667</v>
      </c>
      <c r="L364" s="50" t="s">
        <v>1668</v>
      </c>
      <c r="M364" s="52" t="s">
        <v>1669</v>
      </c>
      <c r="N364" s="49" t="s">
        <v>1670</v>
      </c>
      <c r="O364" s="50" t="s">
        <v>1666</v>
      </c>
      <c r="P364" s="50" t="s">
        <v>1667</v>
      </c>
      <c r="Q364" s="50" t="s">
        <v>1668</v>
      </c>
      <c r="R364" s="53" t="s">
        <v>1669</v>
      </c>
      <c r="U364" s="1646"/>
      <c r="V364" s="1113"/>
      <c r="W364" s="29" t="s">
        <v>333</v>
      </c>
      <c r="X364" s="28">
        <v>0.1875</v>
      </c>
      <c r="Y364" s="28" t="s">
        <v>334</v>
      </c>
      <c r="Z364" s="28" t="s">
        <v>335</v>
      </c>
      <c r="AA364" s="28" t="s">
        <v>336</v>
      </c>
      <c r="AB364" s="28" t="s">
        <v>337</v>
      </c>
      <c r="AC364" s="28">
        <v>0.1875</v>
      </c>
      <c r="AD364" s="28" t="s">
        <v>334</v>
      </c>
      <c r="AE364" s="28" t="s">
        <v>335</v>
      </c>
      <c r="AF364" s="28" t="s">
        <v>336</v>
      </c>
      <c r="AG364" s="28" t="s">
        <v>337</v>
      </c>
      <c r="AH364" s="28">
        <v>0.1875</v>
      </c>
      <c r="AI364" s="28" t="s">
        <v>334</v>
      </c>
      <c r="AJ364" s="28" t="s">
        <v>335</v>
      </c>
      <c r="AK364" s="28" t="s">
        <v>336</v>
      </c>
      <c r="AL364" s="40" t="s">
        <v>337</v>
      </c>
    </row>
    <row r="365" spans="2:38">
      <c r="B365" s="1848" t="s">
        <v>1671</v>
      </c>
      <c r="C365" s="69">
        <v>5</v>
      </c>
      <c r="D365" s="75">
        <f>MIN($X$354,X365,$W365)</f>
        <v>0</v>
      </c>
      <c r="E365" s="59">
        <f t="shared" ref="E365:R380" si="106">MIN($X$354,Y365,$W365)</f>
        <v>0</v>
      </c>
      <c r="F365" s="59">
        <f t="shared" si="106"/>
        <v>0</v>
      </c>
      <c r="G365" s="59">
        <f t="shared" si="106"/>
        <v>0</v>
      </c>
      <c r="H365" s="59">
        <f t="shared" si="106"/>
        <v>0</v>
      </c>
      <c r="I365" s="59">
        <f t="shared" si="106"/>
        <v>0</v>
      </c>
      <c r="J365" s="59">
        <f t="shared" si="106"/>
        <v>0</v>
      </c>
      <c r="K365" s="59">
        <f t="shared" si="106"/>
        <v>0</v>
      </c>
      <c r="L365" s="59">
        <f t="shared" si="106"/>
        <v>0</v>
      </c>
      <c r="M365" s="59">
        <f t="shared" si="106"/>
        <v>0</v>
      </c>
      <c r="N365" s="59">
        <f t="shared" si="106"/>
        <v>0</v>
      </c>
      <c r="O365" s="59">
        <f t="shared" si="106"/>
        <v>0</v>
      </c>
      <c r="P365" s="59">
        <f t="shared" si="106"/>
        <v>0</v>
      </c>
      <c r="Q365" s="59">
        <f t="shared" si="106"/>
        <v>0</v>
      </c>
      <c r="R365" s="62">
        <f t="shared" si="106"/>
        <v>0</v>
      </c>
      <c r="U365" s="1601" t="s">
        <v>314</v>
      </c>
      <c r="V365" s="28">
        <v>5</v>
      </c>
      <c r="W365" s="43" cm="1">
        <f t="array" ref="W365">VLOOKUP(MAX(IF('Courbe Déflexion'!$GF$25:$GF$305&lt;=V365,'Courbe Déflexion'!$GF$25:$GF$305)),'Courbe Déflexion'!$GF$25:$IA$305,9,0)</f>
        <v>0</v>
      </c>
      <c r="X365" s="43">
        <f>VLOOKUP(X$84,'Infos Techniques'!$B$7:$E$12,3,0)/($V365*$X$352/12)</f>
        <v>66.666666666666671</v>
      </c>
      <c r="Y365" s="43">
        <f>VLOOKUP(Y$84,'Infos Techniques'!$B$7:$E$12,3,0)/($V365*$X$352/12)</f>
        <v>46</v>
      </c>
      <c r="Z365" s="43">
        <f>VLOOKUP(Z$84,'Infos Techniques'!$B$7:$E$12,3,0)/($V365*$X$352/12)</f>
        <v>38.666666666666664</v>
      </c>
      <c r="AA365" s="43">
        <f>VLOOKUP(AA$84,'Infos Techniques'!$B$7:$E$12,3,0)/($V365*$X$352/12)</f>
        <v>27.6</v>
      </c>
      <c r="AB365" s="43">
        <f>VLOOKUP(AB$84,'Infos Techniques'!$B$7:$E$12,3,0)/($V365*$X$352/12)</f>
        <v>22.066666666666666</v>
      </c>
      <c r="AC365" s="43">
        <f>VLOOKUP(AC$84,'Infos Techniques'!$B$7:$E$12,2,0)/($V365*$X$352/12)</f>
        <v>80</v>
      </c>
      <c r="AD365" s="43">
        <f>VLOOKUP(AD$84,'Infos Techniques'!$B$7:$E$12,2,0)/($V365*$X$352/12)</f>
        <v>80</v>
      </c>
      <c r="AE365" s="43">
        <f>VLOOKUP(AE$84,'Infos Techniques'!$B$7:$E$12,2,0)/($V365*$X$352/12)</f>
        <v>77.333333333333329</v>
      </c>
      <c r="AF365" s="43">
        <f>VLOOKUP(AF$84,'Infos Techniques'!$B$7:$E$12,2,0)/($V365*$X$352/12)</f>
        <v>55.266666666666666</v>
      </c>
      <c r="AG365" s="43">
        <f>VLOOKUP(AG$84,'Infos Techniques'!$B$7:$E$12,2,0)/($V365*$X$352/12)</f>
        <v>44.2</v>
      </c>
      <c r="AH365" s="43">
        <f>VLOOKUP(AH$84,'Infos Techniques'!$B$7:$E$12,4,0)/($V365*$X$352/12)</f>
        <v>100</v>
      </c>
      <c r="AI365" s="43">
        <f>VLOOKUP(AI$84,'Infos Techniques'!$B$7:$E$12,4,0)/($V365*$X$352/12)</f>
        <v>100</v>
      </c>
      <c r="AJ365" s="43">
        <f>VLOOKUP(AJ$84,'Infos Techniques'!$B$7:$E$12,4,0)/($V365*$X$352/12)</f>
        <v>100</v>
      </c>
      <c r="AK365" s="43">
        <f>VLOOKUP(AK$84,'Infos Techniques'!$B$7:$E$12,4,0)/($V365*$X$352/12)</f>
        <v>55.266666666666666</v>
      </c>
      <c r="AL365" s="63">
        <f>VLOOKUP(AL$84,'Infos Techniques'!$B$7:$E$12,4,0)/($V365*$X$352/12)</f>
        <v>44.2</v>
      </c>
    </row>
    <row r="366" spans="2:38">
      <c r="B366" s="1849"/>
      <c r="C366" s="70">
        <v>10</v>
      </c>
      <c r="D366" s="76">
        <f t="shared" ref="D366:R384" si="107">MIN($X$354,X366,$W366)</f>
        <v>0</v>
      </c>
      <c r="E366" s="43">
        <f t="shared" si="106"/>
        <v>0</v>
      </c>
      <c r="F366" s="43">
        <f t="shared" si="106"/>
        <v>0</v>
      </c>
      <c r="G366" s="43">
        <f t="shared" si="106"/>
        <v>0</v>
      </c>
      <c r="H366" s="43">
        <f t="shared" si="106"/>
        <v>0</v>
      </c>
      <c r="I366" s="43">
        <f t="shared" si="106"/>
        <v>0</v>
      </c>
      <c r="J366" s="43">
        <f t="shared" si="106"/>
        <v>0</v>
      </c>
      <c r="K366" s="43">
        <f t="shared" si="106"/>
        <v>0</v>
      </c>
      <c r="L366" s="43">
        <f t="shared" si="106"/>
        <v>0</v>
      </c>
      <c r="M366" s="43">
        <f t="shared" si="106"/>
        <v>0</v>
      </c>
      <c r="N366" s="43">
        <f t="shared" si="106"/>
        <v>0</v>
      </c>
      <c r="O366" s="43">
        <f t="shared" si="106"/>
        <v>0</v>
      </c>
      <c r="P366" s="43">
        <f t="shared" si="106"/>
        <v>0</v>
      </c>
      <c r="Q366" s="43">
        <f t="shared" si="106"/>
        <v>0</v>
      </c>
      <c r="R366" s="63">
        <f t="shared" si="106"/>
        <v>0</v>
      </c>
      <c r="U366" s="1601"/>
      <c r="V366" s="28">
        <v>10</v>
      </c>
      <c r="W366" s="43" cm="1">
        <f t="array" ref="W366">VLOOKUP(MAX(IF('Courbe Déflexion'!$GF$25:$GF$305&lt;=V366,'Courbe Déflexion'!$GF$25:$GF$305)),'Courbe Déflexion'!$GF$25:$IA$305,9,0)</f>
        <v>0</v>
      </c>
      <c r="X366" s="43">
        <f>VLOOKUP(X$84,'Infos Techniques'!$B$7:$E$12,3,0)/($V366*$X$352/12)</f>
        <v>33.333333333333336</v>
      </c>
      <c r="Y366" s="43">
        <f>VLOOKUP(Y$84,'Infos Techniques'!$B$7:$E$12,3,0)/($V366*$X$352/12)</f>
        <v>23</v>
      </c>
      <c r="Z366" s="43">
        <f>VLOOKUP(Z$84,'Infos Techniques'!$B$7:$E$12,3,0)/($V366*$X$352/12)</f>
        <v>19.333333333333332</v>
      </c>
      <c r="AA366" s="43">
        <f>VLOOKUP(AA$84,'Infos Techniques'!$B$7:$E$12,3,0)/($V366*$X$352/12)</f>
        <v>13.8</v>
      </c>
      <c r="AB366" s="43">
        <f>VLOOKUP(AB$84,'Infos Techniques'!$B$7:$E$12,3,0)/($V366*$X$352/12)</f>
        <v>11.033333333333333</v>
      </c>
      <c r="AC366" s="43">
        <f>VLOOKUP(AC$84,'Infos Techniques'!$B$7:$E$12,2,0)/($V366*$X$352/12)</f>
        <v>40</v>
      </c>
      <c r="AD366" s="43">
        <f>VLOOKUP(AD$84,'Infos Techniques'!$B$7:$E$12,2,0)/($V366*$X$352/12)</f>
        <v>40</v>
      </c>
      <c r="AE366" s="43">
        <f>VLOOKUP(AE$84,'Infos Techniques'!$B$7:$E$12,2,0)/($V366*$X$352/12)</f>
        <v>38.666666666666664</v>
      </c>
      <c r="AF366" s="43">
        <f>VLOOKUP(AF$84,'Infos Techniques'!$B$7:$E$12,2,0)/($V366*$X$352/12)</f>
        <v>27.633333333333333</v>
      </c>
      <c r="AG366" s="43">
        <f>VLOOKUP(AG$84,'Infos Techniques'!$B$7:$E$12,2,0)/($V366*$X$352/12)</f>
        <v>22.1</v>
      </c>
      <c r="AH366" s="43">
        <f>VLOOKUP(AH$84,'Infos Techniques'!$B$7:$E$12,4,0)/($V366*$X$352/12)</f>
        <v>50</v>
      </c>
      <c r="AI366" s="43">
        <f>VLOOKUP(AI$84,'Infos Techniques'!$B$7:$E$12,4,0)/($V366*$X$352/12)</f>
        <v>50</v>
      </c>
      <c r="AJ366" s="43">
        <f>VLOOKUP(AJ$84,'Infos Techniques'!$B$7:$E$12,4,0)/($V366*$X$352/12)</f>
        <v>50</v>
      </c>
      <c r="AK366" s="43">
        <f>VLOOKUP(AK$84,'Infos Techniques'!$B$7:$E$12,4,0)/($V366*$X$352/12)</f>
        <v>27.633333333333333</v>
      </c>
      <c r="AL366" s="63">
        <f>VLOOKUP(AL$84,'Infos Techniques'!$B$7:$E$12,4,0)/($V366*$X$352/12)</f>
        <v>22.1</v>
      </c>
    </row>
    <row r="367" spans="2:38">
      <c r="B367" s="1849"/>
      <c r="C367" s="70">
        <v>15</v>
      </c>
      <c r="D367" s="76">
        <f t="shared" si="107"/>
        <v>6</v>
      </c>
      <c r="E367" s="43">
        <f t="shared" si="106"/>
        <v>6</v>
      </c>
      <c r="F367" s="43">
        <f t="shared" si="106"/>
        <v>6</v>
      </c>
      <c r="G367" s="43">
        <f t="shared" si="106"/>
        <v>6</v>
      </c>
      <c r="H367" s="43">
        <f t="shared" si="106"/>
        <v>6</v>
      </c>
      <c r="I367" s="43">
        <f t="shared" si="106"/>
        <v>6</v>
      </c>
      <c r="J367" s="43">
        <f t="shared" si="106"/>
        <v>6</v>
      </c>
      <c r="K367" s="43">
        <f t="shared" si="106"/>
        <v>6</v>
      </c>
      <c r="L367" s="43">
        <f t="shared" si="106"/>
        <v>6</v>
      </c>
      <c r="M367" s="43">
        <f t="shared" si="106"/>
        <v>6</v>
      </c>
      <c r="N367" s="43">
        <f t="shared" si="106"/>
        <v>6</v>
      </c>
      <c r="O367" s="43">
        <f t="shared" si="106"/>
        <v>6</v>
      </c>
      <c r="P367" s="43">
        <f t="shared" si="106"/>
        <v>6</v>
      </c>
      <c r="Q367" s="43">
        <f t="shared" si="106"/>
        <v>6</v>
      </c>
      <c r="R367" s="63">
        <f t="shared" si="106"/>
        <v>6</v>
      </c>
      <c r="U367" s="1601"/>
      <c r="V367" s="28">
        <v>15</v>
      </c>
      <c r="W367" s="43" cm="1">
        <f t="array" ref="W367">VLOOKUP(MAX(IF('Courbe Déflexion'!$GF$25:$GF$305&lt;=V367,'Courbe Déflexion'!$GF$25:$GF$305)),'Courbe Déflexion'!$GF$25:$IA$305,9,0)</f>
        <v>6</v>
      </c>
      <c r="X367" s="43">
        <f>VLOOKUP(X$84,'Infos Techniques'!$B$7:$E$12,3,0)/($V367*$X$352/12)</f>
        <v>22.222222222222221</v>
      </c>
      <c r="Y367" s="43">
        <f>VLOOKUP(Y$84,'Infos Techniques'!$B$7:$E$12,3,0)/($V367*$X$352/12)</f>
        <v>15.333333333333334</v>
      </c>
      <c r="Z367" s="43">
        <f>VLOOKUP(Z$84,'Infos Techniques'!$B$7:$E$12,3,0)/($V367*$X$352/12)</f>
        <v>12.888888888888889</v>
      </c>
      <c r="AA367" s="43">
        <f>VLOOKUP(AA$84,'Infos Techniques'!$B$7:$E$12,3,0)/($V367*$X$352/12)</f>
        <v>9.1999999999999993</v>
      </c>
      <c r="AB367" s="43">
        <f>VLOOKUP(AB$84,'Infos Techniques'!$B$7:$E$12,3,0)/($V367*$X$352/12)</f>
        <v>7.3555555555555552</v>
      </c>
      <c r="AC367" s="43">
        <f>VLOOKUP(AC$84,'Infos Techniques'!$B$7:$E$12,2,0)/($V367*$X$352/12)</f>
        <v>26.666666666666668</v>
      </c>
      <c r="AD367" s="43">
        <f>VLOOKUP(AD$84,'Infos Techniques'!$B$7:$E$12,2,0)/($V367*$X$352/12)</f>
        <v>26.666666666666668</v>
      </c>
      <c r="AE367" s="43">
        <f>VLOOKUP(AE$84,'Infos Techniques'!$B$7:$E$12,2,0)/($V367*$X$352/12)</f>
        <v>25.777777777777779</v>
      </c>
      <c r="AF367" s="43">
        <f>VLOOKUP(AF$84,'Infos Techniques'!$B$7:$E$12,2,0)/($V367*$X$352/12)</f>
        <v>18.422222222222221</v>
      </c>
      <c r="AG367" s="43">
        <f>VLOOKUP(AG$84,'Infos Techniques'!$B$7:$E$12,2,0)/($V367*$X$352/12)</f>
        <v>14.733333333333333</v>
      </c>
      <c r="AH367" s="43">
        <f>VLOOKUP(AH$84,'Infos Techniques'!$B$7:$E$12,4,0)/($V367*$X$352/12)</f>
        <v>33.333333333333336</v>
      </c>
      <c r="AI367" s="43">
        <f>VLOOKUP(AI$84,'Infos Techniques'!$B$7:$E$12,4,0)/($V367*$X$352/12)</f>
        <v>33.333333333333336</v>
      </c>
      <c r="AJ367" s="43">
        <f>VLOOKUP(AJ$84,'Infos Techniques'!$B$7:$E$12,4,0)/($V367*$X$352/12)</f>
        <v>33.333333333333336</v>
      </c>
      <c r="AK367" s="43">
        <f>VLOOKUP(AK$84,'Infos Techniques'!$B$7:$E$12,4,0)/($V367*$X$352/12)</f>
        <v>18.422222222222221</v>
      </c>
      <c r="AL367" s="63">
        <f>VLOOKUP(AL$84,'Infos Techniques'!$B$7:$E$12,4,0)/($V367*$X$352/12)</f>
        <v>14.733333333333333</v>
      </c>
    </row>
    <row r="368" spans="2:38">
      <c r="B368" s="1849"/>
      <c r="C368" s="70">
        <v>20</v>
      </c>
      <c r="D368" s="76">
        <f t="shared" si="107"/>
        <v>7</v>
      </c>
      <c r="E368" s="43">
        <f t="shared" si="106"/>
        <v>7</v>
      </c>
      <c r="F368" s="43">
        <f t="shared" si="106"/>
        <v>7</v>
      </c>
      <c r="G368" s="43">
        <f t="shared" si="106"/>
        <v>6.9</v>
      </c>
      <c r="H368" s="43">
        <f t="shared" si="106"/>
        <v>5.5166666666666666</v>
      </c>
      <c r="I368" s="43">
        <f t="shared" si="106"/>
        <v>7</v>
      </c>
      <c r="J368" s="43">
        <f t="shared" si="106"/>
        <v>7</v>
      </c>
      <c r="K368" s="43">
        <f t="shared" si="106"/>
        <v>7</v>
      </c>
      <c r="L368" s="43">
        <f t="shared" si="106"/>
        <v>7</v>
      </c>
      <c r="M368" s="43">
        <f t="shared" si="106"/>
        <v>7</v>
      </c>
      <c r="N368" s="43">
        <f t="shared" si="106"/>
        <v>7</v>
      </c>
      <c r="O368" s="43">
        <f t="shared" si="106"/>
        <v>7</v>
      </c>
      <c r="P368" s="43">
        <f t="shared" si="106"/>
        <v>7</v>
      </c>
      <c r="Q368" s="43">
        <f t="shared" si="106"/>
        <v>7</v>
      </c>
      <c r="R368" s="63">
        <f t="shared" si="106"/>
        <v>7</v>
      </c>
      <c r="U368" s="1601"/>
      <c r="V368" s="28">
        <v>20</v>
      </c>
      <c r="W368" s="43" cm="1">
        <f t="array" ref="W368">VLOOKUP(MAX(IF('Courbe Déflexion'!$GF$25:$GF$305&lt;=V368,'Courbe Déflexion'!$GF$25:$GF$305)),'Courbe Déflexion'!$GF$25:$IA$305,9,0)</f>
        <v>7</v>
      </c>
      <c r="X368" s="43">
        <f>VLOOKUP(X$84,'Infos Techniques'!$B$7:$E$12,3,0)/($V368*$X$352/12)</f>
        <v>16.666666666666668</v>
      </c>
      <c r="Y368" s="43">
        <f>VLOOKUP(Y$84,'Infos Techniques'!$B$7:$E$12,3,0)/($V368*$X$352/12)</f>
        <v>11.5</v>
      </c>
      <c r="Z368" s="43">
        <f>VLOOKUP(Z$84,'Infos Techniques'!$B$7:$E$12,3,0)/($V368*$X$352/12)</f>
        <v>9.6666666666666661</v>
      </c>
      <c r="AA368" s="43">
        <f>VLOOKUP(AA$84,'Infos Techniques'!$B$7:$E$12,3,0)/($V368*$X$352/12)</f>
        <v>6.9</v>
      </c>
      <c r="AB368" s="43">
        <f>VLOOKUP(AB$84,'Infos Techniques'!$B$7:$E$12,3,0)/($V368*$X$352/12)</f>
        <v>5.5166666666666666</v>
      </c>
      <c r="AC368" s="43">
        <f>VLOOKUP(AC$84,'Infos Techniques'!$B$7:$E$12,2,0)/($V368*$X$352/12)</f>
        <v>20</v>
      </c>
      <c r="AD368" s="43">
        <f>VLOOKUP(AD$84,'Infos Techniques'!$B$7:$E$12,2,0)/($V368*$X$352/12)</f>
        <v>20</v>
      </c>
      <c r="AE368" s="43">
        <f>VLOOKUP(AE$84,'Infos Techniques'!$B$7:$E$12,2,0)/($V368*$X$352/12)</f>
        <v>19.333333333333332</v>
      </c>
      <c r="AF368" s="43">
        <f>VLOOKUP(AF$84,'Infos Techniques'!$B$7:$E$12,2,0)/($V368*$X$352/12)</f>
        <v>13.816666666666666</v>
      </c>
      <c r="AG368" s="43">
        <f>VLOOKUP(AG$84,'Infos Techniques'!$B$7:$E$12,2,0)/($V368*$X$352/12)</f>
        <v>11.05</v>
      </c>
      <c r="AH368" s="43">
        <f>VLOOKUP(AH$84,'Infos Techniques'!$B$7:$E$12,4,0)/($V368*$X$352/12)</f>
        <v>25</v>
      </c>
      <c r="AI368" s="43">
        <f>VLOOKUP(AI$84,'Infos Techniques'!$B$7:$E$12,4,0)/($V368*$X$352/12)</f>
        <v>25</v>
      </c>
      <c r="AJ368" s="43">
        <f>VLOOKUP(AJ$84,'Infos Techniques'!$B$7:$E$12,4,0)/($V368*$X$352/12)</f>
        <v>25</v>
      </c>
      <c r="AK368" s="43">
        <f>VLOOKUP(AK$84,'Infos Techniques'!$B$7:$E$12,4,0)/($V368*$X$352/12)</f>
        <v>13.816666666666666</v>
      </c>
      <c r="AL368" s="63">
        <f>VLOOKUP(AL$84,'Infos Techniques'!$B$7:$E$12,4,0)/($V368*$X$352/12)</f>
        <v>11.05</v>
      </c>
    </row>
    <row r="369" spans="2:38" ht="15" thickBot="1">
      <c r="B369" s="1849"/>
      <c r="C369" s="71">
        <v>25</v>
      </c>
      <c r="D369" s="76">
        <f t="shared" si="107"/>
        <v>8</v>
      </c>
      <c r="E369" s="43">
        <f t="shared" si="106"/>
        <v>8</v>
      </c>
      <c r="F369" s="43">
        <f t="shared" si="106"/>
        <v>7.7333333333333334</v>
      </c>
      <c r="G369" s="43">
        <f t="shared" si="106"/>
        <v>5.52</v>
      </c>
      <c r="H369" s="43">
        <f t="shared" si="106"/>
        <v>4.4133333333333331</v>
      </c>
      <c r="I369" s="43">
        <f t="shared" si="106"/>
        <v>8</v>
      </c>
      <c r="J369" s="43">
        <f t="shared" si="106"/>
        <v>8</v>
      </c>
      <c r="K369" s="43">
        <f t="shared" si="106"/>
        <v>8</v>
      </c>
      <c r="L369" s="43">
        <f t="shared" si="106"/>
        <v>8</v>
      </c>
      <c r="M369" s="43">
        <f t="shared" si="106"/>
        <v>8</v>
      </c>
      <c r="N369" s="43">
        <f t="shared" si="106"/>
        <v>8</v>
      </c>
      <c r="O369" s="43">
        <f t="shared" si="106"/>
        <v>8</v>
      </c>
      <c r="P369" s="43">
        <f t="shared" si="106"/>
        <v>8</v>
      </c>
      <c r="Q369" s="43">
        <f t="shared" si="106"/>
        <v>8</v>
      </c>
      <c r="R369" s="63">
        <f t="shared" si="106"/>
        <v>8</v>
      </c>
      <c r="U369" s="1601"/>
      <c r="V369" s="28">
        <v>25</v>
      </c>
      <c r="W369" s="43" cm="1">
        <f t="array" ref="W369">VLOOKUP(MAX(IF('Courbe Déflexion'!$GF$25:$GF$305&lt;=V369,'Courbe Déflexion'!$GF$25:$GF$305)),'Courbe Déflexion'!$GF$25:$IA$305,9,0)</f>
        <v>8</v>
      </c>
      <c r="X369" s="43">
        <f>VLOOKUP(X$84,'Infos Techniques'!$B$7:$E$12,3,0)/($V369*$X$352/12)</f>
        <v>13.333333333333334</v>
      </c>
      <c r="Y369" s="43">
        <f>VLOOKUP(Y$84,'Infos Techniques'!$B$7:$E$12,3,0)/($V369*$X$352/12)</f>
        <v>9.1999999999999993</v>
      </c>
      <c r="Z369" s="43">
        <f>VLOOKUP(Z$84,'Infos Techniques'!$B$7:$E$12,3,0)/($V369*$X$352/12)</f>
        <v>7.7333333333333334</v>
      </c>
      <c r="AA369" s="43">
        <f>VLOOKUP(AA$84,'Infos Techniques'!$B$7:$E$12,3,0)/($V369*$X$352/12)</f>
        <v>5.52</v>
      </c>
      <c r="AB369" s="43">
        <f>VLOOKUP(AB$84,'Infos Techniques'!$B$7:$E$12,3,0)/($V369*$X$352/12)</f>
        <v>4.4133333333333331</v>
      </c>
      <c r="AC369" s="43">
        <f>VLOOKUP(AC$84,'Infos Techniques'!$B$7:$E$12,2,0)/($V369*$X$352/12)</f>
        <v>16</v>
      </c>
      <c r="AD369" s="43">
        <f>VLOOKUP(AD$84,'Infos Techniques'!$B$7:$E$12,2,0)/($V369*$X$352/12)</f>
        <v>16</v>
      </c>
      <c r="AE369" s="43">
        <f>VLOOKUP(AE$84,'Infos Techniques'!$B$7:$E$12,2,0)/($V369*$X$352/12)</f>
        <v>15.466666666666667</v>
      </c>
      <c r="AF369" s="43">
        <f>VLOOKUP(AF$84,'Infos Techniques'!$B$7:$E$12,2,0)/($V369*$X$352/12)</f>
        <v>11.053333333333333</v>
      </c>
      <c r="AG369" s="43">
        <f>VLOOKUP(AG$84,'Infos Techniques'!$B$7:$E$12,2,0)/($V369*$X$352/12)</f>
        <v>8.84</v>
      </c>
      <c r="AH369" s="43">
        <f>VLOOKUP(AH$84,'Infos Techniques'!$B$7:$E$12,4,0)/($V369*$X$352/12)</f>
        <v>20</v>
      </c>
      <c r="AI369" s="43">
        <f>VLOOKUP(AI$84,'Infos Techniques'!$B$7:$E$12,4,0)/($V369*$X$352/12)</f>
        <v>20</v>
      </c>
      <c r="AJ369" s="43">
        <f>VLOOKUP(AJ$84,'Infos Techniques'!$B$7:$E$12,4,0)/($V369*$X$352/12)</f>
        <v>20</v>
      </c>
      <c r="AK369" s="43">
        <f>VLOOKUP(AK$84,'Infos Techniques'!$B$7:$E$12,4,0)/($V369*$X$352/12)</f>
        <v>11.053333333333333</v>
      </c>
      <c r="AL369" s="63">
        <f>VLOOKUP(AL$84,'Infos Techniques'!$B$7:$E$12,4,0)/($V369*$X$352/12)</f>
        <v>8.84</v>
      </c>
    </row>
    <row r="370" spans="2:38">
      <c r="B370" s="1849"/>
      <c r="C370" s="69">
        <v>30</v>
      </c>
      <c r="D370" s="76">
        <f t="shared" si="107"/>
        <v>8</v>
      </c>
      <c r="E370" s="43">
        <f t="shared" si="106"/>
        <v>7.666666666666667</v>
      </c>
      <c r="F370" s="43">
        <f t="shared" si="106"/>
        <v>6.4444444444444446</v>
      </c>
      <c r="G370" s="43">
        <f t="shared" si="106"/>
        <v>4.5999999999999996</v>
      </c>
      <c r="H370" s="43">
        <f t="shared" si="106"/>
        <v>3.6777777777777776</v>
      </c>
      <c r="I370" s="43">
        <f t="shared" si="106"/>
        <v>8</v>
      </c>
      <c r="J370" s="43">
        <f t="shared" si="106"/>
        <v>8</v>
      </c>
      <c r="K370" s="43">
        <f t="shared" si="106"/>
        <v>8</v>
      </c>
      <c r="L370" s="43">
        <f t="shared" si="106"/>
        <v>8</v>
      </c>
      <c r="M370" s="43">
        <f t="shared" si="106"/>
        <v>7.3666666666666663</v>
      </c>
      <c r="N370" s="43">
        <f t="shared" si="106"/>
        <v>8</v>
      </c>
      <c r="O370" s="43">
        <f t="shared" si="106"/>
        <v>8</v>
      </c>
      <c r="P370" s="43">
        <f t="shared" si="106"/>
        <v>8</v>
      </c>
      <c r="Q370" s="43">
        <f t="shared" si="106"/>
        <v>8</v>
      </c>
      <c r="R370" s="63">
        <f t="shared" si="106"/>
        <v>7.3666666666666663</v>
      </c>
      <c r="U370" s="1601"/>
      <c r="V370" s="28">
        <v>30</v>
      </c>
      <c r="W370" s="43" cm="1">
        <f t="array" ref="W370">VLOOKUP(MAX(IF('Courbe Déflexion'!$GF$25:$GF$305&lt;=V370,'Courbe Déflexion'!$GF$25:$GF$305)),'Courbe Déflexion'!$GF$25:$IA$305,9,0)</f>
        <v>8</v>
      </c>
      <c r="X370" s="43">
        <f>VLOOKUP(X$84,'Infos Techniques'!$B$7:$E$12,3,0)/($V370*$X$352/12)</f>
        <v>11.111111111111111</v>
      </c>
      <c r="Y370" s="43">
        <f>VLOOKUP(Y$84,'Infos Techniques'!$B$7:$E$12,3,0)/($V370*$X$352/12)</f>
        <v>7.666666666666667</v>
      </c>
      <c r="Z370" s="43">
        <f>VLOOKUP(Z$84,'Infos Techniques'!$B$7:$E$12,3,0)/($V370*$X$352/12)</f>
        <v>6.4444444444444446</v>
      </c>
      <c r="AA370" s="43">
        <f>VLOOKUP(AA$84,'Infos Techniques'!$B$7:$E$12,3,0)/($V370*$X$352/12)</f>
        <v>4.5999999999999996</v>
      </c>
      <c r="AB370" s="43">
        <f>VLOOKUP(AB$84,'Infos Techniques'!$B$7:$E$12,3,0)/($V370*$X$352/12)</f>
        <v>3.6777777777777776</v>
      </c>
      <c r="AC370" s="43">
        <f>VLOOKUP(AC$84,'Infos Techniques'!$B$7:$E$12,2,0)/($V370*$X$352/12)</f>
        <v>13.333333333333334</v>
      </c>
      <c r="AD370" s="43">
        <f>VLOOKUP(AD$84,'Infos Techniques'!$B$7:$E$12,2,0)/($V370*$X$352/12)</f>
        <v>13.333333333333334</v>
      </c>
      <c r="AE370" s="43">
        <f>VLOOKUP(AE$84,'Infos Techniques'!$B$7:$E$12,2,0)/($V370*$X$352/12)</f>
        <v>12.888888888888889</v>
      </c>
      <c r="AF370" s="43">
        <f>VLOOKUP(AF$84,'Infos Techniques'!$B$7:$E$12,2,0)/($V370*$X$352/12)</f>
        <v>9.2111111111111104</v>
      </c>
      <c r="AG370" s="43">
        <f>VLOOKUP(AG$84,'Infos Techniques'!$B$7:$E$12,2,0)/($V370*$X$352/12)</f>
        <v>7.3666666666666663</v>
      </c>
      <c r="AH370" s="43">
        <f>VLOOKUP(AH$84,'Infos Techniques'!$B$7:$E$12,4,0)/($V370*$X$352/12)</f>
        <v>16.666666666666668</v>
      </c>
      <c r="AI370" s="43">
        <f>VLOOKUP(AI$84,'Infos Techniques'!$B$7:$E$12,4,0)/($V370*$X$352/12)</f>
        <v>16.666666666666668</v>
      </c>
      <c r="AJ370" s="43">
        <f>VLOOKUP(AJ$84,'Infos Techniques'!$B$7:$E$12,4,0)/($V370*$X$352/12)</f>
        <v>16.666666666666668</v>
      </c>
      <c r="AK370" s="43">
        <f>VLOOKUP(AK$84,'Infos Techniques'!$B$7:$E$12,4,0)/($V370*$X$352/12)</f>
        <v>9.2111111111111104</v>
      </c>
      <c r="AL370" s="63">
        <f>VLOOKUP(AL$84,'Infos Techniques'!$B$7:$E$12,4,0)/($V370*$X$352/12)</f>
        <v>7.3666666666666663</v>
      </c>
    </row>
    <row r="371" spans="2:38">
      <c r="B371" s="1849"/>
      <c r="C371" s="70">
        <v>35</v>
      </c>
      <c r="D371" s="76">
        <f t="shared" si="107"/>
        <v>8.6000000000000014</v>
      </c>
      <c r="E371" s="43">
        <f t="shared" si="106"/>
        <v>6.5714285714285712</v>
      </c>
      <c r="F371" s="43">
        <f t="shared" si="106"/>
        <v>5.5238095238095237</v>
      </c>
      <c r="G371" s="43">
        <f t="shared" si="106"/>
        <v>3.9428571428571431</v>
      </c>
      <c r="H371" s="43">
        <f t="shared" si="106"/>
        <v>3.1523809523809523</v>
      </c>
      <c r="I371" s="43">
        <f t="shared" si="106"/>
        <v>8.6000000000000014</v>
      </c>
      <c r="J371" s="43">
        <f t="shared" si="106"/>
        <v>8.6000000000000014</v>
      </c>
      <c r="K371" s="43">
        <f t="shared" si="106"/>
        <v>8.6000000000000014</v>
      </c>
      <c r="L371" s="43">
        <f t="shared" si="106"/>
        <v>7.8952380952380956</v>
      </c>
      <c r="M371" s="43">
        <f t="shared" si="106"/>
        <v>6.3142857142857141</v>
      </c>
      <c r="N371" s="43">
        <f t="shared" si="106"/>
        <v>8.6000000000000014</v>
      </c>
      <c r="O371" s="43">
        <f t="shared" si="106"/>
        <v>8.6000000000000014</v>
      </c>
      <c r="P371" s="43">
        <f t="shared" si="106"/>
        <v>8.6000000000000014</v>
      </c>
      <c r="Q371" s="43">
        <f t="shared" si="106"/>
        <v>7.8952380952380956</v>
      </c>
      <c r="R371" s="63">
        <f t="shared" si="106"/>
        <v>6.3142857142857141</v>
      </c>
      <c r="U371" s="1601"/>
      <c r="V371" s="28">
        <v>35</v>
      </c>
      <c r="W371" s="43" cm="1">
        <f t="array" ref="W371">VLOOKUP(MAX(IF('Courbe Déflexion'!$GF$25:$GF$305&lt;=V371,'Courbe Déflexion'!$GF$25:$GF$305)),'Courbe Déflexion'!$GF$25:$IA$305,9,0)</f>
        <v>8.6000000000000014</v>
      </c>
      <c r="X371" s="43">
        <f>VLOOKUP(X$84,'Infos Techniques'!$B$7:$E$12,3,0)/($V371*$X$352/12)</f>
        <v>9.5238095238095237</v>
      </c>
      <c r="Y371" s="43">
        <f>VLOOKUP(Y$84,'Infos Techniques'!$B$7:$E$12,3,0)/($V371*$X$352/12)</f>
        <v>6.5714285714285712</v>
      </c>
      <c r="Z371" s="43">
        <f>VLOOKUP(Z$84,'Infos Techniques'!$B$7:$E$12,3,0)/($V371*$X$352/12)</f>
        <v>5.5238095238095237</v>
      </c>
      <c r="AA371" s="43">
        <f>VLOOKUP(AA$84,'Infos Techniques'!$B$7:$E$12,3,0)/($V371*$X$352/12)</f>
        <v>3.9428571428571431</v>
      </c>
      <c r="AB371" s="43">
        <f>VLOOKUP(AB$84,'Infos Techniques'!$B$7:$E$12,3,0)/($V371*$X$352/12)</f>
        <v>3.1523809523809523</v>
      </c>
      <c r="AC371" s="43">
        <f>VLOOKUP(AC$84,'Infos Techniques'!$B$7:$E$12,2,0)/($V371*$X$352/12)</f>
        <v>11.428571428571429</v>
      </c>
      <c r="AD371" s="43">
        <f>VLOOKUP(AD$84,'Infos Techniques'!$B$7:$E$12,2,0)/($V371*$X$352/12)</f>
        <v>11.428571428571429</v>
      </c>
      <c r="AE371" s="43">
        <f>VLOOKUP(AE$84,'Infos Techniques'!$B$7:$E$12,2,0)/($V371*$X$352/12)</f>
        <v>11.047619047619047</v>
      </c>
      <c r="AF371" s="43">
        <f>VLOOKUP(AF$84,'Infos Techniques'!$B$7:$E$12,2,0)/($V371*$X$352/12)</f>
        <v>7.8952380952380956</v>
      </c>
      <c r="AG371" s="43">
        <f>VLOOKUP(AG$84,'Infos Techniques'!$B$7:$E$12,2,0)/($V371*$X$352/12)</f>
        <v>6.3142857142857141</v>
      </c>
      <c r="AH371" s="43">
        <f>VLOOKUP(AH$84,'Infos Techniques'!$B$7:$E$12,4,0)/($V371*$X$352/12)</f>
        <v>14.285714285714286</v>
      </c>
      <c r="AI371" s="43">
        <f>VLOOKUP(AI$84,'Infos Techniques'!$B$7:$E$12,4,0)/($V371*$X$352/12)</f>
        <v>14.285714285714286</v>
      </c>
      <c r="AJ371" s="43">
        <f>VLOOKUP(AJ$84,'Infos Techniques'!$B$7:$E$12,4,0)/($V371*$X$352/12)</f>
        <v>14.285714285714286</v>
      </c>
      <c r="AK371" s="43">
        <f>VLOOKUP(AK$84,'Infos Techniques'!$B$7:$E$12,4,0)/($V371*$X$352/12)</f>
        <v>7.8952380952380956</v>
      </c>
      <c r="AL371" s="63">
        <f>VLOOKUP(AL$84,'Infos Techniques'!$B$7:$E$12,4,0)/($V371*$X$352/12)</f>
        <v>6.3142857142857141</v>
      </c>
    </row>
    <row r="372" spans="2:38">
      <c r="B372" s="1849"/>
      <c r="C372" s="70">
        <v>40</v>
      </c>
      <c r="D372" s="76">
        <f t="shared" si="107"/>
        <v>8.3333333333333339</v>
      </c>
      <c r="E372" s="43">
        <f t="shared" si="106"/>
        <v>5.75</v>
      </c>
      <c r="F372" s="43">
        <f t="shared" si="106"/>
        <v>4.833333333333333</v>
      </c>
      <c r="G372" s="43">
        <f t="shared" si="106"/>
        <v>3.45</v>
      </c>
      <c r="H372" s="43">
        <f t="shared" si="106"/>
        <v>2.7583333333333333</v>
      </c>
      <c r="I372" s="43">
        <f t="shared" si="106"/>
        <v>9.5000000000000018</v>
      </c>
      <c r="J372" s="43">
        <f t="shared" si="106"/>
        <v>9.5000000000000018</v>
      </c>
      <c r="K372" s="43">
        <f t="shared" si="106"/>
        <v>9.5000000000000018</v>
      </c>
      <c r="L372" s="43">
        <f t="shared" si="106"/>
        <v>6.9083333333333332</v>
      </c>
      <c r="M372" s="43">
        <f t="shared" si="106"/>
        <v>5.5250000000000004</v>
      </c>
      <c r="N372" s="43">
        <f t="shared" si="106"/>
        <v>9.5000000000000018</v>
      </c>
      <c r="O372" s="43">
        <f t="shared" si="106"/>
        <v>9.5000000000000018</v>
      </c>
      <c r="P372" s="43">
        <f t="shared" si="106"/>
        <v>9.5000000000000018</v>
      </c>
      <c r="Q372" s="43">
        <f t="shared" si="106"/>
        <v>6.9083333333333332</v>
      </c>
      <c r="R372" s="63">
        <f t="shared" si="106"/>
        <v>5.5250000000000004</v>
      </c>
      <c r="U372" s="1601"/>
      <c r="V372" s="28">
        <v>40</v>
      </c>
      <c r="W372" s="43" cm="1">
        <f t="array" ref="W372">VLOOKUP(MAX(IF('Courbe Déflexion'!$GF$25:$GF$305&lt;=V372,'Courbe Déflexion'!$GF$25:$GF$305)),'Courbe Déflexion'!$GF$25:$IA$305,9,0)</f>
        <v>9.5000000000000018</v>
      </c>
      <c r="X372" s="43">
        <f>VLOOKUP(X$84,'Infos Techniques'!$B$7:$E$12,3,0)/($V372*$X$352/12)</f>
        <v>8.3333333333333339</v>
      </c>
      <c r="Y372" s="43">
        <f>VLOOKUP(Y$84,'Infos Techniques'!$B$7:$E$12,3,0)/($V372*$X$352/12)</f>
        <v>5.75</v>
      </c>
      <c r="Z372" s="43">
        <f>VLOOKUP(Z$84,'Infos Techniques'!$B$7:$E$12,3,0)/($V372*$X$352/12)</f>
        <v>4.833333333333333</v>
      </c>
      <c r="AA372" s="43">
        <f>VLOOKUP(AA$84,'Infos Techniques'!$B$7:$E$12,3,0)/($V372*$X$352/12)</f>
        <v>3.45</v>
      </c>
      <c r="AB372" s="43">
        <f>VLOOKUP(AB$84,'Infos Techniques'!$B$7:$E$12,3,0)/($V372*$X$352/12)</f>
        <v>2.7583333333333333</v>
      </c>
      <c r="AC372" s="43">
        <f>VLOOKUP(AC$84,'Infos Techniques'!$B$7:$E$12,2,0)/($V372*$X$352/12)</f>
        <v>10</v>
      </c>
      <c r="AD372" s="43">
        <f>VLOOKUP(AD$84,'Infos Techniques'!$B$7:$E$12,2,0)/($V372*$X$352/12)</f>
        <v>10</v>
      </c>
      <c r="AE372" s="43">
        <f>VLOOKUP(AE$84,'Infos Techniques'!$B$7:$E$12,2,0)/($V372*$X$352/12)</f>
        <v>9.6666666666666661</v>
      </c>
      <c r="AF372" s="43">
        <f>VLOOKUP(AF$84,'Infos Techniques'!$B$7:$E$12,2,0)/($V372*$X$352/12)</f>
        <v>6.9083333333333332</v>
      </c>
      <c r="AG372" s="43">
        <f>VLOOKUP(AG$84,'Infos Techniques'!$B$7:$E$12,2,0)/($V372*$X$352/12)</f>
        <v>5.5250000000000004</v>
      </c>
      <c r="AH372" s="43">
        <f>VLOOKUP(AH$84,'Infos Techniques'!$B$7:$E$12,4,0)/($V372*$X$352/12)</f>
        <v>12.5</v>
      </c>
      <c r="AI372" s="43">
        <f>VLOOKUP(AI$84,'Infos Techniques'!$B$7:$E$12,4,0)/($V372*$X$352/12)</f>
        <v>12.5</v>
      </c>
      <c r="AJ372" s="43">
        <f>VLOOKUP(AJ$84,'Infos Techniques'!$B$7:$E$12,4,0)/($V372*$X$352/12)</f>
        <v>12.5</v>
      </c>
      <c r="AK372" s="43">
        <f>VLOOKUP(AK$84,'Infos Techniques'!$B$7:$E$12,4,0)/($V372*$X$352/12)</f>
        <v>6.9083333333333332</v>
      </c>
      <c r="AL372" s="63">
        <f>VLOOKUP(AL$84,'Infos Techniques'!$B$7:$E$12,4,0)/($V372*$X$352/12)</f>
        <v>5.5250000000000004</v>
      </c>
    </row>
    <row r="373" spans="2:38">
      <c r="B373" s="1849"/>
      <c r="C373" s="70">
        <v>45</v>
      </c>
      <c r="D373" s="76">
        <f t="shared" si="107"/>
        <v>7.4074074074074074</v>
      </c>
      <c r="E373" s="43">
        <f t="shared" si="106"/>
        <v>5.1111111111111107</v>
      </c>
      <c r="F373" s="43">
        <f t="shared" si="106"/>
        <v>4.2962962962962967</v>
      </c>
      <c r="G373" s="43">
        <f t="shared" si="106"/>
        <v>3.0666666666666669</v>
      </c>
      <c r="H373" s="43">
        <f t="shared" si="106"/>
        <v>2.4518518518518517</v>
      </c>
      <c r="I373" s="43">
        <f t="shared" si="106"/>
        <v>8.8888888888888893</v>
      </c>
      <c r="J373" s="43">
        <f t="shared" si="106"/>
        <v>8.8888888888888893</v>
      </c>
      <c r="K373" s="43">
        <f t="shared" si="106"/>
        <v>8.5925925925925934</v>
      </c>
      <c r="L373" s="43">
        <f t="shared" si="106"/>
        <v>6.1407407407407408</v>
      </c>
      <c r="M373" s="43">
        <f t="shared" si="106"/>
        <v>4.9111111111111114</v>
      </c>
      <c r="N373" s="43">
        <f t="shared" si="106"/>
        <v>10.500000000000002</v>
      </c>
      <c r="O373" s="43">
        <f t="shared" si="106"/>
        <v>10.500000000000002</v>
      </c>
      <c r="P373" s="43">
        <f t="shared" si="106"/>
        <v>10.500000000000002</v>
      </c>
      <c r="Q373" s="43">
        <f t="shared" si="106"/>
        <v>6.1407407407407408</v>
      </c>
      <c r="R373" s="63">
        <f t="shared" si="106"/>
        <v>4.9111111111111114</v>
      </c>
      <c r="U373" s="1601"/>
      <c r="V373" s="28">
        <v>45</v>
      </c>
      <c r="W373" s="43" cm="1">
        <f t="array" ref="W373">VLOOKUP(MAX(IF('Courbe Déflexion'!$GF$25:$GF$305&lt;=V373,'Courbe Déflexion'!$GF$25:$GF$305)),'Courbe Déflexion'!$GF$25:$IA$305,9,0)</f>
        <v>10.500000000000002</v>
      </c>
      <c r="X373" s="43">
        <f>VLOOKUP(X$84,'Infos Techniques'!$B$7:$E$12,3,0)/($V373*$X$352/12)</f>
        <v>7.4074074074074074</v>
      </c>
      <c r="Y373" s="43">
        <f>VLOOKUP(Y$84,'Infos Techniques'!$B$7:$E$12,3,0)/($V373*$X$352/12)</f>
        <v>5.1111111111111107</v>
      </c>
      <c r="Z373" s="43">
        <f>VLOOKUP(Z$84,'Infos Techniques'!$B$7:$E$12,3,0)/($V373*$X$352/12)</f>
        <v>4.2962962962962967</v>
      </c>
      <c r="AA373" s="43">
        <f>VLOOKUP(AA$84,'Infos Techniques'!$B$7:$E$12,3,0)/($V373*$X$352/12)</f>
        <v>3.0666666666666669</v>
      </c>
      <c r="AB373" s="43">
        <f>VLOOKUP(AB$84,'Infos Techniques'!$B$7:$E$12,3,0)/($V373*$X$352/12)</f>
        <v>2.4518518518518517</v>
      </c>
      <c r="AC373" s="43">
        <f>VLOOKUP(AC$84,'Infos Techniques'!$B$7:$E$12,2,0)/($V373*$X$352/12)</f>
        <v>8.8888888888888893</v>
      </c>
      <c r="AD373" s="43">
        <f>VLOOKUP(AD$84,'Infos Techniques'!$B$7:$E$12,2,0)/($V373*$X$352/12)</f>
        <v>8.8888888888888893</v>
      </c>
      <c r="AE373" s="43">
        <f>VLOOKUP(AE$84,'Infos Techniques'!$B$7:$E$12,2,0)/($V373*$X$352/12)</f>
        <v>8.5925925925925934</v>
      </c>
      <c r="AF373" s="43">
        <f>VLOOKUP(AF$84,'Infos Techniques'!$B$7:$E$12,2,0)/($V373*$X$352/12)</f>
        <v>6.1407407407407408</v>
      </c>
      <c r="AG373" s="43">
        <f>VLOOKUP(AG$84,'Infos Techniques'!$B$7:$E$12,2,0)/($V373*$X$352/12)</f>
        <v>4.9111111111111114</v>
      </c>
      <c r="AH373" s="43">
        <f>VLOOKUP(AH$84,'Infos Techniques'!$B$7:$E$12,4,0)/($V373*$X$352/12)</f>
        <v>11.111111111111111</v>
      </c>
      <c r="AI373" s="43">
        <f>VLOOKUP(AI$84,'Infos Techniques'!$B$7:$E$12,4,0)/($V373*$X$352/12)</f>
        <v>11.111111111111111</v>
      </c>
      <c r="AJ373" s="43">
        <f>VLOOKUP(AJ$84,'Infos Techniques'!$B$7:$E$12,4,0)/($V373*$X$352/12)</f>
        <v>11.111111111111111</v>
      </c>
      <c r="AK373" s="43">
        <f>VLOOKUP(AK$84,'Infos Techniques'!$B$7:$E$12,4,0)/($V373*$X$352/12)</f>
        <v>6.1407407407407408</v>
      </c>
      <c r="AL373" s="63">
        <f>VLOOKUP(AL$84,'Infos Techniques'!$B$7:$E$12,4,0)/($V373*$X$352/12)</f>
        <v>4.9111111111111114</v>
      </c>
    </row>
    <row r="374" spans="2:38" ht="15" thickBot="1">
      <c r="B374" s="1849"/>
      <c r="C374" s="71">
        <v>50</v>
      </c>
      <c r="D374" s="76">
        <f t="shared" si="107"/>
        <v>6.666666666666667</v>
      </c>
      <c r="E374" s="43">
        <f t="shared" si="106"/>
        <v>4.5999999999999996</v>
      </c>
      <c r="F374" s="43">
        <f t="shared" si="106"/>
        <v>3.8666666666666667</v>
      </c>
      <c r="G374" s="43">
        <f t="shared" si="106"/>
        <v>2.76</v>
      </c>
      <c r="H374" s="43">
        <f t="shared" si="106"/>
        <v>2.2066666666666666</v>
      </c>
      <c r="I374" s="43">
        <f t="shared" si="106"/>
        <v>8</v>
      </c>
      <c r="J374" s="43">
        <f t="shared" si="106"/>
        <v>8</v>
      </c>
      <c r="K374" s="43">
        <f t="shared" si="106"/>
        <v>7.7333333333333334</v>
      </c>
      <c r="L374" s="43">
        <f t="shared" si="106"/>
        <v>5.5266666666666664</v>
      </c>
      <c r="M374" s="43">
        <f t="shared" si="106"/>
        <v>4.42</v>
      </c>
      <c r="N374" s="43">
        <f t="shared" si="106"/>
        <v>10</v>
      </c>
      <c r="O374" s="43">
        <f t="shared" si="106"/>
        <v>10</v>
      </c>
      <c r="P374" s="43">
        <f t="shared" si="106"/>
        <v>10</v>
      </c>
      <c r="Q374" s="43">
        <f t="shared" si="106"/>
        <v>5.5266666666666664</v>
      </c>
      <c r="R374" s="63">
        <f t="shared" si="106"/>
        <v>4.42</v>
      </c>
      <c r="U374" s="1601"/>
      <c r="V374" s="28">
        <v>50</v>
      </c>
      <c r="W374" s="43" cm="1">
        <f t="array" ref="W374">VLOOKUP(MAX(IF('Courbe Déflexion'!$GF$25:$GF$305&lt;=V374,'Courbe Déflexion'!$GF$25:$GF$305)),'Courbe Déflexion'!$GF$25:$IA$305,9,0)</f>
        <v>12.200000000000003</v>
      </c>
      <c r="X374" s="43">
        <f>VLOOKUP(X$84,'Infos Techniques'!$B$7:$E$12,3,0)/($V374*$X$352/12)</f>
        <v>6.666666666666667</v>
      </c>
      <c r="Y374" s="43">
        <f>VLOOKUP(Y$84,'Infos Techniques'!$B$7:$E$12,3,0)/($V374*$X$352/12)</f>
        <v>4.5999999999999996</v>
      </c>
      <c r="Z374" s="43">
        <f>VLOOKUP(Z$84,'Infos Techniques'!$B$7:$E$12,3,0)/($V374*$X$352/12)</f>
        <v>3.8666666666666667</v>
      </c>
      <c r="AA374" s="43">
        <f>VLOOKUP(AA$84,'Infos Techniques'!$B$7:$E$12,3,0)/($V374*$X$352/12)</f>
        <v>2.76</v>
      </c>
      <c r="AB374" s="43">
        <f>VLOOKUP(AB$84,'Infos Techniques'!$B$7:$E$12,3,0)/($V374*$X$352/12)</f>
        <v>2.2066666666666666</v>
      </c>
      <c r="AC374" s="43">
        <f>VLOOKUP(AC$84,'Infos Techniques'!$B$7:$E$12,2,0)/($V374*$X$352/12)</f>
        <v>8</v>
      </c>
      <c r="AD374" s="43">
        <f>VLOOKUP(AD$84,'Infos Techniques'!$B$7:$E$12,2,0)/($V374*$X$352/12)</f>
        <v>8</v>
      </c>
      <c r="AE374" s="43">
        <f>VLOOKUP(AE$84,'Infos Techniques'!$B$7:$E$12,2,0)/($V374*$X$352/12)</f>
        <v>7.7333333333333334</v>
      </c>
      <c r="AF374" s="43">
        <f>VLOOKUP(AF$84,'Infos Techniques'!$B$7:$E$12,2,0)/($V374*$X$352/12)</f>
        <v>5.5266666666666664</v>
      </c>
      <c r="AG374" s="43">
        <f>VLOOKUP(AG$84,'Infos Techniques'!$B$7:$E$12,2,0)/($V374*$X$352/12)</f>
        <v>4.42</v>
      </c>
      <c r="AH374" s="43">
        <f>VLOOKUP(AH$84,'Infos Techniques'!$B$7:$E$12,4,0)/($V374*$X$352/12)</f>
        <v>10</v>
      </c>
      <c r="AI374" s="43">
        <f>VLOOKUP(AI$84,'Infos Techniques'!$B$7:$E$12,4,0)/($V374*$X$352/12)</f>
        <v>10</v>
      </c>
      <c r="AJ374" s="43">
        <f>VLOOKUP(AJ$84,'Infos Techniques'!$B$7:$E$12,4,0)/($V374*$X$352/12)</f>
        <v>10</v>
      </c>
      <c r="AK374" s="43">
        <f>VLOOKUP(AK$84,'Infos Techniques'!$B$7:$E$12,4,0)/($V374*$X$352/12)</f>
        <v>5.5266666666666664</v>
      </c>
      <c r="AL374" s="63">
        <f>VLOOKUP(AL$84,'Infos Techniques'!$B$7:$E$12,4,0)/($V374*$X$352/12)</f>
        <v>4.42</v>
      </c>
    </row>
    <row r="375" spans="2:38">
      <c r="B375" s="1849"/>
      <c r="C375" s="69">
        <v>55</v>
      </c>
      <c r="D375" s="76">
        <f t="shared" si="107"/>
        <v>6.0606060606060606</v>
      </c>
      <c r="E375" s="43">
        <f t="shared" si="106"/>
        <v>4.1818181818181817</v>
      </c>
      <c r="F375" s="43">
        <f t="shared" si="106"/>
        <v>3.5151515151515151</v>
      </c>
      <c r="G375" s="43">
        <f t="shared" si="106"/>
        <v>2.5090909090909093</v>
      </c>
      <c r="H375" s="43">
        <f t="shared" si="106"/>
        <v>2.0060606060606059</v>
      </c>
      <c r="I375" s="43">
        <f t="shared" si="106"/>
        <v>7.2727272727272725</v>
      </c>
      <c r="J375" s="43">
        <f t="shared" si="106"/>
        <v>7.2727272727272725</v>
      </c>
      <c r="K375" s="43">
        <f t="shared" si="106"/>
        <v>7.0303030303030303</v>
      </c>
      <c r="L375" s="43">
        <f t="shared" si="106"/>
        <v>5.0242424242424244</v>
      </c>
      <c r="M375" s="43">
        <f t="shared" si="106"/>
        <v>4.0181818181818185</v>
      </c>
      <c r="N375" s="43">
        <f t="shared" si="106"/>
        <v>9.0909090909090917</v>
      </c>
      <c r="O375" s="43">
        <f t="shared" si="106"/>
        <v>9.0909090909090917</v>
      </c>
      <c r="P375" s="43">
        <f t="shared" si="106"/>
        <v>9.0909090909090917</v>
      </c>
      <c r="Q375" s="43">
        <f t="shared" si="106"/>
        <v>5.0242424242424244</v>
      </c>
      <c r="R375" s="63">
        <f t="shared" si="106"/>
        <v>4.0181818181818185</v>
      </c>
      <c r="U375" s="1601"/>
      <c r="V375" s="28">
        <v>55</v>
      </c>
      <c r="W375" s="43" cm="1">
        <f t="array" ref="W375">VLOOKUP(MAX(IF('Courbe Déflexion'!$GF$25:$GF$305&lt;=V375,'Courbe Déflexion'!$GF$25:$GF$305)),'Courbe Déflexion'!$GF$25:$IA$305,9,0)</f>
        <v>13</v>
      </c>
      <c r="X375" s="43">
        <f>VLOOKUP(X$84,'Infos Techniques'!$B$7:$E$12,3,0)/($V375*$X$352/12)</f>
        <v>6.0606060606060606</v>
      </c>
      <c r="Y375" s="43">
        <f>VLOOKUP(Y$84,'Infos Techniques'!$B$7:$E$12,3,0)/($V375*$X$352/12)</f>
        <v>4.1818181818181817</v>
      </c>
      <c r="Z375" s="43">
        <f>VLOOKUP(Z$84,'Infos Techniques'!$B$7:$E$12,3,0)/($V375*$X$352/12)</f>
        <v>3.5151515151515151</v>
      </c>
      <c r="AA375" s="43">
        <f>VLOOKUP(AA$84,'Infos Techniques'!$B$7:$E$12,3,0)/($V375*$X$352/12)</f>
        <v>2.5090909090909093</v>
      </c>
      <c r="AB375" s="43">
        <f>VLOOKUP(AB$84,'Infos Techniques'!$B$7:$E$12,3,0)/($V375*$X$352/12)</f>
        <v>2.0060606060606059</v>
      </c>
      <c r="AC375" s="43">
        <f>VLOOKUP(AC$84,'Infos Techniques'!$B$7:$E$12,2,0)/($V375*$X$352/12)</f>
        <v>7.2727272727272725</v>
      </c>
      <c r="AD375" s="43">
        <f>VLOOKUP(AD$84,'Infos Techniques'!$B$7:$E$12,2,0)/($V375*$X$352/12)</f>
        <v>7.2727272727272725</v>
      </c>
      <c r="AE375" s="43">
        <f>VLOOKUP(AE$84,'Infos Techniques'!$B$7:$E$12,2,0)/($V375*$X$352/12)</f>
        <v>7.0303030303030303</v>
      </c>
      <c r="AF375" s="43">
        <f>VLOOKUP(AF$84,'Infos Techniques'!$B$7:$E$12,2,0)/($V375*$X$352/12)</f>
        <v>5.0242424242424244</v>
      </c>
      <c r="AG375" s="43">
        <f>VLOOKUP(AG$84,'Infos Techniques'!$B$7:$E$12,2,0)/($V375*$X$352/12)</f>
        <v>4.0181818181818185</v>
      </c>
      <c r="AH375" s="43">
        <f>VLOOKUP(AH$84,'Infos Techniques'!$B$7:$E$12,4,0)/($V375*$X$352/12)</f>
        <v>9.0909090909090917</v>
      </c>
      <c r="AI375" s="43">
        <f>VLOOKUP(AI$84,'Infos Techniques'!$B$7:$E$12,4,0)/($V375*$X$352/12)</f>
        <v>9.0909090909090917</v>
      </c>
      <c r="AJ375" s="43">
        <f>VLOOKUP(AJ$84,'Infos Techniques'!$B$7:$E$12,4,0)/($V375*$X$352/12)</f>
        <v>9.0909090909090917</v>
      </c>
      <c r="AK375" s="43">
        <f>VLOOKUP(AK$84,'Infos Techniques'!$B$7:$E$12,4,0)/($V375*$X$352/12)</f>
        <v>5.0242424242424244</v>
      </c>
      <c r="AL375" s="63">
        <f>VLOOKUP(AL$84,'Infos Techniques'!$B$7:$E$12,4,0)/($V375*$X$352/12)</f>
        <v>4.0181818181818185</v>
      </c>
    </row>
    <row r="376" spans="2:38">
      <c r="B376" s="1849"/>
      <c r="C376" s="70">
        <v>60</v>
      </c>
      <c r="D376" s="76">
        <f t="shared" si="107"/>
        <v>5.5555555555555554</v>
      </c>
      <c r="E376" s="43">
        <f t="shared" si="106"/>
        <v>3.8333333333333335</v>
      </c>
      <c r="F376" s="43">
        <f t="shared" si="106"/>
        <v>3.2222222222222223</v>
      </c>
      <c r="G376" s="43">
        <f t="shared" si="106"/>
        <v>2.2999999999999998</v>
      </c>
      <c r="H376" s="43">
        <f t="shared" si="106"/>
        <v>1.8388888888888888</v>
      </c>
      <c r="I376" s="43">
        <f t="shared" si="106"/>
        <v>6.666666666666667</v>
      </c>
      <c r="J376" s="43">
        <f t="shared" si="106"/>
        <v>6.666666666666667</v>
      </c>
      <c r="K376" s="43">
        <f t="shared" si="106"/>
        <v>6.4444444444444446</v>
      </c>
      <c r="L376" s="43">
        <f t="shared" si="106"/>
        <v>4.6055555555555552</v>
      </c>
      <c r="M376" s="43">
        <f t="shared" si="106"/>
        <v>3.6833333333333331</v>
      </c>
      <c r="N376" s="43">
        <f t="shared" si="106"/>
        <v>8.3333333333333339</v>
      </c>
      <c r="O376" s="43">
        <f t="shared" si="106"/>
        <v>8.3333333333333339</v>
      </c>
      <c r="P376" s="43">
        <f t="shared" si="106"/>
        <v>8.3333333333333339</v>
      </c>
      <c r="Q376" s="43">
        <f t="shared" si="106"/>
        <v>4.6055555555555552</v>
      </c>
      <c r="R376" s="63">
        <f t="shared" si="106"/>
        <v>3.6833333333333331</v>
      </c>
      <c r="U376" s="1601"/>
      <c r="V376" s="28">
        <v>60</v>
      </c>
      <c r="W376" s="43" cm="1">
        <f t="array" ref="W376">VLOOKUP(MAX(IF('Courbe Déflexion'!$GF$25:$GF$305&lt;=V376,'Courbe Déflexion'!$GF$25:$GF$305)),'Courbe Déflexion'!$GF$25:$IA$305,9,0)</f>
        <v>13.8</v>
      </c>
      <c r="X376" s="43">
        <f>VLOOKUP(X$84,'Infos Techniques'!$B$7:$E$12,3,0)/($V376*$X$352/12)</f>
        <v>5.5555555555555554</v>
      </c>
      <c r="Y376" s="43">
        <f>VLOOKUP(Y$84,'Infos Techniques'!$B$7:$E$12,3,0)/($V376*$X$352/12)</f>
        <v>3.8333333333333335</v>
      </c>
      <c r="Z376" s="43">
        <f>VLOOKUP(Z$84,'Infos Techniques'!$B$7:$E$12,3,0)/($V376*$X$352/12)</f>
        <v>3.2222222222222223</v>
      </c>
      <c r="AA376" s="43">
        <f>VLOOKUP(AA$84,'Infos Techniques'!$B$7:$E$12,3,0)/($V376*$X$352/12)</f>
        <v>2.2999999999999998</v>
      </c>
      <c r="AB376" s="43">
        <f>VLOOKUP(AB$84,'Infos Techniques'!$B$7:$E$12,3,0)/($V376*$X$352/12)</f>
        <v>1.8388888888888888</v>
      </c>
      <c r="AC376" s="43">
        <f>VLOOKUP(AC$84,'Infos Techniques'!$B$7:$E$12,2,0)/($V376*$X$352/12)</f>
        <v>6.666666666666667</v>
      </c>
      <c r="AD376" s="43">
        <f>VLOOKUP(AD$84,'Infos Techniques'!$B$7:$E$12,2,0)/($V376*$X$352/12)</f>
        <v>6.666666666666667</v>
      </c>
      <c r="AE376" s="43">
        <f>VLOOKUP(AE$84,'Infos Techniques'!$B$7:$E$12,2,0)/($V376*$X$352/12)</f>
        <v>6.4444444444444446</v>
      </c>
      <c r="AF376" s="43">
        <f>VLOOKUP(AF$84,'Infos Techniques'!$B$7:$E$12,2,0)/($V376*$X$352/12)</f>
        <v>4.6055555555555552</v>
      </c>
      <c r="AG376" s="43">
        <f>VLOOKUP(AG$84,'Infos Techniques'!$B$7:$E$12,2,0)/($V376*$X$352/12)</f>
        <v>3.6833333333333331</v>
      </c>
      <c r="AH376" s="43">
        <f>VLOOKUP(AH$84,'Infos Techniques'!$B$7:$E$12,4,0)/($V376*$X$352/12)</f>
        <v>8.3333333333333339</v>
      </c>
      <c r="AI376" s="43">
        <f>VLOOKUP(AI$84,'Infos Techniques'!$B$7:$E$12,4,0)/($V376*$X$352/12)</f>
        <v>8.3333333333333339</v>
      </c>
      <c r="AJ376" s="43">
        <f>VLOOKUP(AJ$84,'Infos Techniques'!$B$7:$E$12,4,0)/($V376*$X$352/12)</f>
        <v>8.3333333333333339</v>
      </c>
      <c r="AK376" s="43">
        <f>VLOOKUP(AK$84,'Infos Techniques'!$B$7:$E$12,4,0)/($V376*$X$352/12)</f>
        <v>4.6055555555555552</v>
      </c>
      <c r="AL376" s="63">
        <f>VLOOKUP(AL$84,'Infos Techniques'!$B$7:$E$12,4,0)/($V376*$X$352/12)</f>
        <v>3.6833333333333331</v>
      </c>
    </row>
    <row r="377" spans="2:38">
      <c r="B377" s="1849"/>
      <c r="C377" s="70">
        <v>65</v>
      </c>
      <c r="D377" s="76">
        <f t="shared" si="107"/>
        <v>5.1282051282051286</v>
      </c>
      <c r="E377" s="43">
        <f t="shared" si="106"/>
        <v>3.5384615384615383</v>
      </c>
      <c r="F377" s="43">
        <f t="shared" si="106"/>
        <v>2.9743589743589745</v>
      </c>
      <c r="G377" s="43">
        <f t="shared" si="106"/>
        <v>2.1230769230769231</v>
      </c>
      <c r="H377" s="43">
        <f t="shared" si="106"/>
        <v>1.6974358974358974</v>
      </c>
      <c r="I377" s="43">
        <f t="shared" si="106"/>
        <v>6.1538461538461542</v>
      </c>
      <c r="J377" s="43">
        <f t="shared" si="106"/>
        <v>6.1538461538461542</v>
      </c>
      <c r="K377" s="43">
        <f t="shared" si="106"/>
        <v>5.9487179487179489</v>
      </c>
      <c r="L377" s="43">
        <f t="shared" si="106"/>
        <v>4.2512820512820513</v>
      </c>
      <c r="M377" s="43">
        <f t="shared" si="106"/>
        <v>3.4</v>
      </c>
      <c r="N377" s="43">
        <f t="shared" si="106"/>
        <v>7.6923076923076925</v>
      </c>
      <c r="O377" s="43">
        <f t="shared" si="106"/>
        <v>7.6923076923076925</v>
      </c>
      <c r="P377" s="43">
        <f t="shared" si="106"/>
        <v>7.6923076923076925</v>
      </c>
      <c r="Q377" s="43">
        <f t="shared" si="106"/>
        <v>4.2512820512820513</v>
      </c>
      <c r="R377" s="63">
        <f t="shared" si="106"/>
        <v>3.4</v>
      </c>
      <c r="U377" s="1601"/>
      <c r="V377" s="28">
        <v>65</v>
      </c>
      <c r="W377" s="43" cm="1">
        <f t="array" ref="W377">VLOOKUP(MAX(IF('Courbe Déflexion'!$GF$25:$GF$305&lt;=V377,'Courbe Déflexion'!$GF$25:$GF$305)),'Courbe Déflexion'!$GF$25:$IA$305,9,0)</f>
        <v>15.600000000000001</v>
      </c>
      <c r="X377" s="43">
        <f>VLOOKUP(X$84,'Infos Techniques'!$B$7:$E$12,3,0)/($V377*$X$352/12)</f>
        <v>5.1282051282051286</v>
      </c>
      <c r="Y377" s="43">
        <f>VLOOKUP(Y$84,'Infos Techniques'!$B$7:$E$12,3,0)/($V377*$X$352/12)</f>
        <v>3.5384615384615383</v>
      </c>
      <c r="Z377" s="43">
        <f>VLOOKUP(Z$84,'Infos Techniques'!$B$7:$E$12,3,0)/($V377*$X$352/12)</f>
        <v>2.9743589743589745</v>
      </c>
      <c r="AA377" s="43">
        <f>VLOOKUP(AA$84,'Infos Techniques'!$B$7:$E$12,3,0)/($V377*$X$352/12)</f>
        <v>2.1230769230769231</v>
      </c>
      <c r="AB377" s="43">
        <f>VLOOKUP(AB$84,'Infos Techniques'!$B$7:$E$12,3,0)/($V377*$X$352/12)</f>
        <v>1.6974358974358974</v>
      </c>
      <c r="AC377" s="43">
        <f>VLOOKUP(AC$84,'Infos Techniques'!$B$7:$E$12,2,0)/($V377*$X$352/12)</f>
        <v>6.1538461538461542</v>
      </c>
      <c r="AD377" s="43">
        <f>VLOOKUP(AD$84,'Infos Techniques'!$B$7:$E$12,2,0)/($V377*$X$352/12)</f>
        <v>6.1538461538461542</v>
      </c>
      <c r="AE377" s="43">
        <f>VLOOKUP(AE$84,'Infos Techniques'!$B$7:$E$12,2,0)/($V377*$X$352/12)</f>
        <v>5.9487179487179489</v>
      </c>
      <c r="AF377" s="43">
        <f>VLOOKUP(AF$84,'Infos Techniques'!$B$7:$E$12,2,0)/($V377*$X$352/12)</f>
        <v>4.2512820512820513</v>
      </c>
      <c r="AG377" s="43">
        <f>VLOOKUP(AG$84,'Infos Techniques'!$B$7:$E$12,2,0)/($V377*$X$352/12)</f>
        <v>3.4</v>
      </c>
      <c r="AH377" s="43">
        <f>VLOOKUP(AH$84,'Infos Techniques'!$B$7:$E$12,4,0)/($V377*$X$352/12)</f>
        <v>7.6923076923076925</v>
      </c>
      <c r="AI377" s="43">
        <f>VLOOKUP(AI$84,'Infos Techniques'!$B$7:$E$12,4,0)/($V377*$X$352/12)</f>
        <v>7.6923076923076925</v>
      </c>
      <c r="AJ377" s="43">
        <f>VLOOKUP(AJ$84,'Infos Techniques'!$B$7:$E$12,4,0)/($V377*$X$352/12)</f>
        <v>7.6923076923076925</v>
      </c>
      <c r="AK377" s="43">
        <f>VLOOKUP(AK$84,'Infos Techniques'!$B$7:$E$12,4,0)/($V377*$X$352/12)</f>
        <v>4.2512820512820513</v>
      </c>
      <c r="AL377" s="63">
        <f>VLOOKUP(AL$84,'Infos Techniques'!$B$7:$E$12,4,0)/($V377*$X$352/12)</f>
        <v>3.4</v>
      </c>
    </row>
    <row r="378" spans="2:38">
      <c r="B378" s="1849"/>
      <c r="C378" s="70">
        <v>70</v>
      </c>
      <c r="D378" s="76">
        <f t="shared" si="107"/>
        <v>4.7619047619047619</v>
      </c>
      <c r="E378" s="43">
        <f t="shared" si="106"/>
        <v>3.2857142857142856</v>
      </c>
      <c r="F378" s="43">
        <f t="shared" si="106"/>
        <v>2.7619047619047619</v>
      </c>
      <c r="G378" s="43">
        <f t="shared" si="106"/>
        <v>1.9714285714285715</v>
      </c>
      <c r="H378" s="43">
        <f t="shared" si="106"/>
        <v>1.5761904761904761</v>
      </c>
      <c r="I378" s="43">
        <f t="shared" si="106"/>
        <v>5.7142857142857144</v>
      </c>
      <c r="J378" s="43">
        <f t="shared" si="106"/>
        <v>5.7142857142857144</v>
      </c>
      <c r="K378" s="43">
        <f t="shared" si="106"/>
        <v>5.5238095238095237</v>
      </c>
      <c r="L378" s="43">
        <f t="shared" si="106"/>
        <v>3.9476190476190478</v>
      </c>
      <c r="M378" s="43">
        <f t="shared" si="106"/>
        <v>3.157142857142857</v>
      </c>
      <c r="N378" s="43">
        <f t="shared" si="106"/>
        <v>7.1428571428571432</v>
      </c>
      <c r="O378" s="43">
        <f t="shared" si="106"/>
        <v>7.1428571428571432</v>
      </c>
      <c r="P378" s="43">
        <f t="shared" si="106"/>
        <v>7.1428571428571432</v>
      </c>
      <c r="Q378" s="43">
        <f t="shared" si="106"/>
        <v>3.9476190476190478</v>
      </c>
      <c r="R378" s="63">
        <f t="shared" si="106"/>
        <v>3.157142857142857</v>
      </c>
      <c r="U378" s="1601"/>
      <c r="V378" s="28">
        <v>70</v>
      </c>
      <c r="W378" s="43" cm="1">
        <f t="array" ref="W378">VLOOKUP(MAX(IF('Courbe Déflexion'!$GF$25:$GF$305&lt;=V378,'Courbe Déflexion'!$GF$25:$GF$305)),'Courbe Déflexion'!$GF$25:$IA$305,9,0)</f>
        <v>16.599999999999994</v>
      </c>
      <c r="X378" s="43">
        <f>VLOOKUP(X$84,'Infos Techniques'!$B$7:$E$12,3,0)/($V378*$X$352/12)</f>
        <v>4.7619047619047619</v>
      </c>
      <c r="Y378" s="43">
        <f>VLOOKUP(Y$84,'Infos Techniques'!$B$7:$E$12,3,0)/($V378*$X$352/12)</f>
        <v>3.2857142857142856</v>
      </c>
      <c r="Z378" s="43">
        <f>VLOOKUP(Z$84,'Infos Techniques'!$B$7:$E$12,3,0)/($V378*$X$352/12)</f>
        <v>2.7619047619047619</v>
      </c>
      <c r="AA378" s="43">
        <f>VLOOKUP(AA$84,'Infos Techniques'!$B$7:$E$12,3,0)/($V378*$X$352/12)</f>
        <v>1.9714285714285715</v>
      </c>
      <c r="AB378" s="43">
        <f>VLOOKUP(AB$84,'Infos Techniques'!$B$7:$E$12,3,0)/($V378*$X$352/12)</f>
        <v>1.5761904761904761</v>
      </c>
      <c r="AC378" s="43">
        <f>VLOOKUP(AC$84,'Infos Techniques'!$B$7:$E$12,2,0)/($V378*$X$352/12)</f>
        <v>5.7142857142857144</v>
      </c>
      <c r="AD378" s="43">
        <f>VLOOKUP(AD$84,'Infos Techniques'!$B$7:$E$12,2,0)/($V378*$X$352/12)</f>
        <v>5.7142857142857144</v>
      </c>
      <c r="AE378" s="43">
        <f>VLOOKUP(AE$84,'Infos Techniques'!$B$7:$E$12,2,0)/($V378*$X$352/12)</f>
        <v>5.5238095238095237</v>
      </c>
      <c r="AF378" s="43">
        <f>VLOOKUP(AF$84,'Infos Techniques'!$B$7:$E$12,2,0)/($V378*$X$352/12)</f>
        <v>3.9476190476190478</v>
      </c>
      <c r="AG378" s="43">
        <f>VLOOKUP(AG$84,'Infos Techniques'!$B$7:$E$12,2,0)/($V378*$X$352/12)</f>
        <v>3.157142857142857</v>
      </c>
      <c r="AH378" s="43">
        <f>VLOOKUP(AH$84,'Infos Techniques'!$B$7:$E$12,4,0)/($V378*$X$352/12)</f>
        <v>7.1428571428571432</v>
      </c>
      <c r="AI378" s="43">
        <f>VLOOKUP(AI$84,'Infos Techniques'!$B$7:$E$12,4,0)/($V378*$X$352/12)</f>
        <v>7.1428571428571432</v>
      </c>
      <c r="AJ378" s="43">
        <f>VLOOKUP(AJ$84,'Infos Techniques'!$B$7:$E$12,4,0)/($V378*$X$352/12)</f>
        <v>7.1428571428571432</v>
      </c>
      <c r="AK378" s="43">
        <f>VLOOKUP(AK$84,'Infos Techniques'!$B$7:$E$12,4,0)/($V378*$X$352/12)</f>
        <v>3.9476190476190478</v>
      </c>
      <c r="AL378" s="63">
        <f>VLOOKUP(AL$84,'Infos Techniques'!$B$7:$E$12,4,0)/($V378*$X$352/12)</f>
        <v>3.157142857142857</v>
      </c>
    </row>
    <row r="379" spans="2:38" ht="15" thickBot="1">
      <c r="B379" s="1849"/>
      <c r="C379" s="71">
        <v>75</v>
      </c>
      <c r="D379" s="76">
        <f t="shared" si="107"/>
        <v>4.4444444444444446</v>
      </c>
      <c r="E379" s="43">
        <f t="shared" si="106"/>
        <v>3.0666666666666669</v>
      </c>
      <c r="F379" s="43">
        <f t="shared" si="106"/>
        <v>2.5777777777777779</v>
      </c>
      <c r="G379" s="43">
        <f t="shared" si="106"/>
        <v>1.84</v>
      </c>
      <c r="H379" s="43">
        <f t="shared" si="106"/>
        <v>1.471111111111111</v>
      </c>
      <c r="I379" s="43">
        <f t="shared" si="106"/>
        <v>5.333333333333333</v>
      </c>
      <c r="J379" s="43">
        <f t="shared" si="106"/>
        <v>5.333333333333333</v>
      </c>
      <c r="K379" s="43">
        <f t="shared" si="106"/>
        <v>5.1555555555555559</v>
      </c>
      <c r="L379" s="43">
        <f t="shared" si="106"/>
        <v>3.6844444444444444</v>
      </c>
      <c r="M379" s="43">
        <f t="shared" si="106"/>
        <v>2.9466666666666668</v>
      </c>
      <c r="N379" s="43">
        <f t="shared" si="106"/>
        <v>6.666666666666667</v>
      </c>
      <c r="O379" s="43">
        <f t="shared" si="106"/>
        <v>6.666666666666667</v>
      </c>
      <c r="P379" s="43">
        <f t="shared" si="106"/>
        <v>6.666666666666667</v>
      </c>
      <c r="Q379" s="43">
        <f t="shared" si="106"/>
        <v>3.6844444444444444</v>
      </c>
      <c r="R379" s="63">
        <f t="shared" si="106"/>
        <v>2.9466666666666668</v>
      </c>
      <c r="U379" s="1601"/>
      <c r="V379" s="28">
        <v>75</v>
      </c>
      <c r="W379" s="43" cm="1">
        <f t="array" ref="W379">VLOOKUP(MAX(IF('Courbe Déflexion'!$GF$25:$GF$305&lt;=V379,'Courbe Déflexion'!$GF$25:$GF$305)),'Courbe Déflexion'!$GF$25:$IA$305,9,0)</f>
        <v>17.800000000000004</v>
      </c>
      <c r="X379" s="43">
        <f>VLOOKUP(X$84,'Infos Techniques'!$B$7:$E$12,3,0)/($V379*$X$352/12)</f>
        <v>4.4444444444444446</v>
      </c>
      <c r="Y379" s="43">
        <f>VLOOKUP(Y$84,'Infos Techniques'!$B$7:$E$12,3,0)/($V379*$X$352/12)</f>
        <v>3.0666666666666669</v>
      </c>
      <c r="Z379" s="43">
        <f>VLOOKUP(Z$84,'Infos Techniques'!$B$7:$E$12,3,0)/($V379*$X$352/12)</f>
        <v>2.5777777777777779</v>
      </c>
      <c r="AA379" s="43">
        <f>VLOOKUP(AA$84,'Infos Techniques'!$B$7:$E$12,3,0)/($V379*$X$352/12)</f>
        <v>1.84</v>
      </c>
      <c r="AB379" s="43">
        <f>VLOOKUP(AB$84,'Infos Techniques'!$B$7:$E$12,3,0)/($V379*$X$352/12)</f>
        <v>1.471111111111111</v>
      </c>
      <c r="AC379" s="43">
        <f>VLOOKUP(AC$84,'Infos Techniques'!$B$7:$E$12,2,0)/($V379*$X$352/12)</f>
        <v>5.333333333333333</v>
      </c>
      <c r="AD379" s="43">
        <f>VLOOKUP(AD$84,'Infos Techniques'!$B$7:$E$12,2,0)/($V379*$X$352/12)</f>
        <v>5.333333333333333</v>
      </c>
      <c r="AE379" s="43">
        <f>VLOOKUP(AE$84,'Infos Techniques'!$B$7:$E$12,2,0)/($V379*$X$352/12)</f>
        <v>5.1555555555555559</v>
      </c>
      <c r="AF379" s="43">
        <f>VLOOKUP(AF$84,'Infos Techniques'!$B$7:$E$12,2,0)/($V379*$X$352/12)</f>
        <v>3.6844444444444444</v>
      </c>
      <c r="AG379" s="43">
        <f>VLOOKUP(AG$84,'Infos Techniques'!$B$7:$E$12,2,0)/($V379*$X$352/12)</f>
        <v>2.9466666666666668</v>
      </c>
      <c r="AH379" s="43">
        <f>VLOOKUP(AH$84,'Infos Techniques'!$B$7:$E$12,4,0)/($V379*$X$352/12)</f>
        <v>6.666666666666667</v>
      </c>
      <c r="AI379" s="43">
        <f>VLOOKUP(AI$84,'Infos Techniques'!$B$7:$E$12,4,0)/($V379*$X$352/12)</f>
        <v>6.666666666666667</v>
      </c>
      <c r="AJ379" s="43">
        <f>VLOOKUP(AJ$84,'Infos Techniques'!$B$7:$E$12,4,0)/($V379*$X$352/12)</f>
        <v>6.666666666666667</v>
      </c>
      <c r="AK379" s="43">
        <f>VLOOKUP(AK$84,'Infos Techniques'!$B$7:$E$12,4,0)/($V379*$X$352/12)</f>
        <v>3.6844444444444444</v>
      </c>
      <c r="AL379" s="63">
        <f>VLOOKUP(AL$84,'Infos Techniques'!$B$7:$E$12,4,0)/($V379*$X$352/12)</f>
        <v>2.9466666666666668</v>
      </c>
    </row>
    <row r="380" spans="2:38">
      <c r="B380" s="1849"/>
      <c r="C380" s="72">
        <v>80</v>
      </c>
      <c r="D380" s="76">
        <f t="shared" si="107"/>
        <v>4.166666666666667</v>
      </c>
      <c r="E380" s="43">
        <f t="shared" si="106"/>
        <v>2.875</v>
      </c>
      <c r="F380" s="43">
        <f t="shared" si="106"/>
        <v>2.4166666666666665</v>
      </c>
      <c r="G380" s="43">
        <f t="shared" si="106"/>
        <v>1.7250000000000001</v>
      </c>
      <c r="H380" s="43">
        <f t="shared" si="106"/>
        <v>1.3791666666666667</v>
      </c>
      <c r="I380" s="43">
        <f t="shared" si="106"/>
        <v>5</v>
      </c>
      <c r="J380" s="43">
        <f t="shared" si="106"/>
        <v>5</v>
      </c>
      <c r="K380" s="43">
        <f t="shared" si="106"/>
        <v>4.833333333333333</v>
      </c>
      <c r="L380" s="43">
        <f t="shared" si="106"/>
        <v>3.4541666666666666</v>
      </c>
      <c r="M380" s="43">
        <f t="shared" si="106"/>
        <v>2.7625000000000002</v>
      </c>
      <c r="N380" s="43">
        <f t="shared" si="106"/>
        <v>6.25</v>
      </c>
      <c r="O380" s="43">
        <f t="shared" si="106"/>
        <v>6.25</v>
      </c>
      <c r="P380" s="43">
        <f t="shared" si="106"/>
        <v>6.25</v>
      </c>
      <c r="Q380" s="43">
        <f t="shared" si="106"/>
        <v>3.4541666666666666</v>
      </c>
      <c r="R380" s="63">
        <f t="shared" si="106"/>
        <v>2.7625000000000002</v>
      </c>
      <c r="U380" s="1601"/>
      <c r="V380" s="28">
        <v>80</v>
      </c>
      <c r="W380" s="43" cm="1">
        <f t="array" ref="W380">VLOOKUP(MAX(IF('Courbe Déflexion'!$GF$25:$GF$305&lt;=V380,'Courbe Déflexion'!$GF$25:$GF$305)),'Courbe Déflexion'!$GF$25:$IA$305,9,0)</f>
        <v>19.200000000000006</v>
      </c>
      <c r="X380" s="43">
        <f>VLOOKUP(X$84,'Infos Techniques'!$B$7:$E$12,3,0)/($V380*$X$352/12)</f>
        <v>4.166666666666667</v>
      </c>
      <c r="Y380" s="43">
        <f>VLOOKUP(Y$84,'Infos Techniques'!$B$7:$E$12,3,0)/($V380*$X$352/12)</f>
        <v>2.875</v>
      </c>
      <c r="Z380" s="43">
        <f>VLOOKUP(Z$84,'Infos Techniques'!$B$7:$E$12,3,0)/($V380*$X$352/12)</f>
        <v>2.4166666666666665</v>
      </c>
      <c r="AA380" s="43">
        <f>VLOOKUP(AA$84,'Infos Techniques'!$B$7:$E$12,3,0)/($V380*$X$352/12)</f>
        <v>1.7250000000000001</v>
      </c>
      <c r="AB380" s="43">
        <f>VLOOKUP(AB$84,'Infos Techniques'!$B$7:$E$12,3,0)/($V380*$X$352/12)</f>
        <v>1.3791666666666667</v>
      </c>
      <c r="AC380" s="43">
        <f>VLOOKUP(AC$84,'Infos Techniques'!$B$7:$E$12,2,0)/($V380*$X$352/12)</f>
        <v>5</v>
      </c>
      <c r="AD380" s="43">
        <f>VLOOKUP(AD$84,'Infos Techniques'!$B$7:$E$12,2,0)/($V380*$X$352/12)</f>
        <v>5</v>
      </c>
      <c r="AE380" s="43">
        <f>VLOOKUP(AE$84,'Infos Techniques'!$B$7:$E$12,2,0)/($V380*$X$352/12)</f>
        <v>4.833333333333333</v>
      </c>
      <c r="AF380" s="43">
        <f>VLOOKUP(AF$84,'Infos Techniques'!$B$7:$E$12,2,0)/($V380*$X$352/12)</f>
        <v>3.4541666666666666</v>
      </c>
      <c r="AG380" s="43">
        <f>VLOOKUP(AG$84,'Infos Techniques'!$B$7:$E$12,2,0)/($V380*$X$352/12)</f>
        <v>2.7625000000000002</v>
      </c>
      <c r="AH380" s="43">
        <f>VLOOKUP(AH$84,'Infos Techniques'!$B$7:$E$12,4,0)/($V380*$X$352/12)</f>
        <v>6.25</v>
      </c>
      <c r="AI380" s="43">
        <f>VLOOKUP(AI$84,'Infos Techniques'!$B$7:$E$12,4,0)/($V380*$X$352/12)</f>
        <v>6.25</v>
      </c>
      <c r="AJ380" s="43">
        <f>VLOOKUP(AJ$84,'Infos Techniques'!$B$7:$E$12,4,0)/($V380*$X$352/12)</f>
        <v>6.25</v>
      </c>
      <c r="AK380" s="43">
        <f>VLOOKUP(AK$84,'Infos Techniques'!$B$7:$E$12,4,0)/($V380*$X$352/12)</f>
        <v>3.4541666666666666</v>
      </c>
      <c r="AL380" s="63">
        <f>VLOOKUP(AL$84,'Infos Techniques'!$B$7:$E$12,4,0)/($V380*$X$352/12)</f>
        <v>2.7625000000000002</v>
      </c>
    </row>
    <row r="381" spans="2:38">
      <c r="B381" s="1849"/>
      <c r="C381" s="70">
        <v>85</v>
      </c>
      <c r="D381" s="76">
        <f t="shared" si="107"/>
        <v>3.9215686274509802</v>
      </c>
      <c r="E381" s="43">
        <f t="shared" si="107"/>
        <v>2.7058823529411766</v>
      </c>
      <c r="F381" s="43">
        <f t="shared" si="107"/>
        <v>2.2745098039215685</v>
      </c>
      <c r="G381" s="43">
        <f t="shared" si="107"/>
        <v>1.6235294117647059</v>
      </c>
      <c r="H381" s="43">
        <f t="shared" si="107"/>
        <v>1.2980392156862746</v>
      </c>
      <c r="I381" s="43">
        <f t="shared" si="107"/>
        <v>4.7058823529411766</v>
      </c>
      <c r="J381" s="43">
        <f t="shared" si="107"/>
        <v>4.7058823529411766</v>
      </c>
      <c r="K381" s="43">
        <f t="shared" si="107"/>
        <v>4.5490196078431371</v>
      </c>
      <c r="L381" s="43">
        <f t="shared" si="107"/>
        <v>3.2509803921568627</v>
      </c>
      <c r="M381" s="43">
        <f t="shared" si="107"/>
        <v>2.6</v>
      </c>
      <c r="N381" s="43">
        <f t="shared" si="107"/>
        <v>5.882352941176471</v>
      </c>
      <c r="O381" s="43">
        <f t="shared" si="107"/>
        <v>5.882352941176471</v>
      </c>
      <c r="P381" s="43">
        <f t="shared" si="107"/>
        <v>5.882352941176471</v>
      </c>
      <c r="Q381" s="43">
        <f t="shared" si="107"/>
        <v>3.2509803921568627</v>
      </c>
      <c r="R381" s="63">
        <f t="shared" si="107"/>
        <v>2.6</v>
      </c>
      <c r="U381" s="1601"/>
      <c r="V381" s="28">
        <v>85</v>
      </c>
      <c r="W381" s="43" cm="1">
        <f t="array" ref="W381">VLOOKUP(MAX(IF('Courbe Déflexion'!$GF$25:$GF$305&lt;=V381,'Courbe Déflexion'!$GF$25:$GF$305)),'Courbe Déflexion'!$GF$25:$IA$305,9,0)</f>
        <v>20.200000000000003</v>
      </c>
      <c r="X381" s="43">
        <f>VLOOKUP(X$84,'Infos Techniques'!$B$7:$E$12,3,0)/($V381*$X$352/12)</f>
        <v>3.9215686274509802</v>
      </c>
      <c r="Y381" s="43">
        <f>VLOOKUP(Y$84,'Infos Techniques'!$B$7:$E$12,3,0)/($V381*$X$352/12)</f>
        <v>2.7058823529411766</v>
      </c>
      <c r="Z381" s="43">
        <f>VLOOKUP(Z$84,'Infos Techniques'!$B$7:$E$12,3,0)/($V381*$X$352/12)</f>
        <v>2.2745098039215685</v>
      </c>
      <c r="AA381" s="43">
        <f>VLOOKUP(AA$84,'Infos Techniques'!$B$7:$E$12,3,0)/($V381*$X$352/12)</f>
        <v>1.6235294117647059</v>
      </c>
      <c r="AB381" s="43">
        <f>VLOOKUP(AB$84,'Infos Techniques'!$B$7:$E$12,3,0)/($V381*$X$352/12)</f>
        <v>1.2980392156862746</v>
      </c>
      <c r="AC381" s="43">
        <f>VLOOKUP(AC$84,'Infos Techniques'!$B$7:$E$12,2,0)/($V381*$X$352/12)</f>
        <v>4.7058823529411766</v>
      </c>
      <c r="AD381" s="43">
        <f>VLOOKUP(AD$84,'Infos Techniques'!$B$7:$E$12,2,0)/($V381*$X$352/12)</f>
        <v>4.7058823529411766</v>
      </c>
      <c r="AE381" s="43">
        <f>VLOOKUP(AE$84,'Infos Techniques'!$B$7:$E$12,2,0)/($V381*$X$352/12)</f>
        <v>4.5490196078431371</v>
      </c>
      <c r="AF381" s="43">
        <f>VLOOKUP(AF$84,'Infos Techniques'!$B$7:$E$12,2,0)/($V381*$X$352/12)</f>
        <v>3.2509803921568627</v>
      </c>
      <c r="AG381" s="43">
        <f>VLOOKUP(AG$84,'Infos Techniques'!$B$7:$E$12,2,0)/($V381*$X$352/12)</f>
        <v>2.6</v>
      </c>
      <c r="AH381" s="43">
        <f>VLOOKUP(AH$84,'Infos Techniques'!$B$7:$E$12,4,0)/($V381*$X$352/12)</f>
        <v>5.882352941176471</v>
      </c>
      <c r="AI381" s="43">
        <f>VLOOKUP(AI$84,'Infos Techniques'!$B$7:$E$12,4,0)/($V381*$X$352/12)</f>
        <v>5.882352941176471</v>
      </c>
      <c r="AJ381" s="43">
        <f>VLOOKUP(AJ$84,'Infos Techniques'!$B$7:$E$12,4,0)/($V381*$X$352/12)</f>
        <v>5.882352941176471</v>
      </c>
      <c r="AK381" s="43">
        <f>VLOOKUP(AK$84,'Infos Techniques'!$B$7:$E$12,4,0)/($V381*$X$352/12)</f>
        <v>3.2509803921568627</v>
      </c>
      <c r="AL381" s="63">
        <f>VLOOKUP(AL$84,'Infos Techniques'!$B$7:$E$12,4,0)/($V381*$X$352/12)</f>
        <v>2.6</v>
      </c>
    </row>
    <row r="382" spans="2:38">
      <c r="B382" s="1849"/>
      <c r="C382" s="70">
        <v>90</v>
      </c>
      <c r="D382" s="76">
        <f t="shared" si="107"/>
        <v>3.7037037037037037</v>
      </c>
      <c r="E382" s="43">
        <f t="shared" si="107"/>
        <v>2.5555555555555554</v>
      </c>
      <c r="F382" s="43">
        <f t="shared" si="107"/>
        <v>2.1481481481481484</v>
      </c>
      <c r="G382" s="43">
        <f t="shared" si="107"/>
        <v>1.5333333333333334</v>
      </c>
      <c r="H382" s="43">
        <f t="shared" si="107"/>
        <v>1.2259259259259259</v>
      </c>
      <c r="I382" s="43">
        <f t="shared" si="107"/>
        <v>4.4444444444444446</v>
      </c>
      <c r="J382" s="43">
        <f t="shared" si="107"/>
        <v>4.4444444444444446</v>
      </c>
      <c r="K382" s="43">
        <f t="shared" si="107"/>
        <v>4.2962962962962967</v>
      </c>
      <c r="L382" s="43">
        <f t="shared" si="107"/>
        <v>3.0703703703703704</v>
      </c>
      <c r="M382" s="43">
        <f t="shared" si="107"/>
        <v>2.4555555555555557</v>
      </c>
      <c r="N382" s="43">
        <f t="shared" si="107"/>
        <v>5.5555555555555554</v>
      </c>
      <c r="O382" s="43">
        <f t="shared" si="107"/>
        <v>5.5555555555555554</v>
      </c>
      <c r="P382" s="43">
        <f t="shared" si="107"/>
        <v>5.5555555555555554</v>
      </c>
      <c r="Q382" s="43">
        <f t="shared" si="107"/>
        <v>3.0703703703703704</v>
      </c>
      <c r="R382" s="63">
        <f t="shared" si="107"/>
        <v>2.4555555555555557</v>
      </c>
      <c r="U382" s="1601"/>
      <c r="V382" s="28">
        <v>90</v>
      </c>
      <c r="W382" s="43" cm="1">
        <f t="array" ref="W382">VLOOKUP(MAX(IF('Courbe Déflexion'!$GF$25:$GF$305&lt;=V382,'Courbe Déflexion'!$GF$25:$GF$305)),'Courbe Déflexion'!$GF$25:$IA$305,9,0)</f>
        <v>21.299999999999994</v>
      </c>
      <c r="X382" s="43">
        <f>VLOOKUP(X$84,'Infos Techniques'!$B$7:$E$12,3,0)/($V382*$X$352/12)</f>
        <v>3.7037037037037037</v>
      </c>
      <c r="Y382" s="43">
        <f>VLOOKUP(Y$84,'Infos Techniques'!$B$7:$E$12,3,0)/($V382*$X$352/12)</f>
        <v>2.5555555555555554</v>
      </c>
      <c r="Z382" s="43">
        <f>VLOOKUP(Z$84,'Infos Techniques'!$B$7:$E$12,3,0)/($V382*$X$352/12)</f>
        <v>2.1481481481481484</v>
      </c>
      <c r="AA382" s="43">
        <f>VLOOKUP(AA$84,'Infos Techniques'!$B$7:$E$12,3,0)/($V382*$X$352/12)</f>
        <v>1.5333333333333334</v>
      </c>
      <c r="AB382" s="43">
        <f>VLOOKUP(AB$84,'Infos Techniques'!$B$7:$E$12,3,0)/($V382*$X$352/12)</f>
        <v>1.2259259259259259</v>
      </c>
      <c r="AC382" s="43">
        <f>VLOOKUP(AC$84,'Infos Techniques'!$B$7:$E$12,2,0)/($V382*$X$352/12)</f>
        <v>4.4444444444444446</v>
      </c>
      <c r="AD382" s="43">
        <f>VLOOKUP(AD$84,'Infos Techniques'!$B$7:$E$12,2,0)/($V382*$X$352/12)</f>
        <v>4.4444444444444446</v>
      </c>
      <c r="AE382" s="43">
        <f>VLOOKUP(AE$84,'Infos Techniques'!$B$7:$E$12,2,0)/($V382*$X$352/12)</f>
        <v>4.2962962962962967</v>
      </c>
      <c r="AF382" s="43">
        <f>VLOOKUP(AF$84,'Infos Techniques'!$B$7:$E$12,2,0)/($V382*$X$352/12)</f>
        <v>3.0703703703703704</v>
      </c>
      <c r="AG382" s="43">
        <f>VLOOKUP(AG$84,'Infos Techniques'!$B$7:$E$12,2,0)/($V382*$X$352/12)</f>
        <v>2.4555555555555557</v>
      </c>
      <c r="AH382" s="43">
        <f>VLOOKUP(AH$84,'Infos Techniques'!$B$7:$E$12,4,0)/($V382*$X$352/12)</f>
        <v>5.5555555555555554</v>
      </c>
      <c r="AI382" s="43">
        <f>VLOOKUP(AI$84,'Infos Techniques'!$B$7:$E$12,4,0)/($V382*$X$352/12)</f>
        <v>5.5555555555555554</v>
      </c>
      <c r="AJ382" s="43">
        <f>VLOOKUP(AJ$84,'Infos Techniques'!$B$7:$E$12,4,0)/($V382*$X$352/12)</f>
        <v>5.5555555555555554</v>
      </c>
      <c r="AK382" s="43">
        <f>VLOOKUP(AK$84,'Infos Techniques'!$B$7:$E$12,4,0)/($V382*$X$352/12)</f>
        <v>3.0703703703703704</v>
      </c>
      <c r="AL382" s="63">
        <f>VLOOKUP(AL$84,'Infos Techniques'!$B$7:$E$12,4,0)/($V382*$X$352/12)</f>
        <v>2.4555555555555557</v>
      </c>
    </row>
    <row r="383" spans="2:38">
      <c r="B383" s="1849"/>
      <c r="C383" s="70">
        <v>95</v>
      </c>
      <c r="D383" s="76">
        <f t="shared" si="107"/>
        <v>3.5087719298245612</v>
      </c>
      <c r="E383" s="43">
        <f t="shared" si="107"/>
        <v>2.4210526315789473</v>
      </c>
      <c r="F383" s="43">
        <f t="shared" si="107"/>
        <v>2.0350877192982457</v>
      </c>
      <c r="G383" s="43">
        <f t="shared" si="107"/>
        <v>1.4526315789473685</v>
      </c>
      <c r="H383" s="43">
        <f t="shared" si="107"/>
        <v>1.1614035087719299</v>
      </c>
      <c r="I383" s="43">
        <f t="shared" si="107"/>
        <v>4.2105263157894735</v>
      </c>
      <c r="J383" s="43">
        <f t="shared" si="107"/>
        <v>4.2105263157894735</v>
      </c>
      <c r="K383" s="43">
        <f t="shared" si="107"/>
        <v>4.0701754385964914</v>
      </c>
      <c r="L383" s="43">
        <f t="shared" si="107"/>
        <v>2.9087719298245616</v>
      </c>
      <c r="M383" s="43">
        <f t="shared" si="107"/>
        <v>2.3263157894736843</v>
      </c>
      <c r="N383" s="43">
        <f t="shared" si="107"/>
        <v>5.2631578947368425</v>
      </c>
      <c r="O383" s="43">
        <f t="shared" si="107"/>
        <v>5.2631578947368425</v>
      </c>
      <c r="P383" s="43">
        <f t="shared" si="107"/>
        <v>5.2631578947368425</v>
      </c>
      <c r="Q383" s="43">
        <f t="shared" si="107"/>
        <v>2.9087719298245616</v>
      </c>
      <c r="R383" s="63">
        <f t="shared" si="107"/>
        <v>2.3263157894736843</v>
      </c>
      <c r="U383" s="1601"/>
      <c r="V383" s="28">
        <v>95</v>
      </c>
      <c r="W383" s="43" cm="1">
        <f t="array" ref="W383">VLOOKUP(MAX(IF('Courbe Déflexion'!$GF$25:$GF$305&lt;=V383,'Courbe Déflexion'!$GF$25:$GF$305)),'Courbe Déflexion'!$GF$25:$IA$305,9,0)</f>
        <v>22.799999999999997</v>
      </c>
      <c r="X383" s="43">
        <f>VLOOKUP(X$84,'Infos Techniques'!$B$7:$E$12,3,0)/($V383*$X$352/12)</f>
        <v>3.5087719298245612</v>
      </c>
      <c r="Y383" s="43">
        <f>VLOOKUP(Y$84,'Infos Techniques'!$B$7:$E$12,3,0)/($V383*$X$352/12)</f>
        <v>2.4210526315789473</v>
      </c>
      <c r="Z383" s="43">
        <f>VLOOKUP(Z$84,'Infos Techniques'!$B$7:$E$12,3,0)/($V383*$X$352/12)</f>
        <v>2.0350877192982457</v>
      </c>
      <c r="AA383" s="43">
        <f>VLOOKUP(AA$84,'Infos Techniques'!$B$7:$E$12,3,0)/($V383*$X$352/12)</f>
        <v>1.4526315789473685</v>
      </c>
      <c r="AB383" s="43">
        <f>VLOOKUP(AB$84,'Infos Techniques'!$B$7:$E$12,3,0)/($V383*$X$352/12)</f>
        <v>1.1614035087719299</v>
      </c>
      <c r="AC383" s="43">
        <f>VLOOKUP(AC$84,'Infos Techniques'!$B$7:$E$12,2,0)/($V383*$X$352/12)</f>
        <v>4.2105263157894735</v>
      </c>
      <c r="AD383" s="43">
        <f>VLOOKUP(AD$84,'Infos Techniques'!$B$7:$E$12,2,0)/($V383*$X$352/12)</f>
        <v>4.2105263157894735</v>
      </c>
      <c r="AE383" s="43">
        <f>VLOOKUP(AE$84,'Infos Techniques'!$B$7:$E$12,2,0)/($V383*$X$352/12)</f>
        <v>4.0701754385964914</v>
      </c>
      <c r="AF383" s="43">
        <f>VLOOKUP(AF$84,'Infos Techniques'!$B$7:$E$12,2,0)/($V383*$X$352/12)</f>
        <v>2.9087719298245616</v>
      </c>
      <c r="AG383" s="43">
        <f>VLOOKUP(AG$84,'Infos Techniques'!$B$7:$E$12,2,0)/($V383*$X$352/12)</f>
        <v>2.3263157894736843</v>
      </c>
      <c r="AH383" s="43">
        <f>VLOOKUP(AH$84,'Infos Techniques'!$B$7:$E$12,4,0)/($V383*$X$352/12)</f>
        <v>5.2631578947368425</v>
      </c>
      <c r="AI383" s="43">
        <f>VLOOKUP(AI$84,'Infos Techniques'!$B$7:$E$12,4,0)/($V383*$X$352/12)</f>
        <v>5.2631578947368425</v>
      </c>
      <c r="AJ383" s="43">
        <f>VLOOKUP(AJ$84,'Infos Techniques'!$B$7:$E$12,4,0)/($V383*$X$352/12)</f>
        <v>5.2631578947368425</v>
      </c>
      <c r="AK383" s="43">
        <f>VLOOKUP(AK$84,'Infos Techniques'!$B$7:$E$12,4,0)/($V383*$X$352/12)</f>
        <v>2.9087719298245616</v>
      </c>
      <c r="AL383" s="63">
        <f>VLOOKUP(AL$84,'Infos Techniques'!$B$7:$E$12,4,0)/($V383*$X$352/12)</f>
        <v>2.3263157894736843</v>
      </c>
    </row>
    <row r="384" spans="2:38" ht="15" thickBot="1">
      <c r="B384" s="1850"/>
      <c r="C384" s="73">
        <v>100</v>
      </c>
      <c r="D384" s="79">
        <f t="shared" si="107"/>
        <v>3.3333333333333335</v>
      </c>
      <c r="E384" s="45">
        <f t="shared" si="107"/>
        <v>2.2999999999999998</v>
      </c>
      <c r="F384" s="45">
        <f t="shared" si="107"/>
        <v>1.9333333333333333</v>
      </c>
      <c r="G384" s="45">
        <f t="shared" si="107"/>
        <v>1.38</v>
      </c>
      <c r="H384" s="45">
        <f t="shared" si="107"/>
        <v>1.1033333333333333</v>
      </c>
      <c r="I384" s="45">
        <f t="shared" si="107"/>
        <v>4</v>
      </c>
      <c r="J384" s="45">
        <f t="shared" si="107"/>
        <v>4</v>
      </c>
      <c r="K384" s="45">
        <f t="shared" si="107"/>
        <v>3.8666666666666667</v>
      </c>
      <c r="L384" s="45">
        <f t="shared" si="107"/>
        <v>2.7633333333333332</v>
      </c>
      <c r="M384" s="45">
        <f t="shared" si="107"/>
        <v>2.21</v>
      </c>
      <c r="N384" s="45">
        <f t="shared" si="107"/>
        <v>5</v>
      </c>
      <c r="O384" s="45">
        <f t="shared" si="107"/>
        <v>5</v>
      </c>
      <c r="P384" s="45">
        <f t="shared" si="107"/>
        <v>5</v>
      </c>
      <c r="Q384" s="45">
        <f t="shared" si="107"/>
        <v>2.7633333333333332</v>
      </c>
      <c r="R384" s="66">
        <f t="shared" si="107"/>
        <v>2.21</v>
      </c>
      <c r="U384" s="1602"/>
      <c r="V384" s="44">
        <v>100</v>
      </c>
      <c r="W384" s="45" cm="1">
        <f t="array" ref="W384">VLOOKUP(MAX(IF('Courbe Déflexion'!$GF$25:$GF$305&lt;=V384,'Courbe Déflexion'!$GF$25:$GF$305)),'Courbe Déflexion'!$GF$25:$IA$305,9,0)</f>
        <v>24</v>
      </c>
      <c r="X384" s="45">
        <f>VLOOKUP(X$84,'Infos Techniques'!$B$7:$E$12,3,0)/($V384*$X$352/12)</f>
        <v>3.3333333333333335</v>
      </c>
      <c r="Y384" s="45">
        <f>VLOOKUP(Y$84,'Infos Techniques'!$B$7:$E$12,3,0)/($V384*$X$352/12)</f>
        <v>2.2999999999999998</v>
      </c>
      <c r="Z384" s="45">
        <f>VLOOKUP(Z$84,'Infos Techniques'!$B$7:$E$12,3,0)/($V384*$X$352/12)</f>
        <v>1.9333333333333333</v>
      </c>
      <c r="AA384" s="45">
        <f>VLOOKUP(AA$84,'Infos Techniques'!$B$7:$E$12,3,0)/($V384*$X$352/12)</f>
        <v>1.38</v>
      </c>
      <c r="AB384" s="45">
        <f>VLOOKUP(AB$84,'Infos Techniques'!$B$7:$E$12,3,0)/($V384*$X$352/12)</f>
        <v>1.1033333333333333</v>
      </c>
      <c r="AC384" s="45">
        <f>VLOOKUP(AC$84,'Infos Techniques'!$B$7:$E$12,2,0)/($V384*$X$352/12)</f>
        <v>4</v>
      </c>
      <c r="AD384" s="45">
        <f>VLOOKUP(AD$84,'Infos Techniques'!$B$7:$E$12,2,0)/($V384*$X$352/12)</f>
        <v>4</v>
      </c>
      <c r="AE384" s="45">
        <f>VLOOKUP(AE$84,'Infos Techniques'!$B$7:$E$12,2,0)/($V384*$X$352/12)</f>
        <v>3.8666666666666667</v>
      </c>
      <c r="AF384" s="45">
        <f>VLOOKUP(AF$84,'Infos Techniques'!$B$7:$E$12,2,0)/($V384*$X$352/12)</f>
        <v>2.7633333333333332</v>
      </c>
      <c r="AG384" s="45">
        <f>VLOOKUP(AG$84,'Infos Techniques'!$B$7:$E$12,2,0)/($V384*$X$352/12)</f>
        <v>2.21</v>
      </c>
      <c r="AH384" s="45">
        <f>VLOOKUP(AH$84,'Infos Techniques'!$B$7:$E$12,4,0)/($V384*$X$352/12)</f>
        <v>5</v>
      </c>
      <c r="AI384" s="45">
        <f>VLOOKUP(AI$84,'Infos Techniques'!$B$7:$E$12,4,0)/($V384*$X$352/12)</f>
        <v>5</v>
      </c>
      <c r="AJ384" s="45">
        <f>VLOOKUP(AJ$84,'Infos Techniques'!$B$7:$E$12,4,0)/($V384*$X$352/12)</f>
        <v>5</v>
      </c>
      <c r="AK384" s="45">
        <f>VLOOKUP(AK$84,'Infos Techniques'!$B$7:$E$12,4,0)/($V384*$X$352/12)</f>
        <v>2.7633333333333332</v>
      </c>
      <c r="AL384" s="66">
        <f>VLOOKUP(AL$84,'Infos Techniques'!$B$7:$E$12,4,0)/($V384*$X$352/12)</f>
        <v>2.21</v>
      </c>
    </row>
    <row r="385" spans="2:38" ht="15" thickTop="1"/>
    <row r="394" spans="2:38" ht="25.9">
      <c r="B394" s="1851" t="s">
        <v>1682</v>
      </c>
      <c r="C394" s="1852"/>
      <c r="D394" s="1852"/>
      <c r="E394" s="1852"/>
      <c r="F394" s="1852"/>
      <c r="G394" s="1852"/>
      <c r="H394" s="1852"/>
      <c r="I394" s="1852"/>
      <c r="J394" s="1852"/>
      <c r="K394" s="1852"/>
      <c r="L394" s="1852"/>
      <c r="M394" s="1852"/>
      <c r="N394" s="1852"/>
      <c r="O394" s="1852"/>
      <c r="P394" s="1852"/>
      <c r="Q394" s="1852"/>
      <c r="R394" s="1852"/>
    </row>
    <row r="395" spans="2:38" ht="25.9">
      <c r="B395" s="262"/>
      <c r="C395" s="263"/>
      <c r="D395" s="263"/>
      <c r="E395" s="263"/>
      <c r="F395" s="263"/>
      <c r="G395" s="263"/>
      <c r="H395" s="263"/>
      <c r="I395" s="263"/>
      <c r="J395" s="263"/>
      <c r="K395" s="263"/>
      <c r="L395" s="263"/>
      <c r="M395" s="263"/>
      <c r="N395" s="263"/>
      <c r="O395" s="263"/>
      <c r="P395" s="263"/>
      <c r="Q395" s="263"/>
      <c r="R395" s="263"/>
    </row>
    <row r="396" spans="2:38" ht="26.45" thickBot="1">
      <c r="B396" s="1803" t="s">
        <v>1662</v>
      </c>
      <c r="C396" s="1803"/>
      <c r="D396" s="1803"/>
      <c r="E396" s="1803"/>
      <c r="F396" s="1803"/>
      <c r="G396" s="1803"/>
      <c r="H396" s="1803"/>
      <c r="I396" s="1803"/>
      <c r="J396" s="1803"/>
      <c r="K396" s="1803"/>
      <c r="L396" s="1803"/>
      <c r="M396" s="1803"/>
      <c r="N396" s="1803"/>
      <c r="O396" s="1803"/>
      <c r="P396" s="1803"/>
      <c r="Q396" s="1803"/>
      <c r="R396" s="1803"/>
    </row>
    <row r="397" spans="2:38" ht="15.6" thickTop="1" thickBot="1">
      <c r="U397" s="1808"/>
      <c r="V397" s="1809"/>
      <c r="W397" s="1606" t="s">
        <v>315</v>
      </c>
      <c r="X397" s="1606" t="s">
        <v>263</v>
      </c>
      <c r="Y397" s="1606"/>
      <c r="Z397" s="1606"/>
      <c r="AA397" s="1606"/>
      <c r="AB397" s="1606"/>
      <c r="AC397" s="1606"/>
      <c r="AD397" s="1606"/>
      <c r="AE397" s="1606"/>
      <c r="AF397" s="1606"/>
      <c r="AG397" s="1606"/>
      <c r="AH397" s="1606"/>
      <c r="AI397" s="1606"/>
      <c r="AJ397" s="1606"/>
      <c r="AK397" s="1606"/>
      <c r="AL397" s="1832"/>
    </row>
    <row r="398" spans="2:38" ht="21.6" thickTop="1">
      <c r="B398" s="1812"/>
      <c r="C398" s="1813"/>
      <c r="D398" s="1837" t="s">
        <v>263</v>
      </c>
      <c r="E398" s="1838"/>
      <c r="F398" s="1838"/>
      <c r="G398" s="1838"/>
      <c r="H398" s="1838"/>
      <c r="I398" s="1838"/>
      <c r="J398" s="1838"/>
      <c r="K398" s="1838"/>
      <c r="L398" s="1838"/>
      <c r="M398" s="1838"/>
      <c r="N398" s="1838"/>
      <c r="O398" s="1838"/>
      <c r="P398" s="1838"/>
      <c r="Q398" s="1838"/>
      <c r="R398" s="1839"/>
      <c r="U398" s="1810"/>
      <c r="V398" s="1811"/>
      <c r="W398" s="1571"/>
      <c r="X398" s="54"/>
      <c r="Y398" s="55"/>
      <c r="Z398" s="55"/>
      <c r="AA398" s="55"/>
      <c r="AB398" s="56"/>
      <c r="AC398" s="54"/>
      <c r="AD398" s="55"/>
      <c r="AE398" s="55"/>
      <c r="AF398" s="55"/>
      <c r="AG398" s="56"/>
      <c r="AH398" s="54"/>
      <c r="AI398" s="55"/>
      <c r="AJ398" s="55"/>
      <c r="AK398" s="55"/>
      <c r="AL398" s="57"/>
    </row>
    <row r="399" spans="2:38" ht="16.149999999999999" thickBot="1">
      <c r="B399" s="1814"/>
      <c r="C399" s="1397"/>
      <c r="D399" s="1840" t="s">
        <v>1663</v>
      </c>
      <c r="E399" s="1841"/>
      <c r="F399" s="1841"/>
      <c r="G399" s="1841"/>
      <c r="H399" s="1841"/>
      <c r="I399" s="1841" t="s">
        <v>321</v>
      </c>
      <c r="J399" s="1841"/>
      <c r="K399" s="1841"/>
      <c r="L399" s="1841"/>
      <c r="M399" s="1841"/>
      <c r="N399" s="1841" t="s">
        <v>322</v>
      </c>
      <c r="O399" s="1841"/>
      <c r="P399" s="1841"/>
      <c r="Q399" s="1841"/>
      <c r="R399" s="1842"/>
      <c r="U399" s="1646"/>
      <c r="V399" s="1113"/>
      <c r="W399" s="1603"/>
      <c r="X399" s="1833" t="s">
        <v>1663</v>
      </c>
      <c r="Y399" s="1834"/>
      <c r="Z399" s="1834"/>
      <c r="AA399" s="1834"/>
      <c r="AB399" s="1835"/>
      <c r="AC399" s="1833" t="s">
        <v>321</v>
      </c>
      <c r="AD399" s="1834"/>
      <c r="AE399" s="1834"/>
      <c r="AF399" s="1834"/>
      <c r="AG399" s="1835"/>
      <c r="AH399" s="1833" t="s">
        <v>322</v>
      </c>
      <c r="AI399" s="1834"/>
      <c r="AJ399" s="1834"/>
      <c r="AK399" s="1834"/>
      <c r="AL399" s="1836"/>
    </row>
    <row r="400" spans="2:38" ht="17.45">
      <c r="B400" s="1814"/>
      <c r="C400" s="1397"/>
      <c r="D400" s="1843" t="s">
        <v>1664</v>
      </c>
      <c r="E400" s="1844"/>
      <c r="F400" s="1844"/>
      <c r="G400" s="1844"/>
      <c r="H400" s="1845"/>
      <c r="I400" s="1846" t="s">
        <v>1664</v>
      </c>
      <c r="J400" s="1844"/>
      <c r="K400" s="1844"/>
      <c r="L400" s="1844"/>
      <c r="M400" s="1845"/>
      <c r="N400" s="1846" t="s">
        <v>1664</v>
      </c>
      <c r="O400" s="1844"/>
      <c r="P400" s="1844"/>
      <c r="Q400" s="1844"/>
      <c r="R400" s="1847"/>
      <c r="U400" s="1646"/>
      <c r="V400" s="1113"/>
      <c r="W400" s="29"/>
      <c r="X400" s="237"/>
      <c r="Y400" s="80"/>
      <c r="Z400" s="80"/>
      <c r="AA400" s="80"/>
      <c r="AB400" s="239"/>
      <c r="AC400" s="237"/>
      <c r="AD400" s="80"/>
      <c r="AE400" s="80"/>
      <c r="AF400" s="80"/>
      <c r="AG400" s="239"/>
      <c r="AH400" s="237"/>
      <c r="AI400" s="80"/>
      <c r="AJ400" s="80"/>
      <c r="AK400" s="80"/>
      <c r="AL400" s="238"/>
    </row>
    <row r="401" spans="2:38" ht="14.45" customHeight="1" thickBot="1">
      <c r="B401" s="1815"/>
      <c r="C401" s="1816"/>
      <c r="D401" s="74" t="s">
        <v>1665</v>
      </c>
      <c r="E401" s="50" t="s">
        <v>334</v>
      </c>
      <c r="F401" s="50" t="s">
        <v>335</v>
      </c>
      <c r="G401" s="50" t="s">
        <v>336</v>
      </c>
      <c r="H401" s="51" t="s">
        <v>337</v>
      </c>
      <c r="I401" s="49" t="s">
        <v>1665</v>
      </c>
      <c r="J401" s="50" t="s">
        <v>1666</v>
      </c>
      <c r="K401" s="50" t="s">
        <v>1667</v>
      </c>
      <c r="L401" s="50" t="s">
        <v>1668</v>
      </c>
      <c r="M401" s="52" t="s">
        <v>1669</v>
      </c>
      <c r="N401" s="49" t="s">
        <v>1670</v>
      </c>
      <c r="O401" s="50" t="s">
        <v>1666</v>
      </c>
      <c r="P401" s="50" t="s">
        <v>1667</v>
      </c>
      <c r="Q401" s="50" t="s">
        <v>1668</v>
      </c>
      <c r="R401" s="53" t="s">
        <v>1669</v>
      </c>
      <c r="U401" s="1646"/>
      <c r="V401" s="1113"/>
      <c r="W401" s="29" t="s">
        <v>333</v>
      </c>
      <c r="X401" s="28">
        <v>0.1875</v>
      </c>
      <c r="Y401" s="28" t="s">
        <v>334</v>
      </c>
      <c r="Z401" s="28" t="s">
        <v>335</v>
      </c>
      <c r="AA401" s="28" t="s">
        <v>336</v>
      </c>
      <c r="AB401" s="28" t="s">
        <v>337</v>
      </c>
      <c r="AC401" s="28">
        <v>0.1875</v>
      </c>
      <c r="AD401" s="28" t="s">
        <v>334</v>
      </c>
      <c r="AE401" s="28" t="s">
        <v>335</v>
      </c>
      <c r="AF401" s="28" t="s">
        <v>336</v>
      </c>
      <c r="AG401" s="28" t="s">
        <v>337</v>
      </c>
      <c r="AH401" s="28">
        <v>0.1875</v>
      </c>
      <c r="AI401" s="28" t="s">
        <v>334</v>
      </c>
      <c r="AJ401" s="28" t="s">
        <v>335</v>
      </c>
      <c r="AK401" s="28" t="s">
        <v>336</v>
      </c>
      <c r="AL401" s="40" t="s">
        <v>337</v>
      </c>
    </row>
    <row r="402" spans="2:38">
      <c r="B402" s="1848" t="s">
        <v>1671</v>
      </c>
      <c r="C402" s="69">
        <v>5</v>
      </c>
      <c r="D402" s="75">
        <f>MIN($X$354,X402,$W402)</f>
        <v>0</v>
      </c>
      <c r="E402" s="59">
        <f t="shared" ref="E402:E421" si="108">MIN($X$354,Y402,$W402)</f>
        <v>0</v>
      </c>
      <c r="F402" s="59">
        <f t="shared" ref="F402:F421" si="109">MIN($X$354,Z402,$W402)</f>
        <v>0</v>
      </c>
      <c r="G402" s="59">
        <f t="shared" ref="G402:G421" si="110">MIN($X$354,AA402,$W402)</f>
        <v>0</v>
      </c>
      <c r="H402" s="59">
        <f t="shared" ref="H402:H421" si="111">MIN($X$354,AB402,$W402)</f>
        <v>0</v>
      </c>
      <c r="I402" s="59">
        <f t="shared" ref="I402:I421" si="112">MIN($X$354,AC402,$W402)</f>
        <v>0</v>
      </c>
      <c r="J402" s="59">
        <f t="shared" ref="J402:J421" si="113">MIN($X$354,AD402,$W402)</f>
        <v>0</v>
      </c>
      <c r="K402" s="59">
        <f t="shared" ref="K402:K421" si="114">MIN($X$354,AE402,$W402)</f>
        <v>0</v>
      </c>
      <c r="L402" s="59">
        <f t="shared" ref="L402:L421" si="115">MIN($X$354,AF402,$W402)</f>
        <v>0</v>
      </c>
      <c r="M402" s="59">
        <f t="shared" ref="M402:M421" si="116">MIN($X$354,AG402,$W402)</f>
        <v>0</v>
      </c>
      <c r="N402" s="59">
        <f t="shared" ref="N402:N421" si="117">MIN($X$354,AH402,$W402)</f>
        <v>0</v>
      </c>
      <c r="O402" s="59">
        <f t="shared" ref="O402:O421" si="118">MIN($X$354,AI402,$W402)</f>
        <v>0</v>
      </c>
      <c r="P402" s="59">
        <f t="shared" ref="P402:P421" si="119">MIN($X$354,AJ402,$W402)</f>
        <v>0</v>
      </c>
      <c r="Q402" s="59">
        <f t="shared" ref="Q402:Q421" si="120">MIN($X$354,AK402,$W402)</f>
        <v>0</v>
      </c>
      <c r="R402" s="62">
        <f t="shared" ref="R402:R421" si="121">MIN($X$354,AL402,$W402)</f>
        <v>0</v>
      </c>
      <c r="U402" s="1601" t="s">
        <v>314</v>
      </c>
      <c r="V402" s="28">
        <v>5</v>
      </c>
      <c r="W402" s="43" cm="1">
        <f t="array" ref="W402">VLOOKUP(MAX(IF('Courbe Déflexion'!$GG$25:$GG$305&lt;=V402,'Courbe Déflexion'!$GG$25:$GG$305)),'Courbe Déflexion'!$GG$25:$IA$305,8,0)</f>
        <v>0</v>
      </c>
      <c r="X402" s="43">
        <f>VLOOKUP(X$84,'Infos Techniques'!$B$7:$E$12,3,0)/($V402*$X$352/12)</f>
        <v>66.666666666666671</v>
      </c>
      <c r="Y402" s="43">
        <f>VLOOKUP(Y$84,'Infos Techniques'!$B$7:$E$12,3,0)/($V402*$X$352/12)</f>
        <v>46</v>
      </c>
      <c r="Z402" s="43">
        <f>VLOOKUP(Z$84,'Infos Techniques'!$B$7:$E$12,3,0)/($V402*$X$352/12)</f>
        <v>38.666666666666664</v>
      </c>
      <c r="AA402" s="43">
        <f>VLOOKUP(AA$84,'Infos Techniques'!$B$7:$E$12,3,0)/($V402*$X$352/12)</f>
        <v>27.6</v>
      </c>
      <c r="AB402" s="43">
        <f>VLOOKUP(AB$84,'Infos Techniques'!$B$7:$E$12,3,0)/($V402*$X$352/12)</f>
        <v>22.066666666666666</v>
      </c>
      <c r="AC402" s="43">
        <f>VLOOKUP(AC$84,'Infos Techniques'!$B$7:$E$12,2,0)/($V402*$X$352/12)</f>
        <v>80</v>
      </c>
      <c r="AD402" s="43">
        <f>VLOOKUP(AD$84,'Infos Techniques'!$B$7:$E$12,2,0)/($V402*$X$352/12)</f>
        <v>80</v>
      </c>
      <c r="AE402" s="43">
        <f>VLOOKUP(AE$84,'Infos Techniques'!$B$7:$E$12,2,0)/($V402*$X$352/12)</f>
        <v>77.333333333333329</v>
      </c>
      <c r="AF402" s="43">
        <f>VLOOKUP(AF$84,'Infos Techniques'!$B$7:$E$12,2,0)/($V402*$X$352/12)</f>
        <v>55.266666666666666</v>
      </c>
      <c r="AG402" s="43">
        <f>VLOOKUP(AG$84,'Infos Techniques'!$B$7:$E$12,2,0)/($V402*$X$352/12)</f>
        <v>44.2</v>
      </c>
      <c r="AH402" s="43">
        <f>VLOOKUP(AH$84,'Infos Techniques'!$B$7:$E$12,4,0)/($V402*$X$352/12)</f>
        <v>100</v>
      </c>
      <c r="AI402" s="43">
        <f>VLOOKUP(AI$84,'Infos Techniques'!$B$7:$E$12,4,0)/($V402*$X$352/12)</f>
        <v>100</v>
      </c>
      <c r="AJ402" s="43">
        <f>VLOOKUP(AJ$84,'Infos Techniques'!$B$7:$E$12,4,0)/($V402*$X$352/12)</f>
        <v>100</v>
      </c>
      <c r="AK402" s="43">
        <f>VLOOKUP(AK$84,'Infos Techniques'!$B$7:$E$12,4,0)/($V402*$X$352/12)</f>
        <v>55.266666666666666</v>
      </c>
      <c r="AL402" s="63">
        <f>VLOOKUP(AL$84,'Infos Techniques'!$B$7:$E$12,4,0)/($V402*$X$352/12)</f>
        <v>44.2</v>
      </c>
    </row>
    <row r="403" spans="2:38">
      <c r="B403" s="1849"/>
      <c r="C403" s="70">
        <v>10</v>
      </c>
      <c r="D403" s="76">
        <f t="shared" ref="D403:D421" si="122">MIN($X$354,X403,$W403)</f>
        <v>0</v>
      </c>
      <c r="E403" s="43">
        <f t="shared" si="108"/>
        <v>0</v>
      </c>
      <c r="F403" s="43">
        <f t="shared" si="109"/>
        <v>0</v>
      </c>
      <c r="G403" s="43">
        <f t="shared" si="110"/>
        <v>0</v>
      </c>
      <c r="H403" s="43">
        <f t="shared" si="111"/>
        <v>0</v>
      </c>
      <c r="I403" s="43">
        <f t="shared" si="112"/>
        <v>0</v>
      </c>
      <c r="J403" s="43">
        <f t="shared" si="113"/>
        <v>0</v>
      </c>
      <c r="K403" s="43">
        <f t="shared" si="114"/>
        <v>0</v>
      </c>
      <c r="L403" s="43">
        <f t="shared" si="115"/>
        <v>0</v>
      </c>
      <c r="M403" s="43">
        <f t="shared" si="116"/>
        <v>0</v>
      </c>
      <c r="N403" s="43">
        <f t="shared" si="117"/>
        <v>0</v>
      </c>
      <c r="O403" s="43">
        <f t="shared" si="118"/>
        <v>0</v>
      </c>
      <c r="P403" s="43">
        <f t="shared" si="119"/>
        <v>0</v>
      </c>
      <c r="Q403" s="43">
        <f t="shared" si="120"/>
        <v>0</v>
      </c>
      <c r="R403" s="63">
        <f t="shared" si="121"/>
        <v>0</v>
      </c>
      <c r="U403" s="1601"/>
      <c r="V403" s="28">
        <v>10</v>
      </c>
      <c r="W403" s="43" cm="1">
        <f t="array" ref="W403">VLOOKUP(MAX(IF('Courbe Déflexion'!$GG$25:$GG$305&lt;=V403,'Courbe Déflexion'!$GG$25:$GG$305)),'Courbe Déflexion'!$GG$25:$IA$305,8,0)</f>
        <v>0</v>
      </c>
      <c r="X403" s="43">
        <f>VLOOKUP(X$84,'Infos Techniques'!$B$7:$E$12,3,0)/($V403*$X$352/12)</f>
        <v>33.333333333333336</v>
      </c>
      <c r="Y403" s="43">
        <f>VLOOKUP(Y$84,'Infos Techniques'!$B$7:$E$12,3,0)/($V403*$X$352/12)</f>
        <v>23</v>
      </c>
      <c r="Z403" s="43">
        <f>VLOOKUP(Z$84,'Infos Techniques'!$B$7:$E$12,3,0)/($V403*$X$352/12)</f>
        <v>19.333333333333332</v>
      </c>
      <c r="AA403" s="43">
        <f>VLOOKUP(AA$84,'Infos Techniques'!$B$7:$E$12,3,0)/($V403*$X$352/12)</f>
        <v>13.8</v>
      </c>
      <c r="AB403" s="43">
        <f>VLOOKUP(AB$84,'Infos Techniques'!$B$7:$E$12,3,0)/($V403*$X$352/12)</f>
        <v>11.033333333333333</v>
      </c>
      <c r="AC403" s="43">
        <f>VLOOKUP(AC$84,'Infos Techniques'!$B$7:$E$12,2,0)/($V403*$X$352/12)</f>
        <v>40</v>
      </c>
      <c r="AD403" s="43">
        <f>VLOOKUP(AD$84,'Infos Techniques'!$B$7:$E$12,2,0)/($V403*$X$352/12)</f>
        <v>40</v>
      </c>
      <c r="AE403" s="43">
        <f>VLOOKUP(AE$84,'Infos Techniques'!$B$7:$E$12,2,0)/($V403*$X$352/12)</f>
        <v>38.666666666666664</v>
      </c>
      <c r="AF403" s="43">
        <f>VLOOKUP(AF$84,'Infos Techniques'!$B$7:$E$12,2,0)/($V403*$X$352/12)</f>
        <v>27.633333333333333</v>
      </c>
      <c r="AG403" s="43">
        <f>VLOOKUP(AG$84,'Infos Techniques'!$B$7:$E$12,2,0)/($V403*$X$352/12)</f>
        <v>22.1</v>
      </c>
      <c r="AH403" s="43">
        <f>VLOOKUP(AH$84,'Infos Techniques'!$B$7:$E$12,4,0)/($V403*$X$352/12)</f>
        <v>50</v>
      </c>
      <c r="AI403" s="43">
        <f>VLOOKUP(AI$84,'Infos Techniques'!$B$7:$E$12,4,0)/($V403*$X$352/12)</f>
        <v>50</v>
      </c>
      <c r="AJ403" s="43">
        <f>VLOOKUP(AJ$84,'Infos Techniques'!$B$7:$E$12,4,0)/($V403*$X$352/12)</f>
        <v>50</v>
      </c>
      <c r="AK403" s="43">
        <f>VLOOKUP(AK$84,'Infos Techniques'!$B$7:$E$12,4,0)/($V403*$X$352/12)</f>
        <v>27.633333333333333</v>
      </c>
      <c r="AL403" s="63">
        <f>VLOOKUP(AL$84,'Infos Techniques'!$B$7:$E$12,4,0)/($V403*$X$352/12)</f>
        <v>22.1</v>
      </c>
    </row>
    <row r="404" spans="2:38">
      <c r="B404" s="1849"/>
      <c r="C404" s="70">
        <v>15</v>
      </c>
      <c r="D404" s="76">
        <f t="shared" si="122"/>
        <v>6</v>
      </c>
      <c r="E404" s="43">
        <f t="shared" si="108"/>
        <v>6</v>
      </c>
      <c r="F404" s="43">
        <f t="shared" si="109"/>
        <v>6</v>
      </c>
      <c r="G404" s="43">
        <f t="shared" si="110"/>
        <v>6</v>
      </c>
      <c r="H404" s="43">
        <f t="shared" si="111"/>
        <v>6</v>
      </c>
      <c r="I404" s="43">
        <f t="shared" si="112"/>
        <v>6</v>
      </c>
      <c r="J404" s="43">
        <f t="shared" si="113"/>
        <v>6</v>
      </c>
      <c r="K404" s="43">
        <f t="shared" si="114"/>
        <v>6</v>
      </c>
      <c r="L404" s="43">
        <f t="shared" si="115"/>
        <v>6</v>
      </c>
      <c r="M404" s="43">
        <f t="shared" si="116"/>
        <v>6</v>
      </c>
      <c r="N404" s="43">
        <f t="shared" si="117"/>
        <v>6</v>
      </c>
      <c r="O404" s="43">
        <f t="shared" si="118"/>
        <v>6</v>
      </c>
      <c r="P404" s="43">
        <f t="shared" si="119"/>
        <v>6</v>
      </c>
      <c r="Q404" s="43">
        <f t="shared" si="120"/>
        <v>6</v>
      </c>
      <c r="R404" s="63">
        <f t="shared" si="121"/>
        <v>6</v>
      </c>
      <c r="U404" s="1601"/>
      <c r="V404" s="28">
        <v>15</v>
      </c>
      <c r="W404" s="43" cm="1">
        <f t="array" ref="W404">VLOOKUP(MAX(IF('Courbe Déflexion'!$GG$25:$GG$305&lt;=V404,'Courbe Déflexion'!$GG$25:$GG$305)),'Courbe Déflexion'!$GG$25:$IA$305,8,0)</f>
        <v>6</v>
      </c>
      <c r="X404" s="43">
        <f>VLOOKUP(X$84,'Infos Techniques'!$B$7:$E$12,3,0)/($V404*$X$352/12)</f>
        <v>22.222222222222221</v>
      </c>
      <c r="Y404" s="43">
        <f>VLOOKUP(Y$84,'Infos Techniques'!$B$7:$E$12,3,0)/($V404*$X$352/12)</f>
        <v>15.333333333333334</v>
      </c>
      <c r="Z404" s="43">
        <f>VLOOKUP(Z$84,'Infos Techniques'!$B$7:$E$12,3,0)/($V404*$X$352/12)</f>
        <v>12.888888888888889</v>
      </c>
      <c r="AA404" s="43">
        <f>VLOOKUP(AA$84,'Infos Techniques'!$B$7:$E$12,3,0)/($V404*$X$352/12)</f>
        <v>9.1999999999999993</v>
      </c>
      <c r="AB404" s="43">
        <f>VLOOKUP(AB$84,'Infos Techniques'!$B$7:$E$12,3,0)/($V404*$X$352/12)</f>
        <v>7.3555555555555552</v>
      </c>
      <c r="AC404" s="43">
        <f>VLOOKUP(AC$84,'Infos Techniques'!$B$7:$E$12,2,0)/($V404*$X$352/12)</f>
        <v>26.666666666666668</v>
      </c>
      <c r="AD404" s="43">
        <f>VLOOKUP(AD$84,'Infos Techniques'!$B$7:$E$12,2,0)/($V404*$X$352/12)</f>
        <v>26.666666666666668</v>
      </c>
      <c r="AE404" s="43">
        <f>VLOOKUP(AE$84,'Infos Techniques'!$B$7:$E$12,2,0)/($V404*$X$352/12)</f>
        <v>25.777777777777779</v>
      </c>
      <c r="AF404" s="43">
        <f>VLOOKUP(AF$84,'Infos Techniques'!$B$7:$E$12,2,0)/($V404*$X$352/12)</f>
        <v>18.422222222222221</v>
      </c>
      <c r="AG404" s="43">
        <f>VLOOKUP(AG$84,'Infos Techniques'!$B$7:$E$12,2,0)/($V404*$X$352/12)</f>
        <v>14.733333333333333</v>
      </c>
      <c r="AH404" s="43">
        <f>VLOOKUP(AH$84,'Infos Techniques'!$B$7:$E$12,4,0)/($V404*$X$352/12)</f>
        <v>33.333333333333336</v>
      </c>
      <c r="AI404" s="43">
        <f>VLOOKUP(AI$84,'Infos Techniques'!$B$7:$E$12,4,0)/($V404*$X$352/12)</f>
        <v>33.333333333333336</v>
      </c>
      <c r="AJ404" s="43">
        <f>VLOOKUP(AJ$84,'Infos Techniques'!$B$7:$E$12,4,0)/($V404*$X$352/12)</f>
        <v>33.333333333333336</v>
      </c>
      <c r="AK404" s="43">
        <f>VLOOKUP(AK$84,'Infos Techniques'!$B$7:$E$12,4,0)/($V404*$X$352/12)</f>
        <v>18.422222222222221</v>
      </c>
      <c r="AL404" s="63">
        <f>VLOOKUP(AL$84,'Infos Techniques'!$B$7:$E$12,4,0)/($V404*$X$352/12)</f>
        <v>14.733333333333333</v>
      </c>
    </row>
    <row r="405" spans="2:38">
      <c r="B405" s="1849"/>
      <c r="C405" s="70">
        <v>20</v>
      </c>
      <c r="D405" s="76">
        <f t="shared" si="122"/>
        <v>7</v>
      </c>
      <c r="E405" s="43">
        <f t="shared" si="108"/>
        <v>7</v>
      </c>
      <c r="F405" s="43">
        <f t="shared" si="109"/>
        <v>7</v>
      </c>
      <c r="G405" s="43">
        <f t="shared" si="110"/>
        <v>6.9</v>
      </c>
      <c r="H405" s="43">
        <f t="shared" si="111"/>
        <v>5.5166666666666666</v>
      </c>
      <c r="I405" s="43">
        <f t="shared" si="112"/>
        <v>7</v>
      </c>
      <c r="J405" s="43">
        <f t="shared" si="113"/>
        <v>7</v>
      </c>
      <c r="K405" s="43">
        <f t="shared" si="114"/>
        <v>7</v>
      </c>
      <c r="L405" s="43">
        <f t="shared" si="115"/>
        <v>7</v>
      </c>
      <c r="M405" s="43">
        <f t="shared" si="116"/>
        <v>7</v>
      </c>
      <c r="N405" s="43">
        <f t="shared" si="117"/>
        <v>7</v>
      </c>
      <c r="O405" s="43">
        <f t="shared" si="118"/>
        <v>7</v>
      </c>
      <c r="P405" s="43">
        <f t="shared" si="119"/>
        <v>7</v>
      </c>
      <c r="Q405" s="43">
        <f t="shared" si="120"/>
        <v>7</v>
      </c>
      <c r="R405" s="63">
        <f t="shared" si="121"/>
        <v>7</v>
      </c>
      <c r="U405" s="1601"/>
      <c r="V405" s="28">
        <v>20</v>
      </c>
      <c r="W405" s="43" cm="1">
        <f t="array" ref="W405">VLOOKUP(MAX(IF('Courbe Déflexion'!$GG$25:$GG$305&lt;=V405,'Courbe Déflexion'!$GG$25:$GG$305)),'Courbe Déflexion'!$GG$25:$IA$305,8,0)</f>
        <v>7</v>
      </c>
      <c r="X405" s="43">
        <f>VLOOKUP(X$84,'Infos Techniques'!$B$7:$E$12,3,0)/($V405*$X$352/12)</f>
        <v>16.666666666666668</v>
      </c>
      <c r="Y405" s="43">
        <f>VLOOKUP(Y$84,'Infos Techniques'!$B$7:$E$12,3,0)/($V405*$X$352/12)</f>
        <v>11.5</v>
      </c>
      <c r="Z405" s="43">
        <f>VLOOKUP(Z$84,'Infos Techniques'!$B$7:$E$12,3,0)/($V405*$X$352/12)</f>
        <v>9.6666666666666661</v>
      </c>
      <c r="AA405" s="43">
        <f>VLOOKUP(AA$84,'Infos Techniques'!$B$7:$E$12,3,0)/($V405*$X$352/12)</f>
        <v>6.9</v>
      </c>
      <c r="AB405" s="43">
        <f>VLOOKUP(AB$84,'Infos Techniques'!$B$7:$E$12,3,0)/($V405*$X$352/12)</f>
        <v>5.5166666666666666</v>
      </c>
      <c r="AC405" s="43">
        <f>VLOOKUP(AC$84,'Infos Techniques'!$B$7:$E$12,2,0)/($V405*$X$352/12)</f>
        <v>20</v>
      </c>
      <c r="AD405" s="43">
        <f>VLOOKUP(AD$84,'Infos Techniques'!$B$7:$E$12,2,0)/($V405*$X$352/12)</f>
        <v>20</v>
      </c>
      <c r="AE405" s="43">
        <f>VLOOKUP(AE$84,'Infos Techniques'!$B$7:$E$12,2,0)/($V405*$X$352/12)</f>
        <v>19.333333333333332</v>
      </c>
      <c r="AF405" s="43">
        <f>VLOOKUP(AF$84,'Infos Techniques'!$B$7:$E$12,2,0)/($V405*$X$352/12)</f>
        <v>13.816666666666666</v>
      </c>
      <c r="AG405" s="43">
        <f>VLOOKUP(AG$84,'Infos Techniques'!$B$7:$E$12,2,0)/($V405*$X$352/12)</f>
        <v>11.05</v>
      </c>
      <c r="AH405" s="43">
        <f>VLOOKUP(AH$84,'Infos Techniques'!$B$7:$E$12,4,0)/($V405*$X$352/12)</f>
        <v>25</v>
      </c>
      <c r="AI405" s="43">
        <f>VLOOKUP(AI$84,'Infos Techniques'!$B$7:$E$12,4,0)/($V405*$X$352/12)</f>
        <v>25</v>
      </c>
      <c r="AJ405" s="43">
        <f>VLOOKUP(AJ$84,'Infos Techniques'!$B$7:$E$12,4,0)/($V405*$X$352/12)</f>
        <v>25</v>
      </c>
      <c r="AK405" s="43">
        <f>VLOOKUP(AK$84,'Infos Techniques'!$B$7:$E$12,4,0)/($V405*$X$352/12)</f>
        <v>13.816666666666666</v>
      </c>
      <c r="AL405" s="63">
        <f>VLOOKUP(AL$84,'Infos Techniques'!$B$7:$E$12,4,0)/($V405*$X$352/12)</f>
        <v>11.05</v>
      </c>
    </row>
    <row r="406" spans="2:38" ht="15" thickBot="1">
      <c r="B406" s="1849"/>
      <c r="C406" s="71">
        <v>25</v>
      </c>
      <c r="D406" s="76">
        <f t="shared" si="122"/>
        <v>8</v>
      </c>
      <c r="E406" s="43">
        <f t="shared" si="108"/>
        <v>8</v>
      </c>
      <c r="F406" s="43">
        <f t="shared" si="109"/>
        <v>7.7333333333333334</v>
      </c>
      <c r="G406" s="43">
        <f t="shared" si="110"/>
        <v>5.52</v>
      </c>
      <c r="H406" s="43">
        <f t="shared" si="111"/>
        <v>4.4133333333333331</v>
      </c>
      <c r="I406" s="43">
        <f t="shared" si="112"/>
        <v>8</v>
      </c>
      <c r="J406" s="43">
        <f t="shared" si="113"/>
        <v>8</v>
      </c>
      <c r="K406" s="43">
        <f t="shared" si="114"/>
        <v>8</v>
      </c>
      <c r="L406" s="43">
        <f t="shared" si="115"/>
        <v>8</v>
      </c>
      <c r="M406" s="43">
        <f t="shared" si="116"/>
        <v>8</v>
      </c>
      <c r="N406" s="43">
        <f t="shared" si="117"/>
        <v>8</v>
      </c>
      <c r="O406" s="43">
        <f t="shared" si="118"/>
        <v>8</v>
      </c>
      <c r="P406" s="43">
        <f t="shared" si="119"/>
        <v>8</v>
      </c>
      <c r="Q406" s="43">
        <f t="shared" si="120"/>
        <v>8</v>
      </c>
      <c r="R406" s="63">
        <f t="shared" si="121"/>
        <v>8</v>
      </c>
      <c r="U406" s="1601"/>
      <c r="V406" s="28">
        <v>25</v>
      </c>
      <c r="W406" s="43" cm="1">
        <f t="array" ref="W406">VLOOKUP(MAX(IF('Courbe Déflexion'!$GG$25:$GG$305&lt;=V406,'Courbe Déflexion'!$GG$25:$GG$305)),'Courbe Déflexion'!$GG$25:$IA$305,8,0)</f>
        <v>8</v>
      </c>
      <c r="X406" s="43">
        <f>VLOOKUP(X$84,'Infos Techniques'!$B$7:$E$12,3,0)/($V406*$X$352/12)</f>
        <v>13.333333333333334</v>
      </c>
      <c r="Y406" s="43">
        <f>VLOOKUP(Y$84,'Infos Techniques'!$B$7:$E$12,3,0)/($V406*$X$352/12)</f>
        <v>9.1999999999999993</v>
      </c>
      <c r="Z406" s="43">
        <f>VLOOKUP(Z$84,'Infos Techniques'!$B$7:$E$12,3,0)/($V406*$X$352/12)</f>
        <v>7.7333333333333334</v>
      </c>
      <c r="AA406" s="43">
        <f>VLOOKUP(AA$84,'Infos Techniques'!$B$7:$E$12,3,0)/($V406*$X$352/12)</f>
        <v>5.52</v>
      </c>
      <c r="AB406" s="43">
        <f>VLOOKUP(AB$84,'Infos Techniques'!$B$7:$E$12,3,0)/($V406*$X$352/12)</f>
        <v>4.4133333333333331</v>
      </c>
      <c r="AC406" s="43">
        <f>VLOOKUP(AC$84,'Infos Techniques'!$B$7:$E$12,2,0)/($V406*$X$352/12)</f>
        <v>16</v>
      </c>
      <c r="AD406" s="43">
        <f>VLOOKUP(AD$84,'Infos Techniques'!$B$7:$E$12,2,0)/($V406*$X$352/12)</f>
        <v>16</v>
      </c>
      <c r="AE406" s="43">
        <f>VLOOKUP(AE$84,'Infos Techniques'!$B$7:$E$12,2,0)/($V406*$X$352/12)</f>
        <v>15.466666666666667</v>
      </c>
      <c r="AF406" s="43">
        <f>VLOOKUP(AF$84,'Infos Techniques'!$B$7:$E$12,2,0)/($V406*$X$352/12)</f>
        <v>11.053333333333333</v>
      </c>
      <c r="AG406" s="43">
        <f>VLOOKUP(AG$84,'Infos Techniques'!$B$7:$E$12,2,0)/($V406*$X$352/12)</f>
        <v>8.84</v>
      </c>
      <c r="AH406" s="43">
        <f>VLOOKUP(AH$84,'Infos Techniques'!$B$7:$E$12,4,0)/($V406*$X$352/12)</f>
        <v>20</v>
      </c>
      <c r="AI406" s="43">
        <f>VLOOKUP(AI$84,'Infos Techniques'!$B$7:$E$12,4,0)/($V406*$X$352/12)</f>
        <v>20</v>
      </c>
      <c r="AJ406" s="43">
        <f>VLOOKUP(AJ$84,'Infos Techniques'!$B$7:$E$12,4,0)/($V406*$X$352/12)</f>
        <v>20</v>
      </c>
      <c r="AK406" s="43">
        <f>VLOOKUP(AK$84,'Infos Techniques'!$B$7:$E$12,4,0)/($V406*$X$352/12)</f>
        <v>11.053333333333333</v>
      </c>
      <c r="AL406" s="63">
        <f>VLOOKUP(AL$84,'Infos Techniques'!$B$7:$E$12,4,0)/($V406*$X$352/12)</f>
        <v>8.84</v>
      </c>
    </row>
    <row r="407" spans="2:38">
      <c r="B407" s="1849"/>
      <c r="C407" s="69">
        <v>30</v>
      </c>
      <c r="D407" s="76">
        <f t="shared" si="122"/>
        <v>8</v>
      </c>
      <c r="E407" s="43">
        <f t="shared" si="108"/>
        <v>7.666666666666667</v>
      </c>
      <c r="F407" s="43">
        <f t="shared" si="109"/>
        <v>6.4444444444444446</v>
      </c>
      <c r="G407" s="43">
        <f t="shared" si="110"/>
        <v>4.5999999999999996</v>
      </c>
      <c r="H407" s="43">
        <f t="shared" si="111"/>
        <v>3.6777777777777776</v>
      </c>
      <c r="I407" s="43">
        <f t="shared" si="112"/>
        <v>8</v>
      </c>
      <c r="J407" s="43">
        <f t="shared" si="113"/>
        <v>8</v>
      </c>
      <c r="K407" s="43">
        <f t="shared" si="114"/>
        <v>8</v>
      </c>
      <c r="L407" s="43">
        <f t="shared" si="115"/>
        <v>8</v>
      </c>
      <c r="M407" s="43">
        <f t="shared" si="116"/>
        <v>7.3666666666666663</v>
      </c>
      <c r="N407" s="43">
        <f t="shared" si="117"/>
        <v>8</v>
      </c>
      <c r="O407" s="43">
        <f t="shared" si="118"/>
        <v>8</v>
      </c>
      <c r="P407" s="43">
        <f t="shared" si="119"/>
        <v>8</v>
      </c>
      <c r="Q407" s="43">
        <f t="shared" si="120"/>
        <v>8</v>
      </c>
      <c r="R407" s="63">
        <f t="shared" si="121"/>
        <v>7.3666666666666663</v>
      </c>
      <c r="U407" s="1601"/>
      <c r="V407" s="28">
        <v>30</v>
      </c>
      <c r="W407" s="43" cm="1">
        <f t="array" ref="W407">VLOOKUP(MAX(IF('Courbe Déflexion'!$GG$25:$GG$305&lt;=V407,'Courbe Déflexion'!$GG$25:$GG$305)),'Courbe Déflexion'!$GG$25:$IA$305,8,0)</f>
        <v>8</v>
      </c>
      <c r="X407" s="43">
        <f>VLOOKUP(X$84,'Infos Techniques'!$B$7:$E$12,3,0)/($V407*$X$352/12)</f>
        <v>11.111111111111111</v>
      </c>
      <c r="Y407" s="43">
        <f>VLOOKUP(Y$84,'Infos Techniques'!$B$7:$E$12,3,0)/($V407*$X$352/12)</f>
        <v>7.666666666666667</v>
      </c>
      <c r="Z407" s="43">
        <f>VLOOKUP(Z$84,'Infos Techniques'!$B$7:$E$12,3,0)/($V407*$X$352/12)</f>
        <v>6.4444444444444446</v>
      </c>
      <c r="AA407" s="43">
        <f>VLOOKUP(AA$84,'Infos Techniques'!$B$7:$E$12,3,0)/($V407*$X$352/12)</f>
        <v>4.5999999999999996</v>
      </c>
      <c r="AB407" s="43">
        <f>VLOOKUP(AB$84,'Infos Techniques'!$B$7:$E$12,3,0)/($V407*$X$352/12)</f>
        <v>3.6777777777777776</v>
      </c>
      <c r="AC407" s="43">
        <f>VLOOKUP(AC$84,'Infos Techniques'!$B$7:$E$12,2,0)/($V407*$X$352/12)</f>
        <v>13.333333333333334</v>
      </c>
      <c r="AD407" s="43">
        <f>VLOOKUP(AD$84,'Infos Techniques'!$B$7:$E$12,2,0)/($V407*$X$352/12)</f>
        <v>13.333333333333334</v>
      </c>
      <c r="AE407" s="43">
        <f>VLOOKUP(AE$84,'Infos Techniques'!$B$7:$E$12,2,0)/($V407*$X$352/12)</f>
        <v>12.888888888888889</v>
      </c>
      <c r="AF407" s="43">
        <f>VLOOKUP(AF$84,'Infos Techniques'!$B$7:$E$12,2,0)/($V407*$X$352/12)</f>
        <v>9.2111111111111104</v>
      </c>
      <c r="AG407" s="43">
        <f>VLOOKUP(AG$84,'Infos Techniques'!$B$7:$E$12,2,0)/($V407*$X$352/12)</f>
        <v>7.3666666666666663</v>
      </c>
      <c r="AH407" s="43">
        <f>VLOOKUP(AH$84,'Infos Techniques'!$B$7:$E$12,4,0)/($V407*$X$352/12)</f>
        <v>16.666666666666668</v>
      </c>
      <c r="AI407" s="43">
        <f>VLOOKUP(AI$84,'Infos Techniques'!$B$7:$E$12,4,0)/($V407*$X$352/12)</f>
        <v>16.666666666666668</v>
      </c>
      <c r="AJ407" s="43">
        <f>VLOOKUP(AJ$84,'Infos Techniques'!$B$7:$E$12,4,0)/($V407*$X$352/12)</f>
        <v>16.666666666666668</v>
      </c>
      <c r="AK407" s="43">
        <f>VLOOKUP(AK$84,'Infos Techniques'!$B$7:$E$12,4,0)/($V407*$X$352/12)</f>
        <v>9.2111111111111104</v>
      </c>
      <c r="AL407" s="63">
        <f>VLOOKUP(AL$84,'Infos Techniques'!$B$7:$E$12,4,0)/($V407*$X$352/12)</f>
        <v>7.3666666666666663</v>
      </c>
    </row>
    <row r="408" spans="2:38">
      <c r="B408" s="1849"/>
      <c r="C408" s="70">
        <v>35</v>
      </c>
      <c r="D408" s="76">
        <f t="shared" si="122"/>
        <v>8.6000000000000014</v>
      </c>
      <c r="E408" s="43">
        <f t="shared" si="108"/>
        <v>6.5714285714285712</v>
      </c>
      <c r="F408" s="43">
        <f t="shared" si="109"/>
        <v>5.5238095238095237</v>
      </c>
      <c r="G408" s="43">
        <f t="shared" si="110"/>
        <v>3.9428571428571431</v>
      </c>
      <c r="H408" s="43">
        <f t="shared" si="111"/>
        <v>3.1523809523809523</v>
      </c>
      <c r="I408" s="43">
        <f t="shared" si="112"/>
        <v>8.6000000000000014</v>
      </c>
      <c r="J408" s="43">
        <f t="shared" si="113"/>
        <v>8.6000000000000014</v>
      </c>
      <c r="K408" s="43">
        <f t="shared" si="114"/>
        <v>8.6000000000000014</v>
      </c>
      <c r="L408" s="43">
        <f t="shared" si="115"/>
        <v>7.8952380952380956</v>
      </c>
      <c r="M408" s="43">
        <f t="shared" si="116"/>
        <v>6.3142857142857141</v>
      </c>
      <c r="N408" s="43">
        <f t="shared" si="117"/>
        <v>8.6000000000000014</v>
      </c>
      <c r="O408" s="43">
        <f t="shared" si="118"/>
        <v>8.6000000000000014</v>
      </c>
      <c r="P408" s="43">
        <f t="shared" si="119"/>
        <v>8.6000000000000014</v>
      </c>
      <c r="Q408" s="43">
        <f t="shared" si="120"/>
        <v>7.8952380952380956</v>
      </c>
      <c r="R408" s="63">
        <f t="shared" si="121"/>
        <v>6.3142857142857141</v>
      </c>
      <c r="U408" s="1601"/>
      <c r="V408" s="28">
        <v>35</v>
      </c>
      <c r="W408" s="43" cm="1">
        <f t="array" ref="W408">VLOOKUP(MAX(IF('Courbe Déflexion'!$GG$25:$GG$305&lt;=V408,'Courbe Déflexion'!$GG$25:$GG$305)),'Courbe Déflexion'!$GG$25:$IA$305,8,0)</f>
        <v>8.6000000000000014</v>
      </c>
      <c r="X408" s="43">
        <f>VLOOKUP(X$84,'Infos Techniques'!$B$7:$E$12,3,0)/($V408*$X$352/12)</f>
        <v>9.5238095238095237</v>
      </c>
      <c r="Y408" s="43">
        <f>VLOOKUP(Y$84,'Infos Techniques'!$B$7:$E$12,3,0)/($V408*$X$352/12)</f>
        <v>6.5714285714285712</v>
      </c>
      <c r="Z408" s="43">
        <f>VLOOKUP(Z$84,'Infos Techniques'!$B$7:$E$12,3,0)/($V408*$X$352/12)</f>
        <v>5.5238095238095237</v>
      </c>
      <c r="AA408" s="43">
        <f>VLOOKUP(AA$84,'Infos Techniques'!$B$7:$E$12,3,0)/($V408*$X$352/12)</f>
        <v>3.9428571428571431</v>
      </c>
      <c r="AB408" s="43">
        <f>VLOOKUP(AB$84,'Infos Techniques'!$B$7:$E$12,3,0)/($V408*$X$352/12)</f>
        <v>3.1523809523809523</v>
      </c>
      <c r="AC408" s="43">
        <f>VLOOKUP(AC$84,'Infos Techniques'!$B$7:$E$12,2,0)/($V408*$X$352/12)</f>
        <v>11.428571428571429</v>
      </c>
      <c r="AD408" s="43">
        <f>VLOOKUP(AD$84,'Infos Techniques'!$B$7:$E$12,2,0)/($V408*$X$352/12)</f>
        <v>11.428571428571429</v>
      </c>
      <c r="AE408" s="43">
        <f>VLOOKUP(AE$84,'Infos Techniques'!$B$7:$E$12,2,0)/($V408*$X$352/12)</f>
        <v>11.047619047619047</v>
      </c>
      <c r="AF408" s="43">
        <f>VLOOKUP(AF$84,'Infos Techniques'!$B$7:$E$12,2,0)/($V408*$X$352/12)</f>
        <v>7.8952380952380956</v>
      </c>
      <c r="AG408" s="43">
        <f>VLOOKUP(AG$84,'Infos Techniques'!$B$7:$E$12,2,0)/($V408*$X$352/12)</f>
        <v>6.3142857142857141</v>
      </c>
      <c r="AH408" s="43">
        <f>VLOOKUP(AH$84,'Infos Techniques'!$B$7:$E$12,4,0)/($V408*$X$352/12)</f>
        <v>14.285714285714286</v>
      </c>
      <c r="AI408" s="43">
        <f>VLOOKUP(AI$84,'Infos Techniques'!$B$7:$E$12,4,0)/($V408*$X$352/12)</f>
        <v>14.285714285714286</v>
      </c>
      <c r="AJ408" s="43">
        <f>VLOOKUP(AJ$84,'Infos Techniques'!$B$7:$E$12,4,0)/($V408*$X$352/12)</f>
        <v>14.285714285714286</v>
      </c>
      <c r="AK408" s="43">
        <f>VLOOKUP(AK$84,'Infos Techniques'!$B$7:$E$12,4,0)/($V408*$X$352/12)</f>
        <v>7.8952380952380956</v>
      </c>
      <c r="AL408" s="63">
        <f>VLOOKUP(AL$84,'Infos Techniques'!$B$7:$E$12,4,0)/($V408*$X$352/12)</f>
        <v>6.3142857142857141</v>
      </c>
    </row>
    <row r="409" spans="2:38">
      <c r="B409" s="1849"/>
      <c r="C409" s="70">
        <v>40</v>
      </c>
      <c r="D409" s="76">
        <f t="shared" si="122"/>
        <v>8.3333333333333339</v>
      </c>
      <c r="E409" s="43">
        <f t="shared" si="108"/>
        <v>5.75</v>
      </c>
      <c r="F409" s="43">
        <f t="shared" si="109"/>
        <v>4.833333333333333</v>
      </c>
      <c r="G409" s="43">
        <f t="shared" si="110"/>
        <v>3.45</v>
      </c>
      <c r="H409" s="43">
        <f t="shared" si="111"/>
        <v>2.7583333333333333</v>
      </c>
      <c r="I409" s="43">
        <f t="shared" si="112"/>
        <v>9.5000000000000018</v>
      </c>
      <c r="J409" s="43">
        <f t="shared" si="113"/>
        <v>9.5000000000000018</v>
      </c>
      <c r="K409" s="43">
        <f t="shared" si="114"/>
        <v>9.5000000000000018</v>
      </c>
      <c r="L409" s="43">
        <f t="shared" si="115"/>
        <v>6.9083333333333332</v>
      </c>
      <c r="M409" s="43">
        <f t="shared" si="116"/>
        <v>5.5250000000000004</v>
      </c>
      <c r="N409" s="43">
        <f t="shared" si="117"/>
        <v>9.5000000000000018</v>
      </c>
      <c r="O409" s="43">
        <f t="shared" si="118"/>
        <v>9.5000000000000018</v>
      </c>
      <c r="P409" s="43">
        <f t="shared" si="119"/>
        <v>9.5000000000000018</v>
      </c>
      <c r="Q409" s="43">
        <f t="shared" si="120"/>
        <v>6.9083333333333332</v>
      </c>
      <c r="R409" s="63">
        <f t="shared" si="121"/>
        <v>5.5250000000000004</v>
      </c>
      <c r="U409" s="1601"/>
      <c r="V409" s="28">
        <v>40</v>
      </c>
      <c r="W409" s="43" cm="1">
        <f t="array" ref="W409">VLOOKUP(MAX(IF('Courbe Déflexion'!$GG$25:$GG$305&lt;=V409,'Courbe Déflexion'!$GG$25:$GG$305)),'Courbe Déflexion'!$GG$25:$IA$305,8,0)</f>
        <v>9.5000000000000018</v>
      </c>
      <c r="X409" s="43">
        <f>VLOOKUP(X$84,'Infos Techniques'!$B$7:$E$12,3,0)/($V409*$X$352/12)</f>
        <v>8.3333333333333339</v>
      </c>
      <c r="Y409" s="43">
        <f>VLOOKUP(Y$84,'Infos Techniques'!$B$7:$E$12,3,0)/($V409*$X$352/12)</f>
        <v>5.75</v>
      </c>
      <c r="Z409" s="43">
        <f>VLOOKUP(Z$84,'Infos Techniques'!$B$7:$E$12,3,0)/($V409*$X$352/12)</f>
        <v>4.833333333333333</v>
      </c>
      <c r="AA409" s="43">
        <f>VLOOKUP(AA$84,'Infos Techniques'!$B$7:$E$12,3,0)/($V409*$X$352/12)</f>
        <v>3.45</v>
      </c>
      <c r="AB409" s="43">
        <f>VLOOKUP(AB$84,'Infos Techniques'!$B$7:$E$12,3,0)/($V409*$X$352/12)</f>
        <v>2.7583333333333333</v>
      </c>
      <c r="AC409" s="43">
        <f>VLOOKUP(AC$84,'Infos Techniques'!$B$7:$E$12,2,0)/($V409*$X$352/12)</f>
        <v>10</v>
      </c>
      <c r="AD409" s="43">
        <f>VLOOKUP(AD$84,'Infos Techniques'!$B$7:$E$12,2,0)/($V409*$X$352/12)</f>
        <v>10</v>
      </c>
      <c r="AE409" s="43">
        <f>VLOOKUP(AE$84,'Infos Techniques'!$B$7:$E$12,2,0)/($V409*$X$352/12)</f>
        <v>9.6666666666666661</v>
      </c>
      <c r="AF409" s="43">
        <f>VLOOKUP(AF$84,'Infos Techniques'!$B$7:$E$12,2,0)/($V409*$X$352/12)</f>
        <v>6.9083333333333332</v>
      </c>
      <c r="AG409" s="43">
        <f>VLOOKUP(AG$84,'Infos Techniques'!$B$7:$E$12,2,0)/($V409*$X$352/12)</f>
        <v>5.5250000000000004</v>
      </c>
      <c r="AH409" s="43">
        <f>VLOOKUP(AH$84,'Infos Techniques'!$B$7:$E$12,4,0)/($V409*$X$352/12)</f>
        <v>12.5</v>
      </c>
      <c r="AI409" s="43">
        <f>VLOOKUP(AI$84,'Infos Techniques'!$B$7:$E$12,4,0)/($V409*$X$352/12)</f>
        <v>12.5</v>
      </c>
      <c r="AJ409" s="43">
        <f>VLOOKUP(AJ$84,'Infos Techniques'!$B$7:$E$12,4,0)/($V409*$X$352/12)</f>
        <v>12.5</v>
      </c>
      <c r="AK409" s="43">
        <f>VLOOKUP(AK$84,'Infos Techniques'!$B$7:$E$12,4,0)/($V409*$X$352/12)</f>
        <v>6.9083333333333332</v>
      </c>
      <c r="AL409" s="63">
        <f>VLOOKUP(AL$84,'Infos Techniques'!$B$7:$E$12,4,0)/($V409*$X$352/12)</f>
        <v>5.5250000000000004</v>
      </c>
    </row>
    <row r="410" spans="2:38">
      <c r="B410" s="1849"/>
      <c r="C410" s="70">
        <v>45</v>
      </c>
      <c r="D410" s="76">
        <f t="shared" si="122"/>
        <v>7.4074074074074074</v>
      </c>
      <c r="E410" s="43">
        <f t="shared" si="108"/>
        <v>5.1111111111111107</v>
      </c>
      <c r="F410" s="43">
        <f t="shared" si="109"/>
        <v>4.2962962962962967</v>
      </c>
      <c r="G410" s="43">
        <f t="shared" si="110"/>
        <v>3.0666666666666669</v>
      </c>
      <c r="H410" s="43">
        <f t="shared" si="111"/>
        <v>2.4518518518518517</v>
      </c>
      <c r="I410" s="43">
        <f t="shared" si="112"/>
        <v>8.8888888888888893</v>
      </c>
      <c r="J410" s="43">
        <f t="shared" si="113"/>
        <v>8.8888888888888893</v>
      </c>
      <c r="K410" s="43">
        <f t="shared" si="114"/>
        <v>8.5925925925925934</v>
      </c>
      <c r="L410" s="43">
        <f t="shared" si="115"/>
        <v>6.1407407407407408</v>
      </c>
      <c r="M410" s="43">
        <f t="shared" si="116"/>
        <v>4.9111111111111114</v>
      </c>
      <c r="N410" s="43">
        <f t="shared" si="117"/>
        <v>10.500000000000002</v>
      </c>
      <c r="O410" s="43">
        <f t="shared" si="118"/>
        <v>10.500000000000002</v>
      </c>
      <c r="P410" s="43">
        <f t="shared" si="119"/>
        <v>10.500000000000002</v>
      </c>
      <c r="Q410" s="43">
        <f t="shared" si="120"/>
        <v>6.1407407407407408</v>
      </c>
      <c r="R410" s="63">
        <f t="shared" si="121"/>
        <v>4.9111111111111114</v>
      </c>
      <c r="U410" s="1601"/>
      <c r="V410" s="28">
        <v>45</v>
      </c>
      <c r="W410" s="43" cm="1">
        <f t="array" ref="W410">VLOOKUP(MAX(IF('Courbe Déflexion'!$GG$25:$GG$305&lt;=V410,'Courbe Déflexion'!$GG$25:$GG$305)),'Courbe Déflexion'!$GG$25:$IA$305,8,0)</f>
        <v>10.500000000000002</v>
      </c>
      <c r="X410" s="43">
        <f>VLOOKUP(X$84,'Infos Techniques'!$B$7:$E$12,3,0)/($V410*$X$352/12)</f>
        <v>7.4074074074074074</v>
      </c>
      <c r="Y410" s="43">
        <f>VLOOKUP(Y$84,'Infos Techniques'!$B$7:$E$12,3,0)/($V410*$X$352/12)</f>
        <v>5.1111111111111107</v>
      </c>
      <c r="Z410" s="43">
        <f>VLOOKUP(Z$84,'Infos Techniques'!$B$7:$E$12,3,0)/($V410*$X$352/12)</f>
        <v>4.2962962962962967</v>
      </c>
      <c r="AA410" s="43">
        <f>VLOOKUP(AA$84,'Infos Techniques'!$B$7:$E$12,3,0)/($V410*$X$352/12)</f>
        <v>3.0666666666666669</v>
      </c>
      <c r="AB410" s="43">
        <f>VLOOKUP(AB$84,'Infos Techniques'!$B$7:$E$12,3,0)/($V410*$X$352/12)</f>
        <v>2.4518518518518517</v>
      </c>
      <c r="AC410" s="43">
        <f>VLOOKUP(AC$84,'Infos Techniques'!$B$7:$E$12,2,0)/($V410*$X$352/12)</f>
        <v>8.8888888888888893</v>
      </c>
      <c r="AD410" s="43">
        <f>VLOOKUP(AD$84,'Infos Techniques'!$B$7:$E$12,2,0)/($V410*$X$352/12)</f>
        <v>8.8888888888888893</v>
      </c>
      <c r="AE410" s="43">
        <f>VLOOKUP(AE$84,'Infos Techniques'!$B$7:$E$12,2,0)/($V410*$X$352/12)</f>
        <v>8.5925925925925934</v>
      </c>
      <c r="AF410" s="43">
        <f>VLOOKUP(AF$84,'Infos Techniques'!$B$7:$E$12,2,0)/($V410*$X$352/12)</f>
        <v>6.1407407407407408</v>
      </c>
      <c r="AG410" s="43">
        <f>VLOOKUP(AG$84,'Infos Techniques'!$B$7:$E$12,2,0)/($V410*$X$352/12)</f>
        <v>4.9111111111111114</v>
      </c>
      <c r="AH410" s="43">
        <f>VLOOKUP(AH$84,'Infos Techniques'!$B$7:$E$12,4,0)/($V410*$X$352/12)</f>
        <v>11.111111111111111</v>
      </c>
      <c r="AI410" s="43">
        <f>VLOOKUP(AI$84,'Infos Techniques'!$B$7:$E$12,4,0)/($V410*$X$352/12)</f>
        <v>11.111111111111111</v>
      </c>
      <c r="AJ410" s="43">
        <f>VLOOKUP(AJ$84,'Infos Techniques'!$B$7:$E$12,4,0)/($V410*$X$352/12)</f>
        <v>11.111111111111111</v>
      </c>
      <c r="AK410" s="43">
        <f>VLOOKUP(AK$84,'Infos Techniques'!$B$7:$E$12,4,0)/($V410*$X$352/12)</f>
        <v>6.1407407407407408</v>
      </c>
      <c r="AL410" s="63">
        <f>VLOOKUP(AL$84,'Infos Techniques'!$B$7:$E$12,4,0)/($V410*$X$352/12)</f>
        <v>4.9111111111111114</v>
      </c>
    </row>
    <row r="411" spans="2:38" ht="15" thickBot="1">
      <c r="B411" s="1849"/>
      <c r="C411" s="71">
        <v>50</v>
      </c>
      <c r="D411" s="76">
        <f t="shared" si="122"/>
        <v>6.666666666666667</v>
      </c>
      <c r="E411" s="43">
        <f t="shared" si="108"/>
        <v>4.5999999999999996</v>
      </c>
      <c r="F411" s="43">
        <f t="shared" si="109"/>
        <v>3.8666666666666667</v>
      </c>
      <c r="G411" s="43">
        <f t="shared" si="110"/>
        <v>2.76</v>
      </c>
      <c r="H411" s="43">
        <f t="shared" si="111"/>
        <v>2.2066666666666666</v>
      </c>
      <c r="I411" s="43">
        <f t="shared" si="112"/>
        <v>8</v>
      </c>
      <c r="J411" s="43">
        <f t="shared" si="113"/>
        <v>8</v>
      </c>
      <c r="K411" s="43">
        <f t="shared" si="114"/>
        <v>7.7333333333333334</v>
      </c>
      <c r="L411" s="43">
        <f t="shared" si="115"/>
        <v>5.5266666666666664</v>
      </c>
      <c r="M411" s="43">
        <f t="shared" si="116"/>
        <v>4.42</v>
      </c>
      <c r="N411" s="43">
        <f t="shared" si="117"/>
        <v>10</v>
      </c>
      <c r="O411" s="43">
        <f t="shared" si="118"/>
        <v>10</v>
      </c>
      <c r="P411" s="43">
        <f t="shared" si="119"/>
        <v>10</v>
      </c>
      <c r="Q411" s="43">
        <f t="shared" si="120"/>
        <v>5.5266666666666664</v>
      </c>
      <c r="R411" s="63">
        <f t="shared" si="121"/>
        <v>4.42</v>
      </c>
      <c r="U411" s="1601"/>
      <c r="V411" s="28">
        <v>50</v>
      </c>
      <c r="W411" s="43" cm="1">
        <f t="array" ref="W411">VLOOKUP(MAX(IF('Courbe Déflexion'!$GG$25:$GG$305&lt;=V411,'Courbe Déflexion'!$GG$25:$GG$305)),'Courbe Déflexion'!$GG$25:$IA$305,8,0)</f>
        <v>12.200000000000003</v>
      </c>
      <c r="X411" s="43">
        <f>VLOOKUP(X$84,'Infos Techniques'!$B$7:$E$12,3,0)/($V411*$X$352/12)</f>
        <v>6.666666666666667</v>
      </c>
      <c r="Y411" s="43">
        <f>VLOOKUP(Y$84,'Infos Techniques'!$B$7:$E$12,3,0)/($V411*$X$352/12)</f>
        <v>4.5999999999999996</v>
      </c>
      <c r="Z411" s="43">
        <f>VLOOKUP(Z$84,'Infos Techniques'!$B$7:$E$12,3,0)/($V411*$X$352/12)</f>
        <v>3.8666666666666667</v>
      </c>
      <c r="AA411" s="43">
        <f>VLOOKUP(AA$84,'Infos Techniques'!$B$7:$E$12,3,0)/($V411*$X$352/12)</f>
        <v>2.76</v>
      </c>
      <c r="AB411" s="43">
        <f>VLOOKUP(AB$84,'Infos Techniques'!$B$7:$E$12,3,0)/($V411*$X$352/12)</f>
        <v>2.2066666666666666</v>
      </c>
      <c r="AC411" s="43">
        <f>VLOOKUP(AC$84,'Infos Techniques'!$B$7:$E$12,2,0)/($V411*$X$352/12)</f>
        <v>8</v>
      </c>
      <c r="AD411" s="43">
        <f>VLOOKUP(AD$84,'Infos Techniques'!$B$7:$E$12,2,0)/($V411*$X$352/12)</f>
        <v>8</v>
      </c>
      <c r="AE411" s="43">
        <f>VLOOKUP(AE$84,'Infos Techniques'!$B$7:$E$12,2,0)/($V411*$X$352/12)</f>
        <v>7.7333333333333334</v>
      </c>
      <c r="AF411" s="43">
        <f>VLOOKUP(AF$84,'Infos Techniques'!$B$7:$E$12,2,0)/($V411*$X$352/12)</f>
        <v>5.5266666666666664</v>
      </c>
      <c r="AG411" s="43">
        <f>VLOOKUP(AG$84,'Infos Techniques'!$B$7:$E$12,2,0)/($V411*$X$352/12)</f>
        <v>4.42</v>
      </c>
      <c r="AH411" s="43">
        <f>VLOOKUP(AH$84,'Infos Techniques'!$B$7:$E$12,4,0)/($V411*$X$352/12)</f>
        <v>10</v>
      </c>
      <c r="AI411" s="43">
        <f>VLOOKUP(AI$84,'Infos Techniques'!$B$7:$E$12,4,0)/($V411*$X$352/12)</f>
        <v>10</v>
      </c>
      <c r="AJ411" s="43">
        <f>VLOOKUP(AJ$84,'Infos Techniques'!$B$7:$E$12,4,0)/($V411*$X$352/12)</f>
        <v>10</v>
      </c>
      <c r="AK411" s="43">
        <f>VLOOKUP(AK$84,'Infos Techniques'!$B$7:$E$12,4,0)/($V411*$X$352/12)</f>
        <v>5.5266666666666664</v>
      </c>
      <c r="AL411" s="63">
        <f>VLOOKUP(AL$84,'Infos Techniques'!$B$7:$E$12,4,0)/($V411*$X$352/12)</f>
        <v>4.42</v>
      </c>
    </row>
    <row r="412" spans="2:38">
      <c r="B412" s="1849"/>
      <c r="C412" s="69">
        <v>55</v>
      </c>
      <c r="D412" s="76">
        <f t="shared" si="122"/>
        <v>6.0606060606060606</v>
      </c>
      <c r="E412" s="43">
        <f t="shared" si="108"/>
        <v>4.1818181818181817</v>
      </c>
      <c r="F412" s="43">
        <f t="shared" si="109"/>
        <v>3.5151515151515151</v>
      </c>
      <c r="G412" s="43">
        <f t="shared" si="110"/>
        <v>2.5090909090909093</v>
      </c>
      <c r="H412" s="43">
        <f t="shared" si="111"/>
        <v>2.0060606060606059</v>
      </c>
      <c r="I412" s="43">
        <f t="shared" si="112"/>
        <v>7.2727272727272725</v>
      </c>
      <c r="J412" s="43">
        <f t="shared" si="113"/>
        <v>7.2727272727272725</v>
      </c>
      <c r="K412" s="43">
        <f t="shared" si="114"/>
        <v>7.0303030303030303</v>
      </c>
      <c r="L412" s="43">
        <f t="shared" si="115"/>
        <v>5.0242424242424244</v>
      </c>
      <c r="M412" s="43">
        <f t="shared" si="116"/>
        <v>4.0181818181818185</v>
      </c>
      <c r="N412" s="43">
        <f t="shared" si="117"/>
        <v>9.0909090909090917</v>
      </c>
      <c r="O412" s="43">
        <f t="shared" si="118"/>
        <v>9.0909090909090917</v>
      </c>
      <c r="P412" s="43">
        <f t="shared" si="119"/>
        <v>9.0909090909090917</v>
      </c>
      <c r="Q412" s="43">
        <f t="shared" si="120"/>
        <v>5.0242424242424244</v>
      </c>
      <c r="R412" s="63">
        <f t="shared" si="121"/>
        <v>4.0181818181818185</v>
      </c>
      <c r="U412" s="1601"/>
      <c r="V412" s="28">
        <v>55</v>
      </c>
      <c r="W412" s="43" cm="1">
        <f t="array" ref="W412">VLOOKUP(MAX(IF('Courbe Déflexion'!$GG$25:$GG$305&lt;=V412,'Courbe Déflexion'!$GG$25:$GG$305)),'Courbe Déflexion'!$GG$25:$IA$305,8,0)</f>
        <v>13</v>
      </c>
      <c r="X412" s="43">
        <f>VLOOKUP(X$84,'Infos Techniques'!$B$7:$E$12,3,0)/($V412*$X$352/12)</f>
        <v>6.0606060606060606</v>
      </c>
      <c r="Y412" s="43">
        <f>VLOOKUP(Y$84,'Infos Techniques'!$B$7:$E$12,3,0)/($V412*$X$352/12)</f>
        <v>4.1818181818181817</v>
      </c>
      <c r="Z412" s="43">
        <f>VLOOKUP(Z$84,'Infos Techniques'!$B$7:$E$12,3,0)/($V412*$X$352/12)</f>
        <v>3.5151515151515151</v>
      </c>
      <c r="AA412" s="43">
        <f>VLOOKUP(AA$84,'Infos Techniques'!$B$7:$E$12,3,0)/($V412*$X$352/12)</f>
        <v>2.5090909090909093</v>
      </c>
      <c r="AB412" s="43">
        <f>VLOOKUP(AB$84,'Infos Techniques'!$B$7:$E$12,3,0)/($V412*$X$352/12)</f>
        <v>2.0060606060606059</v>
      </c>
      <c r="AC412" s="43">
        <f>VLOOKUP(AC$84,'Infos Techniques'!$B$7:$E$12,2,0)/($V412*$X$352/12)</f>
        <v>7.2727272727272725</v>
      </c>
      <c r="AD412" s="43">
        <f>VLOOKUP(AD$84,'Infos Techniques'!$B$7:$E$12,2,0)/($V412*$X$352/12)</f>
        <v>7.2727272727272725</v>
      </c>
      <c r="AE412" s="43">
        <f>VLOOKUP(AE$84,'Infos Techniques'!$B$7:$E$12,2,0)/($V412*$X$352/12)</f>
        <v>7.0303030303030303</v>
      </c>
      <c r="AF412" s="43">
        <f>VLOOKUP(AF$84,'Infos Techniques'!$B$7:$E$12,2,0)/($V412*$X$352/12)</f>
        <v>5.0242424242424244</v>
      </c>
      <c r="AG412" s="43">
        <f>VLOOKUP(AG$84,'Infos Techniques'!$B$7:$E$12,2,0)/($V412*$X$352/12)</f>
        <v>4.0181818181818185</v>
      </c>
      <c r="AH412" s="43">
        <f>VLOOKUP(AH$84,'Infos Techniques'!$B$7:$E$12,4,0)/($V412*$X$352/12)</f>
        <v>9.0909090909090917</v>
      </c>
      <c r="AI412" s="43">
        <f>VLOOKUP(AI$84,'Infos Techniques'!$B$7:$E$12,4,0)/($V412*$X$352/12)</f>
        <v>9.0909090909090917</v>
      </c>
      <c r="AJ412" s="43">
        <f>VLOOKUP(AJ$84,'Infos Techniques'!$B$7:$E$12,4,0)/($V412*$X$352/12)</f>
        <v>9.0909090909090917</v>
      </c>
      <c r="AK412" s="43">
        <f>VLOOKUP(AK$84,'Infos Techniques'!$B$7:$E$12,4,0)/($V412*$X$352/12)</f>
        <v>5.0242424242424244</v>
      </c>
      <c r="AL412" s="63">
        <f>VLOOKUP(AL$84,'Infos Techniques'!$B$7:$E$12,4,0)/($V412*$X$352/12)</f>
        <v>4.0181818181818185</v>
      </c>
    </row>
    <row r="413" spans="2:38">
      <c r="B413" s="1849"/>
      <c r="C413" s="70">
        <v>60</v>
      </c>
      <c r="D413" s="76">
        <f t="shared" si="122"/>
        <v>5.5555555555555554</v>
      </c>
      <c r="E413" s="43">
        <f t="shared" si="108"/>
        <v>3.8333333333333335</v>
      </c>
      <c r="F413" s="43">
        <f t="shared" si="109"/>
        <v>3.2222222222222223</v>
      </c>
      <c r="G413" s="43">
        <f t="shared" si="110"/>
        <v>2.2999999999999998</v>
      </c>
      <c r="H413" s="43">
        <f t="shared" si="111"/>
        <v>1.8388888888888888</v>
      </c>
      <c r="I413" s="43">
        <f t="shared" si="112"/>
        <v>6.666666666666667</v>
      </c>
      <c r="J413" s="43">
        <f t="shared" si="113"/>
        <v>6.666666666666667</v>
      </c>
      <c r="K413" s="43">
        <f t="shared" si="114"/>
        <v>6.4444444444444446</v>
      </c>
      <c r="L413" s="43">
        <f t="shared" si="115"/>
        <v>4.6055555555555552</v>
      </c>
      <c r="M413" s="43">
        <f t="shared" si="116"/>
        <v>3.6833333333333331</v>
      </c>
      <c r="N413" s="43">
        <f t="shared" si="117"/>
        <v>8.3333333333333339</v>
      </c>
      <c r="O413" s="43">
        <f t="shared" si="118"/>
        <v>8.3333333333333339</v>
      </c>
      <c r="P413" s="43">
        <f t="shared" si="119"/>
        <v>8.3333333333333339</v>
      </c>
      <c r="Q413" s="43">
        <f t="shared" si="120"/>
        <v>4.6055555555555552</v>
      </c>
      <c r="R413" s="63">
        <f t="shared" si="121"/>
        <v>3.6833333333333331</v>
      </c>
      <c r="U413" s="1601"/>
      <c r="V413" s="28">
        <v>60</v>
      </c>
      <c r="W413" s="43" cm="1">
        <f t="array" ref="W413">VLOOKUP(MAX(IF('Courbe Déflexion'!$GG$25:$GG$305&lt;=V413,'Courbe Déflexion'!$GG$25:$GG$305)),'Courbe Déflexion'!$GG$25:$IA$305,8,0)</f>
        <v>13.8</v>
      </c>
      <c r="X413" s="43">
        <f>VLOOKUP(X$84,'Infos Techniques'!$B$7:$E$12,3,0)/($V413*$X$352/12)</f>
        <v>5.5555555555555554</v>
      </c>
      <c r="Y413" s="43">
        <f>VLOOKUP(Y$84,'Infos Techniques'!$B$7:$E$12,3,0)/($V413*$X$352/12)</f>
        <v>3.8333333333333335</v>
      </c>
      <c r="Z413" s="43">
        <f>VLOOKUP(Z$84,'Infos Techniques'!$B$7:$E$12,3,0)/($V413*$X$352/12)</f>
        <v>3.2222222222222223</v>
      </c>
      <c r="AA413" s="43">
        <f>VLOOKUP(AA$84,'Infos Techniques'!$B$7:$E$12,3,0)/($V413*$X$352/12)</f>
        <v>2.2999999999999998</v>
      </c>
      <c r="AB413" s="43">
        <f>VLOOKUP(AB$84,'Infos Techniques'!$B$7:$E$12,3,0)/($V413*$X$352/12)</f>
        <v>1.8388888888888888</v>
      </c>
      <c r="AC413" s="43">
        <f>VLOOKUP(AC$84,'Infos Techniques'!$B$7:$E$12,2,0)/($V413*$X$352/12)</f>
        <v>6.666666666666667</v>
      </c>
      <c r="AD413" s="43">
        <f>VLOOKUP(AD$84,'Infos Techniques'!$B$7:$E$12,2,0)/($V413*$X$352/12)</f>
        <v>6.666666666666667</v>
      </c>
      <c r="AE413" s="43">
        <f>VLOOKUP(AE$84,'Infos Techniques'!$B$7:$E$12,2,0)/($V413*$X$352/12)</f>
        <v>6.4444444444444446</v>
      </c>
      <c r="AF413" s="43">
        <f>VLOOKUP(AF$84,'Infos Techniques'!$B$7:$E$12,2,0)/($V413*$X$352/12)</f>
        <v>4.6055555555555552</v>
      </c>
      <c r="AG413" s="43">
        <f>VLOOKUP(AG$84,'Infos Techniques'!$B$7:$E$12,2,0)/($V413*$X$352/12)</f>
        <v>3.6833333333333331</v>
      </c>
      <c r="AH413" s="43">
        <f>VLOOKUP(AH$84,'Infos Techniques'!$B$7:$E$12,4,0)/($V413*$X$352/12)</f>
        <v>8.3333333333333339</v>
      </c>
      <c r="AI413" s="43">
        <f>VLOOKUP(AI$84,'Infos Techniques'!$B$7:$E$12,4,0)/($V413*$X$352/12)</f>
        <v>8.3333333333333339</v>
      </c>
      <c r="AJ413" s="43">
        <f>VLOOKUP(AJ$84,'Infos Techniques'!$B$7:$E$12,4,0)/($V413*$X$352/12)</f>
        <v>8.3333333333333339</v>
      </c>
      <c r="AK413" s="43">
        <f>VLOOKUP(AK$84,'Infos Techniques'!$B$7:$E$12,4,0)/($V413*$X$352/12)</f>
        <v>4.6055555555555552</v>
      </c>
      <c r="AL413" s="63">
        <f>VLOOKUP(AL$84,'Infos Techniques'!$B$7:$E$12,4,0)/($V413*$X$352/12)</f>
        <v>3.6833333333333331</v>
      </c>
    </row>
    <row r="414" spans="2:38">
      <c r="B414" s="1849"/>
      <c r="C414" s="70">
        <v>65</v>
      </c>
      <c r="D414" s="76">
        <f t="shared" si="122"/>
        <v>5.1282051282051286</v>
      </c>
      <c r="E414" s="43">
        <f t="shared" si="108"/>
        <v>3.5384615384615383</v>
      </c>
      <c r="F414" s="43">
        <f t="shared" si="109"/>
        <v>2.9743589743589745</v>
      </c>
      <c r="G414" s="43">
        <f t="shared" si="110"/>
        <v>2.1230769230769231</v>
      </c>
      <c r="H414" s="43">
        <f t="shared" si="111"/>
        <v>1.6974358974358974</v>
      </c>
      <c r="I414" s="43">
        <f t="shared" si="112"/>
        <v>6.1538461538461542</v>
      </c>
      <c r="J414" s="43">
        <f t="shared" si="113"/>
        <v>6.1538461538461542</v>
      </c>
      <c r="K414" s="43">
        <f t="shared" si="114"/>
        <v>5.9487179487179489</v>
      </c>
      <c r="L414" s="43">
        <f t="shared" si="115"/>
        <v>4.2512820512820513</v>
      </c>
      <c r="M414" s="43">
        <f t="shared" si="116"/>
        <v>3.4</v>
      </c>
      <c r="N414" s="43">
        <f t="shared" si="117"/>
        <v>7.6923076923076925</v>
      </c>
      <c r="O414" s="43">
        <f t="shared" si="118"/>
        <v>7.6923076923076925</v>
      </c>
      <c r="P414" s="43">
        <f t="shared" si="119"/>
        <v>7.6923076923076925</v>
      </c>
      <c r="Q414" s="43">
        <f t="shared" si="120"/>
        <v>4.2512820512820513</v>
      </c>
      <c r="R414" s="63">
        <f t="shared" si="121"/>
        <v>3.4</v>
      </c>
      <c r="U414" s="1601"/>
      <c r="V414" s="28">
        <v>65</v>
      </c>
      <c r="W414" s="43" cm="1">
        <f t="array" ref="W414">VLOOKUP(MAX(IF('Courbe Déflexion'!$GG$25:$GG$305&lt;=V414,'Courbe Déflexion'!$GG$25:$GG$305)),'Courbe Déflexion'!$GG$25:$IA$305,8,0)</f>
        <v>15.600000000000001</v>
      </c>
      <c r="X414" s="43">
        <f>VLOOKUP(X$84,'Infos Techniques'!$B$7:$E$12,3,0)/($V414*$X$352/12)</f>
        <v>5.1282051282051286</v>
      </c>
      <c r="Y414" s="43">
        <f>VLOOKUP(Y$84,'Infos Techniques'!$B$7:$E$12,3,0)/($V414*$X$352/12)</f>
        <v>3.5384615384615383</v>
      </c>
      <c r="Z414" s="43">
        <f>VLOOKUP(Z$84,'Infos Techniques'!$B$7:$E$12,3,0)/($V414*$X$352/12)</f>
        <v>2.9743589743589745</v>
      </c>
      <c r="AA414" s="43">
        <f>VLOOKUP(AA$84,'Infos Techniques'!$B$7:$E$12,3,0)/($V414*$X$352/12)</f>
        <v>2.1230769230769231</v>
      </c>
      <c r="AB414" s="43">
        <f>VLOOKUP(AB$84,'Infos Techniques'!$B$7:$E$12,3,0)/($V414*$X$352/12)</f>
        <v>1.6974358974358974</v>
      </c>
      <c r="AC414" s="43">
        <f>VLOOKUP(AC$84,'Infos Techniques'!$B$7:$E$12,2,0)/($V414*$X$352/12)</f>
        <v>6.1538461538461542</v>
      </c>
      <c r="AD414" s="43">
        <f>VLOOKUP(AD$84,'Infos Techniques'!$B$7:$E$12,2,0)/($V414*$X$352/12)</f>
        <v>6.1538461538461542</v>
      </c>
      <c r="AE414" s="43">
        <f>VLOOKUP(AE$84,'Infos Techniques'!$B$7:$E$12,2,0)/($V414*$X$352/12)</f>
        <v>5.9487179487179489</v>
      </c>
      <c r="AF414" s="43">
        <f>VLOOKUP(AF$84,'Infos Techniques'!$B$7:$E$12,2,0)/($V414*$X$352/12)</f>
        <v>4.2512820512820513</v>
      </c>
      <c r="AG414" s="43">
        <f>VLOOKUP(AG$84,'Infos Techniques'!$B$7:$E$12,2,0)/($V414*$X$352/12)</f>
        <v>3.4</v>
      </c>
      <c r="AH414" s="43">
        <f>VLOOKUP(AH$84,'Infos Techniques'!$B$7:$E$12,4,0)/($V414*$X$352/12)</f>
        <v>7.6923076923076925</v>
      </c>
      <c r="AI414" s="43">
        <f>VLOOKUP(AI$84,'Infos Techniques'!$B$7:$E$12,4,0)/($V414*$X$352/12)</f>
        <v>7.6923076923076925</v>
      </c>
      <c r="AJ414" s="43">
        <f>VLOOKUP(AJ$84,'Infos Techniques'!$B$7:$E$12,4,0)/($V414*$X$352/12)</f>
        <v>7.6923076923076925</v>
      </c>
      <c r="AK414" s="43">
        <f>VLOOKUP(AK$84,'Infos Techniques'!$B$7:$E$12,4,0)/($V414*$X$352/12)</f>
        <v>4.2512820512820513</v>
      </c>
      <c r="AL414" s="63">
        <f>VLOOKUP(AL$84,'Infos Techniques'!$B$7:$E$12,4,0)/($V414*$X$352/12)</f>
        <v>3.4</v>
      </c>
    </row>
    <row r="415" spans="2:38">
      <c r="B415" s="1849"/>
      <c r="C415" s="70">
        <v>70</v>
      </c>
      <c r="D415" s="76">
        <f t="shared" si="122"/>
        <v>4.7619047619047619</v>
      </c>
      <c r="E415" s="43">
        <f t="shared" si="108"/>
        <v>3.2857142857142856</v>
      </c>
      <c r="F415" s="43">
        <f t="shared" si="109"/>
        <v>2.7619047619047619</v>
      </c>
      <c r="G415" s="43">
        <f t="shared" si="110"/>
        <v>1.9714285714285715</v>
      </c>
      <c r="H415" s="43">
        <f t="shared" si="111"/>
        <v>1.5761904761904761</v>
      </c>
      <c r="I415" s="43">
        <f t="shared" si="112"/>
        <v>5.7142857142857144</v>
      </c>
      <c r="J415" s="43">
        <f t="shared" si="113"/>
        <v>5.7142857142857144</v>
      </c>
      <c r="K415" s="43">
        <f t="shared" si="114"/>
        <v>5.5238095238095237</v>
      </c>
      <c r="L415" s="43">
        <f t="shared" si="115"/>
        <v>3.9476190476190478</v>
      </c>
      <c r="M415" s="43">
        <f t="shared" si="116"/>
        <v>3.157142857142857</v>
      </c>
      <c r="N415" s="43">
        <f t="shared" si="117"/>
        <v>7.1428571428571432</v>
      </c>
      <c r="O415" s="43">
        <f t="shared" si="118"/>
        <v>7.1428571428571432</v>
      </c>
      <c r="P415" s="43">
        <f t="shared" si="119"/>
        <v>7.1428571428571432</v>
      </c>
      <c r="Q415" s="43">
        <f t="shared" si="120"/>
        <v>3.9476190476190478</v>
      </c>
      <c r="R415" s="63">
        <f t="shared" si="121"/>
        <v>3.157142857142857</v>
      </c>
      <c r="U415" s="1601"/>
      <c r="V415" s="28">
        <v>70</v>
      </c>
      <c r="W415" s="43" cm="1">
        <f t="array" ref="W415">VLOOKUP(MAX(IF('Courbe Déflexion'!$GG$25:$GG$305&lt;=V415,'Courbe Déflexion'!$GG$25:$GG$305)),'Courbe Déflexion'!$GG$25:$IA$305,8,0)</f>
        <v>16.599999999999994</v>
      </c>
      <c r="X415" s="43">
        <f>VLOOKUP(X$84,'Infos Techniques'!$B$7:$E$12,3,0)/($V415*$X$352/12)</f>
        <v>4.7619047619047619</v>
      </c>
      <c r="Y415" s="43">
        <f>VLOOKUP(Y$84,'Infos Techniques'!$B$7:$E$12,3,0)/($V415*$X$352/12)</f>
        <v>3.2857142857142856</v>
      </c>
      <c r="Z415" s="43">
        <f>VLOOKUP(Z$84,'Infos Techniques'!$B$7:$E$12,3,0)/($V415*$X$352/12)</f>
        <v>2.7619047619047619</v>
      </c>
      <c r="AA415" s="43">
        <f>VLOOKUP(AA$84,'Infos Techniques'!$B$7:$E$12,3,0)/($V415*$X$352/12)</f>
        <v>1.9714285714285715</v>
      </c>
      <c r="AB415" s="43">
        <f>VLOOKUP(AB$84,'Infos Techniques'!$B$7:$E$12,3,0)/($V415*$X$352/12)</f>
        <v>1.5761904761904761</v>
      </c>
      <c r="AC415" s="43">
        <f>VLOOKUP(AC$84,'Infos Techniques'!$B$7:$E$12,2,0)/($V415*$X$352/12)</f>
        <v>5.7142857142857144</v>
      </c>
      <c r="AD415" s="43">
        <f>VLOOKUP(AD$84,'Infos Techniques'!$B$7:$E$12,2,0)/($V415*$X$352/12)</f>
        <v>5.7142857142857144</v>
      </c>
      <c r="AE415" s="43">
        <f>VLOOKUP(AE$84,'Infos Techniques'!$B$7:$E$12,2,0)/($V415*$X$352/12)</f>
        <v>5.5238095238095237</v>
      </c>
      <c r="AF415" s="43">
        <f>VLOOKUP(AF$84,'Infos Techniques'!$B$7:$E$12,2,0)/($V415*$X$352/12)</f>
        <v>3.9476190476190478</v>
      </c>
      <c r="AG415" s="43">
        <f>VLOOKUP(AG$84,'Infos Techniques'!$B$7:$E$12,2,0)/($V415*$X$352/12)</f>
        <v>3.157142857142857</v>
      </c>
      <c r="AH415" s="43">
        <f>VLOOKUP(AH$84,'Infos Techniques'!$B$7:$E$12,4,0)/($V415*$X$352/12)</f>
        <v>7.1428571428571432</v>
      </c>
      <c r="AI415" s="43">
        <f>VLOOKUP(AI$84,'Infos Techniques'!$B$7:$E$12,4,0)/($V415*$X$352/12)</f>
        <v>7.1428571428571432</v>
      </c>
      <c r="AJ415" s="43">
        <f>VLOOKUP(AJ$84,'Infos Techniques'!$B$7:$E$12,4,0)/($V415*$X$352/12)</f>
        <v>7.1428571428571432</v>
      </c>
      <c r="AK415" s="43">
        <f>VLOOKUP(AK$84,'Infos Techniques'!$B$7:$E$12,4,0)/($V415*$X$352/12)</f>
        <v>3.9476190476190478</v>
      </c>
      <c r="AL415" s="63">
        <f>VLOOKUP(AL$84,'Infos Techniques'!$B$7:$E$12,4,0)/($V415*$X$352/12)</f>
        <v>3.157142857142857</v>
      </c>
    </row>
    <row r="416" spans="2:38" ht="15" thickBot="1">
      <c r="B416" s="1849"/>
      <c r="C416" s="71">
        <v>75</v>
      </c>
      <c r="D416" s="76">
        <f t="shared" si="122"/>
        <v>4.4444444444444446</v>
      </c>
      <c r="E416" s="43">
        <f t="shared" si="108"/>
        <v>3.0666666666666669</v>
      </c>
      <c r="F416" s="43">
        <f t="shared" si="109"/>
        <v>2.5777777777777779</v>
      </c>
      <c r="G416" s="43">
        <f t="shared" si="110"/>
        <v>1.84</v>
      </c>
      <c r="H416" s="43">
        <f t="shared" si="111"/>
        <v>1.471111111111111</v>
      </c>
      <c r="I416" s="43">
        <f t="shared" si="112"/>
        <v>5.333333333333333</v>
      </c>
      <c r="J416" s="43">
        <f t="shared" si="113"/>
        <v>5.333333333333333</v>
      </c>
      <c r="K416" s="43">
        <f t="shared" si="114"/>
        <v>5.1555555555555559</v>
      </c>
      <c r="L416" s="43">
        <f t="shared" si="115"/>
        <v>3.6844444444444444</v>
      </c>
      <c r="M416" s="43">
        <f t="shared" si="116"/>
        <v>2.9466666666666668</v>
      </c>
      <c r="N416" s="43">
        <f t="shared" si="117"/>
        <v>6.666666666666667</v>
      </c>
      <c r="O416" s="43">
        <f t="shared" si="118"/>
        <v>6.666666666666667</v>
      </c>
      <c r="P416" s="43">
        <f t="shared" si="119"/>
        <v>6.666666666666667</v>
      </c>
      <c r="Q416" s="43">
        <f t="shared" si="120"/>
        <v>3.6844444444444444</v>
      </c>
      <c r="R416" s="63">
        <f t="shared" si="121"/>
        <v>2.9466666666666668</v>
      </c>
      <c r="U416" s="1601"/>
      <c r="V416" s="28">
        <v>75</v>
      </c>
      <c r="W416" s="43" cm="1">
        <f t="array" ref="W416">VLOOKUP(MAX(IF('Courbe Déflexion'!$GG$25:$GG$305&lt;=V416,'Courbe Déflexion'!$GG$25:$GG$305)),'Courbe Déflexion'!$GG$25:$IA$305,8,0)</f>
        <v>17.800000000000004</v>
      </c>
      <c r="X416" s="43">
        <f>VLOOKUP(X$84,'Infos Techniques'!$B$7:$E$12,3,0)/($V416*$X$352/12)</f>
        <v>4.4444444444444446</v>
      </c>
      <c r="Y416" s="43">
        <f>VLOOKUP(Y$84,'Infos Techniques'!$B$7:$E$12,3,0)/($V416*$X$352/12)</f>
        <v>3.0666666666666669</v>
      </c>
      <c r="Z416" s="43">
        <f>VLOOKUP(Z$84,'Infos Techniques'!$B$7:$E$12,3,0)/($V416*$X$352/12)</f>
        <v>2.5777777777777779</v>
      </c>
      <c r="AA416" s="43">
        <f>VLOOKUP(AA$84,'Infos Techniques'!$B$7:$E$12,3,0)/($V416*$X$352/12)</f>
        <v>1.84</v>
      </c>
      <c r="AB416" s="43">
        <f>VLOOKUP(AB$84,'Infos Techniques'!$B$7:$E$12,3,0)/($V416*$X$352/12)</f>
        <v>1.471111111111111</v>
      </c>
      <c r="AC416" s="43">
        <f>VLOOKUP(AC$84,'Infos Techniques'!$B$7:$E$12,2,0)/($V416*$X$352/12)</f>
        <v>5.333333333333333</v>
      </c>
      <c r="AD416" s="43">
        <f>VLOOKUP(AD$84,'Infos Techniques'!$B$7:$E$12,2,0)/($V416*$X$352/12)</f>
        <v>5.333333333333333</v>
      </c>
      <c r="AE416" s="43">
        <f>VLOOKUP(AE$84,'Infos Techniques'!$B$7:$E$12,2,0)/($V416*$X$352/12)</f>
        <v>5.1555555555555559</v>
      </c>
      <c r="AF416" s="43">
        <f>VLOOKUP(AF$84,'Infos Techniques'!$B$7:$E$12,2,0)/($V416*$X$352/12)</f>
        <v>3.6844444444444444</v>
      </c>
      <c r="AG416" s="43">
        <f>VLOOKUP(AG$84,'Infos Techniques'!$B$7:$E$12,2,0)/($V416*$X$352/12)</f>
        <v>2.9466666666666668</v>
      </c>
      <c r="AH416" s="43">
        <f>VLOOKUP(AH$84,'Infos Techniques'!$B$7:$E$12,4,0)/($V416*$X$352/12)</f>
        <v>6.666666666666667</v>
      </c>
      <c r="AI416" s="43">
        <f>VLOOKUP(AI$84,'Infos Techniques'!$B$7:$E$12,4,0)/($V416*$X$352/12)</f>
        <v>6.666666666666667</v>
      </c>
      <c r="AJ416" s="43">
        <f>VLOOKUP(AJ$84,'Infos Techniques'!$B$7:$E$12,4,0)/($V416*$X$352/12)</f>
        <v>6.666666666666667</v>
      </c>
      <c r="AK416" s="43">
        <f>VLOOKUP(AK$84,'Infos Techniques'!$B$7:$E$12,4,0)/($V416*$X$352/12)</f>
        <v>3.6844444444444444</v>
      </c>
      <c r="AL416" s="63">
        <f>VLOOKUP(AL$84,'Infos Techniques'!$B$7:$E$12,4,0)/($V416*$X$352/12)</f>
        <v>2.9466666666666668</v>
      </c>
    </row>
    <row r="417" spans="2:38">
      <c r="B417" s="1849"/>
      <c r="C417" s="72">
        <v>80</v>
      </c>
      <c r="D417" s="76">
        <f t="shared" si="122"/>
        <v>4.166666666666667</v>
      </c>
      <c r="E417" s="43">
        <f t="shared" si="108"/>
        <v>2.875</v>
      </c>
      <c r="F417" s="43">
        <f t="shared" si="109"/>
        <v>2.4166666666666665</v>
      </c>
      <c r="G417" s="43">
        <f t="shared" si="110"/>
        <v>1.7250000000000001</v>
      </c>
      <c r="H417" s="43">
        <f t="shared" si="111"/>
        <v>1.3791666666666667</v>
      </c>
      <c r="I417" s="43">
        <f t="shared" si="112"/>
        <v>5</v>
      </c>
      <c r="J417" s="43">
        <f t="shared" si="113"/>
        <v>5</v>
      </c>
      <c r="K417" s="43">
        <f t="shared" si="114"/>
        <v>4.833333333333333</v>
      </c>
      <c r="L417" s="43">
        <f t="shared" si="115"/>
        <v>3.4541666666666666</v>
      </c>
      <c r="M417" s="43">
        <f t="shared" si="116"/>
        <v>2.7625000000000002</v>
      </c>
      <c r="N417" s="43">
        <f t="shared" si="117"/>
        <v>6.25</v>
      </c>
      <c r="O417" s="43">
        <f t="shared" si="118"/>
        <v>6.25</v>
      </c>
      <c r="P417" s="43">
        <f t="shared" si="119"/>
        <v>6.25</v>
      </c>
      <c r="Q417" s="43">
        <f t="shared" si="120"/>
        <v>3.4541666666666666</v>
      </c>
      <c r="R417" s="63">
        <f t="shared" si="121"/>
        <v>2.7625000000000002</v>
      </c>
      <c r="U417" s="1601"/>
      <c r="V417" s="28">
        <v>80</v>
      </c>
      <c r="W417" s="43" cm="1">
        <f t="array" ref="W417">VLOOKUP(MAX(IF('Courbe Déflexion'!$GG$25:$GG$305&lt;=V417,'Courbe Déflexion'!$GG$25:$GG$305)),'Courbe Déflexion'!$GG$25:$IA$305,8,0)</f>
        <v>19.200000000000006</v>
      </c>
      <c r="X417" s="43">
        <f>VLOOKUP(X$84,'Infos Techniques'!$B$7:$E$12,3,0)/($V417*$X$352/12)</f>
        <v>4.166666666666667</v>
      </c>
      <c r="Y417" s="43">
        <f>VLOOKUP(Y$84,'Infos Techniques'!$B$7:$E$12,3,0)/($V417*$X$352/12)</f>
        <v>2.875</v>
      </c>
      <c r="Z417" s="43">
        <f>VLOOKUP(Z$84,'Infos Techniques'!$B$7:$E$12,3,0)/($V417*$X$352/12)</f>
        <v>2.4166666666666665</v>
      </c>
      <c r="AA417" s="43">
        <f>VLOOKUP(AA$84,'Infos Techniques'!$B$7:$E$12,3,0)/($V417*$X$352/12)</f>
        <v>1.7250000000000001</v>
      </c>
      <c r="AB417" s="43">
        <f>VLOOKUP(AB$84,'Infos Techniques'!$B$7:$E$12,3,0)/($V417*$X$352/12)</f>
        <v>1.3791666666666667</v>
      </c>
      <c r="AC417" s="43">
        <f>VLOOKUP(AC$84,'Infos Techniques'!$B$7:$E$12,2,0)/($V417*$X$352/12)</f>
        <v>5</v>
      </c>
      <c r="AD417" s="43">
        <f>VLOOKUP(AD$84,'Infos Techniques'!$B$7:$E$12,2,0)/($V417*$X$352/12)</f>
        <v>5</v>
      </c>
      <c r="AE417" s="43">
        <f>VLOOKUP(AE$84,'Infos Techniques'!$B$7:$E$12,2,0)/($V417*$X$352/12)</f>
        <v>4.833333333333333</v>
      </c>
      <c r="AF417" s="43">
        <f>VLOOKUP(AF$84,'Infos Techniques'!$B$7:$E$12,2,0)/($V417*$X$352/12)</f>
        <v>3.4541666666666666</v>
      </c>
      <c r="AG417" s="43">
        <f>VLOOKUP(AG$84,'Infos Techniques'!$B$7:$E$12,2,0)/($V417*$X$352/12)</f>
        <v>2.7625000000000002</v>
      </c>
      <c r="AH417" s="43">
        <f>VLOOKUP(AH$84,'Infos Techniques'!$B$7:$E$12,4,0)/($V417*$X$352/12)</f>
        <v>6.25</v>
      </c>
      <c r="AI417" s="43">
        <f>VLOOKUP(AI$84,'Infos Techniques'!$B$7:$E$12,4,0)/($V417*$X$352/12)</f>
        <v>6.25</v>
      </c>
      <c r="AJ417" s="43">
        <f>VLOOKUP(AJ$84,'Infos Techniques'!$B$7:$E$12,4,0)/($V417*$X$352/12)</f>
        <v>6.25</v>
      </c>
      <c r="AK417" s="43">
        <f>VLOOKUP(AK$84,'Infos Techniques'!$B$7:$E$12,4,0)/($V417*$X$352/12)</f>
        <v>3.4541666666666666</v>
      </c>
      <c r="AL417" s="63">
        <f>VLOOKUP(AL$84,'Infos Techniques'!$B$7:$E$12,4,0)/($V417*$X$352/12)</f>
        <v>2.7625000000000002</v>
      </c>
    </row>
    <row r="418" spans="2:38">
      <c r="B418" s="1849"/>
      <c r="C418" s="70">
        <v>85</v>
      </c>
      <c r="D418" s="76">
        <f t="shared" si="122"/>
        <v>3.9215686274509802</v>
      </c>
      <c r="E418" s="43">
        <f t="shared" si="108"/>
        <v>2.7058823529411766</v>
      </c>
      <c r="F418" s="43">
        <f t="shared" si="109"/>
        <v>2.2745098039215685</v>
      </c>
      <c r="G418" s="43">
        <f t="shared" si="110"/>
        <v>1.6235294117647059</v>
      </c>
      <c r="H418" s="43">
        <f t="shared" si="111"/>
        <v>1.2980392156862746</v>
      </c>
      <c r="I418" s="43">
        <f t="shared" si="112"/>
        <v>4.7058823529411766</v>
      </c>
      <c r="J418" s="43">
        <f t="shared" si="113"/>
        <v>4.7058823529411766</v>
      </c>
      <c r="K418" s="43">
        <f t="shared" si="114"/>
        <v>4.5490196078431371</v>
      </c>
      <c r="L418" s="43">
        <f t="shared" si="115"/>
        <v>3.2509803921568627</v>
      </c>
      <c r="M418" s="43">
        <f t="shared" si="116"/>
        <v>2.6</v>
      </c>
      <c r="N418" s="43">
        <f t="shared" si="117"/>
        <v>5.882352941176471</v>
      </c>
      <c r="O418" s="43">
        <f t="shared" si="118"/>
        <v>5.882352941176471</v>
      </c>
      <c r="P418" s="43">
        <f t="shared" si="119"/>
        <v>5.882352941176471</v>
      </c>
      <c r="Q418" s="43">
        <f t="shared" si="120"/>
        <v>3.2509803921568627</v>
      </c>
      <c r="R418" s="63">
        <f t="shared" si="121"/>
        <v>2.6</v>
      </c>
      <c r="U418" s="1601"/>
      <c r="V418" s="28">
        <v>85</v>
      </c>
      <c r="W418" s="43" cm="1">
        <f t="array" ref="W418">VLOOKUP(MAX(IF('Courbe Déflexion'!$GG$25:$GG$305&lt;=V418,'Courbe Déflexion'!$GG$25:$GG$305)),'Courbe Déflexion'!$GG$25:$IA$305,8,0)</f>
        <v>20.200000000000003</v>
      </c>
      <c r="X418" s="43">
        <f>VLOOKUP(X$84,'Infos Techniques'!$B$7:$E$12,3,0)/($V418*$X$352/12)</f>
        <v>3.9215686274509802</v>
      </c>
      <c r="Y418" s="43">
        <f>VLOOKUP(Y$84,'Infos Techniques'!$B$7:$E$12,3,0)/($V418*$X$352/12)</f>
        <v>2.7058823529411766</v>
      </c>
      <c r="Z418" s="43">
        <f>VLOOKUP(Z$84,'Infos Techniques'!$B$7:$E$12,3,0)/($V418*$X$352/12)</f>
        <v>2.2745098039215685</v>
      </c>
      <c r="AA418" s="43">
        <f>VLOOKUP(AA$84,'Infos Techniques'!$B$7:$E$12,3,0)/($V418*$X$352/12)</f>
        <v>1.6235294117647059</v>
      </c>
      <c r="AB418" s="43">
        <f>VLOOKUP(AB$84,'Infos Techniques'!$B$7:$E$12,3,0)/($V418*$X$352/12)</f>
        <v>1.2980392156862746</v>
      </c>
      <c r="AC418" s="43">
        <f>VLOOKUP(AC$84,'Infos Techniques'!$B$7:$E$12,2,0)/($V418*$X$352/12)</f>
        <v>4.7058823529411766</v>
      </c>
      <c r="AD418" s="43">
        <f>VLOOKUP(AD$84,'Infos Techniques'!$B$7:$E$12,2,0)/($V418*$X$352/12)</f>
        <v>4.7058823529411766</v>
      </c>
      <c r="AE418" s="43">
        <f>VLOOKUP(AE$84,'Infos Techniques'!$B$7:$E$12,2,0)/($V418*$X$352/12)</f>
        <v>4.5490196078431371</v>
      </c>
      <c r="AF418" s="43">
        <f>VLOOKUP(AF$84,'Infos Techniques'!$B$7:$E$12,2,0)/($V418*$X$352/12)</f>
        <v>3.2509803921568627</v>
      </c>
      <c r="AG418" s="43">
        <f>VLOOKUP(AG$84,'Infos Techniques'!$B$7:$E$12,2,0)/($V418*$X$352/12)</f>
        <v>2.6</v>
      </c>
      <c r="AH418" s="43">
        <f>VLOOKUP(AH$84,'Infos Techniques'!$B$7:$E$12,4,0)/($V418*$X$352/12)</f>
        <v>5.882352941176471</v>
      </c>
      <c r="AI418" s="43">
        <f>VLOOKUP(AI$84,'Infos Techniques'!$B$7:$E$12,4,0)/($V418*$X$352/12)</f>
        <v>5.882352941176471</v>
      </c>
      <c r="AJ418" s="43">
        <f>VLOOKUP(AJ$84,'Infos Techniques'!$B$7:$E$12,4,0)/($V418*$X$352/12)</f>
        <v>5.882352941176471</v>
      </c>
      <c r="AK418" s="43">
        <f>VLOOKUP(AK$84,'Infos Techniques'!$B$7:$E$12,4,0)/($V418*$X$352/12)</f>
        <v>3.2509803921568627</v>
      </c>
      <c r="AL418" s="63">
        <f>VLOOKUP(AL$84,'Infos Techniques'!$B$7:$E$12,4,0)/($V418*$X$352/12)</f>
        <v>2.6</v>
      </c>
    </row>
    <row r="419" spans="2:38">
      <c r="B419" s="1849"/>
      <c r="C419" s="70">
        <v>90</v>
      </c>
      <c r="D419" s="76">
        <f t="shared" si="122"/>
        <v>3.7037037037037037</v>
      </c>
      <c r="E419" s="43">
        <f t="shared" si="108"/>
        <v>2.5555555555555554</v>
      </c>
      <c r="F419" s="43">
        <f t="shared" si="109"/>
        <v>2.1481481481481484</v>
      </c>
      <c r="G419" s="43">
        <f t="shared" si="110"/>
        <v>1.5333333333333334</v>
      </c>
      <c r="H419" s="43">
        <f t="shared" si="111"/>
        <v>1.2259259259259259</v>
      </c>
      <c r="I419" s="43">
        <f t="shared" si="112"/>
        <v>4.4444444444444446</v>
      </c>
      <c r="J419" s="43">
        <f t="shared" si="113"/>
        <v>4.4444444444444446</v>
      </c>
      <c r="K419" s="43">
        <f t="shared" si="114"/>
        <v>4.2962962962962967</v>
      </c>
      <c r="L419" s="43">
        <f t="shared" si="115"/>
        <v>3.0703703703703704</v>
      </c>
      <c r="M419" s="43">
        <f t="shared" si="116"/>
        <v>2.4555555555555557</v>
      </c>
      <c r="N419" s="43">
        <f t="shared" si="117"/>
        <v>5.5555555555555554</v>
      </c>
      <c r="O419" s="43">
        <f t="shared" si="118"/>
        <v>5.5555555555555554</v>
      </c>
      <c r="P419" s="43">
        <f t="shared" si="119"/>
        <v>5.5555555555555554</v>
      </c>
      <c r="Q419" s="43">
        <f t="shared" si="120"/>
        <v>3.0703703703703704</v>
      </c>
      <c r="R419" s="63">
        <f t="shared" si="121"/>
        <v>2.4555555555555557</v>
      </c>
      <c r="U419" s="1601"/>
      <c r="V419" s="28">
        <v>90</v>
      </c>
      <c r="W419" s="43" cm="1">
        <f t="array" ref="W419">VLOOKUP(MAX(IF('Courbe Déflexion'!$GG$25:$GG$305&lt;=V419,'Courbe Déflexion'!$GG$25:$GG$305)),'Courbe Déflexion'!$GG$25:$IA$305,8,0)</f>
        <v>21.299999999999994</v>
      </c>
      <c r="X419" s="43">
        <f>VLOOKUP(X$84,'Infos Techniques'!$B$7:$E$12,3,0)/($V419*$X$352/12)</f>
        <v>3.7037037037037037</v>
      </c>
      <c r="Y419" s="43">
        <f>VLOOKUP(Y$84,'Infos Techniques'!$B$7:$E$12,3,0)/($V419*$X$352/12)</f>
        <v>2.5555555555555554</v>
      </c>
      <c r="Z419" s="43">
        <f>VLOOKUP(Z$84,'Infos Techniques'!$B$7:$E$12,3,0)/($V419*$X$352/12)</f>
        <v>2.1481481481481484</v>
      </c>
      <c r="AA419" s="43">
        <f>VLOOKUP(AA$84,'Infos Techniques'!$B$7:$E$12,3,0)/($V419*$X$352/12)</f>
        <v>1.5333333333333334</v>
      </c>
      <c r="AB419" s="43">
        <f>VLOOKUP(AB$84,'Infos Techniques'!$B$7:$E$12,3,0)/($V419*$X$352/12)</f>
        <v>1.2259259259259259</v>
      </c>
      <c r="AC419" s="43">
        <f>VLOOKUP(AC$84,'Infos Techniques'!$B$7:$E$12,2,0)/($V419*$X$352/12)</f>
        <v>4.4444444444444446</v>
      </c>
      <c r="AD419" s="43">
        <f>VLOOKUP(AD$84,'Infos Techniques'!$B$7:$E$12,2,0)/($V419*$X$352/12)</f>
        <v>4.4444444444444446</v>
      </c>
      <c r="AE419" s="43">
        <f>VLOOKUP(AE$84,'Infos Techniques'!$B$7:$E$12,2,0)/($V419*$X$352/12)</f>
        <v>4.2962962962962967</v>
      </c>
      <c r="AF419" s="43">
        <f>VLOOKUP(AF$84,'Infos Techniques'!$B$7:$E$12,2,0)/($V419*$X$352/12)</f>
        <v>3.0703703703703704</v>
      </c>
      <c r="AG419" s="43">
        <f>VLOOKUP(AG$84,'Infos Techniques'!$B$7:$E$12,2,0)/($V419*$X$352/12)</f>
        <v>2.4555555555555557</v>
      </c>
      <c r="AH419" s="43">
        <f>VLOOKUP(AH$84,'Infos Techniques'!$B$7:$E$12,4,0)/($V419*$X$352/12)</f>
        <v>5.5555555555555554</v>
      </c>
      <c r="AI419" s="43">
        <f>VLOOKUP(AI$84,'Infos Techniques'!$B$7:$E$12,4,0)/($V419*$X$352/12)</f>
        <v>5.5555555555555554</v>
      </c>
      <c r="AJ419" s="43">
        <f>VLOOKUP(AJ$84,'Infos Techniques'!$B$7:$E$12,4,0)/($V419*$X$352/12)</f>
        <v>5.5555555555555554</v>
      </c>
      <c r="AK419" s="43">
        <f>VLOOKUP(AK$84,'Infos Techniques'!$B$7:$E$12,4,0)/($V419*$X$352/12)</f>
        <v>3.0703703703703704</v>
      </c>
      <c r="AL419" s="63">
        <f>VLOOKUP(AL$84,'Infos Techniques'!$B$7:$E$12,4,0)/($V419*$X$352/12)</f>
        <v>2.4555555555555557</v>
      </c>
    </row>
    <row r="420" spans="2:38">
      <c r="B420" s="1849"/>
      <c r="C420" s="70">
        <v>95</v>
      </c>
      <c r="D420" s="76">
        <f t="shared" si="122"/>
        <v>3.5087719298245612</v>
      </c>
      <c r="E420" s="43">
        <f t="shared" si="108"/>
        <v>2.4210526315789473</v>
      </c>
      <c r="F420" s="43">
        <f t="shared" si="109"/>
        <v>2.0350877192982457</v>
      </c>
      <c r="G420" s="43">
        <f t="shared" si="110"/>
        <v>1.4526315789473685</v>
      </c>
      <c r="H420" s="43">
        <f t="shared" si="111"/>
        <v>1.1614035087719299</v>
      </c>
      <c r="I420" s="43">
        <f t="shared" si="112"/>
        <v>4.2105263157894735</v>
      </c>
      <c r="J420" s="43">
        <f t="shared" si="113"/>
        <v>4.2105263157894735</v>
      </c>
      <c r="K420" s="43">
        <f t="shared" si="114"/>
        <v>4.0701754385964914</v>
      </c>
      <c r="L420" s="43">
        <f t="shared" si="115"/>
        <v>2.9087719298245616</v>
      </c>
      <c r="M420" s="43">
        <f t="shared" si="116"/>
        <v>2.3263157894736843</v>
      </c>
      <c r="N420" s="43">
        <f t="shared" si="117"/>
        <v>5.2631578947368425</v>
      </c>
      <c r="O420" s="43">
        <f t="shared" si="118"/>
        <v>5.2631578947368425</v>
      </c>
      <c r="P420" s="43">
        <f t="shared" si="119"/>
        <v>5.2631578947368425</v>
      </c>
      <c r="Q420" s="43">
        <f t="shared" si="120"/>
        <v>2.9087719298245616</v>
      </c>
      <c r="R420" s="63">
        <f t="shared" si="121"/>
        <v>2.3263157894736843</v>
      </c>
      <c r="U420" s="1601"/>
      <c r="V420" s="28">
        <v>95</v>
      </c>
      <c r="W420" s="43" cm="1">
        <f t="array" ref="W420">VLOOKUP(MAX(IF('Courbe Déflexion'!$GG$25:$GG$305&lt;=V420,'Courbe Déflexion'!$GG$25:$GG$305)),'Courbe Déflexion'!$GG$25:$IA$305,8,0)</f>
        <v>22.799999999999997</v>
      </c>
      <c r="X420" s="43">
        <f>VLOOKUP(X$84,'Infos Techniques'!$B$7:$E$12,3,0)/($V420*$X$352/12)</f>
        <v>3.5087719298245612</v>
      </c>
      <c r="Y420" s="43">
        <f>VLOOKUP(Y$84,'Infos Techniques'!$B$7:$E$12,3,0)/($V420*$X$352/12)</f>
        <v>2.4210526315789473</v>
      </c>
      <c r="Z420" s="43">
        <f>VLOOKUP(Z$84,'Infos Techniques'!$B$7:$E$12,3,0)/($V420*$X$352/12)</f>
        <v>2.0350877192982457</v>
      </c>
      <c r="AA420" s="43">
        <f>VLOOKUP(AA$84,'Infos Techniques'!$B$7:$E$12,3,0)/($V420*$X$352/12)</f>
        <v>1.4526315789473685</v>
      </c>
      <c r="AB420" s="43">
        <f>VLOOKUP(AB$84,'Infos Techniques'!$B$7:$E$12,3,0)/($V420*$X$352/12)</f>
        <v>1.1614035087719299</v>
      </c>
      <c r="AC420" s="43">
        <f>VLOOKUP(AC$84,'Infos Techniques'!$B$7:$E$12,2,0)/($V420*$X$352/12)</f>
        <v>4.2105263157894735</v>
      </c>
      <c r="AD420" s="43">
        <f>VLOOKUP(AD$84,'Infos Techniques'!$B$7:$E$12,2,0)/($V420*$X$352/12)</f>
        <v>4.2105263157894735</v>
      </c>
      <c r="AE420" s="43">
        <f>VLOOKUP(AE$84,'Infos Techniques'!$B$7:$E$12,2,0)/($V420*$X$352/12)</f>
        <v>4.0701754385964914</v>
      </c>
      <c r="AF420" s="43">
        <f>VLOOKUP(AF$84,'Infos Techniques'!$B$7:$E$12,2,0)/($V420*$X$352/12)</f>
        <v>2.9087719298245616</v>
      </c>
      <c r="AG420" s="43">
        <f>VLOOKUP(AG$84,'Infos Techniques'!$B$7:$E$12,2,0)/($V420*$X$352/12)</f>
        <v>2.3263157894736843</v>
      </c>
      <c r="AH420" s="43">
        <f>VLOOKUP(AH$84,'Infos Techniques'!$B$7:$E$12,4,0)/($V420*$X$352/12)</f>
        <v>5.2631578947368425</v>
      </c>
      <c r="AI420" s="43">
        <f>VLOOKUP(AI$84,'Infos Techniques'!$B$7:$E$12,4,0)/($V420*$X$352/12)</f>
        <v>5.2631578947368425</v>
      </c>
      <c r="AJ420" s="43">
        <f>VLOOKUP(AJ$84,'Infos Techniques'!$B$7:$E$12,4,0)/($V420*$X$352/12)</f>
        <v>5.2631578947368425</v>
      </c>
      <c r="AK420" s="43">
        <f>VLOOKUP(AK$84,'Infos Techniques'!$B$7:$E$12,4,0)/($V420*$X$352/12)</f>
        <v>2.9087719298245616</v>
      </c>
      <c r="AL420" s="63">
        <f>VLOOKUP(AL$84,'Infos Techniques'!$B$7:$E$12,4,0)/($V420*$X$352/12)</f>
        <v>2.3263157894736843</v>
      </c>
    </row>
    <row r="421" spans="2:38" ht="15" thickBot="1">
      <c r="B421" s="1850"/>
      <c r="C421" s="73">
        <v>100</v>
      </c>
      <c r="D421" s="79">
        <f t="shared" si="122"/>
        <v>3.3333333333333335</v>
      </c>
      <c r="E421" s="45">
        <f t="shared" si="108"/>
        <v>2.2999999999999998</v>
      </c>
      <c r="F421" s="45">
        <f t="shared" si="109"/>
        <v>1.9333333333333333</v>
      </c>
      <c r="G421" s="45">
        <f t="shared" si="110"/>
        <v>1.38</v>
      </c>
      <c r="H421" s="45">
        <f t="shared" si="111"/>
        <v>1.1033333333333333</v>
      </c>
      <c r="I421" s="45">
        <f t="shared" si="112"/>
        <v>4</v>
      </c>
      <c r="J421" s="45">
        <f t="shared" si="113"/>
        <v>4</v>
      </c>
      <c r="K421" s="45">
        <f t="shared" si="114"/>
        <v>3.8666666666666667</v>
      </c>
      <c r="L421" s="45">
        <f t="shared" si="115"/>
        <v>2.7633333333333332</v>
      </c>
      <c r="M421" s="45">
        <f t="shared" si="116"/>
        <v>2.21</v>
      </c>
      <c r="N421" s="45">
        <f t="shared" si="117"/>
        <v>5</v>
      </c>
      <c r="O421" s="45">
        <f t="shared" si="118"/>
        <v>5</v>
      </c>
      <c r="P421" s="45">
        <f t="shared" si="119"/>
        <v>5</v>
      </c>
      <c r="Q421" s="45">
        <f t="shared" si="120"/>
        <v>2.7633333333333332</v>
      </c>
      <c r="R421" s="66">
        <f t="shared" si="121"/>
        <v>2.21</v>
      </c>
      <c r="U421" s="1602"/>
      <c r="V421" s="44">
        <v>100</v>
      </c>
      <c r="W421" s="45" cm="1">
        <f t="array" ref="W421">VLOOKUP(MAX(IF('Courbe Déflexion'!$GG$25:$GG$305&lt;=V421,'Courbe Déflexion'!$GG$25:$GG$305)),'Courbe Déflexion'!$GG$25:$IA$305,8,0)</f>
        <v>24</v>
      </c>
      <c r="X421" s="45">
        <f>VLOOKUP(X$84,'Infos Techniques'!$B$7:$E$12,3,0)/($V421*$X$352/12)</f>
        <v>3.3333333333333335</v>
      </c>
      <c r="Y421" s="45">
        <f>VLOOKUP(Y$84,'Infos Techniques'!$B$7:$E$12,3,0)/($V421*$X$352/12)</f>
        <v>2.2999999999999998</v>
      </c>
      <c r="Z421" s="45">
        <f>VLOOKUP(Z$84,'Infos Techniques'!$B$7:$E$12,3,0)/($V421*$X$352/12)</f>
        <v>1.9333333333333333</v>
      </c>
      <c r="AA421" s="45">
        <f>VLOOKUP(AA$84,'Infos Techniques'!$B$7:$E$12,3,0)/($V421*$X$352/12)</f>
        <v>1.38</v>
      </c>
      <c r="AB421" s="45">
        <f>VLOOKUP(AB$84,'Infos Techniques'!$B$7:$E$12,3,0)/($V421*$X$352/12)</f>
        <v>1.1033333333333333</v>
      </c>
      <c r="AC421" s="45">
        <f>VLOOKUP(AC$84,'Infos Techniques'!$B$7:$E$12,2,0)/($V421*$X$352/12)</f>
        <v>4</v>
      </c>
      <c r="AD421" s="45">
        <f>VLOOKUP(AD$84,'Infos Techniques'!$B$7:$E$12,2,0)/($V421*$X$352/12)</f>
        <v>4</v>
      </c>
      <c r="AE421" s="45">
        <f>VLOOKUP(AE$84,'Infos Techniques'!$B$7:$E$12,2,0)/($V421*$X$352/12)</f>
        <v>3.8666666666666667</v>
      </c>
      <c r="AF421" s="45">
        <f>VLOOKUP(AF$84,'Infos Techniques'!$B$7:$E$12,2,0)/($V421*$X$352/12)</f>
        <v>2.7633333333333332</v>
      </c>
      <c r="AG421" s="45">
        <f>VLOOKUP(AG$84,'Infos Techniques'!$B$7:$E$12,2,0)/($V421*$X$352/12)</f>
        <v>2.21</v>
      </c>
      <c r="AH421" s="45">
        <f>VLOOKUP(AH$84,'Infos Techniques'!$B$7:$E$12,4,0)/($V421*$X$352/12)</f>
        <v>5</v>
      </c>
      <c r="AI421" s="45">
        <f>VLOOKUP(AI$84,'Infos Techniques'!$B$7:$E$12,4,0)/($V421*$X$352/12)</f>
        <v>5</v>
      </c>
      <c r="AJ421" s="45">
        <f>VLOOKUP(AJ$84,'Infos Techniques'!$B$7:$E$12,4,0)/($V421*$X$352/12)</f>
        <v>5</v>
      </c>
      <c r="AK421" s="45">
        <f>VLOOKUP(AK$84,'Infos Techniques'!$B$7:$E$12,4,0)/($V421*$X$352/12)</f>
        <v>2.7633333333333332</v>
      </c>
      <c r="AL421" s="66">
        <f>VLOOKUP(AL$84,'Infos Techniques'!$B$7:$E$12,4,0)/($V421*$X$352/12)</f>
        <v>2.21</v>
      </c>
    </row>
    <row r="422" spans="2:38" ht="15" thickTop="1"/>
    <row r="433" spans="2:38" ht="25.9">
      <c r="B433" s="1851" t="s">
        <v>1683</v>
      </c>
      <c r="C433" s="1852"/>
      <c r="D433" s="1852"/>
      <c r="E433" s="1852"/>
      <c r="F433" s="1852"/>
      <c r="G433" s="1852"/>
      <c r="H433" s="1852"/>
      <c r="I433" s="1852"/>
      <c r="J433" s="1852"/>
      <c r="K433" s="1852"/>
      <c r="L433" s="1852"/>
      <c r="M433" s="1852"/>
      <c r="N433" s="1852"/>
      <c r="O433" s="1852"/>
      <c r="P433" s="1852"/>
      <c r="Q433" s="1852"/>
      <c r="R433" s="1852"/>
    </row>
    <row r="434" spans="2:38" ht="25.9">
      <c r="B434" s="262"/>
      <c r="C434" s="263"/>
      <c r="D434" s="263"/>
      <c r="E434" s="263"/>
      <c r="F434" s="263"/>
      <c r="G434" s="263"/>
      <c r="H434" s="263"/>
      <c r="I434" s="263"/>
      <c r="J434" s="263"/>
      <c r="K434" s="263"/>
      <c r="L434" s="263"/>
      <c r="M434" s="263"/>
      <c r="N434" s="263"/>
      <c r="O434" s="263"/>
      <c r="P434" s="263"/>
      <c r="Q434" s="263"/>
      <c r="R434" s="263"/>
    </row>
    <row r="435" spans="2:38" ht="26.45" thickBot="1">
      <c r="B435" s="1803" t="s">
        <v>1662</v>
      </c>
      <c r="C435" s="1803"/>
      <c r="D435" s="1803"/>
      <c r="E435" s="1803"/>
      <c r="F435" s="1803"/>
      <c r="G435" s="1803"/>
      <c r="H435" s="1803"/>
      <c r="I435" s="1803"/>
      <c r="J435" s="1803"/>
      <c r="K435" s="1803"/>
      <c r="L435" s="1803"/>
      <c r="M435" s="1803"/>
      <c r="N435" s="1803"/>
      <c r="O435" s="1803"/>
      <c r="P435" s="1803"/>
      <c r="Q435" s="1803"/>
      <c r="R435" s="1803"/>
    </row>
    <row r="436" spans="2:38" ht="15.6" thickTop="1" thickBot="1">
      <c r="U436" s="1808"/>
      <c r="V436" s="1809"/>
      <c r="W436" s="1606" t="s">
        <v>315</v>
      </c>
      <c r="X436" s="1606" t="s">
        <v>263</v>
      </c>
      <c r="Y436" s="1606"/>
      <c r="Z436" s="1606"/>
      <c r="AA436" s="1606"/>
      <c r="AB436" s="1606"/>
      <c r="AC436" s="1606"/>
      <c r="AD436" s="1606"/>
      <c r="AE436" s="1606"/>
      <c r="AF436" s="1606"/>
      <c r="AG436" s="1606"/>
      <c r="AH436" s="1606"/>
      <c r="AI436" s="1606"/>
      <c r="AJ436" s="1606"/>
      <c r="AK436" s="1606"/>
      <c r="AL436" s="1832"/>
    </row>
    <row r="437" spans="2:38" ht="21.6" thickTop="1">
      <c r="B437" s="1812"/>
      <c r="C437" s="1813"/>
      <c r="D437" s="1837" t="s">
        <v>263</v>
      </c>
      <c r="E437" s="1838"/>
      <c r="F437" s="1838"/>
      <c r="G437" s="1838"/>
      <c r="H437" s="1838"/>
      <c r="I437" s="1838"/>
      <c r="J437" s="1838"/>
      <c r="K437" s="1838"/>
      <c r="L437" s="1838"/>
      <c r="M437" s="1838"/>
      <c r="N437" s="1838"/>
      <c r="O437" s="1838"/>
      <c r="P437" s="1838"/>
      <c r="Q437" s="1838"/>
      <c r="R437" s="1839"/>
      <c r="U437" s="1810"/>
      <c r="V437" s="1811"/>
      <c r="W437" s="1571"/>
      <c r="X437" s="54"/>
      <c r="Y437" s="55"/>
      <c r="Z437" s="55"/>
      <c r="AA437" s="55"/>
      <c r="AB437" s="56"/>
      <c r="AC437" s="54"/>
      <c r="AD437" s="55"/>
      <c r="AE437" s="55"/>
      <c r="AF437" s="55"/>
      <c r="AG437" s="56"/>
      <c r="AH437" s="54"/>
      <c r="AI437" s="55"/>
      <c r="AJ437" s="55"/>
      <c r="AK437" s="55"/>
      <c r="AL437" s="57"/>
    </row>
    <row r="438" spans="2:38" ht="16.149999999999999" thickBot="1">
      <c r="B438" s="1814"/>
      <c r="C438" s="1397"/>
      <c r="D438" s="1840" t="s">
        <v>1663</v>
      </c>
      <c r="E438" s="1841"/>
      <c r="F438" s="1841"/>
      <c r="G438" s="1841"/>
      <c r="H438" s="1841"/>
      <c r="I438" s="1841" t="s">
        <v>321</v>
      </c>
      <c r="J438" s="1841"/>
      <c r="K438" s="1841"/>
      <c r="L438" s="1841"/>
      <c r="M438" s="1841"/>
      <c r="N438" s="1841" t="s">
        <v>322</v>
      </c>
      <c r="O438" s="1841"/>
      <c r="P438" s="1841"/>
      <c r="Q438" s="1841"/>
      <c r="R438" s="1842"/>
      <c r="U438" s="1646"/>
      <c r="V438" s="1113"/>
      <c r="W438" s="1603"/>
      <c r="X438" s="1833" t="s">
        <v>1663</v>
      </c>
      <c r="Y438" s="1834"/>
      <c r="Z438" s="1834"/>
      <c r="AA438" s="1834"/>
      <c r="AB438" s="1835"/>
      <c r="AC438" s="1833" t="s">
        <v>321</v>
      </c>
      <c r="AD438" s="1834"/>
      <c r="AE438" s="1834"/>
      <c r="AF438" s="1834"/>
      <c r="AG438" s="1835"/>
      <c r="AH438" s="1833" t="s">
        <v>322</v>
      </c>
      <c r="AI438" s="1834"/>
      <c r="AJ438" s="1834"/>
      <c r="AK438" s="1834"/>
      <c r="AL438" s="1836"/>
    </row>
    <row r="439" spans="2:38" ht="17.45">
      <c r="B439" s="1814"/>
      <c r="C439" s="1397"/>
      <c r="D439" s="1843" t="s">
        <v>1664</v>
      </c>
      <c r="E439" s="1844"/>
      <c r="F439" s="1844"/>
      <c r="G439" s="1844"/>
      <c r="H439" s="1845"/>
      <c r="I439" s="1846" t="s">
        <v>1664</v>
      </c>
      <c r="J439" s="1844"/>
      <c r="K439" s="1844"/>
      <c r="L439" s="1844"/>
      <c r="M439" s="1845"/>
      <c r="N439" s="1846" t="s">
        <v>1664</v>
      </c>
      <c r="O439" s="1844"/>
      <c r="P439" s="1844"/>
      <c r="Q439" s="1844"/>
      <c r="R439" s="1847"/>
      <c r="U439" s="1646"/>
      <c r="V439" s="1113"/>
      <c r="W439" s="29"/>
      <c r="X439" s="237"/>
      <c r="Y439" s="80"/>
      <c r="Z439" s="80"/>
      <c r="AA439" s="80"/>
      <c r="AB439" s="239"/>
      <c r="AC439" s="237"/>
      <c r="AD439" s="80"/>
      <c r="AE439" s="80"/>
      <c r="AF439" s="80"/>
      <c r="AG439" s="239"/>
      <c r="AH439" s="237"/>
      <c r="AI439" s="80"/>
      <c r="AJ439" s="80"/>
      <c r="AK439" s="80"/>
      <c r="AL439" s="238"/>
    </row>
    <row r="440" spans="2:38" ht="14.45" customHeight="1" thickBot="1">
      <c r="B440" s="1815"/>
      <c r="C440" s="1816"/>
      <c r="D440" s="74" t="s">
        <v>1665</v>
      </c>
      <c r="E440" s="50" t="s">
        <v>334</v>
      </c>
      <c r="F440" s="50" t="s">
        <v>335</v>
      </c>
      <c r="G440" s="50" t="s">
        <v>336</v>
      </c>
      <c r="H440" s="51" t="s">
        <v>337</v>
      </c>
      <c r="I440" s="49" t="s">
        <v>1665</v>
      </c>
      <c r="J440" s="50" t="s">
        <v>1666</v>
      </c>
      <c r="K440" s="50" t="s">
        <v>1667</v>
      </c>
      <c r="L440" s="50" t="s">
        <v>1668</v>
      </c>
      <c r="M440" s="52" t="s">
        <v>1669</v>
      </c>
      <c r="N440" s="49" t="s">
        <v>1670</v>
      </c>
      <c r="O440" s="50" t="s">
        <v>1666</v>
      </c>
      <c r="P440" s="50" t="s">
        <v>1667</v>
      </c>
      <c r="Q440" s="50" t="s">
        <v>1668</v>
      </c>
      <c r="R440" s="53" t="s">
        <v>1669</v>
      </c>
      <c r="U440" s="1646"/>
      <c r="V440" s="1113"/>
      <c r="W440" s="29" t="s">
        <v>333</v>
      </c>
      <c r="X440" s="28">
        <v>0.1875</v>
      </c>
      <c r="Y440" s="28" t="s">
        <v>334</v>
      </c>
      <c r="Z440" s="28" t="s">
        <v>335</v>
      </c>
      <c r="AA440" s="28" t="s">
        <v>336</v>
      </c>
      <c r="AB440" s="28" t="s">
        <v>337</v>
      </c>
      <c r="AC440" s="28">
        <v>0.1875</v>
      </c>
      <c r="AD440" s="28" t="s">
        <v>334</v>
      </c>
      <c r="AE440" s="28" t="s">
        <v>335</v>
      </c>
      <c r="AF440" s="28" t="s">
        <v>336</v>
      </c>
      <c r="AG440" s="28" t="s">
        <v>337</v>
      </c>
      <c r="AH440" s="28">
        <v>0.1875</v>
      </c>
      <c r="AI440" s="28" t="s">
        <v>334</v>
      </c>
      <c r="AJ440" s="28" t="s">
        <v>335</v>
      </c>
      <c r="AK440" s="28" t="s">
        <v>336</v>
      </c>
      <c r="AL440" s="40" t="s">
        <v>337</v>
      </c>
    </row>
    <row r="441" spans="2:38">
      <c r="B441" s="1848" t="s">
        <v>1671</v>
      </c>
      <c r="C441" s="69">
        <v>5</v>
      </c>
      <c r="D441" s="75">
        <f>MIN($X$354,X441,$W441)</f>
        <v>12</v>
      </c>
      <c r="E441" s="59">
        <f t="shared" ref="E441:E460" si="123">MIN($X$354,Y441,$W441)</f>
        <v>12</v>
      </c>
      <c r="F441" s="59">
        <f t="shared" ref="F441:F460" si="124">MIN($X$354,Z441,$W441)</f>
        <v>12</v>
      </c>
      <c r="G441" s="59">
        <f t="shared" ref="G441:G460" si="125">MIN($X$354,AA441,$W441)</f>
        <v>12</v>
      </c>
      <c r="H441" s="59">
        <f t="shared" ref="H441:H460" si="126">MIN($X$354,AB441,$W441)</f>
        <v>12</v>
      </c>
      <c r="I441" s="59">
        <f t="shared" ref="I441:I460" si="127">MIN($X$354,AC441,$W441)</f>
        <v>12</v>
      </c>
      <c r="J441" s="59">
        <f t="shared" ref="J441:J460" si="128">MIN($X$354,AD441,$W441)</f>
        <v>12</v>
      </c>
      <c r="K441" s="59">
        <f t="shared" ref="K441:K460" si="129">MIN($X$354,AE441,$W441)</f>
        <v>12</v>
      </c>
      <c r="L441" s="59">
        <f t="shared" ref="L441:L460" si="130">MIN($X$354,AF441,$W441)</f>
        <v>12</v>
      </c>
      <c r="M441" s="59">
        <f t="shared" ref="M441:M460" si="131">MIN($X$354,AG441,$W441)</f>
        <v>12</v>
      </c>
      <c r="N441" s="59">
        <f t="shared" ref="N441:N460" si="132">MIN($X$354,AH441,$W441)</f>
        <v>12</v>
      </c>
      <c r="O441" s="59">
        <f t="shared" ref="O441:O460" si="133">MIN($X$354,AI441,$W441)</f>
        <v>12</v>
      </c>
      <c r="P441" s="59">
        <f t="shared" ref="P441:P460" si="134">MIN($X$354,AJ441,$W441)</f>
        <v>12</v>
      </c>
      <c r="Q441" s="59">
        <f t="shared" ref="Q441:Q460" si="135">MIN($X$354,AK441,$W441)</f>
        <v>12</v>
      </c>
      <c r="R441" s="62">
        <f t="shared" ref="R441:R460" si="136">MIN($X$354,AL441,$W441)</f>
        <v>12</v>
      </c>
      <c r="U441" s="1601" t="s">
        <v>314</v>
      </c>
      <c r="V441" s="28">
        <v>5</v>
      </c>
      <c r="W441" s="43" t="s">
        <v>1674</v>
      </c>
      <c r="X441" s="43">
        <f>VLOOKUP(X$84,'Infos Techniques'!$B$7:$E$12,3,0)/($V441*$X$352/12)</f>
        <v>66.666666666666671</v>
      </c>
      <c r="Y441" s="43">
        <f>VLOOKUP(Y$84,'Infos Techniques'!$B$7:$E$12,3,0)/($V441*$X$352/12)</f>
        <v>46</v>
      </c>
      <c r="Z441" s="43">
        <f>VLOOKUP(Z$84,'Infos Techniques'!$B$7:$E$12,3,0)/($V441*$X$352/12)</f>
        <v>38.666666666666664</v>
      </c>
      <c r="AA441" s="43">
        <f>VLOOKUP(AA$84,'Infos Techniques'!$B$7:$E$12,3,0)/($V441*$X$352/12)</f>
        <v>27.6</v>
      </c>
      <c r="AB441" s="43">
        <f>VLOOKUP(AB$84,'Infos Techniques'!$B$7:$E$12,3,0)/($V441*$X$352/12)</f>
        <v>22.066666666666666</v>
      </c>
      <c r="AC441" s="43">
        <f>VLOOKUP(AC$84,'Infos Techniques'!$B$7:$E$12,2,0)/($V441*$X$352/12)</f>
        <v>80</v>
      </c>
      <c r="AD441" s="43">
        <f>VLOOKUP(AD$84,'Infos Techniques'!$B$7:$E$12,2,0)/($V441*$X$352/12)</f>
        <v>80</v>
      </c>
      <c r="AE441" s="43">
        <f>VLOOKUP(AE$84,'Infos Techniques'!$B$7:$E$12,2,0)/($V441*$X$352/12)</f>
        <v>77.333333333333329</v>
      </c>
      <c r="AF441" s="43">
        <f>VLOOKUP(AF$84,'Infos Techniques'!$B$7:$E$12,2,0)/($V441*$X$352/12)</f>
        <v>55.266666666666666</v>
      </c>
      <c r="AG441" s="43">
        <f>VLOOKUP(AG$84,'Infos Techniques'!$B$7:$E$12,2,0)/($V441*$X$352/12)</f>
        <v>44.2</v>
      </c>
      <c r="AH441" s="43">
        <f>VLOOKUP(AH$84,'Infos Techniques'!$B$7:$E$12,4,0)/($V441*$X$352/12)</f>
        <v>100</v>
      </c>
      <c r="AI441" s="43">
        <f>VLOOKUP(AI$84,'Infos Techniques'!$B$7:$E$12,4,0)/($V441*$X$352/12)</f>
        <v>100</v>
      </c>
      <c r="AJ441" s="43">
        <f>VLOOKUP(AJ$84,'Infos Techniques'!$B$7:$E$12,4,0)/($V441*$X$352/12)</f>
        <v>100</v>
      </c>
      <c r="AK441" s="43">
        <f>VLOOKUP(AK$84,'Infos Techniques'!$B$7:$E$12,4,0)/($V441*$X$352/12)</f>
        <v>55.266666666666666</v>
      </c>
      <c r="AL441" s="63">
        <f>VLOOKUP(AL$84,'Infos Techniques'!$B$7:$E$12,4,0)/($V441*$X$352/12)</f>
        <v>44.2</v>
      </c>
    </row>
    <row r="442" spans="2:38">
      <c r="B442" s="1849"/>
      <c r="C442" s="70">
        <v>10</v>
      </c>
      <c r="D442" s="76">
        <f t="shared" ref="D442:D460" si="137">MIN($X$354,X442,$W442)</f>
        <v>0</v>
      </c>
      <c r="E442" s="43">
        <f t="shared" si="123"/>
        <v>0</v>
      </c>
      <c r="F442" s="43">
        <f t="shared" si="124"/>
        <v>0</v>
      </c>
      <c r="G442" s="43">
        <f t="shared" si="125"/>
        <v>0</v>
      </c>
      <c r="H442" s="43">
        <f t="shared" si="126"/>
        <v>0</v>
      </c>
      <c r="I442" s="43">
        <f t="shared" si="127"/>
        <v>0</v>
      </c>
      <c r="J442" s="43">
        <f t="shared" si="128"/>
        <v>0</v>
      </c>
      <c r="K442" s="43">
        <f t="shared" si="129"/>
        <v>0</v>
      </c>
      <c r="L442" s="43">
        <f t="shared" si="130"/>
        <v>0</v>
      </c>
      <c r="M442" s="43">
        <f t="shared" si="131"/>
        <v>0</v>
      </c>
      <c r="N442" s="43">
        <f t="shared" si="132"/>
        <v>0</v>
      </c>
      <c r="O442" s="43">
        <f t="shared" si="133"/>
        <v>0</v>
      </c>
      <c r="P442" s="43">
        <f t="shared" si="134"/>
        <v>0</v>
      </c>
      <c r="Q442" s="43">
        <f t="shared" si="135"/>
        <v>0</v>
      </c>
      <c r="R442" s="63">
        <f t="shared" si="136"/>
        <v>0</v>
      </c>
      <c r="U442" s="1601"/>
      <c r="V442" s="28">
        <v>10</v>
      </c>
      <c r="W442" s="43" cm="1">
        <f t="array" ref="W442">VLOOKUP(MAX(IF('Courbe Déflexion'!$GH$25:$GH$305&lt;=V442,'Courbe Déflexion'!$GH$25:$GH$305)),'Courbe Déflexion'!$GH$25:$IA$305,7,0)</f>
        <v>0</v>
      </c>
      <c r="X442" s="43">
        <f>VLOOKUP(X$84,'Infos Techniques'!$B$7:$E$12,3,0)/($V442*$X$352/12)</f>
        <v>33.333333333333336</v>
      </c>
      <c r="Y442" s="43">
        <f>VLOOKUP(Y$84,'Infos Techniques'!$B$7:$E$12,3,0)/($V442*$X$352/12)</f>
        <v>23</v>
      </c>
      <c r="Z442" s="43">
        <f>VLOOKUP(Z$84,'Infos Techniques'!$B$7:$E$12,3,0)/($V442*$X$352/12)</f>
        <v>19.333333333333332</v>
      </c>
      <c r="AA442" s="43">
        <f>VLOOKUP(AA$84,'Infos Techniques'!$B$7:$E$12,3,0)/($V442*$X$352/12)</f>
        <v>13.8</v>
      </c>
      <c r="AB442" s="43">
        <f>VLOOKUP(AB$84,'Infos Techniques'!$B$7:$E$12,3,0)/($V442*$X$352/12)</f>
        <v>11.033333333333333</v>
      </c>
      <c r="AC442" s="43">
        <f>VLOOKUP(AC$84,'Infos Techniques'!$B$7:$E$12,2,0)/($V442*$X$352/12)</f>
        <v>40</v>
      </c>
      <c r="AD442" s="43">
        <f>VLOOKUP(AD$84,'Infos Techniques'!$B$7:$E$12,2,0)/($V442*$X$352/12)</f>
        <v>40</v>
      </c>
      <c r="AE442" s="43">
        <f>VLOOKUP(AE$84,'Infos Techniques'!$B$7:$E$12,2,0)/($V442*$X$352/12)</f>
        <v>38.666666666666664</v>
      </c>
      <c r="AF442" s="43">
        <f>VLOOKUP(AF$84,'Infos Techniques'!$B$7:$E$12,2,0)/($V442*$X$352/12)</f>
        <v>27.633333333333333</v>
      </c>
      <c r="AG442" s="43">
        <f>VLOOKUP(AG$84,'Infos Techniques'!$B$7:$E$12,2,0)/($V442*$X$352/12)</f>
        <v>22.1</v>
      </c>
      <c r="AH442" s="43">
        <f>VLOOKUP(AH$84,'Infos Techniques'!$B$7:$E$12,4,0)/($V442*$X$352/12)</f>
        <v>50</v>
      </c>
      <c r="AI442" s="43">
        <f>VLOOKUP(AI$84,'Infos Techniques'!$B$7:$E$12,4,0)/($V442*$X$352/12)</f>
        <v>50</v>
      </c>
      <c r="AJ442" s="43">
        <f>VLOOKUP(AJ$84,'Infos Techniques'!$B$7:$E$12,4,0)/($V442*$X$352/12)</f>
        <v>50</v>
      </c>
      <c r="AK442" s="43">
        <f>VLOOKUP(AK$84,'Infos Techniques'!$B$7:$E$12,4,0)/($V442*$X$352/12)</f>
        <v>27.633333333333333</v>
      </c>
      <c r="AL442" s="63">
        <f>VLOOKUP(AL$84,'Infos Techniques'!$B$7:$E$12,4,0)/($V442*$X$352/12)</f>
        <v>22.1</v>
      </c>
    </row>
    <row r="443" spans="2:38">
      <c r="B443" s="1849"/>
      <c r="C443" s="70">
        <v>15</v>
      </c>
      <c r="D443" s="76">
        <f t="shared" si="137"/>
        <v>6</v>
      </c>
      <c r="E443" s="43">
        <f t="shared" si="123"/>
        <v>6</v>
      </c>
      <c r="F443" s="43">
        <f t="shared" si="124"/>
        <v>6</v>
      </c>
      <c r="G443" s="43">
        <f t="shared" si="125"/>
        <v>6</v>
      </c>
      <c r="H443" s="43">
        <f t="shared" si="126"/>
        <v>6</v>
      </c>
      <c r="I443" s="43">
        <f t="shared" si="127"/>
        <v>6</v>
      </c>
      <c r="J443" s="43">
        <f t="shared" si="128"/>
        <v>6</v>
      </c>
      <c r="K443" s="43">
        <f t="shared" si="129"/>
        <v>6</v>
      </c>
      <c r="L443" s="43">
        <f t="shared" si="130"/>
        <v>6</v>
      </c>
      <c r="M443" s="43">
        <f t="shared" si="131"/>
        <v>6</v>
      </c>
      <c r="N443" s="43">
        <f t="shared" si="132"/>
        <v>6</v>
      </c>
      <c r="O443" s="43">
        <f t="shared" si="133"/>
        <v>6</v>
      </c>
      <c r="P443" s="43">
        <f t="shared" si="134"/>
        <v>6</v>
      </c>
      <c r="Q443" s="43">
        <f t="shared" si="135"/>
        <v>6</v>
      </c>
      <c r="R443" s="63">
        <f t="shared" si="136"/>
        <v>6</v>
      </c>
      <c r="U443" s="1601"/>
      <c r="V443" s="28">
        <v>15</v>
      </c>
      <c r="W443" s="43" cm="1">
        <f t="array" ref="W443">VLOOKUP(MAX(IF('Courbe Déflexion'!$GH$25:$GH$305&lt;=V443,'Courbe Déflexion'!$GH$25:$GH$305)),'Courbe Déflexion'!$GH$25:$IA$305,7,0)</f>
        <v>6</v>
      </c>
      <c r="X443" s="43">
        <f>VLOOKUP(X$84,'Infos Techniques'!$B$7:$E$12,3,0)/($V443*$X$352/12)</f>
        <v>22.222222222222221</v>
      </c>
      <c r="Y443" s="43">
        <f>VLOOKUP(Y$84,'Infos Techniques'!$B$7:$E$12,3,0)/($V443*$X$352/12)</f>
        <v>15.333333333333334</v>
      </c>
      <c r="Z443" s="43">
        <f>VLOOKUP(Z$84,'Infos Techniques'!$B$7:$E$12,3,0)/($V443*$X$352/12)</f>
        <v>12.888888888888889</v>
      </c>
      <c r="AA443" s="43">
        <f>VLOOKUP(AA$84,'Infos Techniques'!$B$7:$E$12,3,0)/($V443*$X$352/12)</f>
        <v>9.1999999999999993</v>
      </c>
      <c r="AB443" s="43">
        <f>VLOOKUP(AB$84,'Infos Techniques'!$B$7:$E$12,3,0)/($V443*$X$352/12)</f>
        <v>7.3555555555555552</v>
      </c>
      <c r="AC443" s="43">
        <f>VLOOKUP(AC$84,'Infos Techniques'!$B$7:$E$12,2,0)/($V443*$X$352/12)</f>
        <v>26.666666666666668</v>
      </c>
      <c r="AD443" s="43">
        <f>VLOOKUP(AD$84,'Infos Techniques'!$B$7:$E$12,2,0)/($V443*$X$352/12)</f>
        <v>26.666666666666668</v>
      </c>
      <c r="AE443" s="43">
        <f>VLOOKUP(AE$84,'Infos Techniques'!$B$7:$E$12,2,0)/($V443*$X$352/12)</f>
        <v>25.777777777777779</v>
      </c>
      <c r="AF443" s="43">
        <f>VLOOKUP(AF$84,'Infos Techniques'!$B$7:$E$12,2,0)/($V443*$X$352/12)</f>
        <v>18.422222222222221</v>
      </c>
      <c r="AG443" s="43">
        <f>VLOOKUP(AG$84,'Infos Techniques'!$B$7:$E$12,2,0)/($V443*$X$352/12)</f>
        <v>14.733333333333333</v>
      </c>
      <c r="AH443" s="43">
        <f>VLOOKUP(AH$84,'Infos Techniques'!$B$7:$E$12,4,0)/($V443*$X$352/12)</f>
        <v>33.333333333333336</v>
      </c>
      <c r="AI443" s="43">
        <f>VLOOKUP(AI$84,'Infos Techniques'!$B$7:$E$12,4,0)/($V443*$X$352/12)</f>
        <v>33.333333333333336</v>
      </c>
      <c r="AJ443" s="43">
        <f>VLOOKUP(AJ$84,'Infos Techniques'!$B$7:$E$12,4,0)/($V443*$X$352/12)</f>
        <v>33.333333333333336</v>
      </c>
      <c r="AK443" s="43">
        <f>VLOOKUP(AK$84,'Infos Techniques'!$B$7:$E$12,4,0)/($V443*$X$352/12)</f>
        <v>18.422222222222221</v>
      </c>
      <c r="AL443" s="63">
        <f>VLOOKUP(AL$84,'Infos Techniques'!$B$7:$E$12,4,0)/($V443*$X$352/12)</f>
        <v>14.733333333333333</v>
      </c>
    </row>
    <row r="444" spans="2:38">
      <c r="B444" s="1849"/>
      <c r="C444" s="70">
        <v>20</v>
      </c>
      <c r="D444" s="76">
        <f t="shared" si="137"/>
        <v>7</v>
      </c>
      <c r="E444" s="43">
        <f t="shared" si="123"/>
        <v>7</v>
      </c>
      <c r="F444" s="43">
        <f t="shared" si="124"/>
        <v>7</v>
      </c>
      <c r="G444" s="43">
        <f t="shared" si="125"/>
        <v>6.9</v>
      </c>
      <c r="H444" s="43">
        <f t="shared" si="126"/>
        <v>5.5166666666666666</v>
      </c>
      <c r="I444" s="43">
        <f t="shared" si="127"/>
        <v>7</v>
      </c>
      <c r="J444" s="43">
        <f t="shared" si="128"/>
        <v>7</v>
      </c>
      <c r="K444" s="43">
        <f t="shared" si="129"/>
        <v>7</v>
      </c>
      <c r="L444" s="43">
        <f t="shared" si="130"/>
        <v>7</v>
      </c>
      <c r="M444" s="43">
        <f t="shared" si="131"/>
        <v>7</v>
      </c>
      <c r="N444" s="43">
        <f t="shared" si="132"/>
        <v>7</v>
      </c>
      <c r="O444" s="43">
        <f t="shared" si="133"/>
        <v>7</v>
      </c>
      <c r="P444" s="43">
        <f t="shared" si="134"/>
        <v>7</v>
      </c>
      <c r="Q444" s="43">
        <f t="shared" si="135"/>
        <v>7</v>
      </c>
      <c r="R444" s="63">
        <f t="shared" si="136"/>
        <v>7</v>
      </c>
      <c r="U444" s="1601"/>
      <c r="V444" s="28">
        <v>20</v>
      </c>
      <c r="W444" s="43" cm="1">
        <f t="array" ref="W444">VLOOKUP(MAX(IF('Courbe Déflexion'!$GH$25:$GH$305&lt;=V444,'Courbe Déflexion'!$GH$25:$GH$305)),'Courbe Déflexion'!$GH$25:$IA$305,7,0)</f>
        <v>7</v>
      </c>
      <c r="X444" s="43">
        <f>VLOOKUP(X$84,'Infos Techniques'!$B$7:$E$12,3,0)/($V444*$X$352/12)</f>
        <v>16.666666666666668</v>
      </c>
      <c r="Y444" s="43">
        <f>VLOOKUP(Y$84,'Infos Techniques'!$B$7:$E$12,3,0)/($V444*$X$352/12)</f>
        <v>11.5</v>
      </c>
      <c r="Z444" s="43">
        <f>VLOOKUP(Z$84,'Infos Techniques'!$B$7:$E$12,3,0)/($V444*$X$352/12)</f>
        <v>9.6666666666666661</v>
      </c>
      <c r="AA444" s="43">
        <f>VLOOKUP(AA$84,'Infos Techniques'!$B$7:$E$12,3,0)/($V444*$X$352/12)</f>
        <v>6.9</v>
      </c>
      <c r="AB444" s="43">
        <f>VLOOKUP(AB$84,'Infos Techniques'!$B$7:$E$12,3,0)/($V444*$X$352/12)</f>
        <v>5.5166666666666666</v>
      </c>
      <c r="AC444" s="43">
        <f>VLOOKUP(AC$84,'Infos Techniques'!$B$7:$E$12,2,0)/($V444*$X$352/12)</f>
        <v>20</v>
      </c>
      <c r="AD444" s="43">
        <f>VLOOKUP(AD$84,'Infos Techniques'!$B$7:$E$12,2,0)/($V444*$X$352/12)</f>
        <v>20</v>
      </c>
      <c r="AE444" s="43">
        <f>VLOOKUP(AE$84,'Infos Techniques'!$B$7:$E$12,2,0)/($V444*$X$352/12)</f>
        <v>19.333333333333332</v>
      </c>
      <c r="AF444" s="43">
        <f>VLOOKUP(AF$84,'Infos Techniques'!$B$7:$E$12,2,0)/($V444*$X$352/12)</f>
        <v>13.816666666666666</v>
      </c>
      <c r="AG444" s="43">
        <f>VLOOKUP(AG$84,'Infos Techniques'!$B$7:$E$12,2,0)/($V444*$X$352/12)</f>
        <v>11.05</v>
      </c>
      <c r="AH444" s="43">
        <f>VLOOKUP(AH$84,'Infos Techniques'!$B$7:$E$12,4,0)/($V444*$X$352/12)</f>
        <v>25</v>
      </c>
      <c r="AI444" s="43">
        <f>VLOOKUP(AI$84,'Infos Techniques'!$B$7:$E$12,4,0)/($V444*$X$352/12)</f>
        <v>25</v>
      </c>
      <c r="AJ444" s="43">
        <f>VLOOKUP(AJ$84,'Infos Techniques'!$B$7:$E$12,4,0)/($V444*$X$352/12)</f>
        <v>25</v>
      </c>
      <c r="AK444" s="43">
        <f>VLOOKUP(AK$84,'Infos Techniques'!$B$7:$E$12,4,0)/($V444*$X$352/12)</f>
        <v>13.816666666666666</v>
      </c>
      <c r="AL444" s="63">
        <f>VLOOKUP(AL$84,'Infos Techniques'!$B$7:$E$12,4,0)/($V444*$X$352/12)</f>
        <v>11.05</v>
      </c>
    </row>
    <row r="445" spans="2:38" ht="15" thickBot="1">
      <c r="B445" s="1849"/>
      <c r="C445" s="71">
        <v>25</v>
      </c>
      <c r="D445" s="76">
        <f t="shared" si="137"/>
        <v>8</v>
      </c>
      <c r="E445" s="43">
        <f t="shared" si="123"/>
        <v>8</v>
      </c>
      <c r="F445" s="43">
        <f t="shared" si="124"/>
        <v>7.7333333333333334</v>
      </c>
      <c r="G445" s="43">
        <f t="shared" si="125"/>
        <v>5.52</v>
      </c>
      <c r="H445" s="43">
        <f t="shared" si="126"/>
        <v>4.4133333333333331</v>
      </c>
      <c r="I445" s="43">
        <f t="shared" si="127"/>
        <v>8</v>
      </c>
      <c r="J445" s="43">
        <f t="shared" si="128"/>
        <v>8</v>
      </c>
      <c r="K445" s="43">
        <f t="shared" si="129"/>
        <v>8</v>
      </c>
      <c r="L445" s="43">
        <f t="shared" si="130"/>
        <v>8</v>
      </c>
      <c r="M445" s="43">
        <f t="shared" si="131"/>
        <v>8</v>
      </c>
      <c r="N445" s="43">
        <f t="shared" si="132"/>
        <v>8</v>
      </c>
      <c r="O445" s="43">
        <f t="shared" si="133"/>
        <v>8</v>
      </c>
      <c r="P445" s="43">
        <f t="shared" si="134"/>
        <v>8</v>
      </c>
      <c r="Q445" s="43">
        <f t="shared" si="135"/>
        <v>8</v>
      </c>
      <c r="R445" s="63">
        <f t="shared" si="136"/>
        <v>8</v>
      </c>
      <c r="U445" s="1601"/>
      <c r="V445" s="28">
        <v>25</v>
      </c>
      <c r="W445" s="43" cm="1">
        <f t="array" ref="W445">VLOOKUP(MAX(IF('Courbe Déflexion'!$GH$25:$GH$305&lt;=V445,'Courbe Déflexion'!$GH$25:$GH$305)),'Courbe Déflexion'!$GH$25:$IA$305,7,0)</f>
        <v>8</v>
      </c>
      <c r="X445" s="43">
        <f>VLOOKUP(X$84,'Infos Techniques'!$B$7:$E$12,3,0)/($V445*$X$352/12)</f>
        <v>13.333333333333334</v>
      </c>
      <c r="Y445" s="43">
        <f>VLOOKUP(Y$84,'Infos Techniques'!$B$7:$E$12,3,0)/($V445*$X$352/12)</f>
        <v>9.1999999999999993</v>
      </c>
      <c r="Z445" s="43">
        <f>VLOOKUP(Z$84,'Infos Techniques'!$B$7:$E$12,3,0)/($V445*$X$352/12)</f>
        <v>7.7333333333333334</v>
      </c>
      <c r="AA445" s="43">
        <f>VLOOKUP(AA$84,'Infos Techniques'!$B$7:$E$12,3,0)/($V445*$X$352/12)</f>
        <v>5.52</v>
      </c>
      <c r="AB445" s="43">
        <f>VLOOKUP(AB$84,'Infos Techniques'!$B$7:$E$12,3,0)/($V445*$X$352/12)</f>
        <v>4.4133333333333331</v>
      </c>
      <c r="AC445" s="43">
        <f>VLOOKUP(AC$84,'Infos Techniques'!$B$7:$E$12,2,0)/($V445*$X$352/12)</f>
        <v>16</v>
      </c>
      <c r="AD445" s="43">
        <f>VLOOKUP(AD$84,'Infos Techniques'!$B$7:$E$12,2,0)/($V445*$X$352/12)</f>
        <v>16</v>
      </c>
      <c r="AE445" s="43">
        <f>VLOOKUP(AE$84,'Infos Techniques'!$B$7:$E$12,2,0)/($V445*$X$352/12)</f>
        <v>15.466666666666667</v>
      </c>
      <c r="AF445" s="43">
        <f>VLOOKUP(AF$84,'Infos Techniques'!$B$7:$E$12,2,0)/($V445*$X$352/12)</f>
        <v>11.053333333333333</v>
      </c>
      <c r="AG445" s="43">
        <f>VLOOKUP(AG$84,'Infos Techniques'!$B$7:$E$12,2,0)/($V445*$X$352/12)</f>
        <v>8.84</v>
      </c>
      <c r="AH445" s="43">
        <f>VLOOKUP(AH$84,'Infos Techniques'!$B$7:$E$12,4,0)/($V445*$X$352/12)</f>
        <v>20</v>
      </c>
      <c r="AI445" s="43">
        <f>VLOOKUP(AI$84,'Infos Techniques'!$B$7:$E$12,4,0)/($V445*$X$352/12)</f>
        <v>20</v>
      </c>
      <c r="AJ445" s="43">
        <f>VLOOKUP(AJ$84,'Infos Techniques'!$B$7:$E$12,4,0)/($V445*$X$352/12)</f>
        <v>20</v>
      </c>
      <c r="AK445" s="43">
        <f>VLOOKUP(AK$84,'Infos Techniques'!$B$7:$E$12,4,0)/($V445*$X$352/12)</f>
        <v>11.053333333333333</v>
      </c>
      <c r="AL445" s="63">
        <f>VLOOKUP(AL$84,'Infos Techniques'!$B$7:$E$12,4,0)/($V445*$X$352/12)</f>
        <v>8.84</v>
      </c>
    </row>
    <row r="446" spans="2:38">
      <c r="B446" s="1849"/>
      <c r="C446" s="69">
        <v>30</v>
      </c>
      <c r="D446" s="76">
        <f t="shared" si="137"/>
        <v>8</v>
      </c>
      <c r="E446" s="43">
        <f t="shared" si="123"/>
        <v>7.666666666666667</v>
      </c>
      <c r="F446" s="43">
        <f t="shared" si="124"/>
        <v>6.4444444444444446</v>
      </c>
      <c r="G446" s="43">
        <f t="shared" si="125"/>
        <v>4.5999999999999996</v>
      </c>
      <c r="H446" s="43">
        <f t="shared" si="126"/>
        <v>3.6777777777777776</v>
      </c>
      <c r="I446" s="43">
        <f t="shared" si="127"/>
        <v>8</v>
      </c>
      <c r="J446" s="43">
        <f t="shared" si="128"/>
        <v>8</v>
      </c>
      <c r="K446" s="43">
        <f t="shared" si="129"/>
        <v>8</v>
      </c>
      <c r="L446" s="43">
        <f t="shared" si="130"/>
        <v>8</v>
      </c>
      <c r="M446" s="43">
        <f t="shared" si="131"/>
        <v>7.3666666666666663</v>
      </c>
      <c r="N446" s="43">
        <f t="shared" si="132"/>
        <v>8</v>
      </c>
      <c r="O446" s="43">
        <f t="shared" si="133"/>
        <v>8</v>
      </c>
      <c r="P446" s="43">
        <f t="shared" si="134"/>
        <v>8</v>
      </c>
      <c r="Q446" s="43">
        <f t="shared" si="135"/>
        <v>8</v>
      </c>
      <c r="R446" s="63">
        <f t="shared" si="136"/>
        <v>7.3666666666666663</v>
      </c>
      <c r="U446" s="1601"/>
      <c r="V446" s="28">
        <v>30</v>
      </c>
      <c r="W446" s="43" cm="1">
        <f t="array" ref="W446">VLOOKUP(MAX(IF('Courbe Déflexion'!$GH$25:$GH$305&lt;=V446,'Courbe Déflexion'!$GH$25:$GH$305)),'Courbe Déflexion'!$GH$25:$IA$305,7,0)</f>
        <v>8</v>
      </c>
      <c r="X446" s="43">
        <f>VLOOKUP(X$84,'Infos Techniques'!$B$7:$E$12,3,0)/($V446*$X$352/12)</f>
        <v>11.111111111111111</v>
      </c>
      <c r="Y446" s="43">
        <f>VLOOKUP(Y$84,'Infos Techniques'!$B$7:$E$12,3,0)/($V446*$X$352/12)</f>
        <v>7.666666666666667</v>
      </c>
      <c r="Z446" s="43">
        <f>VLOOKUP(Z$84,'Infos Techniques'!$B$7:$E$12,3,0)/($V446*$X$352/12)</f>
        <v>6.4444444444444446</v>
      </c>
      <c r="AA446" s="43">
        <f>VLOOKUP(AA$84,'Infos Techniques'!$B$7:$E$12,3,0)/($V446*$X$352/12)</f>
        <v>4.5999999999999996</v>
      </c>
      <c r="AB446" s="43">
        <f>VLOOKUP(AB$84,'Infos Techniques'!$B$7:$E$12,3,0)/($V446*$X$352/12)</f>
        <v>3.6777777777777776</v>
      </c>
      <c r="AC446" s="43">
        <f>VLOOKUP(AC$84,'Infos Techniques'!$B$7:$E$12,2,0)/($V446*$X$352/12)</f>
        <v>13.333333333333334</v>
      </c>
      <c r="AD446" s="43">
        <f>VLOOKUP(AD$84,'Infos Techniques'!$B$7:$E$12,2,0)/($V446*$X$352/12)</f>
        <v>13.333333333333334</v>
      </c>
      <c r="AE446" s="43">
        <f>VLOOKUP(AE$84,'Infos Techniques'!$B$7:$E$12,2,0)/($V446*$X$352/12)</f>
        <v>12.888888888888889</v>
      </c>
      <c r="AF446" s="43">
        <f>VLOOKUP(AF$84,'Infos Techniques'!$B$7:$E$12,2,0)/($V446*$X$352/12)</f>
        <v>9.2111111111111104</v>
      </c>
      <c r="AG446" s="43">
        <f>VLOOKUP(AG$84,'Infos Techniques'!$B$7:$E$12,2,0)/($V446*$X$352/12)</f>
        <v>7.3666666666666663</v>
      </c>
      <c r="AH446" s="43">
        <f>VLOOKUP(AH$84,'Infos Techniques'!$B$7:$E$12,4,0)/($V446*$X$352/12)</f>
        <v>16.666666666666668</v>
      </c>
      <c r="AI446" s="43">
        <f>VLOOKUP(AI$84,'Infos Techniques'!$B$7:$E$12,4,0)/($V446*$X$352/12)</f>
        <v>16.666666666666668</v>
      </c>
      <c r="AJ446" s="43">
        <f>VLOOKUP(AJ$84,'Infos Techniques'!$B$7:$E$12,4,0)/($V446*$X$352/12)</f>
        <v>16.666666666666668</v>
      </c>
      <c r="AK446" s="43">
        <f>VLOOKUP(AK$84,'Infos Techniques'!$B$7:$E$12,4,0)/($V446*$X$352/12)</f>
        <v>9.2111111111111104</v>
      </c>
      <c r="AL446" s="63">
        <f>VLOOKUP(AL$84,'Infos Techniques'!$B$7:$E$12,4,0)/($V446*$X$352/12)</f>
        <v>7.3666666666666663</v>
      </c>
    </row>
    <row r="447" spans="2:38">
      <c r="B447" s="1849"/>
      <c r="C447" s="70">
        <v>35</v>
      </c>
      <c r="D447" s="76">
        <f t="shared" si="137"/>
        <v>8.6000000000000014</v>
      </c>
      <c r="E447" s="43">
        <f t="shared" si="123"/>
        <v>6.5714285714285712</v>
      </c>
      <c r="F447" s="43">
        <f t="shared" si="124"/>
        <v>5.5238095238095237</v>
      </c>
      <c r="G447" s="43">
        <f t="shared" si="125"/>
        <v>3.9428571428571431</v>
      </c>
      <c r="H447" s="43">
        <f t="shared" si="126"/>
        <v>3.1523809523809523</v>
      </c>
      <c r="I447" s="43">
        <f t="shared" si="127"/>
        <v>8.6000000000000014</v>
      </c>
      <c r="J447" s="43">
        <f t="shared" si="128"/>
        <v>8.6000000000000014</v>
      </c>
      <c r="K447" s="43">
        <f t="shared" si="129"/>
        <v>8.6000000000000014</v>
      </c>
      <c r="L447" s="43">
        <f t="shared" si="130"/>
        <v>7.8952380952380956</v>
      </c>
      <c r="M447" s="43">
        <f t="shared" si="131"/>
        <v>6.3142857142857141</v>
      </c>
      <c r="N447" s="43">
        <f t="shared" si="132"/>
        <v>8.6000000000000014</v>
      </c>
      <c r="O447" s="43">
        <f t="shared" si="133"/>
        <v>8.6000000000000014</v>
      </c>
      <c r="P447" s="43">
        <f t="shared" si="134"/>
        <v>8.6000000000000014</v>
      </c>
      <c r="Q447" s="43">
        <f t="shared" si="135"/>
        <v>7.8952380952380956</v>
      </c>
      <c r="R447" s="63">
        <f t="shared" si="136"/>
        <v>6.3142857142857141</v>
      </c>
      <c r="U447" s="1601"/>
      <c r="V447" s="28">
        <v>35</v>
      </c>
      <c r="W447" s="43" cm="1">
        <f t="array" ref="W447">VLOOKUP(MAX(IF('Courbe Déflexion'!$GH$25:$GH$305&lt;=V447,'Courbe Déflexion'!$GH$25:$GH$305)),'Courbe Déflexion'!$GH$25:$IA$305,7,0)</f>
        <v>8.6000000000000014</v>
      </c>
      <c r="X447" s="43">
        <f>VLOOKUP(X$84,'Infos Techniques'!$B$7:$E$12,3,0)/($V447*$X$352/12)</f>
        <v>9.5238095238095237</v>
      </c>
      <c r="Y447" s="43">
        <f>VLOOKUP(Y$84,'Infos Techniques'!$B$7:$E$12,3,0)/($V447*$X$352/12)</f>
        <v>6.5714285714285712</v>
      </c>
      <c r="Z447" s="43">
        <f>VLOOKUP(Z$84,'Infos Techniques'!$B$7:$E$12,3,0)/($V447*$X$352/12)</f>
        <v>5.5238095238095237</v>
      </c>
      <c r="AA447" s="43">
        <f>VLOOKUP(AA$84,'Infos Techniques'!$B$7:$E$12,3,0)/($V447*$X$352/12)</f>
        <v>3.9428571428571431</v>
      </c>
      <c r="AB447" s="43">
        <f>VLOOKUP(AB$84,'Infos Techniques'!$B$7:$E$12,3,0)/($V447*$X$352/12)</f>
        <v>3.1523809523809523</v>
      </c>
      <c r="AC447" s="43">
        <f>VLOOKUP(AC$84,'Infos Techniques'!$B$7:$E$12,2,0)/($V447*$X$352/12)</f>
        <v>11.428571428571429</v>
      </c>
      <c r="AD447" s="43">
        <f>VLOOKUP(AD$84,'Infos Techniques'!$B$7:$E$12,2,0)/($V447*$X$352/12)</f>
        <v>11.428571428571429</v>
      </c>
      <c r="AE447" s="43">
        <f>VLOOKUP(AE$84,'Infos Techniques'!$B$7:$E$12,2,0)/($V447*$X$352/12)</f>
        <v>11.047619047619047</v>
      </c>
      <c r="AF447" s="43">
        <f>VLOOKUP(AF$84,'Infos Techniques'!$B$7:$E$12,2,0)/($V447*$X$352/12)</f>
        <v>7.8952380952380956</v>
      </c>
      <c r="AG447" s="43">
        <f>VLOOKUP(AG$84,'Infos Techniques'!$B$7:$E$12,2,0)/($V447*$X$352/12)</f>
        <v>6.3142857142857141</v>
      </c>
      <c r="AH447" s="43">
        <f>VLOOKUP(AH$84,'Infos Techniques'!$B$7:$E$12,4,0)/($V447*$X$352/12)</f>
        <v>14.285714285714286</v>
      </c>
      <c r="AI447" s="43">
        <f>VLOOKUP(AI$84,'Infos Techniques'!$B$7:$E$12,4,0)/($V447*$X$352/12)</f>
        <v>14.285714285714286</v>
      </c>
      <c r="AJ447" s="43">
        <f>VLOOKUP(AJ$84,'Infos Techniques'!$B$7:$E$12,4,0)/($V447*$X$352/12)</f>
        <v>14.285714285714286</v>
      </c>
      <c r="AK447" s="43">
        <f>VLOOKUP(AK$84,'Infos Techniques'!$B$7:$E$12,4,0)/($V447*$X$352/12)</f>
        <v>7.8952380952380956</v>
      </c>
      <c r="AL447" s="63">
        <f>VLOOKUP(AL$84,'Infos Techniques'!$B$7:$E$12,4,0)/($V447*$X$352/12)</f>
        <v>6.3142857142857141</v>
      </c>
    </row>
    <row r="448" spans="2:38">
      <c r="B448" s="1849"/>
      <c r="C448" s="70">
        <v>40</v>
      </c>
      <c r="D448" s="76">
        <f t="shared" si="137"/>
        <v>8.3333333333333339</v>
      </c>
      <c r="E448" s="43">
        <f t="shared" si="123"/>
        <v>5.75</v>
      </c>
      <c r="F448" s="43">
        <f t="shared" si="124"/>
        <v>4.833333333333333</v>
      </c>
      <c r="G448" s="43">
        <f t="shared" si="125"/>
        <v>3.45</v>
      </c>
      <c r="H448" s="43">
        <f t="shared" si="126"/>
        <v>2.7583333333333333</v>
      </c>
      <c r="I448" s="43">
        <f t="shared" si="127"/>
        <v>9.5000000000000018</v>
      </c>
      <c r="J448" s="43">
        <f t="shared" si="128"/>
        <v>9.5000000000000018</v>
      </c>
      <c r="K448" s="43">
        <f t="shared" si="129"/>
        <v>9.5000000000000018</v>
      </c>
      <c r="L448" s="43">
        <f t="shared" si="130"/>
        <v>6.9083333333333332</v>
      </c>
      <c r="M448" s="43">
        <f t="shared" si="131"/>
        <v>5.5250000000000004</v>
      </c>
      <c r="N448" s="43">
        <f t="shared" si="132"/>
        <v>9.5000000000000018</v>
      </c>
      <c r="O448" s="43">
        <f t="shared" si="133"/>
        <v>9.5000000000000018</v>
      </c>
      <c r="P448" s="43">
        <f t="shared" si="134"/>
        <v>9.5000000000000018</v>
      </c>
      <c r="Q448" s="43">
        <f t="shared" si="135"/>
        <v>6.9083333333333332</v>
      </c>
      <c r="R448" s="63">
        <f t="shared" si="136"/>
        <v>5.5250000000000004</v>
      </c>
      <c r="U448" s="1601"/>
      <c r="V448" s="28">
        <v>40</v>
      </c>
      <c r="W448" s="43" cm="1">
        <f t="array" ref="W448">VLOOKUP(MAX(IF('Courbe Déflexion'!$GH$25:$GH$305&lt;=V448,'Courbe Déflexion'!$GH$25:$GH$305)),'Courbe Déflexion'!$GH$25:$IA$305,7,0)</f>
        <v>9.5000000000000018</v>
      </c>
      <c r="X448" s="43">
        <f>VLOOKUP(X$84,'Infos Techniques'!$B$7:$E$12,3,0)/($V448*$X$352/12)</f>
        <v>8.3333333333333339</v>
      </c>
      <c r="Y448" s="43">
        <f>VLOOKUP(Y$84,'Infos Techniques'!$B$7:$E$12,3,0)/($V448*$X$352/12)</f>
        <v>5.75</v>
      </c>
      <c r="Z448" s="43">
        <f>VLOOKUP(Z$84,'Infos Techniques'!$B$7:$E$12,3,0)/($V448*$X$352/12)</f>
        <v>4.833333333333333</v>
      </c>
      <c r="AA448" s="43">
        <f>VLOOKUP(AA$84,'Infos Techniques'!$B$7:$E$12,3,0)/($V448*$X$352/12)</f>
        <v>3.45</v>
      </c>
      <c r="AB448" s="43">
        <f>VLOOKUP(AB$84,'Infos Techniques'!$B$7:$E$12,3,0)/($V448*$X$352/12)</f>
        <v>2.7583333333333333</v>
      </c>
      <c r="AC448" s="43">
        <f>VLOOKUP(AC$84,'Infos Techniques'!$B$7:$E$12,2,0)/($V448*$X$352/12)</f>
        <v>10</v>
      </c>
      <c r="AD448" s="43">
        <f>VLOOKUP(AD$84,'Infos Techniques'!$B$7:$E$12,2,0)/($V448*$X$352/12)</f>
        <v>10</v>
      </c>
      <c r="AE448" s="43">
        <f>VLOOKUP(AE$84,'Infos Techniques'!$B$7:$E$12,2,0)/($V448*$X$352/12)</f>
        <v>9.6666666666666661</v>
      </c>
      <c r="AF448" s="43">
        <f>VLOOKUP(AF$84,'Infos Techniques'!$B$7:$E$12,2,0)/($V448*$X$352/12)</f>
        <v>6.9083333333333332</v>
      </c>
      <c r="AG448" s="43">
        <f>VLOOKUP(AG$84,'Infos Techniques'!$B$7:$E$12,2,0)/($V448*$X$352/12)</f>
        <v>5.5250000000000004</v>
      </c>
      <c r="AH448" s="43">
        <f>VLOOKUP(AH$84,'Infos Techniques'!$B$7:$E$12,4,0)/($V448*$X$352/12)</f>
        <v>12.5</v>
      </c>
      <c r="AI448" s="43">
        <f>VLOOKUP(AI$84,'Infos Techniques'!$B$7:$E$12,4,0)/($V448*$X$352/12)</f>
        <v>12.5</v>
      </c>
      <c r="AJ448" s="43">
        <f>VLOOKUP(AJ$84,'Infos Techniques'!$B$7:$E$12,4,0)/($V448*$X$352/12)</f>
        <v>12.5</v>
      </c>
      <c r="AK448" s="43">
        <f>VLOOKUP(AK$84,'Infos Techniques'!$B$7:$E$12,4,0)/($V448*$X$352/12)</f>
        <v>6.9083333333333332</v>
      </c>
      <c r="AL448" s="63">
        <f>VLOOKUP(AL$84,'Infos Techniques'!$B$7:$E$12,4,0)/($V448*$X$352/12)</f>
        <v>5.5250000000000004</v>
      </c>
    </row>
    <row r="449" spans="2:38">
      <c r="B449" s="1849"/>
      <c r="C449" s="70">
        <v>45</v>
      </c>
      <c r="D449" s="76">
        <f t="shared" si="137"/>
        <v>7.4074074074074074</v>
      </c>
      <c r="E449" s="43">
        <f t="shared" si="123"/>
        <v>5.1111111111111107</v>
      </c>
      <c r="F449" s="43">
        <f t="shared" si="124"/>
        <v>4.2962962962962967</v>
      </c>
      <c r="G449" s="43">
        <f t="shared" si="125"/>
        <v>3.0666666666666669</v>
      </c>
      <c r="H449" s="43">
        <f t="shared" si="126"/>
        <v>2.4518518518518517</v>
      </c>
      <c r="I449" s="43">
        <f t="shared" si="127"/>
        <v>8.8888888888888893</v>
      </c>
      <c r="J449" s="43">
        <f t="shared" si="128"/>
        <v>8.8888888888888893</v>
      </c>
      <c r="K449" s="43">
        <f t="shared" si="129"/>
        <v>8.5925925925925934</v>
      </c>
      <c r="L449" s="43">
        <f t="shared" si="130"/>
        <v>6.1407407407407408</v>
      </c>
      <c r="M449" s="43">
        <f t="shared" si="131"/>
        <v>4.9111111111111114</v>
      </c>
      <c r="N449" s="43">
        <f t="shared" si="132"/>
        <v>10.500000000000002</v>
      </c>
      <c r="O449" s="43">
        <f t="shared" si="133"/>
        <v>10.500000000000002</v>
      </c>
      <c r="P449" s="43">
        <f t="shared" si="134"/>
        <v>10.500000000000002</v>
      </c>
      <c r="Q449" s="43">
        <f t="shared" si="135"/>
        <v>6.1407407407407408</v>
      </c>
      <c r="R449" s="63">
        <f t="shared" si="136"/>
        <v>4.9111111111111114</v>
      </c>
      <c r="U449" s="1601"/>
      <c r="V449" s="28">
        <v>45</v>
      </c>
      <c r="W449" s="43" cm="1">
        <f t="array" ref="W449">VLOOKUP(MAX(IF('Courbe Déflexion'!$GH$25:$GH$305&lt;=V449,'Courbe Déflexion'!$GH$25:$GH$305)),'Courbe Déflexion'!$GH$25:$IA$305,7,0)</f>
        <v>10.500000000000002</v>
      </c>
      <c r="X449" s="43">
        <f>VLOOKUP(X$84,'Infos Techniques'!$B$7:$E$12,3,0)/($V449*$X$352/12)</f>
        <v>7.4074074074074074</v>
      </c>
      <c r="Y449" s="43">
        <f>VLOOKUP(Y$84,'Infos Techniques'!$B$7:$E$12,3,0)/($V449*$X$352/12)</f>
        <v>5.1111111111111107</v>
      </c>
      <c r="Z449" s="43">
        <f>VLOOKUP(Z$84,'Infos Techniques'!$B$7:$E$12,3,0)/($V449*$X$352/12)</f>
        <v>4.2962962962962967</v>
      </c>
      <c r="AA449" s="43">
        <f>VLOOKUP(AA$84,'Infos Techniques'!$B$7:$E$12,3,0)/($V449*$X$352/12)</f>
        <v>3.0666666666666669</v>
      </c>
      <c r="AB449" s="43">
        <f>VLOOKUP(AB$84,'Infos Techniques'!$B$7:$E$12,3,0)/($V449*$X$352/12)</f>
        <v>2.4518518518518517</v>
      </c>
      <c r="AC449" s="43">
        <f>VLOOKUP(AC$84,'Infos Techniques'!$B$7:$E$12,2,0)/($V449*$X$352/12)</f>
        <v>8.8888888888888893</v>
      </c>
      <c r="AD449" s="43">
        <f>VLOOKUP(AD$84,'Infos Techniques'!$B$7:$E$12,2,0)/($V449*$X$352/12)</f>
        <v>8.8888888888888893</v>
      </c>
      <c r="AE449" s="43">
        <f>VLOOKUP(AE$84,'Infos Techniques'!$B$7:$E$12,2,0)/($V449*$X$352/12)</f>
        <v>8.5925925925925934</v>
      </c>
      <c r="AF449" s="43">
        <f>VLOOKUP(AF$84,'Infos Techniques'!$B$7:$E$12,2,0)/($V449*$X$352/12)</f>
        <v>6.1407407407407408</v>
      </c>
      <c r="AG449" s="43">
        <f>VLOOKUP(AG$84,'Infos Techniques'!$B$7:$E$12,2,0)/($V449*$X$352/12)</f>
        <v>4.9111111111111114</v>
      </c>
      <c r="AH449" s="43">
        <f>VLOOKUP(AH$84,'Infos Techniques'!$B$7:$E$12,4,0)/($V449*$X$352/12)</f>
        <v>11.111111111111111</v>
      </c>
      <c r="AI449" s="43">
        <f>VLOOKUP(AI$84,'Infos Techniques'!$B$7:$E$12,4,0)/($V449*$X$352/12)</f>
        <v>11.111111111111111</v>
      </c>
      <c r="AJ449" s="43">
        <f>VLOOKUP(AJ$84,'Infos Techniques'!$B$7:$E$12,4,0)/($V449*$X$352/12)</f>
        <v>11.111111111111111</v>
      </c>
      <c r="AK449" s="43">
        <f>VLOOKUP(AK$84,'Infos Techniques'!$B$7:$E$12,4,0)/($V449*$X$352/12)</f>
        <v>6.1407407407407408</v>
      </c>
      <c r="AL449" s="63">
        <f>VLOOKUP(AL$84,'Infos Techniques'!$B$7:$E$12,4,0)/($V449*$X$352/12)</f>
        <v>4.9111111111111114</v>
      </c>
    </row>
    <row r="450" spans="2:38" ht="15" thickBot="1">
      <c r="B450" s="1849"/>
      <c r="C450" s="71">
        <v>50</v>
      </c>
      <c r="D450" s="76">
        <f t="shared" si="137"/>
        <v>6.666666666666667</v>
      </c>
      <c r="E450" s="43">
        <f t="shared" si="123"/>
        <v>4.5999999999999996</v>
      </c>
      <c r="F450" s="43">
        <f t="shared" si="124"/>
        <v>3.8666666666666667</v>
      </c>
      <c r="G450" s="43">
        <f t="shared" si="125"/>
        <v>2.76</v>
      </c>
      <c r="H450" s="43">
        <f t="shared" si="126"/>
        <v>2.2066666666666666</v>
      </c>
      <c r="I450" s="43">
        <f t="shared" si="127"/>
        <v>8</v>
      </c>
      <c r="J450" s="43">
        <f t="shared" si="128"/>
        <v>8</v>
      </c>
      <c r="K450" s="43">
        <f t="shared" si="129"/>
        <v>7.7333333333333334</v>
      </c>
      <c r="L450" s="43">
        <f t="shared" si="130"/>
        <v>5.5266666666666664</v>
      </c>
      <c r="M450" s="43">
        <f t="shared" si="131"/>
        <v>4.42</v>
      </c>
      <c r="N450" s="43">
        <f t="shared" si="132"/>
        <v>10</v>
      </c>
      <c r="O450" s="43">
        <f t="shared" si="133"/>
        <v>10</v>
      </c>
      <c r="P450" s="43">
        <f t="shared" si="134"/>
        <v>10</v>
      </c>
      <c r="Q450" s="43">
        <f t="shared" si="135"/>
        <v>5.5266666666666664</v>
      </c>
      <c r="R450" s="63">
        <f t="shared" si="136"/>
        <v>4.42</v>
      </c>
      <c r="U450" s="1601"/>
      <c r="V450" s="28">
        <v>50</v>
      </c>
      <c r="W450" s="43" cm="1">
        <f t="array" ref="W450">VLOOKUP(MAX(IF('Courbe Déflexion'!$GH$25:$GH$305&lt;=V450,'Courbe Déflexion'!$GH$25:$GH$305)),'Courbe Déflexion'!$GH$25:$IA$305,7,0)</f>
        <v>12.200000000000003</v>
      </c>
      <c r="X450" s="43">
        <f>VLOOKUP(X$84,'Infos Techniques'!$B$7:$E$12,3,0)/($V450*$X$352/12)</f>
        <v>6.666666666666667</v>
      </c>
      <c r="Y450" s="43">
        <f>VLOOKUP(Y$84,'Infos Techniques'!$B$7:$E$12,3,0)/($V450*$X$352/12)</f>
        <v>4.5999999999999996</v>
      </c>
      <c r="Z450" s="43">
        <f>VLOOKUP(Z$84,'Infos Techniques'!$B$7:$E$12,3,0)/($V450*$X$352/12)</f>
        <v>3.8666666666666667</v>
      </c>
      <c r="AA450" s="43">
        <f>VLOOKUP(AA$84,'Infos Techniques'!$B$7:$E$12,3,0)/($V450*$X$352/12)</f>
        <v>2.76</v>
      </c>
      <c r="AB450" s="43">
        <f>VLOOKUP(AB$84,'Infos Techniques'!$B$7:$E$12,3,0)/($V450*$X$352/12)</f>
        <v>2.2066666666666666</v>
      </c>
      <c r="AC450" s="43">
        <f>VLOOKUP(AC$84,'Infos Techniques'!$B$7:$E$12,2,0)/($V450*$X$352/12)</f>
        <v>8</v>
      </c>
      <c r="AD450" s="43">
        <f>VLOOKUP(AD$84,'Infos Techniques'!$B$7:$E$12,2,0)/($V450*$X$352/12)</f>
        <v>8</v>
      </c>
      <c r="AE450" s="43">
        <f>VLOOKUP(AE$84,'Infos Techniques'!$B$7:$E$12,2,0)/($V450*$X$352/12)</f>
        <v>7.7333333333333334</v>
      </c>
      <c r="AF450" s="43">
        <f>VLOOKUP(AF$84,'Infos Techniques'!$B$7:$E$12,2,0)/($V450*$X$352/12)</f>
        <v>5.5266666666666664</v>
      </c>
      <c r="AG450" s="43">
        <f>VLOOKUP(AG$84,'Infos Techniques'!$B$7:$E$12,2,0)/($V450*$X$352/12)</f>
        <v>4.42</v>
      </c>
      <c r="AH450" s="43">
        <f>VLOOKUP(AH$84,'Infos Techniques'!$B$7:$E$12,4,0)/($V450*$X$352/12)</f>
        <v>10</v>
      </c>
      <c r="AI450" s="43">
        <f>VLOOKUP(AI$84,'Infos Techniques'!$B$7:$E$12,4,0)/($V450*$X$352/12)</f>
        <v>10</v>
      </c>
      <c r="AJ450" s="43">
        <f>VLOOKUP(AJ$84,'Infos Techniques'!$B$7:$E$12,4,0)/($V450*$X$352/12)</f>
        <v>10</v>
      </c>
      <c r="AK450" s="43">
        <f>VLOOKUP(AK$84,'Infos Techniques'!$B$7:$E$12,4,0)/($V450*$X$352/12)</f>
        <v>5.5266666666666664</v>
      </c>
      <c r="AL450" s="63">
        <f>VLOOKUP(AL$84,'Infos Techniques'!$B$7:$E$12,4,0)/($V450*$X$352/12)</f>
        <v>4.42</v>
      </c>
    </row>
    <row r="451" spans="2:38">
      <c r="B451" s="1849"/>
      <c r="C451" s="69">
        <v>55</v>
      </c>
      <c r="D451" s="76">
        <f t="shared" si="137"/>
        <v>6.0606060606060606</v>
      </c>
      <c r="E451" s="43">
        <f t="shared" si="123"/>
        <v>4.1818181818181817</v>
      </c>
      <c r="F451" s="43">
        <f t="shared" si="124"/>
        <v>3.5151515151515151</v>
      </c>
      <c r="G451" s="43">
        <f t="shared" si="125"/>
        <v>2.5090909090909093</v>
      </c>
      <c r="H451" s="43">
        <f t="shared" si="126"/>
        <v>2.0060606060606059</v>
      </c>
      <c r="I451" s="43">
        <f t="shared" si="127"/>
        <v>7.2727272727272725</v>
      </c>
      <c r="J451" s="43">
        <f t="shared" si="128"/>
        <v>7.2727272727272725</v>
      </c>
      <c r="K451" s="43">
        <f t="shared" si="129"/>
        <v>7.0303030303030303</v>
      </c>
      <c r="L451" s="43">
        <f t="shared" si="130"/>
        <v>5.0242424242424244</v>
      </c>
      <c r="M451" s="43">
        <f t="shared" si="131"/>
        <v>4.0181818181818185</v>
      </c>
      <c r="N451" s="43">
        <f t="shared" si="132"/>
        <v>9.0909090909090917</v>
      </c>
      <c r="O451" s="43">
        <f t="shared" si="133"/>
        <v>9.0909090909090917</v>
      </c>
      <c r="P451" s="43">
        <f t="shared" si="134"/>
        <v>9.0909090909090917</v>
      </c>
      <c r="Q451" s="43">
        <f t="shared" si="135"/>
        <v>5.0242424242424244</v>
      </c>
      <c r="R451" s="63">
        <f t="shared" si="136"/>
        <v>4.0181818181818185</v>
      </c>
      <c r="U451" s="1601"/>
      <c r="V451" s="28">
        <v>55</v>
      </c>
      <c r="W451" s="43" cm="1">
        <f t="array" ref="W451">VLOOKUP(MAX(IF('Courbe Déflexion'!$GH$25:$GH$305&lt;=V451,'Courbe Déflexion'!$GH$25:$GH$305)),'Courbe Déflexion'!$GH$25:$IA$305,7,0)</f>
        <v>13</v>
      </c>
      <c r="X451" s="43">
        <f>VLOOKUP(X$84,'Infos Techniques'!$B$7:$E$12,3,0)/($V451*$X$352/12)</f>
        <v>6.0606060606060606</v>
      </c>
      <c r="Y451" s="43">
        <f>VLOOKUP(Y$84,'Infos Techniques'!$B$7:$E$12,3,0)/($V451*$X$352/12)</f>
        <v>4.1818181818181817</v>
      </c>
      <c r="Z451" s="43">
        <f>VLOOKUP(Z$84,'Infos Techniques'!$B$7:$E$12,3,0)/($V451*$X$352/12)</f>
        <v>3.5151515151515151</v>
      </c>
      <c r="AA451" s="43">
        <f>VLOOKUP(AA$84,'Infos Techniques'!$B$7:$E$12,3,0)/($V451*$X$352/12)</f>
        <v>2.5090909090909093</v>
      </c>
      <c r="AB451" s="43">
        <f>VLOOKUP(AB$84,'Infos Techniques'!$B$7:$E$12,3,0)/($V451*$X$352/12)</f>
        <v>2.0060606060606059</v>
      </c>
      <c r="AC451" s="43">
        <f>VLOOKUP(AC$84,'Infos Techniques'!$B$7:$E$12,2,0)/($V451*$X$352/12)</f>
        <v>7.2727272727272725</v>
      </c>
      <c r="AD451" s="43">
        <f>VLOOKUP(AD$84,'Infos Techniques'!$B$7:$E$12,2,0)/($V451*$X$352/12)</f>
        <v>7.2727272727272725</v>
      </c>
      <c r="AE451" s="43">
        <f>VLOOKUP(AE$84,'Infos Techniques'!$B$7:$E$12,2,0)/($V451*$X$352/12)</f>
        <v>7.0303030303030303</v>
      </c>
      <c r="AF451" s="43">
        <f>VLOOKUP(AF$84,'Infos Techniques'!$B$7:$E$12,2,0)/($V451*$X$352/12)</f>
        <v>5.0242424242424244</v>
      </c>
      <c r="AG451" s="43">
        <f>VLOOKUP(AG$84,'Infos Techniques'!$B$7:$E$12,2,0)/($V451*$X$352/12)</f>
        <v>4.0181818181818185</v>
      </c>
      <c r="AH451" s="43">
        <f>VLOOKUP(AH$84,'Infos Techniques'!$B$7:$E$12,4,0)/($V451*$X$352/12)</f>
        <v>9.0909090909090917</v>
      </c>
      <c r="AI451" s="43">
        <f>VLOOKUP(AI$84,'Infos Techniques'!$B$7:$E$12,4,0)/($V451*$X$352/12)</f>
        <v>9.0909090909090917</v>
      </c>
      <c r="AJ451" s="43">
        <f>VLOOKUP(AJ$84,'Infos Techniques'!$B$7:$E$12,4,0)/($V451*$X$352/12)</f>
        <v>9.0909090909090917</v>
      </c>
      <c r="AK451" s="43">
        <f>VLOOKUP(AK$84,'Infos Techniques'!$B$7:$E$12,4,0)/($V451*$X$352/12)</f>
        <v>5.0242424242424244</v>
      </c>
      <c r="AL451" s="63">
        <f>VLOOKUP(AL$84,'Infos Techniques'!$B$7:$E$12,4,0)/($V451*$X$352/12)</f>
        <v>4.0181818181818185</v>
      </c>
    </row>
    <row r="452" spans="2:38">
      <c r="B452" s="1849"/>
      <c r="C452" s="70">
        <v>60</v>
      </c>
      <c r="D452" s="76">
        <f t="shared" si="137"/>
        <v>5.5555555555555554</v>
      </c>
      <c r="E452" s="43">
        <f t="shared" si="123"/>
        <v>3.8333333333333335</v>
      </c>
      <c r="F452" s="43">
        <f t="shared" si="124"/>
        <v>3.2222222222222223</v>
      </c>
      <c r="G452" s="43">
        <f t="shared" si="125"/>
        <v>2.2999999999999998</v>
      </c>
      <c r="H452" s="43">
        <f t="shared" si="126"/>
        <v>1.8388888888888888</v>
      </c>
      <c r="I452" s="43">
        <f t="shared" si="127"/>
        <v>6.666666666666667</v>
      </c>
      <c r="J452" s="43">
        <f t="shared" si="128"/>
        <v>6.666666666666667</v>
      </c>
      <c r="K452" s="43">
        <f t="shared" si="129"/>
        <v>6.4444444444444446</v>
      </c>
      <c r="L452" s="43">
        <f t="shared" si="130"/>
        <v>4.6055555555555552</v>
      </c>
      <c r="M452" s="43">
        <f t="shared" si="131"/>
        <v>3.6833333333333331</v>
      </c>
      <c r="N452" s="43">
        <f t="shared" si="132"/>
        <v>8.3333333333333339</v>
      </c>
      <c r="O452" s="43">
        <f t="shared" si="133"/>
        <v>8.3333333333333339</v>
      </c>
      <c r="P452" s="43">
        <f t="shared" si="134"/>
        <v>8.3333333333333339</v>
      </c>
      <c r="Q452" s="43">
        <f t="shared" si="135"/>
        <v>4.6055555555555552</v>
      </c>
      <c r="R452" s="63">
        <f t="shared" si="136"/>
        <v>3.6833333333333331</v>
      </c>
      <c r="U452" s="1601"/>
      <c r="V452" s="28">
        <v>60</v>
      </c>
      <c r="W452" s="43" cm="1">
        <f t="array" ref="W452">VLOOKUP(MAX(IF('Courbe Déflexion'!$GH$25:$GH$305&lt;=V452,'Courbe Déflexion'!$GH$25:$GH$305)),'Courbe Déflexion'!$GH$25:$IA$305,7,0)</f>
        <v>13.8</v>
      </c>
      <c r="X452" s="43">
        <f>VLOOKUP(X$84,'Infos Techniques'!$B$7:$E$12,3,0)/($V452*$X$352/12)</f>
        <v>5.5555555555555554</v>
      </c>
      <c r="Y452" s="43">
        <f>VLOOKUP(Y$84,'Infos Techniques'!$B$7:$E$12,3,0)/($V452*$X$352/12)</f>
        <v>3.8333333333333335</v>
      </c>
      <c r="Z452" s="43">
        <f>VLOOKUP(Z$84,'Infos Techniques'!$B$7:$E$12,3,0)/($V452*$X$352/12)</f>
        <v>3.2222222222222223</v>
      </c>
      <c r="AA452" s="43">
        <f>VLOOKUP(AA$84,'Infos Techniques'!$B$7:$E$12,3,0)/($V452*$X$352/12)</f>
        <v>2.2999999999999998</v>
      </c>
      <c r="AB452" s="43">
        <f>VLOOKUP(AB$84,'Infos Techniques'!$B$7:$E$12,3,0)/($V452*$X$352/12)</f>
        <v>1.8388888888888888</v>
      </c>
      <c r="AC452" s="43">
        <f>VLOOKUP(AC$84,'Infos Techniques'!$B$7:$E$12,2,0)/($V452*$X$352/12)</f>
        <v>6.666666666666667</v>
      </c>
      <c r="AD452" s="43">
        <f>VLOOKUP(AD$84,'Infos Techniques'!$B$7:$E$12,2,0)/($V452*$X$352/12)</f>
        <v>6.666666666666667</v>
      </c>
      <c r="AE452" s="43">
        <f>VLOOKUP(AE$84,'Infos Techniques'!$B$7:$E$12,2,0)/($V452*$X$352/12)</f>
        <v>6.4444444444444446</v>
      </c>
      <c r="AF452" s="43">
        <f>VLOOKUP(AF$84,'Infos Techniques'!$B$7:$E$12,2,0)/($V452*$X$352/12)</f>
        <v>4.6055555555555552</v>
      </c>
      <c r="AG452" s="43">
        <f>VLOOKUP(AG$84,'Infos Techniques'!$B$7:$E$12,2,0)/($V452*$X$352/12)</f>
        <v>3.6833333333333331</v>
      </c>
      <c r="AH452" s="43">
        <f>VLOOKUP(AH$84,'Infos Techniques'!$B$7:$E$12,4,0)/($V452*$X$352/12)</f>
        <v>8.3333333333333339</v>
      </c>
      <c r="AI452" s="43">
        <f>VLOOKUP(AI$84,'Infos Techniques'!$B$7:$E$12,4,0)/($V452*$X$352/12)</f>
        <v>8.3333333333333339</v>
      </c>
      <c r="AJ452" s="43">
        <f>VLOOKUP(AJ$84,'Infos Techniques'!$B$7:$E$12,4,0)/($V452*$X$352/12)</f>
        <v>8.3333333333333339</v>
      </c>
      <c r="AK452" s="43">
        <f>VLOOKUP(AK$84,'Infos Techniques'!$B$7:$E$12,4,0)/($V452*$X$352/12)</f>
        <v>4.6055555555555552</v>
      </c>
      <c r="AL452" s="63">
        <f>VLOOKUP(AL$84,'Infos Techniques'!$B$7:$E$12,4,0)/($V452*$X$352/12)</f>
        <v>3.6833333333333331</v>
      </c>
    </row>
    <row r="453" spans="2:38">
      <c r="B453" s="1849"/>
      <c r="C453" s="70">
        <v>65</v>
      </c>
      <c r="D453" s="76">
        <f t="shared" si="137"/>
        <v>5.1282051282051286</v>
      </c>
      <c r="E453" s="43">
        <f t="shared" si="123"/>
        <v>3.5384615384615383</v>
      </c>
      <c r="F453" s="43">
        <f t="shared" si="124"/>
        <v>2.9743589743589745</v>
      </c>
      <c r="G453" s="43">
        <f t="shared" si="125"/>
        <v>2.1230769230769231</v>
      </c>
      <c r="H453" s="43">
        <f t="shared" si="126"/>
        <v>1.6974358974358974</v>
      </c>
      <c r="I453" s="43">
        <f t="shared" si="127"/>
        <v>6.1538461538461542</v>
      </c>
      <c r="J453" s="43">
        <f t="shared" si="128"/>
        <v>6.1538461538461542</v>
      </c>
      <c r="K453" s="43">
        <f t="shared" si="129"/>
        <v>5.9487179487179489</v>
      </c>
      <c r="L453" s="43">
        <f t="shared" si="130"/>
        <v>4.2512820512820513</v>
      </c>
      <c r="M453" s="43">
        <f t="shared" si="131"/>
        <v>3.4</v>
      </c>
      <c r="N453" s="43">
        <f t="shared" si="132"/>
        <v>7.6923076923076925</v>
      </c>
      <c r="O453" s="43">
        <f t="shared" si="133"/>
        <v>7.6923076923076925</v>
      </c>
      <c r="P453" s="43">
        <f t="shared" si="134"/>
        <v>7.6923076923076925</v>
      </c>
      <c r="Q453" s="43">
        <f t="shared" si="135"/>
        <v>4.2512820512820513</v>
      </c>
      <c r="R453" s="63">
        <f t="shared" si="136"/>
        <v>3.4</v>
      </c>
      <c r="U453" s="1601"/>
      <c r="V453" s="28">
        <v>65</v>
      </c>
      <c r="W453" s="43" cm="1">
        <f t="array" ref="W453">VLOOKUP(MAX(IF('Courbe Déflexion'!$GH$25:$GH$305&lt;=V453,'Courbe Déflexion'!$GH$25:$GH$305)),'Courbe Déflexion'!$GH$25:$IA$305,7,0)</f>
        <v>15.600000000000001</v>
      </c>
      <c r="X453" s="43">
        <f>VLOOKUP(X$84,'Infos Techniques'!$B$7:$E$12,3,0)/($V453*$X$352/12)</f>
        <v>5.1282051282051286</v>
      </c>
      <c r="Y453" s="43">
        <f>VLOOKUP(Y$84,'Infos Techniques'!$B$7:$E$12,3,0)/($V453*$X$352/12)</f>
        <v>3.5384615384615383</v>
      </c>
      <c r="Z453" s="43">
        <f>VLOOKUP(Z$84,'Infos Techniques'!$B$7:$E$12,3,0)/($V453*$X$352/12)</f>
        <v>2.9743589743589745</v>
      </c>
      <c r="AA453" s="43">
        <f>VLOOKUP(AA$84,'Infos Techniques'!$B$7:$E$12,3,0)/($V453*$X$352/12)</f>
        <v>2.1230769230769231</v>
      </c>
      <c r="AB453" s="43">
        <f>VLOOKUP(AB$84,'Infos Techniques'!$B$7:$E$12,3,0)/($V453*$X$352/12)</f>
        <v>1.6974358974358974</v>
      </c>
      <c r="AC453" s="43">
        <f>VLOOKUP(AC$84,'Infos Techniques'!$B$7:$E$12,2,0)/($V453*$X$352/12)</f>
        <v>6.1538461538461542</v>
      </c>
      <c r="AD453" s="43">
        <f>VLOOKUP(AD$84,'Infos Techniques'!$B$7:$E$12,2,0)/($V453*$X$352/12)</f>
        <v>6.1538461538461542</v>
      </c>
      <c r="AE453" s="43">
        <f>VLOOKUP(AE$84,'Infos Techniques'!$B$7:$E$12,2,0)/($V453*$X$352/12)</f>
        <v>5.9487179487179489</v>
      </c>
      <c r="AF453" s="43">
        <f>VLOOKUP(AF$84,'Infos Techniques'!$B$7:$E$12,2,0)/($V453*$X$352/12)</f>
        <v>4.2512820512820513</v>
      </c>
      <c r="AG453" s="43">
        <f>VLOOKUP(AG$84,'Infos Techniques'!$B$7:$E$12,2,0)/($V453*$X$352/12)</f>
        <v>3.4</v>
      </c>
      <c r="AH453" s="43">
        <f>VLOOKUP(AH$84,'Infos Techniques'!$B$7:$E$12,4,0)/($V453*$X$352/12)</f>
        <v>7.6923076923076925</v>
      </c>
      <c r="AI453" s="43">
        <f>VLOOKUP(AI$84,'Infos Techniques'!$B$7:$E$12,4,0)/($V453*$X$352/12)</f>
        <v>7.6923076923076925</v>
      </c>
      <c r="AJ453" s="43">
        <f>VLOOKUP(AJ$84,'Infos Techniques'!$B$7:$E$12,4,0)/($V453*$X$352/12)</f>
        <v>7.6923076923076925</v>
      </c>
      <c r="AK453" s="43">
        <f>VLOOKUP(AK$84,'Infos Techniques'!$B$7:$E$12,4,0)/($V453*$X$352/12)</f>
        <v>4.2512820512820513</v>
      </c>
      <c r="AL453" s="63">
        <f>VLOOKUP(AL$84,'Infos Techniques'!$B$7:$E$12,4,0)/($V453*$X$352/12)</f>
        <v>3.4</v>
      </c>
    </row>
    <row r="454" spans="2:38">
      <c r="B454" s="1849"/>
      <c r="C454" s="70">
        <v>70</v>
      </c>
      <c r="D454" s="76">
        <f t="shared" si="137"/>
        <v>4.7619047619047619</v>
      </c>
      <c r="E454" s="43">
        <f t="shared" si="123"/>
        <v>3.2857142857142856</v>
      </c>
      <c r="F454" s="43">
        <f t="shared" si="124"/>
        <v>2.7619047619047619</v>
      </c>
      <c r="G454" s="43">
        <f t="shared" si="125"/>
        <v>1.9714285714285715</v>
      </c>
      <c r="H454" s="43">
        <f t="shared" si="126"/>
        <v>1.5761904761904761</v>
      </c>
      <c r="I454" s="43">
        <f t="shared" si="127"/>
        <v>5.7142857142857144</v>
      </c>
      <c r="J454" s="43">
        <f t="shared" si="128"/>
        <v>5.7142857142857144</v>
      </c>
      <c r="K454" s="43">
        <f t="shared" si="129"/>
        <v>5.5238095238095237</v>
      </c>
      <c r="L454" s="43">
        <f t="shared" si="130"/>
        <v>3.9476190476190478</v>
      </c>
      <c r="M454" s="43">
        <f t="shared" si="131"/>
        <v>3.157142857142857</v>
      </c>
      <c r="N454" s="43">
        <f t="shared" si="132"/>
        <v>7.1428571428571432</v>
      </c>
      <c r="O454" s="43">
        <f t="shared" si="133"/>
        <v>7.1428571428571432</v>
      </c>
      <c r="P454" s="43">
        <f t="shared" si="134"/>
        <v>7.1428571428571432</v>
      </c>
      <c r="Q454" s="43">
        <f t="shared" si="135"/>
        <v>3.9476190476190478</v>
      </c>
      <c r="R454" s="63">
        <f t="shared" si="136"/>
        <v>3.157142857142857</v>
      </c>
      <c r="U454" s="1601"/>
      <c r="V454" s="28">
        <v>70</v>
      </c>
      <c r="W454" s="43" cm="1">
        <f t="array" ref="W454">VLOOKUP(MAX(IF('Courbe Déflexion'!$GH$25:$GH$305&lt;=V454,'Courbe Déflexion'!$GH$25:$GH$305)),'Courbe Déflexion'!$GH$25:$IA$305,7,0)</f>
        <v>16.599999999999994</v>
      </c>
      <c r="X454" s="43">
        <f>VLOOKUP(X$84,'Infos Techniques'!$B$7:$E$12,3,0)/($V454*$X$352/12)</f>
        <v>4.7619047619047619</v>
      </c>
      <c r="Y454" s="43">
        <f>VLOOKUP(Y$84,'Infos Techniques'!$B$7:$E$12,3,0)/($V454*$X$352/12)</f>
        <v>3.2857142857142856</v>
      </c>
      <c r="Z454" s="43">
        <f>VLOOKUP(Z$84,'Infos Techniques'!$B$7:$E$12,3,0)/($V454*$X$352/12)</f>
        <v>2.7619047619047619</v>
      </c>
      <c r="AA454" s="43">
        <f>VLOOKUP(AA$84,'Infos Techniques'!$B$7:$E$12,3,0)/($V454*$X$352/12)</f>
        <v>1.9714285714285715</v>
      </c>
      <c r="AB454" s="43">
        <f>VLOOKUP(AB$84,'Infos Techniques'!$B$7:$E$12,3,0)/($V454*$X$352/12)</f>
        <v>1.5761904761904761</v>
      </c>
      <c r="AC454" s="43">
        <f>VLOOKUP(AC$84,'Infos Techniques'!$B$7:$E$12,2,0)/($V454*$X$352/12)</f>
        <v>5.7142857142857144</v>
      </c>
      <c r="AD454" s="43">
        <f>VLOOKUP(AD$84,'Infos Techniques'!$B$7:$E$12,2,0)/($V454*$X$352/12)</f>
        <v>5.7142857142857144</v>
      </c>
      <c r="AE454" s="43">
        <f>VLOOKUP(AE$84,'Infos Techniques'!$B$7:$E$12,2,0)/($V454*$X$352/12)</f>
        <v>5.5238095238095237</v>
      </c>
      <c r="AF454" s="43">
        <f>VLOOKUP(AF$84,'Infos Techniques'!$B$7:$E$12,2,0)/($V454*$X$352/12)</f>
        <v>3.9476190476190478</v>
      </c>
      <c r="AG454" s="43">
        <f>VLOOKUP(AG$84,'Infos Techniques'!$B$7:$E$12,2,0)/($V454*$X$352/12)</f>
        <v>3.157142857142857</v>
      </c>
      <c r="AH454" s="43">
        <f>VLOOKUP(AH$84,'Infos Techniques'!$B$7:$E$12,4,0)/($V454*$X$352/12)</f>
        <v>7.1428571428571432</v>
      </c>
      <c r="AI454" s="43">
        <f>VLOOKUP(AI$84,'Infos Techniques'!$B$7:$E$12,4,0)/($V454*$X$352/12)</f>
        <v>7.1428571428571432</v>
      </c>
      <c r="AJ454" s="43">
        <f>VLOOKUP(AJ$84,'Infos Techniques'!$B$7:$E$12,4,0)/($V454*$X$352/12)</f>
        <v>7.1428571428571432</v>
      </c>
      <c r="AK454" s="43">
        <f>VLOOKUP(AK$84,'Infos Techniques'!$B$7:$E$12,4,0)/($V454*$X$352/12)</f>
        <v>3.9476190476190478</v>
      </c>
      <c r="AL454" s="63">
        <f>VLOOKUP(AL$84,'Infos Techniques'!$B$7:$E$12,4,0)/($V454*$X$352/12)</f>
        <v>3.157142857142857</v>
      </c>
    </row>
    <row r="455" spans="2:38" ht="15" thickBot="1">
      <c r="B455" s="1849"/>
      <c r="C455" s="71">
        <v>75</v>
      </c>
      <c r="D455" s="76">
        <f t="shared" si="137"/>
        <v>4.4444444444444446</v>
      </c>
      <c r="E455" s="43">
        <f t="shared" si="123"/>
        <v>3.0666666666666669</v>
      </c>
      <c r="F455" s="43">
        <f t="shared" si="124"/>
        <v>2.5777777777777779</v>
      </c>
      <c r="G455" s="43">
        <f t="shared" si="125"/>
        <v>1.84</v>
      </c>
      <c r="H455" s="43">
        <f t="shared" si="126"/>
        <v>1.471111111111111</v>
      </c>
      <c r="I455" s="43">
        <f t="shared" si="127"/>
        <v>5.333333333333333</v>
      </c>
      <c r="J455" s="43">
        <f t="shared" si="128"/>
        <v>5.333333333333333</v>
      </c>
      <c r="K455" s="43">
        <f t="shared" si="129"/>
        <v>5.1555555555555559</v>
      </c>
      <c r="L455" s="43">
        <f t="shared" si="130"/>
        <v>3.6844444444444444</v>
      </c>
      <c r="M455" s="43">
        <f t="shared" si="131"/>
        <v>2.9466666666666668</v>
      </c>
      <c r="N455" s="43">
        <f t="shared" si="132"/>
        <v>6.666666666666667</v>
      </c>
      <c r="O455" s="43">
        <f t="shared" si="133"/>
        <v>6.666666666666667</v>
      </c>
      <c r="P455" s="43">
        <f t="shared" si="134"/>
        <v>6.666666666666667</v>
      </c>
      <c r="Q455" s="43">
        <f t="shared" si="135"/>
        <v>3.6844444444444444</v>
      </c>
      <c r="R455" s="63">
        <f t="shared" si="136"/>
        <v>2.9466666666666668</v>
      </c>
      <c r="U455" s="1601"/>
      <c r="V455" s="28">
        <v>75</v>
      </c>
      <c r="W455" s="43" cm="1">
        <f t="array" ref="W455">VLOOKUP(MAX(IF('Courbe Déflexion'!$GH$25:$GH$305&lt;=V455,'Courbe Déflexion'!$GH$25:$GH$305)),'Courbe Déflexion'!$GH$25:$IA$305,7,0)</f>
        <v>17.800000000000004</v>
      </c>
      <c r="X455" s="43">
        <f>VLOOKUP(X$84,'Infos Techniques'!$B$7:$E$12,3,0)/($V455*$X$352/12)</f>
        <v>4.4444444444444446</v>
      </c>
      <c r="Y455" s="43">
        <f>VLOOKUP(Y$84,'Infos Techniques'!$B$7:$E$12,3,0)/($V455*$X$352/12)</f>
        <v>3.0666666666666669</v>
      </c>
      <c r="Z455" s="43">
        <f>VLOOKUP(Z$84,'Infos Techniques'!$B$7:$E$12,3,0)/($V455*$X$352/12)</f>
        <v>2.5777777777777779</v>
      </c>
      <c r="AA455" s="43">
        <f>VLOOKUP(AA$84,'Infos Techniques'!$B$7:$E$12,3,0)/($V455*$X$352/12)</f>
        <v>1.84</v>
      </c>
      <c r="AB455" s="43">
        <f>VLOOKUP(AB$84,'Infos Techniques'!$B$7:$E$12,3,0)/($V455*$X$352/12)</f>
        <v>1.471111111111111</v>
      </c>
      <c r="AC455" s="43">
        <f>VLOOKUP(AC$84,'Infos Techniques'!$B$7:$E$12,2,0)/($V455*$X$352/12)</f>
        <v>5.333333333333333</v>
      </c>
      <c r="AD455" s="43">
        <f>VLOOKUP(AD$84,'Infos Techniques'!$B$7:$E$12,2,0)/($V455*$X$352/12)</f>
        <v>5.333333333333333</v>
      </c>
      <c r="AE455" s="43">
        <f>VLOOKUP(AE$84,'Infos Techniques'!$B$7:$E$12,2,0)/($V455*$X$352/12)</f>
        <v>5.1555555555555559</v>
      </c>
      <c r="AF455" s="43">
        <f>VLOOKUP(AF$84,'Infos Techniques'!$B$7:$E$12,2,0)/($V455*$X$352/12)</f>
        <v>3.6844444444444444</v>
      </c>
      <c r="AG455" s="43">
        <f>VLOOKUP(AG$84,'Infos Techniques'!$B$7:$E$12,2,0)/($V455*$X$352/12)</f>
        <v>2.9466666666666668</v>
      </c>
      <c r="AH455" s="43">
        <f>VLOOKUP(AH$84,'Infos Techniques'!$B$7:$E$12,4,0)/($V455*$X$352/12)</f>
        <v>6.666666666666667</v>
      </c>
      <c r="AI455" s="43">
        <f>VLOOKUP(AI$84,'Infos Techniques'!$B$7:$E$12,4,0)/($V455*$X$352/12)</f>
        <v>6.666666666666667</v>
      </c>
      <c r="AJ455" s="43">
        <f>VLOOKUP(AJ$84,'Infos Techniques'!$B$7:$E$12,4,0)/($V455*$X$352/12)</f>
        <v>6.666666666666667</v>
      </c>
      <c r="AK455" s="43">
        <f>VLOOKUP(AK$84,'Infos Techniques'!$B$7:$E$12,4,0)/($V455*$X$352/12)</f>
        <v>3.6844444444444444</v>
      </c>
      <c r="AL455" s="63">
        <f>VLOOKUP(AL$84,'Infos Techniques'!$B$7:$E$12,4,0)/($V455*$X$352/12)</f>
        <v>2.9466666666666668</v>
      </c>
    </row>
    <row r="456" spans="2:38">
      <c r="B456" s="1849"/>
      <c r="C456" s="72">
        <v>80</v>
      </c>
      <c r="D456" s="76">
        <f t="shared" si="137"/>
        <v>4.166666666666667</v>
      </c>
      <c r="E456" s="43">
        <f t="shared" si="123"/>
        <v>2.875</v>
      </c>
      <c r="F456" s="43">
        <f t="shared" si="124"/>
        <v>2.4166666666666665</v>
      </c>
      <c r="G456" s="43">
        <f t="shared" si="125"/>
        <v>1.7250000000000001</v>
      </c>
      <c r="H456" s="43">
        <f t="shared" si="126"/>
        <v>1.3791666666666667</v>
      </c>
      <c r="I456" s="43">
        <f t="shared" si="127"/>
        <v>5</v>
      </c>
      <c r="J456" s="43">
        <f t="shared" si="128"/>
        <v>5</v>
      </c>
      <c r="K456" s="43">
        <f t="shared" si="129"/>
        <v>4.833333333333333</v>
      </c>
      <c r="L456" s="43">
        <f t="shared" si="130"/>
        <v>3.4541666666666666</v>
      </c>
      <c r="M456" s="43">
        <f t="shared" si="131"/>
        <v>2.7625000000000002</v>
      </c>
      <c r="N456" s="43">
        <f t="shared" si="132"/>
        <v>6.25</v>
      </c>
      <c r="O456" s="43">
        <f t="shared" si="133"/>
        <v>6.25</v>
      </c>
      <c r="P456" s="43">
        <f t="shared" si="134"/>
        <v>6.25</v>
      </c>
      <c r="Q456" s="43">
        <f t="shared" si="135"/>
        <v>3.4541666666666666</v>
      </c>
      <c r="R456" s="63">
        <f t="shared" si="136"/>
        <v>2.7625000000000002</v>
      </c>
      <c r="U456" s="1601"/>
      <c r="V456" s="28">
        <v>80</v>
      </c>
      <c r="W456" s="43" cm="1">
        <f t="array" ref="W456">VLOOKUP(MAX(IF('Courbe Déflexion'!$GH$25:$GH$305&lt;=V456,'Courbe Déflexion'!$GH$25:$GH$305)),'Courbe Déflexion'!$GH$25:$IA$305,7,0)</f>
        <v>19.200000000000006</v>
      </c>
      <c r="X456" s="43">
        <f>VLOOKUP(X$84,'Infos Techniques'!$B$7:$E$12,3,0)/($V456*$X$352/12)</f>
        <v>4.166666666666667</v>
      </c>
      <c r="Y456" s="43">
        <f>VLOOKUP(Y$84,'Infos Techniques'!$B$7:$E$12,3,0)/($V456*$X$352/12)</f>
        <v>2.875</v>
      </c>
      <c r="Z456" s="43">
        <f>VLOOKUP(Z$84,'Infos Techniques'!$B$7:$E$12,3,0)/($V456*$X$352/12)</f>
        <v>2.4166666666666665</v>
      </c>
      <c r="AA456" s="43">
        <f>VLOOKUP(AA$84,'Infos Techniques'!$B$7:$E$12,3,0)/($V456*$X$352/12)</f>
        <v>1.7250000000000001</v>
      </c>
      <c r="AB456" s="43">
        <f>VLOOKUP(AB$84,'Infos Techniques'!$B$7:$E$12,3,0)/($V456*$X$352/12)</f>
        <v>1.3791666666666667</v>
      </c>
      <c r="AC456" s="43">
        <f>VLOOKUP(AC$84,'Infos Techniques'!$B$7:$E$12,2,0)/($V456*$X$352/12)</f>
        <v>5</v>
      </c>
      <c r="AD456" s="43">
        <f>VLOOKUP(AD$84,'Infos Techniques'!$B$7:$E$12,2,0)/($V456*$X$352/12)</f>
        <v>5</v>
      </c>
      <c r="AE456" s="43">
        <f>VLOOKUP(AE$84,'Infos Techniques'!$B$7:$E$12,2,0)/($V456*$X$352/12)</f>
        <v>4.833333333333333</v>
      </c>
      <c r="AF456" s="43">
        <f>VLOOKUP(AF$84,'Infos Techniques'!$B$7:$E$12,2,0)/($V456*$X$352/12)</f>
        <v>3.4541666666666666</v>
      </c>
      <c r="AG456" s="43">
        <f>VLOOKUP(AG$84,'Infos Techniques'!$B$7:$E$12,2,0)/($V456*$X$352/12)</f>
        <v>2.7625000000000002</v>
      </c>
      <c r="AH456" s="43">
        <f>VLOOKUP(AH$84,'Infos Techniques'!$B$7:$E$12,4,0)/($V456*$X$352/12)</f>
        <v>6.25</v>
      </c>
      <c r="AI456" s="43">
        <f>VLOOKUP(AI$84,'Infos Techniques'!$B$7:$E$12,4,0)/($V456*$X$352/12)</f>
        <v>6.25</v>
      </c>
      <c r="AJ456" s="43">
        <f>VLOOKUP(AJ$84,'Infos Techniques'!$B$7:$E$12,4,0)/($V456*$X$352/12)</f>
        <v>6.25</v>
      </c>
      <c r="AK456" s="43">
        <f>VLOOKUP(AK$84,'Infos Techniques'!$B$7:$E$12,4,0)/($V456*$X$352/12)</f>
        <v>3.4541666666666666</v>
      </c>
      <c r="AL456" s="63">
        <f>VLOOKUP(AL$84,'Infos Techniques'!$B$7:$E$12,4,0)/($V456*$X$352/12)</f>
        <v>2.7625000000000002</v>
      </c>
    </row>
    <row r="457" spans="2:38">
      <c r="B457" s="1849"/>
      <c r="C457" s="70">
        <v>85</v>
      </c>
      <c r="D457" s="76">
        <f t="shared" si="137"/>
        <v>3.9215686274509802</v>
      </c>
      <c r="E457" s="43">
        <f t="shared" si="123"/>
        <v>2.7058823529411766</v>
      </c>
      <c r="F457" s="43">
        <f t="shared" si="124"/>
        <v>2.2745098039215685</v>
      </c>
      <c r="G457" s="43">
        <f t="shared" si="125"/>
        <v>1.6235294117647059</v>
      </c>
      <c r="H457" s="43">
        <f t="shared" si="126"/>
        <v>1.2980392156862746</v>
      </c>
      <c r="I457" s="43">
        <f t="shared" si="127"/>
        <v>4.7058823529411766</v>
      </c>
      <c r="J457" s="43">
        <f t="shared" si="128"/>
        <v>4.7058823529411766</v>
      </c>
      <c r="K457" s="43">
        <f t="shared" si="129"/>
        <v>4.5490196078431371</v>
      </c>
      <c r="L457" s="43">
        <f t="shared" si="130"/>
        <v>3.2509803921568627</v>
      </c>
      <c r="M457" s="43">
        <f t="shared" si="131"/>
        <v>2.6</v>
      </c>
      <c r="N457" s="43">
        <f t="shared" si="132"/>
        <v>5.882352941176471</v>
      </c>
      <c r="O457" s="43">
        <f t="shared" si="133"/>
        <v>5.882352941176471</v>
      </c>
      <c r="P457" s="43">
        <f t="shared" si="134"/>
        <v>5.882352941176471</v>
      </c>
      <c r="Q457" s="43">
        <f t="shared" si="135"/>
        <v>3.2509803921568627</v>
      </c>
      <c r="R457" s="63">
        <f t="shared" si="136"/>
        <v>2.6</v>
      </c>
      <c r="U457" s="1601"/>
      <c r="V457" s="28">
        <v>85</v>
      </c>
      <c r="W457" s="43" cm="1">
        <f t="array" ref="W457">VLOOKUP(MAX(IF('Courbe Déflexion'!$GH$25:$GH$305&lt;=V457,'Courbe Déflexion'!$GH$25:$GH$305)),'Courbe Déflexion'!$GH$25:$IA$305,7,0)</f>
        <v>20.200000000000003</v>
      </c>
      <c r="X457" s="43">
        <f>VLOOKUP(X$84,'Infos Techniques'!$B$7:$E$12,3,0)/($V457*$X$352/12)</f>
        <v>3.9215686274509802</v>
      </c>
      <c r="Y457" s="43">
        <f>VLOOKUP(Y$84,'Infos Techniques'!$B$7:$E$12,3,0)/($V457*$X$352/12)</f>
        <v>2.7058823529411766</v>
      </c>
      <c r="Z457" s="43">
        <f>VLOOKUP(Z$84,'Infos Techniques'!$B$7:$E$12,3,0)/($V457*$X$352/12)</f>
        <v>2.2745098039215685</v>
      </c>
      <c r="AA457" s="43">
        <f>VLOOKUP(AA$84,'Infos Techniques'!$B$7:$E$12,3,0)/($V457*$X$352/12)</f>
        <v>1.6235294117647059</v>
      </c>
      <c r="AB457" s="43">
        <f>VLOOKUP(AB$84,'Infos Techniques'!$B$7:$E$12,3,0)/($V457*$X$352/12)</f>
        <v>1.2980392156862746</v>
      </c>
      <c r="AC457" s="43">
        <f>VLOOKUP(AC$84,'Infos Techniques'!$B$7:$E$12,2,0)/($V457*$X$352/12)</f>
        <v>4.7058823529411766</v>
      </c>
      <c r="AD457" s="43">
        <f>VLOOKUP(AD$84,'Infos Techniques'!$B$7:$E$12,2,0)/($V457*$X$352/12)</f>
        <v>4.7058823529411766</v>
      </c>
      <c r="AE457" s="43">
        <f>VLOOKUP(AE$84,'Infos Techniques'!$B$7:$E$12,2,0)/($V457*$X$352/12)</f>
        <v>4.5490196078431371</v>
      </c>
      <c r="AF457" s="43">
        <f>VLOOKUP(AF$84,'Infos Techniques'!$B$7:$E$12,2,0)/($V457*$X$352/12)</f>
        <v>3.2509803921568627</v>
      </c>
      <c r="AG457" s="43">
        <f>VLOOKUP(AG$84,'Infos Techniques'!$B$7:$E$12,2,0)/($V457*$X$352/12)</f>
        <v>2.6</v>
      </c>
      <c r="AH457" s="43">
        <f>VLOOKUP(AH$84,'Infos Techniques'!$B$7:$E$12,4,0)/($V457*$X$352/12)</f>
        <v>5.882352941176471</v>
      </c>
      <c r="AI457" s="43">
        <f>VLOOKUP(AI$84,'Infos Techniques'!$B$7:$E$12,4,0)/($V457*$X$352/12)</f>
        <v>5.882352941176471</v>
      </c>
      <c r="AJ457" s="43">
        <f>VLOOKUP(AJ$84,'Infos Techniques'!$B$7:$E$12,4,0)/($V457*$X$352/12)</f>
        <v>5.882352941176471</v>
      </c>
      <c r="AK457" s="43">
        <f>VLOOKUP(AK$84,'Infos Techniques'!$B$7:$E$12,4,0)/($V457*$X$352/12)</f>
        <v>3.2509803921568627</v>
      </c>
      <c r="AL457" s="63">
        <f>VLOOKUP(AL$84,'Infos Techniques'!$B$7:$E$12,4,0)/($V457*$X$352/12)</f>
        <v>2.6</v>
      </c>
    </row>
    <row r="458" spans="2:38">
      <c r="B458" s="1849"/>
      <c r="C458" s="70">
        <v>90</v>
      </c>
      <c r="D458" s="76">
        <f t="shared" si="137"/>
        <v>3.7037037037037037</v>
      </c>
      <c r="E458" s="43">
        <f t="shared" si="123"/>
        <v>2.5555555555555554</v>
      </c>
      <c r="F458" s="43">
        <f t="shared" si="124"/>
        <v>2.1481481481481484</v>
      </c>
      <c r="G458" s="43">
        <f t="shared" si="125"/>
        <v>1.5333333333333334</v>
      </c>
      <c r="H458" s="43">
        <f t="shared" si="126"/>
        <v>1.2259259259259259</v>
      </c>
      <c r="I458" s="43">
        <f t="shared" si="127"/>
        <v>4.4444444444444446</v>
      </c>
      <c r="J458" s="43">
        <f t="shared" si="128"/>
        <v>4.4444444444444446</v>
      </c>
      <c r="K458" s="43">
        <f t="shared" si="129"/>
        <v>4.2962962962962967</v>
      </c>
      <c r="L458" s="43">
        <f t="shared" si="130"/>
        <v>3.0703703703703704</v>
      </c>
      <c r="M458" s="43">
        <f t="shared" si="131"/>
        <v>2.4555555555555557</v>
      </c>
      <c r="N458" s="43">
        <f t="shared" si="132"/>
        <v>5.5555555555555554</v>
      </c>
      <c r="O458" s="43">
        <f t="shared" si="133"/>
        <v>5.5555555555555554</v>
      </c>
      <c r="P458" s="43">
        <f t="shared" si="134"/>
        <v>5.5555555555555554</v>
      </c>
      <c r="Q458" s="43">
        <f t="shared" si="135"/>
        <v>3.0703703703703704</v>
      </c>
      <c r="R458" s="63">
        <f t="shared" si="136"/>
        <v>2.4555555555555557</v>
      </c>
      <c r="U458" s="1601"/>
      <c r="V458" s="28">
        <v>90</v>
      </c>
      <c r="W458" s="43" cm="1">
        <f t="array" ref="W458">VLOOKUP(MAX(IF('Courbe Déflexion'!$GH$25:$GH$305&lt;=V458,'Courbe Déflexion'!$GH$25:$GH$305)),'Courbe Déflexion'!$GH$25:$IA$305,7,0)</f>
        <v>21.299999999999994</v>
      </c>
      <c r="X458" s="43">
        <f>VLOOKUP(X$84,'Infos Techniques'!$B$7:$E$12,3,0)/($V458*$X$352/12)</f>
        <v>3.7037037037037037</v>
      </c>
      <c r="Y458" s="43">
        <f>VLOOKUP(Y$84,'Infos Techniques'!$B$7:$E$12,3,0)/($V458*$X$352/12)</f>
        <v>2.5555555555555554</v>
      </c>
      <c r="Z458" s="43">
        <f>VLOOKUP(Z$84,'Infos Techniques'!$B$7:$E$12,3,0)/($V458*$X$352/12)</f>
        <v>2.1481481481481484</v>
      </c>
      <c r="AA458" s="43">
        <f>VLOOKUP(AA$84,'Infos Techniques'!$B$7:$E$12,3,0)/($V458*$X$352/12)</f>
        <v>1.5333333333333334</v>
      </c>
      <c r="AB458" s="43">
        <f>VLOOKUP(AB$84,'Infos Techniques'!$B$7:$E$12,3,0)/($V458*$X$352/12)</f>
        <v>1.2259259259259259</v>
      </c>
      <c r="AC458" s="43">
        <f>VLOOKUP(AC$84,'Infos Techniques'!$B$7:$E$12,2,0)/($V458*$X$352/12)</f>
        <v>4.4444444444444446</v>
      </c>
      <c r="AD458" s="43">
        <f>VLOOKUP(AD$84,'Infos Techniques'!$B$7:$E$12,2,0)/($V458*$X$352/12)</f>
        <v>4.4444444444444446</v>
      </c>
      <c r="AE458" s="43">
        <f>VLOOKUP(AE$84,'Infos Techniques'!$B$7:$E$12,2,0)/($V458*$X$352/12)</f>
        <v>4.2962962962962967</v>
      </c>
      <c r="AF458" s="43">
        <f>VLOOKUP(AF$84,'Infos Techniques'!$B$7:$E$12,2,0)/($V458*$X$352/12)</f>
        <v>3.0703703703703704</v>
      </c>
      <c r="AG458" s="43">
        <f>VLOOKUP(AG$84,'Infos Techniques'!$B$7:$E$12,2,0)/($V458*$X$352/12)</f>
        <v>2.4555555555555557</v>
      </c>
      <c r="AH458" s="43">
        <f>VLOOKUP(AH$84,'Infos Techniques'!$B$7:$E$12,4,0)/($V458*$X$352/12)</f>
        <v>5.5555555555555554</v>
      </c>
      <c r="AI458" s="43">
        <f>VLOOKUP(AI$84,'Infos Techniques'!$B$7:$E$12,4,0)/($V458*$X$352/12)</f>
        <v>5.5555555555555554</v>
      </c>
      <c r="AJ458" s="43">
        <f>VLOOKUP(AJ$84,'Infos Techniques'!$B$7:$E$12,4,0)/($V458*$X$352/12)</f>
        <v>5.5555555555555554</v>
      </c>
      <c r="AK458" s="43">
        <f>VLOOKUP(AK$84,'Infos Techniques'!$B$7:$E$12,4,0)/($V458*$X$352/12)</f>
        <v>3.0703703703703704</v>
      </c>
      <c r="AL458" s="63">
        <f>VLOOKUP(AL$84,'Infos Techniques'!$B$7:$E$12,4,0)/($V458*$X$352/12)</f>
        <v>2.4555555555555557</v>
      </c>
    </row>
    <row r="459" spans="2:38">
      <c r="B459" s="1849"/>
      <c r="C459" s="70">
        <v>95</v>
      </c>
      <c r="D459" s="76">
        <f t="shared" si="137"/>
        <v>3.5087719298245612</v>
      </c>
      <c r="E459" s="43">
        <f t="shared" si="123"/>
        <v>2.4210526315789473</v>
      </c>
      <c r="F459" s="43">
        <f t="shared" si="124"/>
        <v>2.0350877192982457</v>
      </c>
      <c r="G459" s="43">
        <f t="shared" si="125"/>
        <v>1.4526315789473685</v>
      </c>
      <c r="H459" s="43">
        <f t="shared" si="126"/>
        <v>1.1614035087719299</v>
      </c>
      <c r="I459" s="43">
        <f t="shared" si="127"/>
        <v>4.2105263157894735</v>
      </c>
      <c r="J459" s="43">
        <f t="shared" si="128"/>
        <v>4.2105263157894735</v>
      </c>
      <c r="K459" s="43">
        <f t="shared" si="129"/>
        <v>4.0701754385964914</v>
      </c>
      <c r="L459" s="43">
        <f t="shared" si="130"/>
        <v>2.9087719298245616</v>
      </c>
      <c r="M459" s="43">
        <f t="shared" si="131"/>
        <v>2.3263157894736843</v>
      </c>
      <c r="N459" s="43">
        <f t="shared" si="132"/>
        <v>5.2631578947368425</v>
      </c>
      <c r="O459" s="43">
        <f t="shared" si="133"/>
        <v>5.2631578947368425</v>
      </c>
      <c r="P459" s="43">
        <f t="shared" si="134"/>
        <v>5.2631578947368425</v>
      </c>
      <c r="Q459" s="43">
        <f t="shared" si="135"/>
        <v>2.9087719298245616</v>
      </c>
      <c r="R459" s="63">
        <f t="shared" si="136"/>
        <v>2.3263157894736843</v>
      </c>
      <c r="U459" s="1601"/>
      <c r="V459" s="28">
        <v>95</v>
      </c>
      <c r="W459" s="43" cm="1">
        <f t="array" ref="W459">VLOOKUP(MAX(IF('Courbe Déflexion'!$GH$25:$GH$305&lt;=V459,'Courbe Déflexion'!$GH$25:$GH$305)),'Courbe Déflexion'!$GH$25:$IA$305,7,0)</f>
        <v>22.799999999999997</v>
      </c>
      <c r="X459" s="43">
        <f>VLOOKUP(X$84,'Infos Techniques'!$B$7:$E$12,3,0)/($V459*$X$352/12)</f>
        <v>3.5087719298245612</v>
      </c>
      <c r="Y459" s="43">
        <f>VLOOKUP(Y$84,'Infos Techniques'!$B$7:$E$12,3,0)/($V459*$X$352/12)</f>
        <v>2.4210526315789473</v>
      </c>
      <c r="Z459" s="43">
        <f>VLOOKUP(Z$84,'Infos Techniques'!$B$7:$E$12,3,0)/($V459*$X$352/12)</f>
        <v>2.0350877192982457</v>
      </c>
      <c r="AA459" s="43">
        <f>VLOOKUP(AA$84,'Infos Techniques'!$B$7:$E$12,3,0)/($V459*$X$352/12)</f>
        <v>1.4526315789473685</v>
      </c>
      <c r="AB459" s="43">
        <f>VLOOKUP(AB$84,'Infos Techniques'!$B$7:$E$12,3,0)/($V459*$X$352/12)</f>
        <v>1.1614035087719299</v>
      </c>
      <c r="AC459" s="43">
        <f>VLOOKUP(AC$84,'Infos Techniques'!$B$7:$E$12,2,0)/($V459*$X$352/12)</f>
        <v>4.2105263157894735</v>
      </c>
      <c r="AD459" s="43">
        <f>VLOOKUP(AD$84,'Infos Techniques'!$B$7:$E$12,2,0)/($V459*$X$352/12)</f>
        <v>4.2105263157894735</v>
      </c>
      <c r="AE459" s="43">
        <f>VLOOKUP(AE$84,'Infos Techniques'!$B$7:$E$12,2,0)/($V459*$X$352/12)</f>
        <v>4.0701754385964914</v>
      </c>
      <c r="AF459" s="43">
        <f>VLOOKUP(AF$84,'Infos Techniques'!$B$7:$E$12,2,0)/($V459*$X$352/12)</f>
        <v>2.9087719298245616</v>
      </c>
      <c r="AG459" s="43">
        <f>VLOOKUP(AG$84,'Infos Techniques'!$B$7:$E$12,2,0)/($V459*$X$352/12)</f>
        <v>2.3263157894736843</v>
      </c>
      <c r="AH459" s="43">
        <f>VLOOKUP(AH$84,'Infos Techniques'!$B$7:$E$12,4,0)/($V459*$X$352/12)</f>
        <v>5.2631578947368425</v>
      </c>
      <c r="AI459" s="43">
        <f>VLOOKUP(AI$84,'Infos Techniques'!$B$7:$E$12,4,0)/($V459*$X$352/12)</f>
        <v>5.2631578947368425</v>
      </c>
      <c r="AJ459" s="43">
        <f>VLOOKUP(AJ$84,'Infos Techniques'!$B$7:$E$12,4,0)/($V459*$X$352/12)</f>
        <v>5.2631578947368425</v>
      </c>
      <c r="AK459" s="43">
        <f>VLOOKUP(AK$84,'Infos Techniques'!$B$7:$E$12,4,0)/($V459*$X$352/12)</f>
        <v>2.9087719298245616</v>
      </c>
      <c r="AL459" s="63">
        <f>VLOOKUP(AL$84,'Infos Techniques'!$B$7:$E$12,4,0)/($V459*$X$352/12)</f>
        <v>2.3263157894736843</v>
      </c>
    </row>
    <row r="460" spans="2:38" ht="15" thickBot="1">
      <c r="B460" s="1850"/>
      <c r="C460" s="73">
        <v>100</v>
      </c>
      <c r="D460" s="79">
        <f t="shared" si="137"/>
        <v>3.3333333333333335</v>
      </c>
      <c r="E460" s="45">
        <f t="shared" si="123"/>
        <v>2.2999999999999998</v>
      </c>
      <c r="F460" s="45">
        <f t="shared" si="124"/>
        <v>1.9333333333333333</v>
      </c>
      <c r="G460" s="45">
        <f t="shared" si="125"/>
        <v>1.38</v>
      </c>
      <c r="H460" s="45">
        <f t="shared" si="126"/>
        <v>1.1033333333333333</v>
      </c>
      <c r="I460" s="45">
        <f t="shared" si="127"/>
        <v>4</v>
      </c>
      <c r="J460" s="45">
        <f t="shared" si="128"/>
        <v>4</v>
      </c>
      <c r="K460" s="45">
        <f t="shared" si="129"/>
        <v>3.8666666666666667</v>
      </c>
      <c r="L460" s="45">
        <f t="shared" si="130"/>
        <v>2.7633333333333332</v>
      </c>
      <c r="M460" s="45">
        <f t="shared" si="131"/>
        <v>2.21</v>
      </c>
      <c r="N460" s="45">
        <f t="shared" si="132"/>
        <v>5</v>
      </c>
      <c r="O460" s="45">
        <f t="shared" si="133"/>
        <v>5</v>
      </c>
      <c r="P460" s="45">
        <f t="shared" si="134"/>
        <v>5</v>
      </c>
      <c r="Q460" s="45">
        <f t="shared" si="135"/>
        <v>2.7633333333333332</v>
      </c>
      <c r="R460" s="66">
        <f t="shared" si="136"/>
        <v>2.21</v>
      </c>
      <c r="U460" s="1602"/>
      <c r="V460" s="44">
        <v>100</v>
      </c>
      <c r="W460" s="45" cm="1">
        <f t="array" ref="W460">VLOOKUP(MAX(IF('Courbe Déflexion'!$GH$25:$GH$305&lt;=V460,'Courbe Déflexion'!$GH$25:$GH$305)),'Courbe Déflexion'!$GH$25:$IA$305,7,0)</f>
        <v>24</v>
      </c>
      <c r="X460" s="45">
        <f>VLOOKUP(X$84,'Infos Techniques'!$B$7:$E$12,3,0)/($V460*$X$352/12)</f>
        <v>3.3333333333333335</v>
      </c>
      <c r="Y460" s="45">
        <f>VLOOKUP(Y$84,'Infos Techniques'!$B$7:$E$12,3,0)/($V460*$X$352/12)</f>
        <v>2.2999999999999998</v>
      </c>
      <c r="Z460" s="45">
        <f>VLOOKUP(Z$84,'Infos Techniques'!$B$7:$E$12,3,0)/($V460*$X$352/12)</f>
        <v>1.9333333333333333</v>
      </c>
      <c r="AA460" s="45">
        <f>VLOOKUP(AA$84,'Infos Techniques'!$B$7:$E$12,3,0)/($V460*$X$352/12)</f>
        <v>1.38</v>
      </c>
      <c r="AB460" s="45">
        <f>VLOOKUP(AB$84,'Infos Techniques'!$B$7:$E$12,3,0)/($V460*$X$352/12)</f>
        <v>1.1033333333333333</v>
      </c>
      <c r="AC460" s="45">
        <f>VLOOKUP(AC$84,'Infos Techniques'!$B$7:$E$12,2,0)/($V460*$X$352/12)</f>
        <v>4</v>
      </c>
      <c r="AD460" s="45">
        <f>VLOOKUP(AD$84,'Infos Techniques'!$B$7:$E$12,2,0)/($V460*$X$352/12)</f>
        <v>4</v>
      </c>
      <c r="AE460" s="45">
        <f>VLOOKUP(AE$84,'Infos Techniques'!$B$7:$E$12,2,0)/($V460*$X$352/12)</f>
        <v>3.8666666666666667</v>
      </c>
      <c r="AF460" s="45">
        <f>VLOOKUP(AF$84,'Infos Techniques'!$B$7:$E$12,2,0)/($V460*$X$352/12)</f>
        <v>2.7633333333333332</v>
      </c>
      <c r="AG460" s="45">
        <f>VLOOKUP(AG$84,'Infos Techniques'!$B$7:$E$12,2,0)/($V460*$X$352/12)</f>
        <v>2.21</v>
      </c>
      <c r="AH460" s="45">
        <f>VLOOKUP(AH$84,'Infos Techniques'!$B$7:$E$12,4,0)/($V460*$X$352/12)</f>
        <v>5</v>
      </c>
      <c r="AI460" s="45">
        <f>VLOOKUP(AI$84,'Infos Techniques'!$B$7:$E$12,4,0)/($V460*$X$352/12)</f>
        <v>5</v>
      </c>
      <c r="AJ460" s="45">
        <f>VLOOKUP(AJ$84,'Infos Techniques'!$B$7:$E$12,4,0)/($V460*$X$352/12)</f>
        <v>5</v>
      </c>
      <c r="AK460" s="45">
        <f>VLOOKUP(AK$84,'Infos Techniques'!$B$7:$E$12,4,0)/($V460*$X$352/12)</f>
        <v>2.7633333333333332</v>
      </c>
      <c r="AL460" s="66">
        <f>VLOOKUP(AL$84,'Infos Techniques'!$B$7:$E$12,4,0)/($V460*$X$352/12)</f>
        <v>2.21</v>
      </c>
    </row>
    <row r="461" spans="2:38" ht="15" thickTop="1"/>
    <row r="474" spans="2:38" ht="25.9">
      <c r="B474" s="1851" t="s">
        <v>1684</v>
      </c>
      <c r="C474" s="1852"/>
      <c r="D474" s="1852"/>
      <c r="E474" s="1852"/>
      <c r="F474" s="1852"/>
      <c r="G474" s="1852"/>
      <c r="H474" s="1852"/>
      <c r="I474" s="1852"/>
      <c r="J474" s="1852"/>
      <c r="K474" s="1852"/>
      <c r="L474" s="1852"/>
      <c r="M474" s="1852"/>
      <c r="N474" s="1852"/>
      <c r="O474" s="1852"/>
      <c r="P474" s="1852"/>
      <c r="Q474" s="1852"/>
      <c r="R474" s="1852"/>
    </row>
    <row r="475" spans="2:38" ht="25.9">
      <c r="B475" s="262"/>
      <c r="C475" s="263"/>
      <c r="D475" s="263"/>
      <c r="E475" s="263"/>
      <c r="F475" s="263"/>
      <c r="G475" s="263"/>
      <c r="H475" s="263"/>
      <c r="I475" s="263"/>
      <c r="J475" s="263"/>
      <c r="K475" s="263"/>
      <c r="L475" s="263"/>
      <c r="M475" s="263"/>
      <c r="N475" s="263"/>
      <c r="O475" s="263"/>
      <c r="P475" s="263"/>
      <c r="Q475" s="263"/>
      <c r="R475" s="263"/>
    </row>
    <row r="476" spans="2:38" ht="26.45" thickBot="1">
      <c r="B476" s="1803" t="s">
        <v>1662</v>
      </c>
      <c r="C476" s="1803"/>
      <c r="D476" s="1803"/>
      <c r="E476" s="1803"/>
      <c r="F476" s="1803"/>
      <c r="G476" s="1803"/>
      <c r="H476" s="1803"/>
      <c r="I476" s="1803"/>
      <c r="J476" s="1803"/>
      <c r="K476" s="1803"/>
      <c r="L476" s="1803"/>
      <c r="M476" s="1803"/>
      <c r="N476" s="1803"/>
      <c r="O476" s="1803"/>
      <c r="P476" s="1803"/>
      <c r="Q476" s="1803"/>
      <c r="R476" s="1803"/>
    </row>
    <row r="477" spans="2:38" ht="15.6" thickTop="1" thickBot="1">
      <c r="U477" s="1808"/>
      <c r="V477" s="1809"/>
      <c r="W477" s="1606" t="s">
        <v>315</v>
      </c>
      <c r="X477" s="1606" t="s">
        <v>263</v>
      </c>
      <c r="Y477" s="1606"/>
      <c r="Z477" s="1606"/>
      <c r="AA477" s="1606"/>
      <c r="AB477" s="1606"/>
      <c r="AC477" s="1606"/>
      <c r="AD477" s="1606"/>
      <c r="AE477" s="1606"/>
      <c r="AF477" s="1606"/>
      <c r="AG477" s="1606"/>
      <c r="AH477" s="1606"/>
      <c r="AI477" s="1606"/>
      <c r="AJ477" s="1606"/>
      <c r="AK477" s="1606"/>
      <c r="AL477" s="1832"/>
    </row>
    <row r="478" spans="2:38" ht="21.6" thickTop="1">
      <c r="B478" s="1812"/>
      <c r="C478" s="1813"/>
      <c r="D478" s="1837" t="s">
        <v>263</v>
      </c>
      <c r="E478" s="1838"/>
      <c r="F478" s="1838"/>
      <c r="G478" s="1838"/>
      <c r="H478" s="1838"/>
      <c r="I478" s="1838"/>
      <c r="J478" s="1838"/>
      <c r="K478" s="1838"/>
      <c r="L478" s="1838"/>
      <c r="M478" s="1838"/>
      <c r="N478" s="1838"/>
      <c r="O478" s="1838"/>
      <c r="P478" s="1838"/>
      <c r="Q478" s="1838"/>
      <c r="R478" s="1839"/>
      <c r="U478" s="1810"/>
      <c r="V478" s="1811"/>
      <c r="W478" s="1571"/>
      <c r="X478" s="54"/>
      <c r="Y478" s="55"/>
      <c r="Z478" s="55"/>
      <c r="AA478" s="55"/>
      <c r="AB478" s="56"/>
      <c r="AC478" s="54"/>
      <c r="AD478" s="55"/>
      <c r="AE478" s="55"/>
      <c r="AF478" s="55"/>
      <c r="AG478" s="56"/>
      <c r="AH478" s="54"/>
      <c r="AI478" s="55"/>
      <c r="AJ478" s="55"/>
      <c r="AK478" s="55"/>
      <c r="AL478" s="57"/>
    </row>
    <row r="479" spans="2:38" ht="16.149999999999999" thickBot="1">
      <c r="B479" s="1814"/>
      <c r="C479" s="1397"/>
      <c r="D479" s="1840" t="s">
        <v>1663</v>
      </c>
      <c r="E479" s="1841"/>
      <c r="F479" s="1841"/>
      <c r="G479" s="1841"/>
      <c r="H479" s="1841"/>
      <c r="I479" s="1841" t="s">
        <v>321</v>
      </c>
      <c r="J479" s="1841"/>
      <c r="K479" s="1841"/>
      <c r="L479" s="1841"/>
      <c r="M479" s="1841"/>
      <c r="N479" s="1841" t="s">
        <v>322</v>
      </c>
      <c r="O479" s="1841"/>
      <c r="P479" s="1841"/>
      <c r="Q479" s="1841"/>
      <c r="R479" s="1842"/>
      <c r="U479" s="1646"/>
      <c r="V479" s="1113"/>
      <c r="W479" s="1603"/>
      <c r="X479" s="1833" t="s">
        <v>1663</v>
      </c>
      <c r="Y479" s="1834"/>
      <c r="Z479" s="1834"/>
      <c r="AA479" s="1834"/>
      <c r="AB479" s="1835"/>
      <c r="AC479" s="1833" t="s">
        <v>321</v>
      </c>
      <c r="AD479" s="1834"/>
      <c r="AE479" s="1834"/>
      <c r="AF479" s="1834"/>
      <c r="AG479" s="1835"/>
      <c r="AH479" s="1833" t="s">
        <v>322</v>
      </c>
      <c r="AI479" s="1834"/>
      <c r="AJ479" s="1834"/>
      <c r="AK479" s="1834"/>
      <c r="AL479" s="1836"/>
    </row>
    <row r="480" spans="2:38" ht="17.45">
      <c r="B480" s="1814"/>
      <c r="C480" s="1397"/>
      <c r="D480" s="1843" t="s">
        <v>1664</v>
      </c>
      <c r="E480" s="1844"/>
      <c r="F480" s="1844"/>
      <c r="G480" s="1844"/>
      <c r="H480" s="1845"/>
      <c r="I480" s="1846" t="s">
        <v>1664</v>
      </c>
      <c r="J480" s="1844"/>
      <c r="K480" s="1844"/>
      <c r="L480" s="1844"/>
      <c r="M480" s="1845"/>
      <c r="N480" s="1846" t="s">
        <v>1664</v>
      </c>
      <c r="O480" s="1844"/>
      <c r="P480" s="1844"/>
      <c r="Q480" s="1844"/>
      <c r="R480" s="1847"/>
      <c r="U480" s="1646"/>
      <c r="V480" s="1113"/>
      <c r="W480" s="29"/>
      <c r="X480" s="237"/>
      <c r="Y480" s="80"/>
      <c r="Z480" s="80"/>
      <c r="AA480" s="80"/>
      <c r="AB480" s="239"/>
      <c r="AC480" s="237"/>
      <c r="AD480" s="80"/>
      <c r="AE480" s="80"/>
      <c r="AF480" s="80"/>
      <c r="AG480" s="239"/>
      <c r="AH480" s="237"/>
      <c r="AI480" s="80"/>
      <c r="AJ480" s="80"/>
      <c r="AK480" s="80"/>
      <c r="AL480" s="238"/>
    </row>
    <row r="481" spans="2:38" ht="15" thickBot="1">
      <c r="B481" s="1815"/>
      <c r="C481" s="1816"/>
      <c r="D481" s="74" t="s">
        <v>1665</v>
      </c>
      <c r="E481" s="50" t="s">
        <v>334</v>
      </c>
      <c r="F481" s="50" t="s">
        <v>335</v>
      </c>
      <c r="G481" s="50" t="s">
        <v>336</v>
      </c>
      <c r="H481" s="51" t="s">
        <v>337</v>
      </c>
      <c r="I481" s="49" t="s">
        <v>1665</v>
      </c>
      <c r="J481" s="50" t="s">
        <v>1666</v>
      </c>
      <c r="K481" s="50" t="s">
        <v>1667</v>
      </c>
      <c r="L481" s="50" t="s">
        <v>1668</v>
      </c>
      <c r="M481" s="52" t="s">
        <v>1669</v>
      </c>
      <c r="N481" s="49" t="s">
        <v>1670</v>
      </c>
      <c r="O481" s="50" t="s">
        <v>1666</v>
      </c>
      <c r="P481" s="50" t="s">
        <v>1667</v>
      </c>
      <c r="Q481" s="50" t="s">
        <v>1668</v>
      </c>
      <c r="R481" s="53" t="s">
        <v>1669</v>
      </c>
      <c r="U481" s="1646"/>
      <c r="V481" s="1113"/>
      <c r="W481" s="29" t="s">
        <v>333</v>
      </c>
      <c r="X481" s="28">
        <v>0.1875</v>
      </c>
      <c r="Y481" s="28" t="s">
        <v>334</v>
      </c>
      <c r="Z481" s="28" t="s">
        <v>335</v>
      </c>
      <c r="AA481" s="28" t="s">
        <v>336</v>
      </c>
      <c r="AB481" s="28" t="s">
        <v>337</v>
      </c>
      <c r="AC481" s="28">
        <v>0.1875</v>
      </c>
      <c r="AD481" s="28" t="s">
        <v>334</v>
      </c>
      <c r="AE481" s="28" t="s">
        <v>335</v>
      </c>
      <c r="AF481" s="28" t="s">
        <v>336</v>
      </c>
      <c r="AG481" s="28" t="s">
        <v>337</v>
      </c>
      <c r="AH481" s="28">
        <v>0.1875</v>
      </c>
      <c r="AI481" s="28" t="s">
        <v>334</v>
      </c>
      <c r="AJ481" s="28" t="s">
        <v>335</v>
      </c>
      <c r="AK481" s="28" t="s">
        <v>336</v>
      </c>
      <c r="AL481" s="40" t="s">
        <v>337</v>
      </c>
    </row>
    <row r="482" spans="2:38">
      <c r="B482" s="1848" t="s">
        <v>1671</v>
      </c>
      <c r="C482" s="69">
        <v>5</v>
      </c>
      <c r="D482" s="75">
        <f>MIN($X$354,X482,$W482)</f>
        <v>12</v>
      </c>
      <c r="E482" s="59">
        <f t="shared" ref="E482:E501" si="138">MIN($X$354,Y482,$W482)</f>
        <v>12</v>
      </c>
      <c r="F482" s="59">
        <f t="shared" ref="F482:F501" si="139">MIN($X$354,Z482,$W482)</f>
        <v>12</v>
      </c>
      <c r="G482" s="59">
        <f t="shared" ref="G482:G501" si="140">MIN($X$354,AA482,$W482)</f>
        <v>12</v>
      </c>
      <c r="H482" s="59">
        <f t="shared" ref="H482:H501" si="141">MIN($X$354,AB482,$W482)</f>
        <v>12</v>
      </c>
      <c r="I482" s="59">
        <f t="shared" ref="I482:I501" si="142">MIN($X$354,AC482,$W482)</f>
        <v>12</v>
      </c>
      <c r="J482" s="59">
        <f t="shared" ref="J482:J501" si="143">MIN($X$354,AD482,$W482)</f>
        <v>12</v>
      </c>
      <c r="K482" s="59">
        <f t="shared" ref="K482:K501" si="144">MIN($X$354,AE482,$W482)</f>
        <v>12</v>
      </c>
      <c r="L482" s="59">
        <f t="shared" ref="L482:L501" si="145">MIN($X$354,AF482,$W482)</f>
        <v>12</v>
      </c>
      <c r="M482" s="59">
        <f t="shared" ref="M482:M501" si="146">MIN($X$354,AG482,$W482)</f>
        <v>12</v>
      </c>
      <c r="N482" s="59">
        <f t="shared" ref="N482:N501" si="147">MIN($X$354,AH482,$W482)</f>
        <v>12</v>
      </c>
      <c r="O482" s="59">
        <f t="shared" ref="O482:O501" si="148">MIN($X$354,AI482,$W482)</f>
        <v>12</v>
      </c>
      <c r="P482" s="59">
        <f t="shared" ref="P482:P501" si="149">MIN($X$354,AJ482,$W482)</f>
        <v>12</v>
      </c>
      <c r="Q482" s="59">
        <f t="shared" ref="Q482:Q501" si="150">MIN($X$354,AK482,$W482)</f>
        <v>12</v>
      </c>
      <c r="R482" s="62">
        <f t="shared" ref="R482:R501" si="151">MIN($X$354,AL482,$W482)</f>
        <v>12</v>
      </c>
      <c r="U482" s="1601" t="s">
        <v>314</v>
      </c>
      <c r="V482" s="28">
        <v>5</v>
      </c>
      <c r="W482" s="43" t="s">
        <v>1674</v>
      </c>
      <c r="X482" s="43">
        <f>VLOOKUP(X$84,'Infos Techniques'!$B$7:$E$12,3,0)/($V482*$X$352/12)</f>
        <v>66.666666666666671</v>
      </c>
      <c r="Y482" s="43">
        <f>VLOOKUP(Y$84,'Infos Techniques'!$B$7:$E$12,3,0)/($V482*$X$352/12)</f>
        <v>46</v>
      </c>
      <c r="Z482" s="43">
        <f>VLOOKUP(Z$84,'Infos Techniques'!$B$7:$E$12,3,0)/($V482*$X$352/12)</f>
        <v>38.666666666666664</v>
      </c>
      <c r="AA482" s="43">
        <f>VLOOKUP(AA$84,'Infos Techniques'!$B$7:$E$12,3,0)/($V482*$X$352/12)</f>
        <v>27.6</v>
      </c>
      <c r="AB482" s="43">
        <f>VLOOKUP(AB$84,'Infos Techniques'!$B$7:$E$12,3,0)/($V482*$X$352/12)</f>
        <v>22.066666666666666</v>
      </c>
      <c r="AC482" s="43">
        <f>VLOOKUP(AC$84,'Infos Techniques'!$B$7:$E$12,2,0)/($V482*$X$352/12)</f>
        <v>80</v>
      </c>
      <c r="AD482" s="43">
        <f>VLOOKUP(AD$84,'Infos Techniques'!$B$7:$E$12,2,0)/($V482*$X$352/12)</f>
        <v>80</v>
      </c>
      <c r="AE482" s="43">
        <f>VLOOKUP(AE$84,'Infos Techniques'!$B$7:$E$12,2,0)/($V482*$X$352/12)</f>
        <v>77.333333333333329</v>
      </c>
      <c r="AF482" s="43">
        <f>VLOOKUP(AF$84,'Infos Techniques'!$B$7:$E$12,2,0)/($V482*$X$352/12)</f>
        <v>55.266666666666666</v>
      </c>
      <c r="AG482" s="43">
        <f>VLOOKUP(AG$84,'Infos Techniques'!$B$7:$E$12,2,0)/($V482*$X$352/12)</f>
        <v>44.2</v>
      </c>
      <c r="AH482" s="43">
        <f>VLOOKUP(AH$84,'Infos Techniques'!$B$7:$E$12,4,0)/($V482*$X$352/12)</f>
        <v>100</v>
      </c>
      <c r="AI482" s="43">
        <f>VLOOKUP(AI$84,'Infos Techniques'!$B$7:$E$12,4,0)/($V482*$X$352/12)</f>
        <v>100</v>
      </c>
      <c r="AJ482" s="43">
        <f>VLOOKUP(AJ$84,'Infos Techniques'!$B$7:$E$12,4,0)/($V482*$X$352/12)</f>
        <v>100</v>
      </c>
      <c r="AK482" s="43">
        <f>VLOOKUP(AK$84,'Infos Techniques'!$B$7:$E$12,4,0)/($V482*$X$352/12)</f>
        <v>55.266666666666666</v>
      </c>
      <c r="AL482" s="63">
        <f>VLOOKUP(AL$84,'Infos Techniques'!$B$7:$E$12,4,0)/($V482*$X$352/12)</f>
        <v>44.2</v>
      </c>
    </row>
    <row r="483" spans="2:38">
      <c r="B483" s="1849"/>
      <c r="C483" s="70">
        <v>10</v>
      </c>
      <c r="D483" s="76">
        <f t="shared" ref="D483:D501" si="152">MIN($X$354,X483,$W483)</f>
        <v>12</v>
      </c>
      <c r="E483" s="43">
        <f t="shared" si="138"/>
        <v>12</v>
      </c>
      <c r="F483" s="43">
        <f t="shared" si="139"/>
        <v>12</v>
      </c>
      <c r="G483" s="43">
        <f t="shared" si="140"/>
        <v>12</v>
      </c>
      <c r="H483" s="43">
        <f t="shared" si="141"/>
        <v>11.033333333333333</v>
      </c>
      <c r="I483" s="43">
        <f t="shared" si="142"/>
        <v>12</v>
      </c>
      <c r="J483" s="43">
        <f t="shared" si="143"/>
        <v>12</v>
      </c>
      <c r="K483" s="43">
        <f t="shared" si="144"/>
        <v>12</v>
      </c>
      <c r="L483" s="43">
        <f t="shared" si="145"/>
        <v>12</v>
      </c>
      <c r="M483" s="43">
        <f t="shared" si="146"/>
        <v>12</v>
      </c>
      <c r="N483" s="43">
        <f t="shared" si="147"/>
        <v>12</v>
      </c>
      <c r="O483" s="43">
        <f t="shared" si="148"/>
        <v>12</v>
      </c>
      <c r="P483" s="43">
        <f t="shared" si="149"/>
        <v>12</v>
      </c>
      <c r="Q483" s="43">
        <f t="shared" si="150"/>
        <v>12</v>
      </c>
      <c r="R483" s="63">
        <f t="shared" si="151"/>
        <v>12</v>
      </c>
      <c r="U483" s="1601"/>
      <c r="V483" s="28">
        <v>10</v>
      </c>
      <c r="W483" s="43" t="s">
        <v>1674</v>
      </c>
      <c r="X483" s="43">
        <f>VLOOKUP(X$84,'Infos Techniques'!$B$7:$E$12,3,0)/($V483*$X$352/12)</f>
        <v>33.333333333333336</v>
      </c>
      <c r="Y483" s="43">
        <f>VLOOKUP(Y$84,'Infos Techniques'!$B$7:$E$12,3,0)/($V483*$X$352/12)</f>
        <v>23</v>
      </c>
      <c r="Z483" s="43">
        <f>VLOOKUP(Z$84,'Infos Techniques'!$B$7:$E$12,3,0)/($V483*$X$352/12)</f>
        <v>19.333333333333332</v>
      </c>
      <c r="AA483" s="43">
        <f>VLOOKUP(AA$84,'Infos Techniques'!$B$7:$E$12,3,0)/($V483*$X$352/12)</f>
        <v>13.8</v>
      </c>
      <c r="AB483" s="43">
        <f>VLOOKUP(AB$84,'Infos Techniques'!$B$7:$E$12,3,0)/($V483*$X$352/12)</f>
        <v>11.033333333333333</v>
      </c>
      <c r="AC483" s="43">
        <f>VLOOKUP(AC$84,'Infos Techniques'!$B$7:$E$12,2,0)/($V483*$X$352/12)</f>
        <v>40</v>
      </c>
      <c r="AD483" s="43">
        <f>VLOOKUP(AD$84,'Infos Techniques'!$B$7:$E$12,2,0)/($V483*$X$352/12)</f>
        <v>40</v>
      </c>
      <c r="AE483" s="43">
        <f>VLOOKUP(AE$84,'Infos Techniques'!$B$7:$E$12,2,0)/($V483*$X$352/12)</f>
        <v>38.666666666666664</v>
      </c>
      <c r="AF483" s="43">
        <f>VLOOKUP(AF$84,'Infos Techniques'!$B$7:$E$12,2,0)/($V483*$X$352/12)</f>
        <v>27.633333333333333</v>
      </c>
      <c r="AG483" s="43">
        <f>VLOOKUP(AG$84,'Infos Techniques'!$B$7:$E$12,2,0)/($V483*$X$352/12)</f>
        <v>22.1</v>
      </c>
      <c r="AH483" s="43">
        <f>VLOOKUP(AH$84,'Infos Techniques'!$B$7:$E$12,4,0)/($V483*$X$352/12)</f>
        <v>50</v>
      </c>
      <c r="AI483" s="43">
        <f>VLOOKUP(AI$84,'Infos Techniques'!$B$7:$E$12,4,0)/($V483*$X$352/12)</f>
        <v>50</v>
      </c>
      <c r="AJ483" s="43">
        <f>VLOOKUP(AJ$84,'Infos Techniques'!$B$7:$E$12,4,0)/($V483*$X$352/12)</f>
        <v>50</v>
      </c>
      <c r="AK483" s="43">
        <f>VLOOKUP(AK$84,'Infos Techniques'!$B$7:$E$12,4,0)/($V483*$X$352/12)</f>
        <v>27.633333333333333</v>
      </c>
      <c r="AL483" s="63">
        <f>VLOOKUP(AL$84,'Infos Techniques'!$B$7:$E$12,4,0)/($V483*$X$352/12)</f>
        <v>22.1</v>
      </c>
    </row>
    <row r="484" spans="2:38">
      <c r="B484" s="1849"/>
      <c r="C484" s="70">
        <v>15</v>
      </c>
      <c r="D484" s="76">
        <f t="shared" si="152"/>
        <v>12</v>
      </c>
      <c r="E484" s="43">
        <f t="shared" si="138"/>
        <v>12</v>
      </c>
      <c r="F484" s="43">
        <f t="shared" si="139"/>
        <v>12</v>
      </c>
      <c r="G484" s="43">
        <f t="shared" si="140"/>
        <v>9.1999999999999993</v>
      </c>
      <c r="H484" s="43">
        <f t="shared" si="141"/>
        <v>7.3555555555555552</v>
      </c>
      <c r="I484" s="43">
        <f t="shared" si="142"/>
        <v>12</v>
      </c>
      <c r="J484" s="43">
        <f t="shared" si="143"/>
        <v>12</v>
      </c>
      <c r="K484" s="43">
        <f t="shared" si="144"/>
        <v>12</v>
      </c>
      <c r="L484" s="43">
        <f t="shared" si="145"/>
        <v>12</v>
      </c>
      <c r="M484" s="43">
        <f t="shared" si="146"/>
        <v>12</v>
      </c>
      <c r="N484" s="43">
        <f t="shared" si="147"/>
        <v>12</v>
      </c>
      <c r="O484" s="43">
        <f t="shared" si="148"/>
        <v>12</v>
      </c>
      <c r="P484" s="43">
        <f t="shared" si="149"/>
        <v>12</v>
      </c>
      <c r="Q484" s="43">
        <f t="shared" si="150"/>
        <v>12</v>
      </c>
      <c r="R484" s="63">
        <f t="shared" si="151"/>
        <v>12</v>
      </c>
      <c r="U484" s="1601"/>
      <c r="V484" s="28">
        <v>15</v>
      </c>
      <c r="W484" s="43" cm="1">
        <f t="array" ref="W484">VLOOKUP(MAX(IF('Courbe Déflexion'!$GI$25:$GI$305&lt;=V484,'Courbe Déflexion'!$GI$25:$GI$305)),'Courbe Déflexion'!$GI$25:$IA$305,6,0)</f>
        <v>13</v>
      </c>
      <c r="X484" s="43">
        <f>VLOOKUP(X$84,'Infos Techniques'!$B$7:$E$12,3,0)/($V484*$X$352/12)</f>
        <v>22.222222222222221</v>
      </c>
      <c r="Y484" s="43">
        <f>VLOOKUP(Y$84,'Infos Techniques'!$B$7:$E$12,3,0)/($V484*$X$352/12)</f>
        <v>15.333333333333334</v>
      </c>
      <c r="Z484" s="43">
        <f>VLOOKUP(Z$84,'Infos Techniques'!$B$7:$E$12,3,0)/($V484*$X$352/12)</f>
        <v>12.888888888888889</v>
      </c>
      <c r="AA484" s="43">
        <f>VLOOKUP(AA$84,'Infos Techniques'!$B$7:$E$12,3,0)/($V484*$X$352/12)</f>
        <v>9.1999999999999993</v>
      </c>
      <c r="AB484" s="43">
        <f>VLOOKUP(AB$84,'Infos Techniques'!$B$7:$E$12,3,0)/($V484*$X$352/12)</f>
        <v>7.3555555555555552</v>
      </c>
      <c r="AC484" s="43">
        <f>VLOOKUP(AC$84,'Infos Techniques'!$B$7:$E$12,2,0)/($V484*$X$352/12)</f>
        <v>26.666666666666668</v>
      </c>
      <c r="AD484" s="43">
        <f>VLOOKUP(AD$84,'Infos Techniques'!$B$7:$E$12,2,0)/($V484*$X$352/12)</f>
        <v>26.666666666666668</v>
      </c>
      <c r="AE484" s="43">
        <f>VLOOKUP(AE$84,'Infos Techniques'!$B$7:$E$12,2,0)/($V484*$X$352/12)</f>
        <v>25.777777777777779</v>
      </c>
      <c r="AF484" s="43">
        <f>VLOOKUP(AF$84,'Infos Techniques'!$B$7:$E$12,2,0)/($V484*$X$352/12)</f>
        <v>18.422222222222221</v>
      </c>
      <c r="AG484" s="43">
        <f>VLOOKUP(AG$84,'Infos Techniques'!$B$7:$E$12,2,0)/($V484*$X$352/12)</f>
        <v>14.733333333333333</v>
      </c>
      <c r="AH484" s="43">
        <f>VLOOKUP(AH$84,'Infos Techniques'!$B$7:$E$12,4,0)/($V484*$X$352/12)</f>
        <v>33.333333333333336</v>
      </c>
      <c r="AI484" s="43">
        <f>VLOOKUP(AI$84,'Infos Techniques'!$B$7:$E$12,4,0)/($V484*$X$352/12)</f>
        <v>33.333333333333336</v>
      </c>
      <c r="AJ484" s="43">
        <f>VLOOKUP(AJ$84,'Infos Techniques'!$B$7:$E$12,4,0)/($V484*$X$352/12)</f>
        <v>33.333333333333336</v>
      </c>
      <c r="AK484" s="43">
        <f>VLOOKUP(AK$84,'Infos Techniques'!$B$7:$E$12,4,0)/($V484*$X$352/12)</f>
        <v>18.422222222222221</v>
      </c>
      <c r="AL484" s="63">
        <f>VLOOKUP(AL$84,'Infos Techniques'!$B$7:$E$12,4,0)/($V484*$X$352/12)</f>
        <v>14.733333333333333</v>
      </c>
    </row>
    <row r="485" spans="2:38">
      <c r="B485" s="1849"/>
      <c r="C485" s="70">
        <v>20</v>
      </c>
      <c r="D485" s="76">
        <f t="shared" si="152"/>
        <v>9</v>
      </c>
      <c r="E485" s="43">
        <f t="shared" si="138"/>
        <v>9</v>
      </c>
      <c r="F485" s="43">
        <f t="shared" si="139"/>
        <v>9</v>
      </c>
      <c r="G485" s="43">
        <f t="shared" si="140"/>
        <v>6.9</v>
      </c>
      <c r="H485" s="43">
        <f t="shared" si="141"/>
        <v>5.5166666666666666</v>
      </c>
      <c r="I485" s="43">
        <f t="shared" si="142"/>
        <v>9</v>
      </c>
      <c r="J485" s="43">
        <f t="shared" si="143"/>
        <v>9</v>
      </c>
      <c r="K485" s="43">
        <f t="shared" si="144"/>
        <v>9</v>
      </c>
      <c r="L485" s="43">
        <f t="shared" si="145"/>
        <v>9</v>
      </c>
      <c r="M485" s="43">
        <f t="shared" si="146"/>
        <v>9</v>
      </c>
      <c r="N485" s="43">
        <f t="shared" si="147"/>
        <v>9</v>
      </c>
      <c r="O485" s="43">
        <f t="shared" si="148"/>
        <v>9</v>
      </c>
      <c r="P485" s="43">
        <f t="shared" si="149"/>
        <v>9</v>
      </c>
      <c r="Q485" s="43">
        <f t="shared" si="150"/>
        <v>9</v>
      </c>
      <c r="R485" s="63">
        <f t="shared" si="151"/>
        <v>9</v>
      </c>
      <c r="U485" s="1601"/>
      <c r="V485" s="28">
        <v>20</v>
      </c>
      <c r="W485" s="43" cm="1">
        <f t="array" ref="W485">VLOOKUP(MAX(IF('Courbe Déflexion'!$GI$25:$GI$305&lt;=V485,'Courbe Déflexion'!$GI$25:$GI$305)),'Courbe Déflexion'!$GI$25:$IA$305,6,0)</f>
        <v>9</v>
      </c>
      <c r="X485" s="43">
        <f>VLOOKUP(X$84,'Infos Techniques'!$B$7:$E$12,3,0)/($V485*$X$352/12)</f>
        <v>16.666666666666668</v>
      </c>
      <c r="Y485" s="43">
        <f>VLOOKUP(Y$84,'Infos Techniques'!$B$7:$E$12,3,0)/($V485*$X$352/12)</f>
        <v>11.5</v>
      </c>
      <c r="Z485" s="43">
        <f>VLOOKUP(Z$84,'Infos Techniques'!$B$7:$E$12,3,0)/($V485*$X$352/12)</f>
        <v>9.6666666666666661</v>
      </c>
      <c r="AA485" s="43">
        <f>VLOOKUP(AA$84,'Infos Techniques'!$B$7:$E$12,3,0)/($V485*$X$352/12)</f>
        <v>6.9</v>
      </c>
      <c r="AB485" s="43">
        <f>VLOOKUP(AB$84,'Infos Techniques'!$B$7:$E$12,3,0)/($V485*$X$352/12)</f>
        <v>5.5166666666666666</v>
      </c>
      <c r="AC485" s="43">
        <f>VLOOKUP(AC$84,'Infos Techniques'!$B$7:$E$12,2,0)/($V485*$X$352/12)</f>
        <v>20</v>
      </c>
      <c r="AD485" s="43">
        <f>VLOOKUP(AD$84,'Infos Techniques'!$B$7:$E$12,2,0)/($V485*$X$352/12)</f>
        <v>20</v>
      </c>
      <c r="AE485" s="43">
        <f>VLOOKUP(AE$84,'Infos Techniques'!$B$7:$E$12,2,0)/($V485*$X$352/12)</f>
        <v>19.333333333333332</v>
      </c>
      <c r="AF485" s="43">
        <f>VLOOKUP(AF$84,'Infos Techniques'!$B$7:$E$12,2,0)/($V485*$X$352/12)</f>
        <v>13.816666666666666</v>
      </c>
      <c r="AG485" s="43">
        <f>VLOOKUP(AG$84,'Infos Techniques'!$B$7:$E$12,2,0)/($V485*$X$352/12)</f>
        <v>11.05</v>
      </c>
      <c r="AH485" s="43">
        <f>VLOOKUP(AH$84,'Infos Techniques'!$B$7:$E$12,4,0)/($V485*$X$352/12)</f>
        <v>25</v>
      </c>
      <c r="AI485" s="43">
        <f>VLOOKUP(AI$84,'Infos Techniques'!$B$7:$E$12,4,0)/($V485*$X$352/12)</f>
        <v>25</v>
      </c>
      <c r="AJ485" s="43">
        <f>VLOOKUP(AJ$84,'Infos Techniques'!$B$7:$E$12,4,0)/($V485*$X$352/12)</f>
        <v>25</v>
      </c>
      <c r="AK485" s="43">
        <f>VLOOKUP(AK$84,'Infos Techniques'!$B$7:$E$12,4,0)/($V485*$X$352/12)</f>
        <v>13.816666666666666</v>
      </c>
      <c r="AL485" s="63">
        <f>VLOOKUP(AL$84,'Infos Techniques'!$B$7:$E$12,4,0)/($V485*$X$352/12)</f>
        <v>11.05</v>
      </c>
    </row>
    <row r="486" spans="2:38" ht="15" thickBot="1">
      <c r="B486" s="1849"/>
      <c r="C486" s="71">
        <v>25</v>
      </c>
      <c r="D486" s="76">
        <f t="shared" si="152"/>
        <v>8</v>
      </c>
      <c r="E486" s="43">
        <f t="shared" si="138"/>
        <v>8</v>
      </c>
      <c r="F486" s="43">
        <f t="shared" si="139"/>
        <v>7.7333333333333334</v>
      </c>
      <c r="G486" s="43">
        <f t="shared" si="140"/>
        <v>5.52</v>
      </c>
      <c r="H486" s="43">
        <f t="shared" si="141"/>
        <v>4.4133333333333331</v>
      </c>
      <c r="I486" s="43">
        <f t="shared" si="142"/>
        <v>8</v>
      </c>
      <c r="J486" s="43">
        <f t="shared" si="143"/>
        <v>8</v>
      </c>
      <c r="K486" s="43">
        <f t="shared" si="144"/>
        <v>8</v>
      </c>
      <c r="L486" s="43">
        <f t="shared" si="145"/>
        <v>8</v>
      </c>
      <c r="M486" s="43">
        <f t="shared" si="146"/>
        <v>8</v>
      </c>
      <c r="N486" s="43">
        <f t="shared" si="147"/>
        <v>8</v>
      </c>
      <c r="O486" s="43">
        <f t="shared" si="148"/>
        <v>8</v>
      </c>
      <c r="P486" s="43">
        <f t="shared" si="149"/>
        <v>8</v>
      </c>
      <c r="Q486" s="43">
        <f t="shared" si="150"/>
        <v>8</v>
      </c>
      <c r="R486" s="63">
        <f t="shared" si="151"/>
        <v>8</v>
      </c>
      <c r="U486" s="1601"/>
      <c r="V486" s="28">
        <v>25</v>
      </c>
      <c r="W486" s="43" cm="1">
        <f t="array" ref="W486">VLOOKUP(MAX(IF('Courbe Déflexion'!$GI$25:$GI$305&lt;=V486,'Courbe Déflexion'!$GI$25:$GI$305)),'Courbe Déflexion'!$GI$25:$IA$305,6,0)</f>
        <v>8</v>
      </c>
      <c r="X486" s="43">
        <f>VLOOKUP(X$84,'Infos Techniques'!$B$7:$E$12,3,0)/($V486*$X$352/12)</f>
        <v>13.333333333333334</v>
      </c>
      <c r="Y486" s="43">
        <f>VLOOKUP(Y$84,'Infos Techniques'!$B$7:$E$12,3,0)/($V486*$X$352/12)</f>
        <v>9.1999999999999993</v>
      </c>
      <c r="Z486" s="43">
        <f>VLOOKUP(Z$84,'Infos Techniques'!$B$7:$E$12,3,0)/($V486*$X$352/12)</f>
        <v>7.7333333333333334</v>
      </c>
      <c r="AA486" s="43">
        <f>VLOOKUP(AA$84,'Infos Techniques'!$B$7:$E$12,3,0)/($V486*$X$352/12)</f>
        <v>5.52</v>
      </c>
      <c r="AB486" s="43">
        <f>VLOOKUP(AB$84,'Infos Techniques'!$B$7:$E$12,3,0)/($V486*$X$352/12)</f>
        <v>4.4133333333333331</v>
      </c>
      <c r="AC486" s="43">
        <f>VLOOKUP(AC$84,'Infos Techniques'!$B$7:$E$12,2,0)/($V486*$X$352/12)</f>
        <v>16</v>
      </c>
      <c r="AD486" s="43">
        <f>VLOOKUP(AD$84,'Infos Techniques'!$B$7:$E$12,2,0)/($V486*$X$352/12)</f>
        <v>16</v>
      </c>
      <c r="AE486" s="43">
        <f>VLOOKUP(AE$84,'Infos Techniques'!$B$7:$E$12,2,0)/($V486*$X$352/12)</f>
        <v>15.466666666666667</v>
      </c>
      <c r="AF486" s="43">
        <f>VLOOKUP(AF$84,'Infos Techniques'!$B$7:$E$12,2,0)/($V486*$X$352/12)</f>
        <v>11.053333333333333</v>
      </c>
      <c r="AG486" s="43">
        <f>VLOOKUP(AG$84,'Infos Techniques'!$B$7:$E$12,2,0)/($V486*$X$352/12)</f>
        <v>8.84</v>
      </c>
      <c r="AH486" s="43">
        <f>VLOOKUP(AH$84,'Infos Techniques'!$B$7:$E$12,4,0)/($V486*$X$352/12)</f>
        <v>20</v>
      </c>
      <c r="AI486" s="43">
        <f>VLOOKUP(AI$84,'Infos Techniques'!$B$7:$E$12,4,0)/($V486*$X$352/12)</f>
        <v>20</v>
      </c>
      <c r="AJ486" s="43">
        <f>VLOOKUP(AJ$84,'Infos Techniques'!$B$7:$E$12,4,0)/($V486*$X$352/12)</f>
        <v>20</v>
      </c>
      <c r="AK486" s="43">
        <f>VLOOKUP(AK$84,'Infos Techniques'!$B$7:$E$12,4,0)/($V486*$X$352/12)</f>
        <v>11.053333333333333</v>
      </c>
      <c r="AL486" s="63">
        <f>VLOOKUP(AL$84,'Infos Techniques'!$B$7:$E$12,4,0)/($V486*$X$352/12)</f>
        <v>8.84</v>
      </c>
    </row>
    <row r="487" spans="2:38">
      <c r="B487" s="1849"/>
      <c r="C487" s="69">
        <v>30</v>
      </c>
      <c r="D487" s="76">
        <f t="shared" si="152"/>
        <v>5.1000000000000032</v>
      </c>
      <c r="E487" s="43">
        <f t="shared" si="138"/>
        <v>5.1000000000000032</v>
      </c>
      <c r="F487" s="43">
        <f t="shared" si="139"/>
        <v>5.1000000000000032</v>
      </c>
      <c r="G487" s="43">
        <f t="shared" si="140"/>
        <v>4.5999999999999996</v>
      </c>
      <c r="H487" s="43">
        <f t="shared" si="141"/>
        <v>3.6777777777777776</v>
      </c>
      <c r="I487" s="43">
        <f t="shared" si="142"/>
        <v>5.1000000000000032</v>
      </c>
      <c r="J487" s="43">
        <f t="shared" si="143"/>
        <v>5.1000000000000032</v>
      </c>
      <c r="K487" s="43">
        <f t="shared" si="144"/>
        <v>5.1000000000000032</v>
      </c>
      <c r="L487" s="43">
        <f t="shared" si="145"/>
        <v>5.1000000000000032</v>
      </c>
      <c r="M487" s="43">
        <f t="shared" si="146"/>
        <v>5.1000000000000032</v>
      </c>
      <c r="N487" s="43">
        <f t="shared" si="147"/>
        <v>5.1000000000000032</v>
      </c>
      <c r="O487" s="43">
        <f t="shared" si="148"/>
        <v>5.1000000000000032</v>
      </c>
      <c r="P487" s="43">
        <f t="shared" si="149"/>
        <v>5.1000000000000032</v>
      </c>
      <c r="Q487" s="43">
        <f t="shared" si="150"/>
        <v>5.1000000000000032</v>
      </c>
      <c r="R487" s="63">
        <f t="shared" si="151"/>
        <v>5.1000000000000032</v>
      </c>
      <c r="U487" s="1601"/>
      <c r="V487" s="28">
        <v>30</v>
      </c>
      <c r="W487" s="43" cm="1">
        <f t="array" ref="W487">VLOOKUP(MAX(IF('Courbe Déflexion'!$GI$25:$GI$305&lt;=V487,'Courbe Déflexion'!$GI$25:$GI$305)),'Courbe Déflexion'!$GI$25:$IA$305,6,0)</f>
        <v>5.1000000000000032</v>
      </c>
      <c r="X487" s="43">
        <f>VLOOKUP(X$84,'Infos Techniques'!$B$7:$E$12,3,0)/($V487*$X$352/12)</f>
        <v>11.111111111111111</v>
      </c>
      <c r="Y487" s="43">
        <f>VLOOKUP(Y$84,'Infos Techniques'!$B$7:$E$12,3,0)/($V487*$X$352/12)</f>
        <v>7.666666666666667</v>
      </c>
      <c r="Z487" s="43">
        <f>VLOOKUP(Z$84,'Infos Techniques'!$B$7:$E$12,3,0)/($V487*$X$352/12)</f>
        <v>6.4444444444444446</v>
      </c>
      <c r="AA487" s="43">
        <f>VLOOKUP(AA$84,'Infos Techniques'!$B$7:$E$12,3,0)/($V487*$X$352/12)</f>
        <v>4.5999999999999996</v>
      </c>
      <c r="AB487" s="43">
        <f>VLOOKUP(AB$84,'Infos Techniques'!$B$7:$E$12,3,0)/($V487*$X$352/12)</f>
        <v>3.6777777777777776</v>
      </c>
      <c r="AC487" s="43">
        <f>VLOOKUP(AC$84,'Infos Techniques'!$B$7:$E$12,2,0)/($V487*$X$352/12)</f>
        <v>13.333333333333334</v>
      </c>
      <c r="AD487" s="43">
        <f>VLOOKUP(AD$84,'Infos Techniques'!$B$7:$E$12,2,0)/($V487*$X$352/12)</f>
        <v>13.333333333333334</v>
      </c>
      <c r="AE487" s="43">
        <f>VLOOKUP(AE$84,'Infos Techniques'!$B$7:$E$12,2,0)/($V487*$X$352/12)</f>
        <v>12.888888888888889</v>
      </c>
      <c r="AF487" s="43">
        <f>VLOOKUP(AF$84,'Infos Techniques'!$B$7:$E$12,2,0)/($V487*$X$352/12)</f>
        <v>9.2111111111111104</v>
      </c>
      <c r="AG487" s="43">
        <f>VLOOKUP(AG$84,'Infos Techniques'!$B$7:$E$12,2,0)/($V487*$X$352/12)</f>
        <v>7.3666666666666663</v>
      </c>
      <c r="AH487" s="43">
        <f>VLOOKUP(AH$84,'Infos Techniques'!$B$7:$E$12,4,0)/($V487*$X$352/12)</f>
        <v>16.666666666666668</v>
      </c>
      <c r="AI487" s="43">
        <f>VLOOKUP(AI$84,'Infos Techniques'!$B$7:$E$12,4,0)/($V487*$X$352/12)</f>
        <v>16.666666666666668</v>
      </c>
      <c r="AJ487" s="43">
        <f>VLOOKUP(AJ$84,'Infos Techniques'!$B$7:$E$12,4,0)/($V487*$X$352/12)</f>
        <v>16.666666666666668</v>
      </c>
      <c r="AK487" s="43">
        <f>VLOOKUP(AK$84,'Infos Techniques'!$B$7:$E$12,4,0)/($V487*$X$352/12)</f>
        <v>9.2111111111111104</v>
      </c>
      <c r="AL487" s="63">
        <f>VLOOKUP(AL$84,'Infos Techniques'!$B$7:$E$12,4,0)/($V487*$X$352/12)</f>
        <v>7.3666666666666663</v>
      </c>
    </row>
    <row r="488" spans="2:38">
      <c r="B488" s="1849"/>
      <c r="C488" s="70">
        <v>35</v>
      </c>
      <c r="D488" s="76">
        <f t="shared" si="152"/>
        <v>5.1000000000000032</v>
      </c>
      <c r="E488" s="43">
        <f t="shared" si="138"/>
        <v>5.1000000000000032</v>
      </c>
      <c r="F488" s="43">
        <f t="shared" si="139"/>
        <v>5.1000000000000032</v>
      </c>
      <c r="G488" s="43">
        <f t="shared" si="140"/>
        <v>3.9428571428571431</v>
      </c>
      <c r="H488" s="43">
        <f t="shared" si="141"/>
        <v>3.1523809523809523</v>
      </c>
      <c r="I488" s="43">
        <f t="shared" si="142"/>
        <v>5.1000000000000032</v>
      </c>
      <c r="J488" s="43">
        <f t="shared" si="143"/>
        <v>5.1000000000000032</v>
      </c>
      <c r="K488" s="43">
        <f t="shared" si="144"/>
        <v>5.1000000000000032</v>
      </c>
      <c r="L488" s="43">
        <f t="shared" si="145"/>
        <v>5.1000000000000032</v>
      </c>
      <c r="M488" s="43">
        <f t="shared" si="146"/>
        <v>5.1000000000000032</v>
      </c>
      <c r="N488" s="43">
        <f t="shared" si="147"/>
        <v>5.1000000000000032</v>
      </c>
      <c r="O488" s="43">
        <f t="shared" si="148"/>
        <v>5.1000000000000032</v>
      </c>
      <c r="P488" s="43">
        <f t="shared" si="149"/>
        <v>5.1000000000000032</v>
      </c>
      <c r="Q488" s="43">
        <f t="shared" si="150"/>
        <v>5.1000000000000032</v>
      </c>
      <c r="R488" s="63">
        <f t="shared" si="151"/>
        <v>5.1000000000000032</v>
      </c>
      <c r="U488" s="1601"/>
      <c r="V488" s="28">
        <v>35</v>
      </c>
      <c r="W488" s="43" cm="1">
        <f t="array" ref="W488">VLOOKUP(MAX(IF('Courbe Déflexion'!$GI$25:$GI$305&lt;=V488,'Courbe Déflexion'!$GI$25:$GI$305)),'Courbe Déflexion'!$GI$25:$IA$305,6,0)</f>
        <v>5.1000000000000032</v>
      </c>
      <c r="X488" s="43">
        <f>VLOOKUP(X$84,'Infos Techniques'!$B$7:$E$12,3,0)/($V488*$X$352/12)</f>
        <v>9.5238095238095237</v>
      </c>
      <c r="Y488" s="43">
        <f>VLOOKUP(Y$84,'Infos Techniques'!$B$7:$E$12,3,0)/($V488*$X$352/12)</f>
        <v>6.5714285714285712</v>
      </c>
      <c r="Z488" s="43">
        <f>VLOOKUP(Z$84,'Infos Techniques'!$B$7:$E$12,3,0)/($V488*$X$352/12)</f>
        <v>5.5238095238095237</v>
      </c>
      <c r="AA488" s="43">
        <f>VLOOKUP(AA$84,'Infos Techniques'!$B$7:$E$12,3,0)/($V488*$X$352/12)</f>
        <v>3.9428571428571431</v>
      </c>
      <c r="AB488" s="43">
        <f>VLOOKUP(AB$84,'Infos Techniques'!$B$7:$E$12,3,0)/($V488*$X$352/12)</f>
        <v>3.1523809523809523</v>
      </c>
      <c r="AC488" s="43">
        <f>VLOOKUP(AC$84,'Infos Techniques'!$B$7:$E$12,2,0)/($V488*$X$352/12)</f>
        <v>11.428571428571429</v>
      </c>
      <c r="AD488" s="43">
        <f>VLOOKUP(AD$84,'Infos Techniques'!$B$7:$E$12,2,0)/($V488*$X$352/12)</f>
        <v>11.428571428571429</v>
      </c>
      <c r="AE488" s="43">
        <f>VLOOKUP(AE$84,'Infos Techniques'!$B$7:$E$12,2,0)/($V488*$X$352/12)</f>
        <v>11.047619047619047</v>
      </c>
      <c r="AF488" s="43">
        <f>VLOOKUP(AF$84,'Infos Techniques'!$B$7:$E$12,2,0)/($V488*$X$352/12)</f>
        <v>7.8952380952380956</v>
      </c>
      <c r="AG488" s="43">
        <f>VLOOKUP(AG$84,'Infos Techniques'!$B$7:$E$12,2,0)/($V488*$X$352/12)</f>
        <v>6.3142857142857141</v>
      </c>
      <c r="AH488" s="43">
        <f>VLOOKUP(AH$84,'Infos Techniques'!$B$7:$E$12,4,0)/($V488*$X$352/12)</f>
        <v>14.285714285714286</v>
      </c>
      <c r="AI488" s="43">
        <f>VLOOKUP(AI$84,'Infos Techniques'!$B$7:$E$12,4,0)/($V488*$X$352/12)</f>
        <v>14.285714285714286</v>
      </c>
      <c r="AJ488" s="43">
        <f>VLOOKUP(AJ$84,'Infos Techniques'!$B$7:$E$12,4,0)/($V488*$X$352/12)</f>
        <v>14.285714285714286</v>
      </c>
      <c r="AK488" s="43">
        <f>VLOOKUP(AK$84,'Infos Techniques'!$B$7:$E$12,4,0)/($V488*$X$352/12)</f>
        <v>7.8952380952380956</v>
      </c>
      <c r="AL488" s="63">
        <f>VLOOKUP(AL$84,'Infos Techniques'!$B$7:$E$12,4,0)/($V488*$X$352/12)</f>
        <v>6.3142857142857141</v>
      </c>
    </row>
    <row r="489" spans="2:38">
      <c r="B489" s="1849"/>
      <c r="C489" s="70">
        <v>40</v>
      </c>
      <c r="D489" s="76">
        <f t="shared" si="152"/>
        <v>5.1000000000000032</v>
      </c>
      <c r="E489" s="43">
        <f t="shared" si="138"/>
        <v>5.1000000000000032</v>
      </c>
      <c r="F489" s="43">
        <f t="shared" si="139"/>
        <v>4.833333333333333</v>
      </c>
      <c r="G489" s="43">
        <f t="shared" si="140"/>
        <v>3.45</v>
      </c>
      <c r="H489" s="43">
        <f t="shared" si="141"/>
        <v>2.7583333333333333</v>
      </c>
      <c r="I489" s="43">
        <f t="shared" si="142"/>
        <v>5.1000000000000032</v>
      </c>
      <c r="J489" s="43">
        <f t="shared" si="143"/>
        <v>5.1000000000000032</v>
      </c>
      <c r="K489" s="43">
        <f t="shared" si="144"/>
        <v>5.1000000000000032</v>
      </c>
      <c r="L489" s="43">
        <f t="shared" si="145"/>
        <v>5.1000000000000032</v>
      </c>
      <c r="M489" s="43">
        <f t="shared" si="146"/>
        <v>5.1000000000000032</v>
      </c>
      <c r="N489" s="43">
        <f t="shared" si="147"/>
        <v>5.1000000000000032</v>
      </c>
      <c r="O489" s="43">
        <f t="shared" si="148"/>
        <v>5.1000000000000032</v>
      </c>
      <c r="P489" s="43">
        <f t="shared" si="149"/>
        <v>5.1000000000000032</v>
      </c>
      <c r="Q489" s="43">
        <f t="shared" si="150"/>
        <v>5.1000000000000032</v>
      </c>
      <c r="R489" s="63">
        <f t="shared" si="151"/>
        <v>5.1000000000000032</v>
      </c>
      <c r="U489" s="1601"/>
      <c r="V489" s="28">
        <v>40</v>
      </c>
      <c r="W489" s="43" cm="1">
        <f t="array" ref="W489">VLOOKUP(MAX(IF('Courbe Déflexion'!$GI$25:$GI$305&lt;=V489,'Courbe Déflexion'!$GI$25:$GI$305)),'Courbe Déflexion'!$GI$25:$IA$305,6,0)</f>
        <v>5.1000000000000032</v>
      </c>
      <c r="X489" s="43">
        <f>VLOOKUP(X$84,'Infos Techniques'!$B$7:$E$12,3,0)/($V489*$X$352/12)</f>
        <v>8.3333333333333339</v>
      </c>
      <c r="Y489" s="43">
        <f>VLOOKUP(Y$84,'Infos Techniques'!$B$7:$E$12,3,0)/($V489*$X$352/12)</f>
        <v>5.75</v>
      </c>
      <c r="Z489" s="43">
        <f>VLOOKUP(Z$84,'Infos Techniques'!$B$7:$E$12,3,0)/($V489*$X$352/12)</f>
        <v>4.833333333333333</v>
      </c>
      <c r="AA489" s="43">
        <f>VLOOKUP(AA$84,'Infos Techniques'!$B$7:$E$12,3,0)/($V489*$X$352/12)</f>
        <v>3.45</v>
      </c>
      <c r="AB489" s="43">
        <f>VLOOKUP(AB$84,'Infos Techniques'!$B$7:$E$12,3,0)/($V489*$X$352/12)</f>
        <v>2.7583333333333333</v>
      </c>
      <c r="AC489" s="43">
        <f>VLOOKUP(AC$84,'Infos Techniques'!$B$7:$E$12,2,0)/($V489*$X$352/12)</f>
        <v>10</v>
      </c>
      <c r="AD489" s="43">
        <f>VLOOKUP(AD$84,'Infos Techniques'!$B$7:$E$12,2,0)/($V489*$X$352/12)</f>
        <v>10</v>
      </c>
      <c r="AE489" s="43">
        <f>VLOOKUP(AE$84,'Infos Techniques'!$B$7:$E$12,2,0)/($V489*$X$352/12)</f>
        <v>9.6666666666666661</v>
      </c>
      <c r="AF489" s="43">
        <f>VLOOKUP(AF$84,'Infos Techniques'!$B$7:$E$12,2,0)/($V489*$X$352/12)</f>
        <v>6.9083333333333332</v>
      </c>
      <c r="AG489" s="43">
        <f>VLOOKUP(AG$84,'Infos Techniques'!$B$7:$E$12,2,0)/($V489*$X$352/12)</f>
        <v>5.5250000000000004</v>
      </c>
      <c r="AH489" s="43">
        <f>VLOOKUP(AH$84,'Infos Techniques'!$B$7:$E$12,4,0)/($V489*$X$352/12)</f>
        <v>12.5</v>
      </c>
      <c r="AI489" s="43">
        <f>VLOOKUP(AI$84,'Infos Techniques'!$B$7:$E$12,4,0)/($V489*$X$352/12)</f>
        <v>12.5</v>
      </c>
      <c r="AJ489" s="43">
        <f>VLOOKUP(AJ$84,'Infos Techniques'!$B$7:$E$12,4,0)/($V489*$X$352/12)</f>
        <v>12.5</v>
      </c>
      <c r="AK489" s="43">
        <f>VLOOKUP(AK$84,'Infos Techniques'!$B$7:$E$12,4,0)/($V489*$X$352/12)</f>
        <v>6.9083333333333332</v>
      </c>
      <c r="AL489" s="63">
        <f>VLOOKUP(AL$84,'Infos Techniques'!$B$7:$E$12,4,0)/($V489*$X$352/12)</f>
        <v>5.5250000000000004</v>
      </c>
    </row>
    <row r="490" spans="2:38">
      <c r="B490" s="1849"/>
      <c r="C490" s="70">
        <v>45</v>
      </c>
      <c r="D490" s="76">
        <f t="shared" si="152"/>
        <v>5.1000000000000032</v>
      </c>
      <c r="E490" s="43">
        <f t="shared" si="138"/>
        <v>5.1000000000000032</v>
      </c>
      <c r="F490" s="43">
        <f t="shared" si="139"/>
        <v>4.2962962962962967</v>
      </c>
      <c r="G490" s="43">
        <f t="shared" si="140"/>
        <v>3.0666666666666669</v>
      </c>
      <c r="H490" s="43">
        <f t="shared" si="141"/>
        <v>2.4518518518518517</v>
      </c>
      <c r="I490" s="43">
        <f t="shared" si="142"/>
        <v>5.1000000000000032</v>
      </c>
      <c r="J490" s="43">
        <f t="shared" si="143"/>
        <v>5.1000000000000032</v>
      </c>
      <c r="K490" s="43">
        <f t="shared" si="144"/>
        <v>5.1000000000000032</v>
      </c>
      <c r="L490" s="43">
        <f t="shared" si="145"/>
        <v>5.1000000000000032</v>
      </c>
      <c r="M490" s="43">
        <f t="shared" si="146"/>
        <v>4.9111111111111114</v>
      </c>
      <c r="N490" s="43">
        <f t="shared" si="147"/>
        <v>5.1000000000000032</v>
      </c>
      <c r="O490" s="43">
        <f t="shared" si="148"/>
        <v>5.1000000000000032</v>
      </c>
      <c r="P490" s="43">
        <f t="shared" si="149"/>
        <v>5.1000000000000032</v>
      </c>
      <c r="Q490" s="43">
        <f t="shared" si="150"/>
        <v>5.1000000000000032</v>
      </c>
      <c r="R490" s="63">
        <f t="shared" si="151"/>
        <v>4.9111111111111114</v>
      </c>
      <c r="U490" s="1601"/>
      <c r="V490" s="28">
        <v>45</v>
      </c>
      <c r="W490" s="43" cm="1">
        <f t="array" ref="W490">VLOOKUP(MAX(IF('Courbe Déflexion'!$GI$25:$GI$305&lt;=V490,'Courbe Déflexion'!$GI$25:$GI$305)),'Courbe Déflexion'!$GI$25:$IA$305,6,0)</f>
        <v>5.1000000000000032</v>
      </c>
      <c r="X490" s="43">
        <f>VLOOKUP(X$84,'Infos Techniques'!$B$7:$E$12,3,0)/($V490*$X$352/12)</f>
        <v>7.4074074074074074</v>
      </c>
      <c r="Y490" s="43">
        <f>VLOOKUP(Y$84,'Infos Techniques'!$B$7:$E$12,3,0)/($V490*$X$352/12)</f>
        <v>5.1111111111111107</v>
      </c>
      <c r="Z490" s="43">
        <f>VLOOKUP(Z$84,'Infos Techniques'!$B$7:$E$12,3,0)/($V490*$X$352/12)</f>
        <v>4.2962962962962967</v>
      </c>
      <c r="AA490" s="43">
        <f>VLOOKUP(AA$84,'Infos Techniques'!$B$7:$E$12,3,0)/($V490*$X$352/12)</f>
        <v>3.0666666666666669</v>
      </c>
      <c r="AB490" s="43">
        <f>VLOOKUP(AB$84,'Infos Techniques'!$B$7:$E$12,3,0)/($V490*$X$352/12)</f>
        <v>2.4518518518518517</v>
      </c>
      <c r="AC490" s="43">
        <f>VLOOKUP(AC$84,'Infos Techniques'!$B$7:$E$12,2,0)/($V490*$X$352/12)</f>
        <v>8.8888888888888893</v>
      </c>
      <c r="AD490" s="43">
        <f>VLOOKUP(AD$84,'Infos Techniques'!$B$7:$E$12,2,0)/($V490*$X$352/12)</f>
        <v>8.8888888888888893</v>
      </c>
      <c r="AE490" s="43">
        <f>VLOOKUP(AE$84,'Infos Techniques'!$B$7:$E$12,2,0)/($V490*$X$352/12)</f>
        <v>8.5925925925925934</v>
      </c>
      <c r="AF490" s="43">
        <f>VLOOKUP(AF$84,'Infos Techniques'!$B$7:$E$12,2,0)/($V490*$X$352/12)</f>
        <v>6.1407407407407408</v>
      </c>
      <c r="AG490" s="43">
        <f>VLOOKUP(AG$84,'Infos Techniques'!$B$7:$E$12,2,0)/($V490*$X$352/12)</f>
        <v>4.9111111111111114</v>
      </c>
      <c r="AH490" s="43">
        <f>VLOOKUP(AH$84,'Infos Techniques'!$B$7:$E$12,4,0)/($V490*$X$352/12)</f>
        <v>11.111111111111111</v>
      </c>
      <c r="AI490" s="43">
        <f>VLOOKUP(AI$84,'Infos Techniques'!$B$7:$E$12,4,0)/($V490*$X$352/12)</f>
        <v>11.111111111111111</v>
      </c>
      <c r="AJ490" s="43">
        <f>VLOOKUP(AJ$84,'Infos Techniques'!$B$7:$E$12,4,0)/($V490*$X$352/12)</f>
        <v>11.111111111111111</v>
      </c>
      <c r="AK490" s="43">
        <f>VLOOKUP(AK$84,'Infos Techniques'!$B$7:$E$12,4,0)/($V490*$X$352/12)</f>
        <v>6.1407407407407408</v>
      </c>
      <c r="AL490" s="63">
        <f>VLOOKUP(AL$84,'Infos Techniques'!$B$7:$E$12,4,0)/($V490*$X$352/12)</f>
        <v>4.9111111111111114</v>
      </c>
    </row>
    <row r="491" spans="2:38" ht="15" thickBot="1">
      <c r="B491" s="1849"/>
      <c r="C491" s="71">
        <v>50</v>
      </c>
      <c r="D491" s="76">
        <f t="shared" si="152"/>
        <v>5.1000000000000032</v>
      </c>
      <c r="E491" s="43">
        <f t="shared" si="138"/>
        <v>4.5999999999999996</v>
      </c>
      <c r="F491" s="43">
        <f t="shared" si="139"/>
        <v>3.8666666666666667</v>
      </c>
      <c r="G491" s="43">
        <f t="shared" si="140"/>
        <v>2.76</v>
      </c>
      <c r="H491" s="43">
        <f t="shared" si="141"/>
        <v>2.2066666666666666</v>
      </c>
      <c r="I491" s="43">
        <f t="shared" si="142"/>
        <v>5.1000000000000032</v>
      </c>
      <c r="J491" s="43">
        <f t="shared" si="143"/>
        <v>5.1000000000000032</v>
      </c>
      <c r="K491" s="43">
        <f t="shared" si="144"/>
        <v>5.1000000000000032</v>
      </c>
      <c r="L491" s="43">
        <f t="shared" si="145"/>
        <v>5.1000000000000032</v>
      </c>
      <c r="M491" s="43">
        <f t="shared" si="146"/>
        <v>4.42</v>
      </c>
      <c r="N491" s="43">
        <f t="shared" si="147"/>
        <v>5.1000000000000032</v>
      </c>
      <c r="O491" s="43">
        <f t="shared" si="148"/>
        <v>5.1000000000000032</v>
      </c>
      <c r="P491" s="43">
        <f t="shared" si="149"/>
        <v>5.1000000000000032</v>
      </c>
      <c r="Q491" s="43">
        <f t="shared" si="150"/>
        <v>5.1000000000000032</v>
      </c>
      <c r="R491" s="63">
        <f t="shared" si="151"/>
        <v>4.42</v>
      </c>
      <c r="U491" s="1601"/>
      <c r="V491" s="28">
        <v>50</v>
      </c>
      <c r="W491" s="43" cm="1">
        <f t="array" ref="W491">VLOOKUP(MAX(IF('Courbe Déflexion'!$GI$25:$GI$305&lt;=V491,'Courbe Déflexion'!$GI$25:$GI$305)),'Courbe Déflexion'!$GI$25:$IA$305,6,0)</f>
        <v>5.1000000000000032</v>
      </c>
      <c r="X491" s="43">
        <f>VLOOKUP(X$84,'Infos Techniques'!$B$7:$E$12,3,0)/($V491*$X$352/12)</f>
        <v>6.666666666666667</v>
      </c>
      <c r="Y491" s="43">
        <f>VLOOKUP(Y$84,'Infos Techniques'!$B$7:$E$12,3,0)/($V491*$X$352/12)</f>
        <v>4.5999999999999996</v>
      </c>
      <c r="Z491" s="43">
        <f>VLOOKUP(Z$84,'Infos Techniques'!$B$7:$E$12,3,0)/($V491*$X$352/12)</f>
        <v>3.8666666666666667</v>
      </c>
      <c r="AA491" s="43">
        <f>VLOOKUP(AA$84,'Infos Techniques'!$B$7:$E$12,3,0)/($V491*$X$352/12)</f>
        <v>2.76</v>
      </c>
      <c r="AB491" s="43">
        <f>VLOOKUP(AB$84,'Infos Techniques'!$B$7:$E$12,3,0)/($V491*$X$352/12)</f>
        <v>2.2066666666666666</v>
      </c>
      <c r="AC491" s="43">
        <f>VLOOKUP(AC$84,'Infos Techniques'!$B$7:$E$12,2,0)/($V491*$X$352/12)</f>
        <v>8</v>
      </c>
      <c r="AD491" s="43">
        <f>VLOOKUP(AD$84,'Infos Techniques'!$B$7:$E$12,2,0)/($V491*$X$352/12)</f>
        <v>8</v>
      </c>
      <c r="AE491" s="43">
        <f>VLOOKUP(AE$84,'Infos Techniques'!$B$7:$E$12,2,0)/($V491*$X$352/12)</f>
        <v>7.7333333333333334</v>
      </c>
      <c r="AF491" s="43">
        <f>VLOOKUP(AF$84,'Infos Techniques'!$B$7:$E$12,2,0)/($V491*$X$352/12)</f>
        <v>5.5266666666666664</v>
      </c>
      <c r="AG491" s="43">
        <f>VLOOKUP(AG$84,'Infos Techniques'!$B$7:$E$12,2,0)/($V491*$X$352/12)</f>
        <v>4.42</v>
      </c>
      <c r="AH491" s="43">
        <f>VLOOKUP(AH$84,'Infos Techniques'!$B$7:$E$12,4,0)/($V491*$X$352/12)</f>
        <v>10</v>
      </c>
      <c r="AI491" s="43">
        <f>VLOOKUP(AI$84,'Infos Techniques'!$B$7:$E$12,4,0)/($V491*$X$352/12)</f>
        <v>10</v>
      </c>
      <c r="AJ491" s="43">
        <f>VLOOKUP(AJ$84,'Infos Techniques'!$B$7:$E$12,4,0)/($V491*$X$352/12)</f>
        <v>10</v>
      </c>
      <c r="AK491" s="43">
        <f>VLOOKUP(AK$84,'Infos Techniques'!$B$7:$E$12,4,0)/($V491*$X$352/12)</f>
        <v>5.5266666666666664</v>
      </c>
      <c r="AL491" s="63">
        <f>VLOOKUP(AL$84,'Infos Techniques'!$B$7:$E$12,4,0)/($V491*$X$352/12)</f>
        <v>4.42</v>
      </c>
    </row>
    <row r="492" spans="2:38">
      <c r="B492" s="1849"/>
      <c r="C492" s="69">
        <v>55</v>
      </c>
      <c r="D492" s="76">
        <f t="shared" si="152"/>
        <v>5.1000000000000032</v>
      </c>
      <c r="E492" s="43">
        <f t="shared" si="138"/>
        <v>4.1818181818181817</v>
      </c>
      <c r="F492" s="43">
        <f t="shared" si="139"/>
        <v>3.5151515151515151</v>
      </c>
      <c r="G492" s="43">
        <f t="shared" si="140"/>
        <v>2.5090909090909093</v>
      </c>
      <c r="H492" s="43">
        <f t="shared" si="141"/>
        <v>2.0060606060606059</v>
      </c>
      <c r="I492" s="43">
        <f t="shared" si="142"/>
        <v>5.1000000000000032</v>
      </c>
      <c r="J492" s="43">
        <f t="shared" si="143"/>
        <v>5.1000000000000032</v>
      </c>
      <c r="K492" s="43">
        <f t="shared" si="144"/>
        <v>5.1000000000000032</v>
      </c>
      <c r="L492" s="43">
        <f t="shared" si="145"/>
        <v>5.0242424242424244</v>
      </c>
      <c r="M492" s="43">
        <f t="shared" si="146"/>
        <v>4.0181818181818185</v>
      </c>
      <c r="N492" s="43">
        <f t="shared" si="147"/>
        <v>5.1000000000000032</v>
      </c>
      <c r="O492" s="43">
        <f t="shared" si="148"/>
        <v>5.1000000000000032</v>
      </c>
      <c r="P492" s="43">
        <f t="shared" si="149"/>
        <v>5.1000000000000032</v>
      </c>
      <c r="Q492" s="43">
        <f t="shared" si="150"/>
        <v>5.0242424242424244</v>
      </c>
      <c r="R492" s="63">
        <f t="shared" si="151"/>
        <v>4.0181818181818185</v>
      </c>
      <c r="U492" s="1601"/>
      <c r="V492" s="28">
        <v>55</v>
      </c>
      <c r="W492" s="43" cm="1">
        <f t="array" ref="W492">VLOOKUP(MAX(IF('Courbe Déflexion'!$GI$25:$GI$305&lt;=V492,'Courbe Déflexion'!$GI$25:$GI$305)),'Courbe Déflexion'!$GI$25:$IA$305,6,0)</f>
        <v>5.1000000000000032</v>
      </c>
      <c r="X492" s="43">
        <f>VLOOKUP(X$84,'Infos Techniques'!$B$7:$E$12,3,0)/($V492*$X$352/12)</f>
        <v>6.0606060606060606</v>
      </c>
      <c r="Y492" s="43">
        <f>VLOOKUP(Y$84,'Infos Techniques'!$B$7:$E$12,3,0)/($V492*$X$352/12)</f>
        <v>4.1818181818181817</v>
      </c>
      <c r="Z492" s="43">
        <f>VLOOKUP(Z$84,'Infos Techniques'!$B$7:$E$12,3,0)/($V492*$X$352/12)</f>
        <v>3.5151515151515151</v>
      </c>
      <c r="AA492" s="43">
        <f>VLOOKUP(AA$84,'Infos Techniques'!$B$7:$E$12,3,0)/($V492*$X$352/12)</f>
        <v>2.5090909090909093</v>
      </c>
      <c r="AB492" s="43">
        <f>VLOOKUP(AB$84,'Infos Techniques'!$B$7:$E$12,3,0)/($V492*$X$352/12)</f>
        <v>2.0060606060606059</v>
      </c>
      <c r="AC492" s="43">
        <f>VLOOKUP(AC$84,'Infos Techniques'!$B$7:$E$12,2,0)/($V492*$X$352/12)</f>
        <v>7.2727272727272725</v>
      </c>
      <c r="AD492" s="43">
        <f>VLOOKUP(AD$84,'Infos Techniques'!$B$7:$E$12,2,0)/($V492*$X$352/12)</f>
        <v>7.2727272727272725</v>
      </c>
      <c r="AE492" s="43">
        <f>VLOOKUP(AE$84,'Infos Techniques'!$B$7:$E$12,2,0)/($V492*$X$352/12)</f>
        <v>7.0303030303030303</v>
      </c>
      <c r="AF492" s="43">
        <f>VLOOKUP(AF$84,'Infos Techniques'!$B$7:$E$12,2,0)/($V492*$X$352/12)</f>
        <v>5.0242424242424244</v>
      </c>
      <c r="AG492" s="43">
        <f>VLOOKUP(AG$84,'Infos Techniques'!$B$7:$E$12,2,0)/($V492*$X$352/12)</f>
        <v>4.0181818181818185</v>
      </c>
      <c r="AH492" s="43">
        <f>VLOOKUP(AH$84,'Infos Techniques'!$B$7:$E$12,4,0)/($V492*$X$352/12)</f>
        <v>9.0909090909090917</v>
      </c>
      <c r="AI492" s="43">
        <f>VLOOKUP(AI$84,'Infos Techniques'!$B$7:$E$12,4,0)/($V492*$X$352/12)</f>
        <v>9.0909090909090917</v>
      </c>
      <c r="AJ492" s="43">
        <f>VLOOKUP(AJ$84,'Infos Techniques'!$B$7:$E$12,4,0)/($V492*$X$352/12)</f>
        <v>9.0909090909090917</v>
      </c>
      <c r="AK492" s="43">
        <f>VLOOKUP(AK$84,'Infos Techniques'!$B$7:$E$12,4,0)/($V492*$X$352/12)</f>
        <v>5.0242424242424244</v>
      </c>
      <c r="AL492" s="63">
        <f>VLOOKUP(AL$84,'Infos Techniques'!$B$7:$E$12,4,0)/($V492*$X$352/12)</f>
        <v>4.0181818181818185</v>
      </c>
    </row>
    <row r="493" spans="2:38">
      <c r="B493" s="1849"/>
      <c r="C493" s="70">
        <v>60</v>
      </c>
      <c r="D493" s="76">
        <f t="shared" si="152"/>
        <v>5.1000000000000032</v>
      </c>
      <c r="E493" s="43">
        <f t="shared" si="138"/>
        <v>3.8333333333333335</v>
      </c>
      <c r="F493" s="43">
        <f t="shared" si="139"/>
        <v>3.2222222222222223</v>
      </c>
      <c r="G493" s="43">
        <f t="shared" si="140"/>
        <v>2.2999999999999998</v>
      </c>
      <c r="H493" s="43">
        <f t="shared" si="141"/>
        <v>1.8388888888888888</v>
      </c>
      <c r="I493" s="43">
        <f t="shared" si="142"/>
        <v>5.1000000000000032</v>
      </c>
      <c r="J493" s="43">
        <f t="shared" si="143"/>
        <v>5.1000000000000032</v>
      </c>
      <c r="K493" s="43">
        <f t="shared" si="144"/>
        <v>5.1000000000000032</v>
      </c>
      <c r="L493" s="43">
        <f t="shared" si="145"/>
        <v>4.6055555555555552</v>
      </c>
      <c r="M493" s="43">
        <f t="shared" si="146"/>
        <v>3.6833333333333331</v>
      </c>
      <c r="N493" s="43">
        <f t="shared" si="147"/>
        <v>5.1000000000000032</v>
      </c>
      <c r="O493" s="43">
        <f t="shared" si="148"/>
        <v>5.1000000000000032</v>
      </c>
      <c r="P493" s="43">
        <f t="shared" si="149"/>
        <v>5.1000000000000032</v>
      </c>
      <c r="Q493" s="43">
        <f t="shared" si="150"/>
        <v>4.6055555555555552</v>
      </c>
      <c r="R493" s="63">
        <f t="shared" si="151"/>
        <v>3.6833333333333331</v>
      </c>
      <c r="U493" s="1601"/>
      <c r="V493" s="28">
        <v>60</v>
      </c>
      <c r="W493" s="43" cm="1">
        <f t="array" ref="W493">VLOOKUP(MAX(IF('Courbe Déflexion'!$GI$25:$GI$305&lt;=V493,'Courbe Déflexion'!$GI$25:$GI$305)),'Courbe Déflexion'!$GI$25:$IA$305,6,0)</f>
        <v>5.1000000000000032</v>
      </c>
      <c r="X493" s="43">
        <f>VLOOKUP(X$84,'Infos Techniques'!$B$7:$E$12,3,0)/($V493*$X$352/12)</f>
        <v>5.5555555555555554</v>
      </c>
      <c r="Y493" s="43">
        <f>VLOOKUP(Y$84,'Infos Techniques'!$B$7:$E$12,3,0)/($V493*$X$352/12)</f>
        <v>3.8333333333333335</v>
      </c>
      <c r="Z493" s="43">
        <f>VLOOKUP(Z$84,'Infos Techniques'!$B$7:$E$12,3,0)/($V493*$X$352/12)</f>
        <v>3.2222222222222223</v>
      </c>
      <c r="AA493" s="43">
        <f>VLOOKUP(AA$84,'Infos Techniques'!$B$7:$E$12,3,0)/($V493*$X$352/12)</f>
        <v>2.2999999999999998</v>
      </c>
      <c r="AB493" s="43">
        <f>VLOOKUP(AB$84,'Infos Techniques'!$B$7:$E$12,3,0)/($V493*$X$352/12)</f>
        <v>1.8388888888888888</v>
      </c>
      <c r="AC493" s="43">
        <f>VLOOKUP(AC$84,'Infos Techniques'!$B$7:$E$12,2,0)/($V493*$X$352/12)</f>
        <v>6.666666666666667</v>
      </c>
      <c r="AD493" s="43">
        <f>VLOOKUP(AD$84,'Infos Techniques'!$B$7:$E$12,2,0)/($V493*$X$352/12)</f>
        <v>6.666666666666667</v>
      </c>
      <c r="AE493" s="43">
        <f>VLOOKUP(AE$84,'Infos Techniques'!$B$7:$E$12,2,0)/($V493*$X$352/12)</f>
        <v>6.4444444444444446</v>
      </c>
      <c r="AF493" s="43">
        <f>VLOOKUP(AF$84,'Infos Techniques'!$B$7:$E$12,2,0)/($V493*$X$352/12)</f>
        <v>4.6055555555555552</v>
      </c>
      <c r="AG493" s="43">
        <f>VLOOKUP(AG$84,'Infos Techniques'!$B$7:$E$12,2,0)/($V493*$X$352/12)</f>
        <v>3.6833333333333331</v>
      </c>
      <c r="AH493" s="43">
        <f>VLOOKUP(AH$84,'Infos Techniques'!$B$7:$E$12,4,0)/($V493*$X$352/12)</f>
        <v>8.3333333333333339</v>
      </c>
      <c r="AI493" s="43">
        <f>VLOOKUP(AI$84,'Infos Techniques'!$B$7:$E$12,4,0)/($V493*$X$352/12)</f>
        <v>8.3333333333333339</v>
      </c>
      <c r="AJ493" s="43">
        <f>VLOOKUP(AJ$84,'Infos Techniques'!$B$7:$E$12,4,0)/($V493*$X$352/12)</f>
        <v>8.3333333333333339</v>
      </c>
      <c r="AK493" s="43">
        <f>VLOOKUP(AK$84,'Infos Techniques'!$B$7:$E$12,4,0)/($V493*$X$352/12)</f>
        <v>4.6055555555555552</v>
      </c>
      <c r="AL493" s="63">
        <f>VLOOKUP(AL$84,'Infos Techniques'!$B$7:$E$12,4,0)/($V493*$X$352/12)</f>
        <v>3.6833333333333331</v>
      </c>
    </row>
    <row r="494" spans="2:38">
      <c r="B494" s="1849"/>
      <c r="C494" s="70">
        <v>65</v>
      </c>
      <c r="D494" s="76">
        <f t="shared" si="152"/>
        <v>5.1000000000000032</v>
      </c>
      <c r="E494" s="43">
        <f t="shared" si="138"/>
        <v>3.5384615384615383</v>
      </c>
      <c r="F494" s="43">
        <f t="shared" si="139"/>
        <v>2.9743589743589745</v>
      </c>
      <c r="G494" s="43">
        <f t="shared" si="140"/>
        <v>2.1230769230769231</v>
      </c>
      <c r="H494" s="43">
        <f t="shared" si="141"/>
        <v>1.6974358974358974</v>
      </c>
      <c r="I494" s="43">
        <f t="shared" si="142"/>
        <v>5.1000000000000032</v>
      </c>
      <c r="J494" s="43">
        <f t="shared" si="143"/>
        <v>5.1000000000000032</v>
      </c>
      <c r="K494" s="43">
        <f t="shared" si="144"/>
        <v>5.1000000000000032</v>
      </c>
      <c r="L494" s="43">
        <f t="shared" si="145"/>
        <v>4.2512820512820513</v>
      </c>
      <c r="M494" s="43">
        <f t="shared" si="146"/>
        <v>3.4</v>
      </c>
      <c r="N494" s="43">
        <f t="shared" si="147"/>
        <v>5.1000000000000032</v>
      </c>
      <c r="O494" s="43">
        <f t="shared" si="148"/>
        <v>5.1000000000000032</v>
      </c>
      <c r="P494" s="43">
        <f t="shared" si="149"/>
        <v>5.1000000000000032</v>
      </c>
      <c r="Q494" s="43">
        <f t="shared" si="150"/>
        <v>4.2512820512820513</v>
      </c>
      <c r="R494" s="63">
        <f t="shared" si="151"/>
        <v>3.4</v>
      </c>
      <c r="U494" s="1601"/>
      <c r="V494" s="28">
        <v>65</v>
      </c>
      <c r="W494" s="43" cm="1">
        <f t="array" ref="W494">VLOOKUP(MAX(IF('Courbe Déflexion'!$GI$25:$GI$305&lt;=V494,'Courbe Déflexion'!$GI$25:$GI$305)),'Courbe Déflexion'!$GI$25:$IA$305,6,0)</f>
        <v>5.1000000000000032</v>
      </c>
      <c r="X494" s="43">
        <f>VLOOKUP(X$84,'Infos Techniques'!$B$7:$E$12,3,0)/($V494*$X$352/12)</f>
        <v>5.1282051282051286</v>
      </c>
      <c r="Y494" s="43">
        <f>VLOOKUP(Y$84,'Infos Techniques'!$B$7:$E$12,3,0)/($V494*$X$352/12)</f>
        <v>3.5384615384615383</v>
      </c>
      <c r="Z494" s="43">
        <f>VLOOKUP(Z$84,'Infos Techniques'!$B$7:$E$12,3,0)/($V494*$X$352/12)</f>
        <v>2.9743589743589745</v>
      </c>
      <c r="AA494" s="43">
        <f>VLOOKUP(AA$84,'Infos Techniques'!$B$7:$E$12,3,0)/($V494*$X$352/12)</f>
        <v>2.1230769230769231</v>
      </c>
      <c r="AB494" s="43">
        <f>VLOOKUP(AB$84,'Infos Techniques'!$B$7:$E$12,3,0)/($V494*$X$352/12)</f>
        <v>1.6974358974358974</v>
      </c>
      <c r="AC494" s="43">
        <f>VLOOKUP(AC$84,'Infos Techniques'!$B$7:$E$12,2,0)/($V494*$X$352/12)</f>
        <v>6.1538461538461542</v>
      </c>
      <c r="AD494" s="43">
        <f>VLOOKUP(AD$84,'Infos Techniques'!$B$7:$E$12,2,0)/($V494*$X$352/12)</f>
        <v>6.1538461538461542</v>
      </c>
      <c r="AE494" s="43">
        <f>VLOOKUP(AE$84,'Infos Techniques'!$B$7:$E$12,2,0)/($V494*$X$352/12)</f>
        <v>5.9487179487179489</v>
      </c>
      <c r="AF494" s="43">
        <f>VLOOKUP(AF$84,'Infos Techniques'!$B$7:$E$12,2,0)/($V494*$X$352/12)</f>
        <v>4.2512820512820513</v>
      </c>
      <c r="AG494" s="43">
        <f>VLOOKUP(AG$84,'Infos Techniques'!$B$7:$E$12,2,0)/($V494*$X$352/12)</f>
        <v>3.4</v>
      </c>
      <c r="AH494" s="43">
        <f>VLOOKUP(AH$84,'Infos Techniques'!$B$7:$E$12,4,0)/($V494*$X$352/12)</f>
        <v>7.6923076923076925</v>
      </c>
      <c r="AI494" s="43">
        <f>VLOOKUP(AI$84,'Infos Techniques'!$B$7:$E$12,4,0)/($V494*$X$352/12)</f>
        <v>7.6923076923076925</v>
      </c>
      <c r="AJ494" s="43">
        <f>VLOOKUP(AJ$84,'Infos Techniques'!$B$7:$E$12,4,0)/($V494*$X$352/12)</f>
        <v>7.6923076923076925</v>
      </c>
      <c r="AK494" s="43">
        <f>VLOOKUP(AK$84,'Infos Techniques'!$B$7:$E$12,4,0)/($V494*$X$352/12)</f>
        <v>4.2512820512820513</v>
      </c>
      <c r="AL494" s="63">
        <f>VLOOKUP(AL$84,'Infos Techniques'!$B$7:$E$12,4,0)/($V494*$X$352/12)</f>
        <v>3.4</v>
      </c>
    </row>
    <row r="495" spans="2:38">
      <c r="B495" s="1849"/>
      <c r="C495" s="70">
        <v>70</v>
      </c>
      <c r="D495" s="76">
        <f t="shared" si="152"/>
        <v>4.7619047619047619</v>
      </c>
      <c r="E495" s="43">
        <f t="shared" si="138"/>
        <v>3.2857142857142856</v>
      </c>
      <c r="F495" s="43">
        <f t="shared" si="139"/>
        <v>2.7619047619047619</v>
      </c>
      <c r="G495" s="43">
        <f t="shared" si="140"/>
        <v>1.9714285714285715</v>
      </c>
      <c r="H495" s="43">
        <f t="shared" si="141"/>
        <v>1.5761904761904761</v>
      </c>
      <c r="I495" s="43">
        <f t="shared" si="142"/>
        <v>5.1000000000000032</v>
      </c>
      <c r="J495" s="43">
        <f t="shared" si="143"/>
        <v>5.1000000000000032</v>
      </c>
      <c r="K495" s="43">
        <f t="shared" si="144"/>
        <v>5.1000000000000032</v>
      </c>
      <c r="L495" s="43">
        <f t="shared" si="145"/>
        <v>3.9476190476190478</v>
      </c>
      <c r="M495" s="43">
        <f t="shared" si="146"/>
        <v>3.157142857142857</v>
      </c>
      <c r="N495" s="43">
        <f t="shared" si="147"/>
        <v>5.1000000000000032</v>
      </c>
      <c r="O495" s="43">
        <f t="shared" si="148"/>
        <v>5.1000000000000032</v>
      </c>
      <c r="P495" s="43">
        <f t="shared" si="149"/>
        <v>5.1000000000000032</v>
      </c>
      <c r="Q495" s="43">
        <f t="shared" si="150"/>
        <v>3.9476190476190478</v>
      </c>
      <c r="R495" s="63">
        <f t="shared" si="151"/>
        <v>3.157142857142857</v>
      </c>
      <c r="U495" s="1601"/>
      <c r="V495" s="28">
        <v>70</v>
      </c>
      <c r="W495" s="43" cm="1">
        <f t="array" ref="W495">VLOOKUP(MAX(IF('Courbe Déflexion'!$GI$25:$GI$305&lt;=V495,'Courbe Déflexion'!$GI$25:$GI$305)),'Courbe Déflexion'!$GI$25:$IA$305,6,0)</f>
        <v>5.1000000000000032</v>
      </c>
      <c r="X495" s="43">
        <f>VLOOKUP(X$84,'Infos Techniques'!$B$7:$E$12,3,0)/($V495*$X$352/12)</f>
        <v>4.7619047619047619</v>
      </c>
      <c r="Y495" s="43">
        <f>VLOOKUP(Y$84,'Infos Techniques'!$B$7:$E$12,3,0)/($V495*$X$352/12)</f>
        <v>3.2857142857142856</v>
      </c>
      <c r="Z495" s="43">
        <f>VLOOKUP(Z$84,'Infos Techniques'!$B$7:$E$12,3,0)/($V495*$X$352/12)</f>
        <v>2.7619047619047619</v>
      </c>
      <c r="AA495" s="43">
        <f>VLOOKUP(AA$84,'Infos Techniques'!$B$7:$E$12,3,0)/($V495*$X$352/12)</f>
        <v>1.9714285714285715</v>
      </c>
      <c r="AB495" s="43">
        <f>VLOOKUP(AB$84,'Infos Techniques'!$B$7:$E$12,3,0)/($V495*$X$352/12)</f>
        <v>1.5761904761904761</v>
      </c>
      <c r="AC495" s="43">
        <f>VLOOKUP(AC$84,'Infos Techniques'!$B$7:$E$12,2,0)/($V495*$X$352/12)</f>
        <v>5.7142857142857144</v>
      </c>
      <c r="AD495" s="43">
        <f>VLOOKUP(AD$84,'Infos Techniques'!$B$7:$E$12,2,0)/($V495*$X$352/12)</f>
        <v>5.7142857142857144</v>
      </c>
      <c r="AE495" s="43">
        <f>VLOOKUP(AE$84,'Infos Techniques'!$B$7:$E$12,2,0)/($V495*$X$352/12)</f>
        <v>5.5238095238095237</v>
      </c>
      <c r="AF495" s="43">
        <f>VLOOKUP(AF$84,'Infos Techniques'!$B$7:$E$12,2,0)/($V495*$X$352/12)</f>
        <v>3.9476190476190478</v>
      </c>
      <c r="AG495" s="43">
        <f>VLOOKUP(AG$84,'Infos Techniques'!$B$7:$E$12,2,0)/($V495*$X$352/12)</f>
        <v>3.157142857142857</v>
      </c>
      <c r="AH495" s="43">
        <f>VLOOKUP(AH$84,'Infos Techniques'!$B$7:$E$12,4,0)/($V495*$X$352/12)</f>
        <v>7.1428571428571432</v>
      </c>
      <c r="AI495" s="43">
        <f>VLOOKUP(AI$84,'Infos Techniques'!$B$7:$E$12,4,0)/($V495*$X$352/12)</f>
        <v>7.1428571428571432</v>
      </c>
      <c r="AJ495" s="43">
        <f>VLOOKUP(AJ$84,'Infos Techniques'!$B$7:$E$12,4,0)/($V495*$X$352/12)</f>
        <v>7.1428571428571432</v>
      </c>
      <c r="AK495" s="43">
        <f>VLOOKUP(AK$84,'Infos Techniques'!$B$7:$E$12,4,0)/($V495*$X$352/12)</f>
        <v>3.9476190476190478</v>
      </c>
      <c r="AL495" s="63">
        <f>VLOOKUP(AL$84,'Infos Techniques'!$B$7:$E$12,4,0)/($V495*$X$352/12)</f>
        <v>3.157142857142857</v>
      </c>
    </row>
    <row r="496" spans="2:38" ht="15" thickBot="1">
      <c r="B496" s="1849"/>
      <c r="C496" s="71">
        <v>75</v>
      </c>
      <c r="D496" s="76">
        <f t="shared" si="152"/>
        <v>4.4444444444444446</v>
      </c>
      <c r="E496" s="43">
        <f t="shared" si="138"/>
        <v>3.0666666666666669</v>
      </c>
      <c r="F496" s="43">
        <f t="shared" si="139"/>
        <v>2.5777777777777779</v>
      </c>
      <c r="G496" s="43">
        <f t="shared" si="140"/>
        <v>1.84</v>
      </c>
      <c r="H496" s="43">
        <f t="shared" si="141"/>
        <v>1.471111111111111</v>
      </c>
      <c r="I496" s="43">
        <f t="shared" si="142"/>
        <v>5.1000000000000032</v>
      </c>
      <c r="J496" s="43">
        <f t="shared" si="143"/>
        <v>5.1000000000000032</v>
      </c>
      <c r="K496" s="43">
        <f t="shared" si="144"/>
        <v>5.1000000000000032</v>
      </c>
      <c r="L496" s="43">
        <f t="shared" si="145"/>
        <v>3.6844444444444444</v>
      </c>
      <c r="M496" s="43">
        <f t="shared" si="146"/>
        <v>2.9466666666666668</v>
      </c>
      <c r="N496" s="43">
        <f t="shared" si="147"/>
        <v>5.1000000000000032</v>
      </c>
      <c r="O496" s="43">
        <f t="shared" si="148"/>
        <v>5.1000000000000032</v>
      </c>
      <c r="P496" s="43">
        <f t="shared" si="149"/>
        <v>5.1000000000000032</v>
      </c>
      <c r="Q496" s="43">
        <f t="shared" si="150"/>
        <v>3.6844444444444444</v>
      </c>
      <c r="R496" s="63">
        <f t="shared" si="151"/>
        <v>2.9466666666666668</v>
      </c>
      <c r="U496" s="1601"/>
      <c r="V496" s="28">
        <v>75</v>
      </c>
      <c r="W496" s="43" cm="1">
        <f t="array" ref="W496">VLOOKUP(MAX(IF('Courbe Déflexion'!$GI$25:$GI$305&lt;=V496,'Courbe Déflexion'!$GI$25:$GI$305)),'Courbe Déflexion'!$GI$25:$IA$305,6,0)</f>
        <v>5.1000000000000032</v>
      </c>
      <c r="X496" s="43">
        <f>VLOOKUP(X$84,'Infos Techniques'!$B$7:$E$12,3,0)/($V496*$X$352/12)</f>
        <v>4.4444444444444446</v>
      </c>
      <c r="Y496" s="43">
        <f>VLOOKUP(Y$84,'Infos Techniques'!$B$7:$E$12,3,0)/($V496*$X$352/12)</f>
        <v>3.0666666666666669</v>
      </c>
      <c r="Z496" s="43">
        <f>VLOOKUP(Z$84,'Infos Techniques'!$B$7:$E$12,3,0)/($V496*$X$352/12)</f>
        <v>2.5777777777777779</v>
      </c>
      <c r="AA496" s="43">
        <f>VLOOKUP(AA$84,'Infos Techniques'!$B$7:$E$12,3,0)/($V496*$X$352/12)</f>
        <v>1.84</v>
      </c>
      <c r="AB496" s="43">
        <f>VLOOKUP(AB$84,'Infos Techniques'!$B$7:$E$12,3,0)/($V496*$X$352/12)</f>
        <v>1.471111111111111</v>
      </c>
      <c r="AC496" s="43">
        <f>VLOOKUP(AC$84,'Infos Techniques'!$B$7:$E$12,2,0)/($V496*$X$352/12)</f>
        <v>5.333333333333333</v>
      </c>
      <c r="AD496" s="43">
        <f>VLOOKUP(AD$84,'Infos Techniques'!$B$7:$E$12,2,0)/($V496*$X$352/12)</f>
        <v>5.333333333333333</v>
      </c>
      <c r="AE496" s="43">
        <f>VLOOKUP(AE$84,'Infos Techniques'!$B$7:$E$12,2,0)/($V496*$X$352/12)</f>
        <v>5.1555555555555559</v>
      </c>
      <c r="AF496" s="43">
        <f>VLOOKUP(AF$84,'Infos Techniques'!$B$7:$E$12,2,0)/($V496*$X$352/12)</f>
        <v>3.6844444444444444</v>
      </c>
      <c r="AG496" s="43">
        <f>VLOOKUP(AG$84,'Infos Techniques'!$B$7:$E$12,2,0)/($V496*$X$352/12)</f>
        <v>2.9466666666666668</v>
      </c>
      <c r="AH496" s="43">
        <f>VLOOKUP(AH$84,'Infos Techniques'!$B$7:$E$12,4,0)/($V496*$X$352/12)</f>
        <v>6.666666666666667</v>
      </c>
      <c r="AI496" s="43">
        <f>VLOOKUP(AI$84,'Infos Techniques'!$B$7:$E$12,4,0)/($V496*$X$352/12)</f>
        <v>6.666666666666667</v>
      </c>
      <c r="AJ496" s="43">
        <f>VLOOKUP(AJ$84,'Infos Techniques'!$B$7:$E$12,4,0)/($V496*$X$352/12)</f>
        <v>6.666666666666667</v>
      </c>
      <c r="AK496" s="43">
        <f>VLOOKUP(AK$84,'Infos Techniques'!$B$7:$E$12,4,0)/($V496*$X$352/12)</f>
        <v>3.6844444444444444</v>
      </c>
      <c r="AL496" s="63">
        <f>VLOOKUP(AL$84,'Infos Techniques'!$B$7:$E$12,4,0)/($V496*$X$352/12)</f>
        <v>2.9466666666666668</v>
      </c>
    </row>
    <row r="497" spans="2:38">
      <c r="B497" s="1849"/>
      <c r="C497" s="72">
        <v>80</v>
      </c>
      <c r="D497" s="76">
        <f t="shared" si="152"/>
        <v>4.166666666666667</v>
      </c>
      <c r="E497" s="43">
        <f t="shared" si="138"/>
        <v>2.875</v>
      </c>
      <c r="F497" s="43">
        <f t="shared" si="139"/>
        <v>2.4166666666666665</v>
      </c>
      <c r="G497" s="43">
        <f t="shared" si="140"/>
        <v>1.7250000000000001</v>
      </c>
      <c r="H497" s="43">
        <f t="shared" si="141"/>
        <v>1.3791666666666667</v>
      </c>
      <c r="I497" s="43">
        <f t="shared" si="142"/>
        <v>5</v>
      </c>
      <c r="J497" s="43">
        <f t="shared" si="143"/>
        <v>5</v>
      </c>
      <c r="K497" s="43">
        <f t="shared" si="144"/>
        <v>4.833333333333333</v>
      </c>
      <c r="L497" s="43">
        <f t="shared" si="145"/>
        <v>3.4541666666666666</v>
      </c>
      <c r="M497" s="43">
        <f t="shared" si="146"/>
        <v>2.7625000000000002</v>
      </c>
      <c r="N497" s="43">
        <f t="shared" si="147"/>
        <v>5.1000000000000032</v>
      </c>
      <c r="O497" s="43">
        <f t="shared" si="148"/>
        <v>5.1000000000000032</v>
      </c>
      <c r="P497" s="43">
        <f t="shared" si="149"/>
        <v>5.1000000000000032</v>
      </c>
      <c r="Q497" s="43">
        <f t="shared" si="150"/>
        <v>3.4541666666666666</v>
      </c>
      <c r="R497" s="63">
        <f t="shared" si="151"/>
        <v>2.7625000000000002</v>
      </c>
      <c r="U497" s="1601"/>
      <c r="V497" s="28">
        <v>80</v>
      </c>
      <c r="W497" s="43" cm="1">
        <f t="array" ref="W497">VLOOKUP(MAX(IF('Courbe Déflexion'!$GI$25:$GI$305&lt;=V497,'Courbe Déflexion'!$GI$25:$GI$305)),'Courbe Déflexion'!$GI$25:$IA$305,6,0)</f>
        <v>5.1000000000000032</v>
      </c>
      <c r="X497" s="43">
        <f>VLOOKUP(X$84,'Infos Techniques'!$B$7:$E$12,3,0)/($V497*$X$352/12)</f>
        <v>4.166666666666667</v>
      </c>
      <c r="Y497" s="43">
        <f>VLOOKUP(Y$84,'Infos Techniques'!$B$7:$E$12,3,0)/($V497*$X$352/12)</f>
        <v>2.875</v>
      </c>
      <c r="Z497" s="43">
        <f>VLOOKUP(Z$84,'Infos Techniques'!$B$7:$E$12,3,0)/($V497*$X$352/12)</f>
        <v>2.4166666666666665</v>
      </c>
      <c r="AA497" s="43">
        <f>VLOOKUP(AA$84,'Infos Techniques'!$B$7:$E$12,3,0)/($V497*$X$352/12)</f>
        <v>1.7250000000000001</v>
      </c>
      <c r="AB497" s="43">
        <f>VLOOKUP(AB$84,'Infos Techniques'!$B$7:$E$12,3,0)/($V497*$X$352/12)</f>
        <v>1.3791666666666667</v>
      </c>
      <c r="AC497" s="43">
        <f>VLOOKUP(AC$84,'Infos Techniques'!$B$7:$E$12,2,0)/($V497*$X$352/12)</f>
        <v>5</v>
      </c>
      <c r="AD497" s="43">
        <f>VLOOKUP(AD$84,'Infos Techniques'!$B$7:$E$12,2,0)/($V497*$X$352/12)</f>
        <v>5</v>
      </c>
      <c r="AE497" s="43">
        <f>VLOOKUP(AE$84,'Infos Techniques'!$B$7:$E$12,2,0)/($V497*$X$352/12)</f>
        <v>4.833333333333333</v>
      </c>
      <c r="AF497" s="43">
        <f>VLOOKUP(AF$84,'Infos Techniques'!$B$7:$E$12,2,0)/($V497*$X$352/12)</f>
        <v>3.4541666666666666</v>
      </c>
      <c r="AG497" s="43">
        <f>VLOOKUP(AG$84,'Infos Techniques'!$B$7:$E$12,2,0)/($V497*$X$352/12)</f>
        <v>2.7625000000000002</v>
      </c>
      <c r="AH497" s="43">
        <f>VLOOKUP(AH$84,'Infos Techniques'!$B$7:$E$12,4,0)/($V497*$X$352/12)</f>
        <v>6.25</v>
      </c>
      <c r="AI497" s="43">
        <f>VLOOKUP(AI$84,'Infos Techniques'!$B$7:$E$12,4,0)/($V497*$X$352/12)</f>
        <v>6.25</v>
      </c>
      <c r="AJ497" s="43">
        <f>VLOOKUP(AJ$84,'Infos Techniques'!$B$7:$E$12,4,0)/($V497*$X$352/12)</f>
        <v>6.25</v>
      </c>
      <c r="AK497" s="43">
        <f>VLOOKUP(AK$84,'Infos Techniques'!$B$7:$E$12,4,0)/($V497*$X$352/12)</f>
        <v>3.4541666666666666</v>
      </c>
      <c r="AL497" s="63">
        <f>VLOOKUP(AL$84,'Infos Techniques'!$B$7:$E$12,4,0)/($V497*$X$352/12)</f>
        <v>2.7625000000000002</v>
      </c>
    </row>
    <row r="498" spans="2:38">
      <c r="B498" s="1849"/>
      <c r="C498" s="70">
        <v>85</v>
      </c>
      <c r="D498" s="76">
        <f t="shared" si="152"/>
        <v>3.9215686274509802</v>
      </c>
      <c r="E498" s="43">
        <f t="shared" si="138"/>
        <v>2.7058823529411766</v>
      </c>
      <c r="F498" s="43">
        <f t="shared" si="139"/>
        <v>2.2745098039215685</v>
      </c>
      <c r="G498" s="43">
        <f t="shared" si="140"/>
        <v>1.6235294117647059</v>
      </c>
      <c r="H498" s="43">
        <f t="shared" si="141"/>
        <v>1.2980392156862746</v>
      </c>
      <c r="I498" s="43">
        <f t="shared" si="142"/>
        <v>4.7058823529411766</v>
      </c>
      <c r="J498" s="43">
        <f t="shared" si="143"/>
        <v>4.7058823529411766</v>
      </c>
      <c r="K498" s="43">
        <f t="shared" si="144"/>
        <v>4.5490196078431371</v>
      </c>
      <c r="L498" s="43">
        <f t="shared" si="145"/>
        <v>3.2509803921568627</v>
      </c>
      <c r="M498" s="43">
        <f t="shared" si="146"/>
        <v>2.6</v>
      </c>
      <c r="N498" s="43">
        <f t="shared" si="147"/>
        <v>5.1000000000000032</v>
      </c>
      <c r="O498" s="43">
        <f t="shared" si="148"/>
        <v>5.1000000000000032</v>
      </c>
      <c r="P498" s="43">
        <f t="shared" si="149"/>
        <v>5.1000000000000032</v>
      </c>
      <c r="Q498" s="43">
        <f t="shared" si="150"/>
        <v>3.2509803921568627</v>
      </c>
      <c r="R498" s="63">
        <f t="shared" si="151"/>
        <v>2.6</v>
      </c>
      <c r="U498" s="1601"/>
      <c r="V498" s="28">
        <v>85</v>
      </c>
      <c r="W498" s="43" cm="1">
        <f t="array" ref="W498">VLOOKUP(MAX(IF('Courbe Déflexion'!$GI$25:$GI$305&lt;=V498,'Courbe Déflexion'!$GI$25:$GI$305)),'Courbe Déflexion'!$GI$25:$IA$305,6,0)</f>
        <v>5.1000000000000032</v>
      </c>
      <c r="X498" s="43">
        <f>VLOOKUP(X$84,'Infos Techniques'!$B$7:$E$12,3,0)/($V498*$X$352/12)</f>
        <v>3.9215686274509802</v>
      </c>
      <c r="Y498" s="43">
        <f>VLOOKUP(Y$84,'Infos Techniques'!$B$7:$E$12,3,0)/($V498*$X$352/12)</f>
        <v>2.7058823529411766</v>
      </c>
      <c r="Z498" s="43">
        <f>VLOOKUP(Z$84,'Infos Techniques'!$B$7:$E$12,3,0)/($V498*$X$352/12)</f>
        <v>2.2745098039215685</v>
      </c>
      <c r="AA498" s="43">
        <f>VLOOKUP(AA$84,'Infos Techniques'!$B$7:$E$12,3,0)/($V498*$X$352/12)</f>
        <v>1.6235294117647059</v>
      </c>
      <c r="AB498" s="43">
        <f>VLOOKUP(AB$84,'Infos Techniques'!$B$7:$E$12,3,0)/($V498*$X$352/12)</f>
        <v>1.2980392156862746</v>
      </c>
      <c r="AC498" s="43">
        <f>VLOOKUP(AC$84,'Infos Techniques'!$B$7:$E$12,2,0)/($V498*$X$352/12)</f>
        <v>4.7058823529411766</v>
      </c>
      <c r="AD498" s="43">
        <f>VLOOKUP(AD$84,'Infos Techniques'!$B$7:$E$12,2,0)/($V498*$X$352/12)</f>
        <v>4.7058823529411766</v>
      </c>
      <c r="AE498" s="43">
        <f>VLOOKUP(AE$84,'Infos Techniques'!$B$7:$E$12,2,0)/($V498*$X$352/12)</f>
        <v>4.5490196078431371</v>
      </c>
      <c r="AF498" s="43">
        <f>VLOOKUP(AF$84,'Infos Techniques'!$B$7:$E$12,2,0)/($V498*$X$352/12)</f>
        <v>3.2509803921568627</v>
      </c>
      <c r="AG498" s="43">
        <f>VLOOKUP(AG$84,'Infos Techniques'!$B$7:$E$12,2,0)/($V498*$X$352/12)</f>
        <v>2.6</v>
      </c>
      <c r="AH498" s="43">
        <f>VLOOKUP(AH$84,'Infos Techniques'!$B$7:$E$12,4,0)/($V498*$X$352/12)</f>
        <v>5.882352941176471</v>
      </c>
      <c r="AI498" s="43">
        <f>VLOOKUP(AI$84,'Infos Techniques'!$B$7:$E$12,4,0)/($V498*$X$352/12)</f>
        <v>5.882352941176471</v>
      </c>
      <c r="AJ498" s="43">
        <f>VLOOKUP(AJ$84,'Infos Techniques'!$B$7:$E$12,4,0)/($V498*$X$352/12)</f>
        <v>5.882352941176471</v>
      </c>
      <c r="AK498" s="43">
        <f>VLOOKUP(AK$84,'Infos Techniques'!$B$7:$E$12,4,0)/($V498*$X$352/12)</f>
        <v>3.2509803921568627</v>
      </c>
      <c r="AL498" s="63">
        <f>VLOOKUP(AL$84,'Infos Techniques'!$B$7:$E$12,4,0)/($V498*$X$352/12)</f>
        <v>2.6</v>
      </c>
    </row>
    <row r="499" spans="2:38">
      <c r="B499" s="1849"/>
      <c r="C499" s="70">
        <v>90</v>
      </c>
      <c r="D499" s="76">
        <f t="shared" si="152"/>
        <v>3.7037037037037037</v>
      </c>
      <c r="E499" s="43">
        <f t="shared" si="138"/>
        <v>2.5555555555555554</v>
      </c>
      <c r="F499" s="43">
        <f t="shared" si="139"/>
        <v>2.1481481481481484</v>
      </c>
      <c r="G499" s="43">
        <f t="shared" si="140"/>
        <v>1.5333333333333334</v>
      </c>
      <c r="H499" s="43">
        <f t="shared" si="141"/>
        <v>1.2259259259259259</v>
      </c>
      <c r="I499" s="43">
        <f t="shared" si="142"/>
        <v>4.4444444444444446</v>
      </c>
      <c r="J499" s="43">
        <f t="shared" si="143"/>
        <v>4.4444444444444446</v>
      </c>
      <c r="K499" s="43">
        <f t="shared" si="144"/>
        <v>4.2962962962962967</v>
      </c>
      <c r="L499" s="43">
        <f t="shared" si="145"/>
        <v>3.0703703703703704</v>
      </c>
      <c r="M499" s="43">
        <f t="shared" si="146"/>
        <v>2.4555555555555557</v>
      </c>
      <c r="N499" s="43">
        <f t="shared" si="147"/>
        <v>5.1000000000000032</v>
      </c>
      <c r="O499" s="43">
        <f t="shared" si="148"/>
        <v>5.1000000000000032</v>
      </c>
      <c r="P499" s="43">
        <f t="shared" si="149"/>
        <v>5.1000000000000032</v>
      </c>
      <c r="Q499" s="43">
        <f t="shared" si="150"/>
        <v>3.0703703703703704</v>
      </c>
      <c r="R499" s="63">
        <f t="shared" si="151"/>
        <v>2.4555555555555557</v>
      </c>
      <c r="U499" s="1601"/>
      <c r="V499" s="28">
        <v>90</v>
      </c>
      <c r="W499" s="43" cm="1">
        <f t="array" ref="W499">VLOOKUP(MAX(IF('Courbe Déflexion'!$GI$25:$GI$305&lt;=V499,'Courbe Déflexion'!$GI$25:$GI$305)),'Courbe Déflexion'!$GI$25:$IA$305,6,0)</f>
        <v>5.1000000000000032</v>
      </c>
      <c r="X499" s="43">
        <f>VLOOKUP(X$84,'Infos Techniques'!$B$7:$E$12,3,0)/($V499*$X$352/12)</f>
        <v>3.7037037037037037</v>
      </c>
      <c r="Y499" s="43">
        <f>VLOOKUP(Y$84,'Infos Techniques'!$B$7:$E$12,3,0)/($V499*$X$352/12)</f>
        <v>2.5555555555555554</v>
      </c>
      <c r="Z499" s="43">
        <f>VLOOKUP(Z$84,'Infos Techniques'!$B$7:$E$12,3,0)/($V499*$X$352/12)</f>
        <v>2.1481481481481484</v>
      </c>
      <c r="AA499" s="43">
        <f>VLOOKUP(AA$84,'Infos Techniques'!$B$7:$E$12,3,0)/($V499*$X$352/12)</f>
        <v>1.5333333333333334</v>
      </c>
      <c r="AB499" s="43">
        <f>VLOOKUP(AB$84,'Infos Techniques'!$B$7:$E$12,3,0)/($V499*$X$352/12)</f>
        <v>1.2259259259259259</v>
      </c>
      <c r="AC499" s="43">
        <f>VLOOKUP(AC$84,'Infos Techniques'!$B$7:$E$12,2,0)/($V499*$X$352/12)</f>
        <v>4.4444444444444446</v>
      </c>
      <c r="AD499" s="43">
        <f>VLOOKUP(AD$84,'Infos Techniques'!$B$7:$E$12,2,0)/($V499*$X$352/12)</f>
        <v>4.4444444444444446</v>
      </c>
      <c r="AE499" s="43">
        <f>VLOOKUP(AE$84,'Infos Techniques'!$B$7:$E$12,2,0)/($V499*$X$352/12)</f>
        <v>4.2962962962962967</v>
      </c>
      <c r="AF499" s="43">
        <f>VLOOKUP(AF$84,'Infos Techniques'!$B$7:$E$12,2,0)/($V499*$X$352/12)</f>
        <v>3.0703703703703704</v>
      </c>
      <c r="AG499" s="43">
        <f>VLOOKUP(AG$84,'Infos Techniques'!$B$7:$E$12,2,0)/($V499*$X$352/12)</f>
        <v>2.4555555555555557</v>
      </c>
      <c r="AH499" s="43">
        <f>VLOOKUP(AH$84,'Infos Techniques'!$B$7:$E$12,4,0)/($V499*$X$352/12)</f>
        <v>5.5555555555555554</v>
      </c>
      <c r="AI499" s="43">
        <f>VLOOKUP(AI$84,'Infos Techniques'!$B$7:$E$12,4,0)/($V499*$X$352/12)</f>
        <v>5.5555555555555554</v>
      </c>
      <c r="AJ499" s="43">
        <f>VLOOKUP(AJ$84,'Infos Techniques'!$B$7:$E$12,4,0)/($V499*$X$352/12)</f>
        <v>5.5555555555555554</v>
      </c>
      <c r="AK499" s="43">
        <f>VLOOKUP(AK$84,'Infos Techniques'!$B$7:$E$12,4,0)/($V499*$X$352/12)</f>
        <v>3.0703703703703704</v>
      </c>
      <c r="AL499" s="63">
        <f>VLOOKUP(AL$84,'Infos Techniques'!$B$7:$E$12,4,0)/($V499*$X$352/12)</f>
        <v>2.4555555555555557</v>
      </c>
    </row>
    <row r="500" spans="2:38">
      <c r="B500" s="1849"/>
      <c r="C500" s="70">
        <v>95</v>
      </c>
      <c r="D500" s="76">
        <f t="shared" si="152"/>
        <v>3.5087719298245612</v>
      </c>
      <c r="E500" s="43">
        <f t="shared" si="138"/>
        <v>2.4210526315789473</v>
      </c>
      <c r="F500" s="43">
        <f t="shared" si="139"/>
        <v>2.0350877192982457</v>
      </c>
      <c r="G500" s="43">
        <f t="shared" si="140"/>
        <v>1.4526315789473685</v>
      </c>
      <c r="H500" s="43">
        <f t="shared" si="141"/>
        <v>1.1614035087719299</v>
      </c>
      <c r="I500" s="43">
        <f t="shared" si="142"/>
        <v>4.2105263157894735</v>
      </c>
      <c r="J500" s="43">
        <f t="shared" si="143"/>
        <v>4.2105263157894735</v>
      </c>
      <c r="K500" s="43">
        <f t="shared" si="144"/>
        <v>4.0701754385964914</v>
      </c>
      <c r="L500" s="43">
        <f t="shared" si="145"/>
        <v>2.9087719298245616</v>
      </c>
      <c r="M500" s="43">
        <f t="shared" si="146"/>
        <v>2.3263157894736843</v>
      </c>
      <c r="N500" s="43">
        <f t="shared" si="147"/>
        <v>5.1000000000000032</v>
      </c>
      <c r="O500" s="43">
        <f t="shared" si="148"/>
        <v>5.1000000000000032</v>
      </c>
      <c r="P500" s="43">
        <f t="shared" si="149"/>
        <v>5.1000000000000032</v>
      </c>
      <c r="Q500" s="43">
        <f t="shared" si="150"/>
        <v>2.9087719298245616</v>
      </c>
      <c r="R500" s="63">
        <f t="shared" si="151"/>
        <v>2.3263157894736843</v>
      </c>
      <c r="U500" s="1601"/>
      <c r="V500" s="28">
        <v>95</v>
      </c>
      <c r="W500" s="43" cm="1">
        <f t="array" ref="W500">VLOOKUP(MAX(IF('Courbe Déflexion'!$GI$25:$GI$305&lt;=V500,'Courbe Déflexion'!$GI$25:$GI$305)),'Courbe Déflexion'!$GI$25:$IA$305,6,0)</f>
        <v>5.1000000000000032</v>
      </c>
      <c r="X500" s="43">
        <f>VLOOKUP(X$84,'Infos Techniques'!$B$7:$E$12,3,0)/($V500*$X$352/12)</f>
        <v>3.5087719298245612</v>
      </c>
      <c r="Y500" s="43">
        <f>VLOOKUP(Y$84,'Infos Techniques'!$B$7:$E$12,3,0)/($V500*$X$352/12)</f>
        <v>2.4210526315789473</v>
      </c>
      <c r="Z500" s="43">
        <f>VLOOKUP(Z$84,'Infos Techniques'!$B$7:$E$12,3,0)/($V500*$X$352/12)</f>
        <v>2.0350877192982457</v>
      </c>
      <c r="AA500" s="43">
        <f>VLOOKUP(AA$84,'Infos Techniques'!$B$7:$E$12,3,0)/($V500*$X$352/12)</f>
        <v>1.4526315789473685</v>
      </c>
      <c r="AB500" s="43">
        <f>VLOOKUP(AB$84,'Infos Techniques'!$B$7:$E$12,3,0)/($V500*$X$352/12)</f>
        <v>1.1614035087719299</v>
      </c>
      <c r="AC500" s="43">
        <f>VLOOKUP(AC$84,'Infos Techniques'!$B$7:$E$12,2,0)/($V500*$X$352/12)</f>
        <v>4.2105263157894735</v>
      </c>
      <c r="AD500" s="43">
        <f>VLOOKUP(AD$84,'Infos Techniques'!$B$7:$E$12,2,0)/($V500*$X$352/12)</f>
        <v>4.2105263157894735</v>
      </c>
      <c r="AE500" s="43">
        <f>VLOOKUP(AE$84,'Infos Techniques'!$B$7:$E$12,2,0)/($V500*$X$352/12)</f>
        <v>4.0701754385964914</v>
      </c>
      <c r="AF500" s="43">
        <f>VLOOKUP(AF$84,'Infos Techniques'!$B$7:$E$12,2,0)/($V500*$X$352/12)</f>
        <v>2.9087719298245616</v>
      </c>
      <c r="AG500" s="43">
        <f>VLOOKUP(AG$84,'Infos Techniques'!$B$7:$E$12,2,0)/($V500*$X$352/12)</f>
        <v>2.3263157894736843</v>
      </c>
      <c r="AH500" s="43">
        <f>VLOOKUP(AH$84,'Infos Techniques'!$B$7:$E$12,4,0)/($V500*$X$352/12)</f>
        <v>5.2631578947368425</v>
      </c>
      <c r="AI500" s="43">
        <f>VLOOKUP(AI$84,'Infos Techniques'!$B$7:$E$12,4,0)/($V500*$X$352/12)</f>
        <v>5.2631578947368425</v>
      </c>
      <c r="AJ500" s="43">
        <f>VLOOKUP(AJ$84,'Infos Techniques'!$B$7:$E$12,4,0)/($V500*$X$352/12)</f>
        <v>5.2631578947368425</v>
      </c>
      <c r="AK500" s="43">
        <f>VLOOKUP(AK$84,'Infos Techniques'!$B$7:$E$12,4,0)/($V500*$X$352/12)</f>
        <v>2.9087719298245616</v>
      </c>
      <c r="AL500" s="63">
        <f>VLOOKUP(AL$84,'Infos Techniques'!$B$7:$E$12,4,0)/($V500*$X$352/12)</f>
        <v>2.3263157894736843</v>
      </c>
    </row>
    <row r="501" spans="2:38" ht="15" thickBot="1">
      <c r="B501" s="1850"/>
      <c r="C501" s="73">
        <v>100</v>
      </c>
      <c r="D501" s="79">
        <f t="shared" si="152"/>
        <v>3.3333333333333335</v>
      </c>
      <c r="E501" s="45">
        <f t="shared" si="138"/>
        <v>2.2999999999999998</v>
      </c>
      <c r="F501" s="45">
        <f t="shared" si="139"/>
        <v>1.9333333333333333</v>
      </c>
      <c r="G501" s="45">
        <f t="shared" si="140"/>
        <v>1.38</v>
      </c>
      <c r="H501" s="45">
        <f t="shared" si="141"/>
        <v>1.1033333333333333</v>
      </c>
      <c r="I501" s="45">
        <f t="shared" si="142"/>
        <v>4</v>
      </c>
      <c r="J501" s="45">
        <f t="shared" si="143"/>
        <v>4</v>
      </c>
      <c r="K501" s="45">
        <f t="shared" si="144"/>
        <v>3.8666666666666667</v>
      </c>
      <c r="L501" s="45">
        <f t="shared" si="145"/>
        <v>2.7633333333333332</v>
      </c>
      <c r="M501" s="45">
        <f t="shared" si="146"/>
        <v>2.21</v>
      </c>
      <c r="N501" s="45">
        <f t="shared" si="147"/>
        <v>5</v>
      </c>
      <c r="O501" s="45">
        <f t="shared" si="148"/>
        <v>5</v>
      </c>
      <c r="P501" s="45">
        <f t="shared" si="149"/>
        <v>5</v>
      </c>
      <c r="Q501" s="45">
        <f t="shared" si="150"/>
        <v>2.7633333333333332</v>
      </c>
      <c r="R501" s="66">
        <f t="shared" si="151"/>
        <v>2.21</v>
      </c>
      <c r="U501" s="1602"/>
      <c r="V501" s="44">
        <v>100</v>
      </c>
      <c r="W501" s="45" cm="1">
        <f t="array" ref="W501">VLOOKUP(MAX(IF('Courbe Déflexion'!$GI$25:$GI$305&lt;=V501,'Courbe Déflexion'!$GI$25:$GI$305)),'Courbe Déflexion'!$GI$25:$IA$305,6,0)</f>
        <v>5.1000000000000032</v>
      </c>
      <c r="X501" s="45">
        <f>VLOOKUP(X$84,'Infos Techniques'!$B$7:$E$12,3,0)/($V501*$X$352/12)</f>
        <v>3.3333333333333335</v>
      </c>
      <c r="Y501" s="45">
        <f>VLOOKUP(Y$84,'Infos Techniques'!$B$7:$E$12,3,0)/($V501*$X$352/12)</f>
        <v>2.2999999999999998</v>
      </c>
      <c r="Z501" s="45">
        <f>VLOOKUP(Z$84,'Infos Techniques'!$B$7:$E$12,3,0)/($V501*$X$352/12)</f>
        <v>1.9333333333333333</v>
      </c>
      <c r="AA501" s="45">
        <f>VLOOKUP(AA$84,'Infos Techniques'!$B$7:$E$12,3,0)/($V501*$X$352/12)</f>
        <v>1.38</v>
      </c>
      <c r="AB501" s="45">
        <f>VLOOKUP(AB$84,'Infos Techniques'!$B$7:$E$12,3,0)/($V501*$X$352/12)</f>
        <v>1.1033333333333333</v>
      </c>
      <c r="AC501" s="45">
        <f>VLOOKUP(AC$84,'Infos Techniques'!$B$7:$E$12,2,0)/($V501*$X$352/12)</f>
        <v>4</v>
      </c>
      <c r="AD501" s="45">
        <f>VLOOKUP(AD$84,'Infos Techniques'!$B$7:$E$12,2,0)/($V501*$X$352/12)</f>
        <v>4</v>
      </c>
      <c r="AE501" s="45">
        <f>VLOOKUP(AE$84,'Infos Techniques'!$B$7:$E$12,2,0)/($V501*$X$352/12)</f>
        <v>3.8666666666666667</v>
      </c>
      <c r="AF501" s="45">
        <f>VLOOKUP(AF$84,'Infos Techniques'!$B$7:$E$12,2,0)/($V501*$X$352/12)</f>
        <v>2.7633333333333332</v>
      </c>
      <c r="AG501" s="45">
        <f>VLOOKUP(AG$84,'Infos Techniques'!$B$7:$E$12,2,0)/($V501*$X$352/12)</f>
        <v>2.21</v>
      </c>
      <c r="AH501" s="45">
        <f>VLOOKUP(AH$84,'Infos Techniques'!$B$7:$E$12,4,0)/($V501*$X$352/12)</f>
        <v>5</v>
      </c>
      <c r="AI501" s="45">
        <f>VLOOKUP(AI$84,'Infos Techniques'!$B$7:$E$12,4,0)/($V501*$X$352/12)</f>
        <v>5</v>
      </c>
      <c r="AJ501" s="45">
        <f>VLOOKUP(AJ$84,'Infos Techniques'!$B$7:$E$12,4,0)/($V501*$X$352/12)</f>
        <v>5</v>
      </c>
      <c r="AK501" s="45">
        <f>VLOOKUP(AK$84,'Infos Techniques'!$B$7:$E$12,4,0)/($V501*$X$352/12)</f>
        <v>2.7633333333333332</v>
      </c>
      <c r="AL501" s="66">
        <f>VLOOKUP(AL$84,'Infos Techniques'!$B$7:$E$12,4,0)/($V501*$X$352/12)</f>
        <v>2.21</v>
      </c>
    </row>
    <row r="502" spans="2:38" ht="15" thickTop="1"/>
    <row r="521" spans="2:38" ht="25.9">
      <c r="B521" s="1851" t="s">
        <v>1685</v>
      </c>
      <c r="C521" s="1852"/>
      <c r="D521" s="1852"/>
      <c r="E521" s="1852"/>
      <c r="F521" s="1852"/>
      <c r="G521" s="1852"/>
      <c r="H521" s="1852"/>
      <c r="I521" s="1852"/>
      <c r="J521" s="1852"/>
      <c r="K521" s="1852"/>
      <c r="L521" s="1852"/>
      <c r="M521" s="1852"/>
      <c r="N521" s="1852"/>
      <c r="O521" s="1852"/>
      <c r="P521" s="1852"/>
      <c r="Q521" s="1852"/>
      <c r="R521" s="1852"/>
    </row>
    <row r="522" spans="2:38" ht="25.9">
      <c r="B522" s="262"/>
      <c r="C522" s="263"/>
      <c r="D522" s="263"/>
      <c r="E522" s="263"/>
      <c r="F522" s="263"/>
      <c r="G522" s="263"/>
      <c r="H522" s="263"/>
      <c r="I522" s="263"/>
      <c r="J522" s="263"/>
      <c r="K522" s="263"/>
      <c r="L522" s="263"/>
      <c r="M522" s="263"/>
      <c r="N522" s="263"/>
      <c r="O522" s="263"/>
      <c r="P522" s="263"/>
      <c r="Q522" s="263"/>
      <c r="R522" s="263"/>
    </row>
    <row r="523" spans="2:38" ht="26.45" thickBot="1">
      <c r="B523" s="1803" t="s">
        <v>1662</v>
      </c>
      <c r="C523" s="1803"/>
      <c r="D523" s="1803"/>
      <c r="E523" s="1803"/>
      <c r="F523" s="1803"/>
      <c r="G523" s="1803"/>
      <c r="H523" s="1803"/>
      <c r="I523" s="1803"/>
      <c r="J523" s="1803"/>
      <c r="K523" s="1803"/>
      <c r="L523" s="1803"/>
      <c r="M523" s="1803"/>
      <c r="N523" s="1803"/>
      <c r="O523" s="1803"/>
      <c r="P523" s="1803"/>
      <c r="Q523" s="1803"/>
      <c r="R523" s="1803"/>
    </row>
    <row r="524" spans="2:38" ht="15.6" thickTop="1" thickBot="1">
      <c r="U524" s="1808"/>
      <c r="V524" s="1809"/>
      <c r="W524" s="1606" t="s">
        <v>315</v>
      </c>
      <c r="X524" s="1606" t="s">
        <v>263</v>
      </c>
      <c r="Y524" s="1606"/>
      <c r="Z524" s="1606"/>
      <c r="AA524" s="1606"/>
      <c r="AB524" s="1606"/>
      <c r="AC524" s="1606"/>
      <c r="AD524" s="1606"/>
      <c r="AE524" s="1606"/>
      <c r="AF524" s="1606"/>
      <c r="AG524" s="1606"/>
      <c r="AH524" s="1606"/>
      <c r="AI524" s="1606"/>
      <c r="AJ524" s="1606"/>
      <c r="AK524" s="1606"/>
      <c r="AL524" s="1832"/>
    </row>
    <row r="525" spans="2:38" ht="21.6" thickTop="1">
      <c r="B525" s="1812"/>
      <c r="C525" s="1813"/>
      <c r="D525" s="1837" t="s">
        <v>263</v>
      </c>
      <c r="E525" s="1838"/>
      <c r="F525" s="1838"/>
      <c r="G525" s="1838"/>
      <c r="H525" s="1838"/>
      <c r="I525" s="1838"/>
      <c r="J525" s="1838"/>
      <c r="K525" s="1838"/>
      <c r="L525" s="1838"/>
      <c r="M525" s="1838"/>
      <c r="N525" s="1838"/>
      <c r="O525" s="1838"/>
      <c r="P525" s="1838"/>
      <c r="Q525" s="1838"/>
      <c r="R525" s="1839"/>
      <c r="U525" s="1810"/>
      <c r="V525" s="1811"/>
      <c r="W525" s="1571"/>
      <c r="X525" s="54"/>
      <c r="Y525" s="55"/>
      <c r="Z525" s="55"/>
      <c r="AA525" s="55"/>
      <c r="AB525" s="56"/>
      <c r="AC525" s="54"/>
      <c r="AD525" s="55"/>
      <c r="AE525" s="55"/>
      <c r="AF525" s="55"/>
      <c r="AG525" s="56"/>
      <c r="AH525" s="54"/>
      <c r="AI525" s="55"/>
      <c r="AJ525" s="55"/>
      <c r="AK525" s="55"/>
      <c r="AL525" s="57"/>
    </row>
    <row r="526" spans="2:38" ht="16.149999999999999" thickBot="1">
      <c r="B526" s="1814"/>
      <c r="C526" s="1397"/>
      <c r="D526" s="1840" t="s">
        <v>1663</v>
      </c>
      <c r="E526" s="1841"/>
      <c r="F526" s="1841"/>
      <c r="G526" s="1841"/>
      <c r="H526" s="1841"/>
      <c r="I526" s="1841" t="s">
        <v>321</v>
      </c>
      <c r="J526" s="1841"/>
      <c r="K526" s="1841"/>
      <c r="L526" s="1841"/>
      <c r="M526" s="1841"/>
      <c r="N526" s="1841" t="s">
        <v>322</v>
      </c>
      <c r="O526" s="1841"/>
      <c r="P526" s="1841"/>
      <c r="Q526" s="1841"/>
      <c r="R526" s="1842"/>
      <c r="U526" s="1646"/>
      <c r="V526" s="1113"/>
      <c r="W526" s="1603"/>
      <c r="X526" s="1833" t="s">
        <v>1663</v>
      </c>
      <c r="Y526" s="1834"/>
      <c r="Z526" s="1834"/>
      <c r="AA526" s="1834"/>
      <c r="AB526" s="1835"/>
      <c r="AC526" s="1833" t="s">
        <v>321</v>
      </c>
      <c r="AD526" s="1834"/>
      <c r="AE526" s="1834"/>
      <c r="AF526" s="1834"/>
      <c r="AG526" s="1835"/>
      <c r="AH526" s="1833" t="s">
        <v>322</v>
      </c>
      <c r="AI526" s="1834"/>
      <c r="AJ526" s="1834"/>
      <c r="AK526" s="1834"/>
      <c r="AL526" s="1836"/>
    </row>
    <row r="527" spans="2:38" ht="17.45">
      <c r="B527" s="1814"/>
      <c r="C527" s="1397"/>
      <c r="D527" s="1843" t="s">
        <v>1664</v>
      </c>
      <c r="E527" s="1844"/>
      <c r="F527" s="1844"/>
      <c r="G527" s="1844"/>
      <c r="H527" s="1845"/>
      <c r="I527" s="1846" t="s">
        <v>1664</v>
      </c>
      <c r="J527" s="1844"/>
      <c r="K527" s="1844"/>
      <c r="L527" s="1844"/>
      <c r="M527" s="1845"/>
      <c r="N527" s="1846" t="s">
        <v>1664</v>
      </c>
      <c r="O527" s="1844"/>
      <c r="P527" s="1844"/>
      <c r="Q527" s="1844"/>
      <c r="R527" s="1847"/>
      <c r="U527" s="1646"/>
      <c r="V527" s="1113"/>
      <c r="W527" s="29"/>
      <c r="X527" s="237"/>
      <c r="Y527" s="80"/>
      <c r="Z527" s="80"/>
      <c r="AA527" s="80"/>
      <c r="AB527" s="239"/>
      <c r="AC527" s="237"/>
      <c r="AD527" s="80"/>
      <c r="AE527" s="80"/>
      <c r="AF527" s="80"/>
      <c r="AG527" s="239"/>
      <c r="AH527" s="237"/>
      <c r="AI527" s="80"/>
      <c r="AJ527" s="80"/>
      <c r="AK527" s="80"/>
      <c r="AL527" s="238"/>
    </row>
    <row r="528" spans="2:38" ht="15" thickBot="1">
      <c r="B528" s="1815"/>
      <c r="C528" s="1816"/>
      <c r="D528" s="74" t="s">
        <v>1665</v>
      </c>
      <c r="E528" s="50" t="s">
        <v>334</v>
      </c>
      <c r="F528" s="50" t="s">
        <v>335</v>
      </c>
      <c r="G528" s="50" t="s">
        <v>336</v>
      </c>
      <c r="H528" s="51" t="s">
        <v>337</v>
      </c>
      <c r="I528" s="49" t="s">
        <v>1665</v>
      </c>
      <c r="J528" s="50" t="s">
        <v>1666</v>
      </c>
      <c r="K528" s="50" t="s">
        <v>1667</v>
      </c>
      <c r="L528" s="50" t="s">
        <v>1668</v>
      </c>
      <c r="M528" s="52" t="s">
        <v>1669</v>
      </c>
      <c r="N528" s="49" t="s">
        <v>1670</v>
      </c>
      <c r="O528" s="50" t="s">
        <v>1666</v>
      </c>
      <c r="P528" s="50" t="s">
        <v>1667</v>
      </c>
      <c r="Q528" s="50" t="s">
        <v>1668</v>
      </c>
      <c r="R528" s="53" t="s">
        <v>1669</v>
      </c>
      <c r="U528" s="1646"/>
      <c r="V528" s="1113"/>
      <c r="W528" s="29" t="s">
        <v>333</v>
      </c>
      <c r="X528" s="28">
        <v>0.1875</v>
      </c>
      <c r="Y528" s="28" t="s">
        <v>334</v>
      </c>
      <c r="Z528" s="28" t="s">
        <v>335</v>
      </c>
      <c r="AA528" s="28" t="s">
        <v>336</v>
      </c>
      <c r="AB528" s="28" t="s">
        <v>337</v>
      </c>
      <c r="AC528" s="28">
        <v>0.1875</v>
      </c>
      <c r="AD528" s="28" t="s">
        <v>334</v>
      </c>
      <c r="AE528" s="28" t="s">
        <v>335</v>
      </c>
      <c r="AF528" s="28" t="s">
        <v>336</v>
      </c>
      <c r="AG528" s="28" t="s">
        <v>337</v>
      </c>
      <c r="AH528" s="28">
        <v>0.1875</v>
      </c>
      <c r="AI528" s="28" t="s">
        <v>334</v>
      </c>
      <c r="AJ528" s="28" t="s">
        <v>335</v>
      </c>
      <c r="AK528" s="28" t="s">
        <v>336</v>
      </c>
      <c r="AL528" s="40" t="s">
        <v>337</v>
      </c>
    </row>
    <row r="529" spans="2:38">
      <c r="B529" s="1848" t="s">
        <v>1671</v>
      </c>
      <c r="C529" s="69">
        <v>5</v>
      </c>
      <c r="D529" s="75">
        <f>MIN($X$354,X529,$W529)</f>
        <v>12</v>
      </c>
      <c r="E529" s="59">
        <f t="shared" ref="E529:E548" si="153">MIN($X$354,Y529,$W529)</f>
        <v>12</v>
      </c>
      <c r="F529" s="59">
        <f t="shared" ref="F529:F548" si="154">MIN($X$354,Z529,$W529)</f>
        <v>12</v>
      </c>
      <c r="G529" s="59">
        <f t="shared" ref="G529:G548" si="155">MIN($X$354,AA529,$W529)</f>
        <v>12</v>
      </c>
      <c r="H529" s="59">
        <f t="shared" ref="H529:H548" si="156">MIN($X$354,AB529,$W529)</f>
        <v>12</v>
      </c>
      <c r="I529" s="59">
        <f t="shared" ref="I529:I548" si="157">MIN($X$354,AC529,$W529)</f>
        <v>12</v>
      </c>
      <c r="J529" s="59">
        <f t="shared" ref="J529:J548" si="158">MIN($X$354,AD529,$W529)</f>
        <v>12</v>
      </c>
      <c r="K529" s="59">
        <f t="shared" ref="K529:K548" si="159">MIN($X$354,AE529,$W529)</f>
        <v>12</v>
      </c>
      <c r="L529" s="59">
        <f t="shared" ref="L529:L548" si="160">MIN($X$354,AF529,$W529)</f>
        <v>12</v>
      </c>
      <c r="M529" s="59">
        <f t="shared" ref="M529:M548" si="161">MIN($X$354,AG529,$W529)</f>
        <v>12</v>
      </c>
      <c r="N529" s="59">
        <f t="shared" ref="N529:N548" si="162">MIN($X$354,AH529,$W529)</f>
        <v>12</v>
      </c>
      <c r="O529" s="59">
        <f t="shared" ref="O529:O548" si="163">MIN($X$354,AI529,$W529)</f>
        <v>12</v>
      </c>
      <c r="P529" s="59">
        <f t="shared" ref="P529:P548" si="164">MIN($X$354,AJ529,$W529)</f>
        <v>12</v>
      </c>
      <c r="Q529" s="59">
        <f t="shared" ref="Q529:Q548" si="165">MIN($X$354,AK529,$W529)</f>
        <v>12</v>
      </c>
      <c r="R529" s="62">
        <f t="shared" ref="R529:R548" si="166">MIN($X$354,AL529,$W529)</f>
        <v>12</v>
      </c>
      <c r="U529" s="1601" t="s">
        <v>314</v>
      </c>
      <c r="V529" s="28">
        <v>5</v>
      </c>
      <c r="W529" s="43" t="s">
        <v>1674</v>
      </c>
      <c r="X529" s="43">
        <f>VLOOKUP(X$84,'Infos Techniques'!$B$7:$E$12,3,0)/($V529*$X$352/12)</f>
        <v>66.666666666666671</v>
      </c>
      <c r="Y529" s="43">
        <f>VLOOKUP(Y$84,'Infos Techniques'!$B$7:$E$12,3,0)/($V529*$X$352/12)</f>
        <v>46</v>
      </c>
      <c r="Z529" s="43">
        <f>VLOOKUP(Z$84,'Infos Techniques'!$B$7:$E$12,3,0)/($V529*$X$352/12)</f>
        <v>38.666666666666664</v>
      </c>
      <c r="AA529" s="43">
        <f>VLOOKUP(AA$84,'Infos Techniques'!$B$7:$E$12,3,0)/($V529*$X$352/12)</f>
        <v>27.6</v>
      </c>
      <c r="AB529" s="43">
        <f>VLOOKUP(AB$84,'Infos Techniques'!$B$7:$E$12,3,0)/($V529*$X$352/12)</f>
        <v>22.066666666666666</v>
      </c>
      <c r="AC529" s="43">
        <f>VLOOKUP(AC$84,'Infos Techniques'!$B$7:$E$12,2,0)/($V529*$X$352/12)</f>
        <v>80</v>
      </c>
      <c r="AD529" s="43">
        <f>VLOOKUP(AD$84,'Infos Techniques'!$B$7:$E$12,2,0)/($V529*$X$352/12)</f>
        <v>80</v>
      </c>
      <c r="AE529" s="43">
        <f>VLOOKUP(AE$84,'Infos Techniques'!$B$7:$E$12,2,0)/($V529*$X$352/12)</f>
        <v>77.333333333333329</v>
      </c>
      <c r="AF529" s="43">
        <f>VLOOKUP(AF$84,'Infos Techniques'!$B$7:$E$12,2,0)/($V529*$X$352/12)</f>
        <v>55.266666666666666</v>
      </c>
      <c r="AG529" s="43">
        <f>VLOOKUP(AG$84,'Infos Techniques'!$B$7:$E$12,2,0)/($V529*$X$352/12)</f>
        <v>44.2</v>
      </c>
      <c r="AH529" s="43">
        <f>VLOOKUP(AH$84,'Infos Techniques'!$B$7:$E$12,4,0)/($V529*$X$352/12)</f>
        <v>100</v>
      </c>
      <c r="AI529" s="43">
        <f>VLOOKUP(AI$84,'Infos Techniques'!$B$7:$E$12,4,0)/($V529*$X$352/12)</f>
        <v>100</v>
      </c>
      <c r="AJ529" s="43">
        <f>VLOOKUP(AJ$84,'Infos Techniques'!$B$7:$E$12,4,0)/($V529*$X$352/12)</f>
        <v>100</v>
      </c>
      <c r="AK529" s="43">
        <f>VLOOKUP(AK$84,'Infos Techniques'!$B$7:$E$12,4,0)/($V529*$X$352/12)</f>
        <v>55.266666666666666</v>
      </c>
      <c r="AL529" s="63">
        <f>VLOOKUP(AL$84,'Infos Techniques'!$B$7:$E$12,4,0)/($V529*$X$352/12)</f>
        <v>44.2</v>
      </c>
    </row>
    <row r="530" spans="2:38">
      <c r="B530" s="1849"/>
      <c r="C530" s="70">
        <v>10</v>
      </c>
      <c r="D530" s="76">
        <f t="shared" ref="D530:D548" si="167">MIN($X$354,X530,$W530)</f>
        <v>12</v>
      </c>
      <c r="E530" s="43">
        <f t="shared" si="153"/>
        <v>12</v>
      </c>
      <c r="F530" s="43">
        <f t="shared" si="154"/>
        <v>12</v>
      </c>
      <c r="G530" s="43">
        <f t="shared" si="155"/>
        <v>12</v>
      </c>
      <c r="H530" s="43">
        <f t="shared" si="156"/>
        <v>11.033333333333333</v>
      </c>
      <c r="I530" s="43">
        <f t="shared" si="157"/>
        <v>12</v>
      </c>
      <c r="J530" s="43">
        <f t="shared" si="158"/>
        <v>12</v>
      </c>
      <c r="K530" s="43">
        <f t="shared" si="159"/>
        <v>12</v>
      </c>
      <c r="L530" s="43">
        <f t="shared" si="160"/>
        <v>12</v>
      </c>
      <c r="M530" s="43">
        <f t="shared" si="161"/>
        <v>12</v>
      </c>
      <c r="N530" s="43">
        <f t="shared" si="162"/>
        <v>12</v>
      </c>
      <c r="O530" s="43">
        <f t="shared" si="163"/>
        <v>12</v>
      </c>
      <c r="P530" s="43">
        <f t="shared" si="164"/>
        <v>12</v>
      </c>
      <c r="Q530" s="43">
        <f t="shared" si="165"/>
        <v>12</v>
      </c>
      <c r="R530" s="63">
        <f t="shared" si="166"/>
        <v>12</v>
      </c>
      <c r="U530" s="1601"/>
      <c r="V530" s="28">
        <v>10</v>
      </c>
      <c r="W530" s="43" t="s">
        <v>1674</v>
      </c>
      <c r="X530" s="43">
        <f>VLOOKUP(X$84,'Infos Techniques'!$B$7:$E$12,3,0)/($V530*$X$352/12)</f>
        <v>33.333333333333336</v>
      </c>
      <c r="Y530" s="43">
        <f>VLOOKUP(Y$84,'Infos Techniques'!$B$7:$E$12,3,0)/($V530*$X$352/12)</f>
        <v>23</v>
      </c>
      <c r="Z530" s="43">
        <f>VLOOKUP(Z$84,'Infos Techniques'!$B$7:$E$12,3,0)/($V530*$X$352/12)</f>
        <v>19.333333333333332</v>
      </c>
      <c r="AA530" s="43">
        <f>VLOOKUP(AA$84,'Infos Techniques'!$B$7:$E$12,3,0)/($V530*$X$352/12)</f>
        <v>13.8</v>
      </c>
      <c r="AB530" s="43">
        <f>VLOOKUP(AB$84,'Infos Techniques'!$B$7:$E$12,3,0)/($V530*$X$352/12)</f>
        <v>11.033333333333333</v>
      </c>
      <c r="AC530" s="43">
        <f>VLOOKUP(AC$84,'Infos Techniques'!$B$7:$E$12,2,0)/($V530*$X$352/12)</f>
        <v>40</v>
      </c>
      <c r="AD530" s="43">
        <f>VLOOKUP(AD$84,'Infos Techniques'!$B$7:$E$12,2,0)/($V530*$X$352/12)</f>
        <v>40</v>
      </c>
      <c r="AE530" s="43">
        <f>VLOOKUP(AE$84,'Infos Techniques'!$B$7:$E$12,2,0)/($V530*$X$352/12)</f>
        <v>38.666666666666664</v>
      </c>
      <c r="AF530" s="43">
        <f>VLOOKUP(AF$84,'Infos Techniques'!$B$7:$E$12,2,0)/($V530*$X$352/12)</f>
        <v>27.633333333333333</v>
      </c>
      <c r="AG530" s="43">
        <f>VLOOKUP(AG$84,'Infos Techniques'!$B$7:$E$12,2,0)/($V530*$X$352/12)</f>
        <v>22.1</v>
      </c>
      <c r="AH530" s="43">
        <f>VLOOKUP(AH$84,'Infos Techniques'!$B$7:$E$12,4,0)/($V530*$X$352/12)</f>
        <v>50</v>
      </c>
      <c r="AI530" s="43">
        <f>VLOOKUP(AI$84,'Infos Techniques'!$B$7:$E$12,4,0)/($V530*$X$352/12)</f>
        <v>50</v>
      </c>
      <c r="AJ530" s="43">
        <f>VLOOKUP(AJ$84,'Infos Techniques'!$B$7:$E$12,4,0)/($V530*$X$352/12)</f>
        <v>50</v>
      </c>
      <c r="AK530" s="43">
        <f>VLOOKUP(AK$84,'Infos Techniques'!$B$7:$E$12,4,0)/($V530*$X$352/12)</f>
        <v>27.633333333333333</v>
      </c>
      <c r="AL530" s="63">
        <f>VLOOKUP(AL$84,'Infos Techniques'!$B$7:$E$12,4,0)/($V530*$X$352/12)</f>
        <v>22.1</v>
      </c>
    </row>
    <row r="531" spans="2:38">
      <c r="B531" s="1849"/>
      <c r="C531" s="70">
        <v>15</v>
      </c>
      <c r="D531" s="76" t="e">
        <f t="shared" si="167"/>
        <v>#N/A</v>
      </c>
      <c r="E531" s="43" t="e">
        <f t="shared" si="153"/>
        <v>#N/A</v>
      </c>
      <c r="F531" s="43" t="e">
        <f t="shared" si="154"/>
        <v>#N/A</v>
      </c>
      <c r="G531" s="43" t="e">
        <f t="shared" si="155"/>
        <v>#N/A</v>
      </c>
      <c r="H531" s="43" t="e">
        <f t="shared" si="156"/>
        <v>#N/A</v>
      </c>
      <c r="I531" s="43" t="e">
        <f t="shared" si="157"/>
        <v>#N/A</v>
      </c>
      <c r="J531" s="43" t="e">
        <f t="shared" si="158"/>
        <v>#N/A</v>
      </c>
      <c r="K531" s="43" t="e">
        <f t="shared" si="159"/>
        <v>#N/A</v>
      </c>
      <c r="L531" s="43" t="e">
        <f t="shared" si="160"/>
        <v>#N/A</v>
      </c>
      <c r="M531" s="43" t="e">
        <f t="shared" si="161"/>
        <v>#N/A</v>
      </c>
      <c r="N531" s="43" t="e">
        <f t="shared" si="162"/>
        <v>#N/A</v>
      </c>
      <c r="O531" s="43" t="e">
        <f t="shared" si="163"/>
        <v>#N/A</v>
      </c>
      <c r="P531" s="43" t="e">
        <f t="shared" si="164"/>
        <v>#N/A</v>
      </c>
      <c r="Q531" s="43" t="e">
        <f t="shared" si="165"/>
        <v>#N/A</v>
      </c>
      <c r="R531" s="63" t="e">
        <f t="shared" si="166"/>
        <v>#N/A</v>
      </c>
      <c r="U531" s="1601"/>
      <c r="V531" s="28">
        <v>15</v>
      </c>
      <c r="W531" s="43" t="e" cm="1">
        <f t="array" ref="W531">VLOOKUP(MAX(IF('Courbe Déflexion'!$GJ$25:$GJ$305&lt;=V531,'Courbe Déflexion'!$GJ$25:$GJ$305)),'Courbe Déflexion'!$GJ$25:$IA$305,5,0)</f>
        <v>#N/A</v>
      </c>
      <c r="X531" s="43">
        <f>VLOOKUP(X$84,'Infos Techniques'!$B$7:$E$12,3,0)/($V531*$X$352/12)</f>
        <v>22.222222222222221</v>
      </c>
      <c r="Y531" s="43">
        <f>VLOOKUP(Y$84,'Infos Techniques'!$B$7:$E$12,3,0)/($V531*$X$352/12)</f>
        <v>15.333333333333334</v>
      </c>
      <c r="Z531" s="43">
        <f>VLOOKUP(Z$84,'Infos Techniques'!$B$7:$E$12,3,0)/($V531*$X$352/12)</f>
        <v>12.888888888888889</v>
      </c>
      <c r="AA531" s="43">
        <f>VLOOKUP(AA$84,'Infos Techniques'!$B$7:$E$12,3,0)/($V531*$X$352/12)</f>
        <v>9.1999999999999993</v>
      </c>
      <c r="AB531" s="43">
        <f>VLOOKUP(AB$84,'Infos Techniques'!$B$7:$E$12,3,0)/($V531*$X$352/12)</f>
        <v>7.3555555555555552</v>
      </c>
      <c r="AC531" s="43">
        <f>VLOOKUP(AC$84,'Infos Techniques'!$B$7:$E$12,2,0)/($V531*$X$352/12)</f>
        <v>26.666666666666668</v>
      </c>
      <c r="AD531" s="43">
        <f>VLOOKUP(AD$84,'Infos Techniques'!$B$7:$E$12,2,0)/($V531*$X$352/12)</f>
        <v>26.666666666666668</v>
      </c>
      <c r="AE531" s="43">
        <f>VLOOKUP(AE$84,'Infos Techniques'!$B$7:$E$12,2,0)/($V531*$X$352/12)</f>
        <v>25.777777777777779</v>
      </c>
      <c r="AF531" s="43">
        <f>VLOOKUP(AF$84,'Infos Techniques'!$B$7:$E$12,2,0)/($V531*$X$352/12)</f>
        <v>18.422222222222221</v>
      </c>
      <c r="AG531" s="43">
        <f>VLOOKUP(AG$84,'Infos Techniques'!$B$7:$E$12,2,0)/($V531*$X$352/12)</f>
        <v>14.733333333333333</v>
      </c>
      <c r="AH531" s="43">
        <f>VLOOKUP(AH$84,'Infos Techniques'!$B$7:$E$12,4,0)/($V531*$X$352/12)</f>
        <v>33.333333333333336</v>
      </c>
      <c r="AI531" s="43">
        <f>VLOOKUP(AI$84,'Infos Techniques'!$B$7:$E$12,4,0)/($V531*$X$352/12)</f>
        <v>33.333333333333336</v>
      </c>
      <c r="AJ531" s="43">
        <f>VLOOKUP(AJ$84,'Infos Techniques'!$B$7:$E$12,4,0)/($V531*$X$352/12)</f>
        <v>33.333333333333336</v>
      </c>
      <c r="AK531" s="43">
        <f>VLOOKUP(AK$84,'Infos Techniques'!$B$7:$E$12,4,0)/($V531*$X$352/12)</f>
        <v>18.422222222222221</v>
      </c>
      <c r="AL531" s="63">
        <f>VLOOKUP(AL$84,'Infos Techniques'!$B$7:$E$12,4,0)/($V531*$X$352/12)</f>
        <v>14.733333333333333</v>
      </c>
    </row>
    <row r="532" spans="2:38">
      <c r="B532" s="1849"/>
      <c r="C532" s="70">
        <v>20</v>
      </c>
      <c r="D532" s="76" t="e">
        <f t="shared" si="167"/>
        <v>#N/A</v>
      </c>
      <c r="E532" s="43" t="e">
        <f t="shared" si="153"/>
        <v>#N/A</v>
      </c>
      <c r="F532" s="43" t="e">
        <f t="shared" si="154"/>
        <v>#N/A</v>
      </c>
      <c r="G532" s="43" t="e">
        <f t="shared" si="155"/>
        <v>#N/A</v>
      </c>
      <c r="H532" s="43" t="e">
        <f t="shared" si="156"/>
        <v>#N/A</v>
      </c>
      <c r="I532" s="43" t="e">
        <f t="shared" si="157"/>
        <v>#N/A</v>
      </c>
      <c r="J532" s="43" t="e">
        <f t="shared" si="158"/>
        <v>#N/A</v>
      </c>
      <c r="K532" s="43" t="e">
        <f t="shared" si="159"/>
        <v>#N/A</v>
      </c>
      <c r="L532" s="43" t="e">
        <f t="shared" si="160"/>
        <v>#N/A</v>
      </c>
      <c r="M532" s="43" t="e">
        <f t="shared" si="161"/>
        <v>#N/A</v>
      </c>
      <c r="N532" s="43" t="e">
        <f t="shared" si="162"/>
        <v>#N/A</v>
      </c>
      <c r="O532" s="43" t="e">
        <f t="shared" si="163"/>
        <v>#N/A</v>
      </c>
      <c r="P532" s="43" t="e">
        <f t="shared" si="164"/>
        <v>#N/A</v>
      </c>
      <c r="Q532" s="43" t="e">
        <f t="shared" si="165"/>
        <v>#N/A</v>
      </c>
      <c r="R532" s="63" t="e">
        <f t="shared" si="166"/>
        <v>#N/A</v>
      </c>
      <c r="U532" s="1601"/>
      <c r="V532" s="28">
        <v>20</v>
      </c>
      <c r="W532" s="43" t="e" cm="1">
        <f t="array" ref="W532">VLOOKUP(MAX(IF('Courbe Déflexion'!$GJ$25:$GJ$305&lt;=V532,'Courbe Déflexion'!$GJ$25:$GJ$305)),'Courbe Déflexion'!$GJ$25:$IA$305,5,0)</f>
        <v>#N/A</v>
      </c>
      <c r="X532" s="43">
        <f>VLOOKUP(X$84,'Infos Techniques'!$B$7:$E$12,3,0)/($V532*$X$352/12)</f>
        <v>16.666666666666668</v>
      </c>
      <c r="Y532" s="43">
        <f>VLOOKUP(Y$84,'Infos Techniques'!$B$7:$E$12,3,0)/($V532*$X$352/12)</f>
        <v>11.5</v>
      </c>
      <c r="Z532" s="43">
        <f>VLOOKUP(Z$84,'Infos Techniques'!$B$7:$E$12,3,0)/($V532*$X$352/12)</f>
        <v>9.6666666666666661</v>
      </c>
      <c r="AA532" s="43">
        <f>VLOOKUP(AA$84,'Infos Techniques'!$B$7:$E$12,3,0)/($V532*$X$352/12)</f>
        <v>6.9</v>
      </c>
      <c r="AB532" s="43">
        <f>VLOOKUP(AB$84,'Infos Techniques'!$B$7:$E$12,3,0)/($V532*$X$352/12)</f>
        <v>5.5166666666666666</v>
      </c>
      <c r="AC532" s="43">
        <f>VLOOKUP(AC$84,'Infos Techniques'!$B$7:$E$12,2,0)/($V532*$X$352/12)</f>
        <v>20</v>
      </c>
      <c r="AD532" s="43">
        <f>VLOOKUP(AD$84,'Infos Techniques'!$B$7:$E$12,2,0)/($V532*$X$352/12)</f>
        <v>20</v>
      </c>
      <c r="AE532" s="43">
        <f>VLOOKUP(AE$84,'Infos Techniques'!$B$7:$E$12,2,0)/($V532*$X$352/12)</f>
        <v>19.333333333333332</v>
      </c>
      <c r="AF532" s="43">
        <f>VLOOKUP(AF$84,'Infos Techniques'!$B$7:$E$12,2,0)/($V532*$X$352/12)</f>
        <v>13.816666666666666</v>
      </c>
      <c r="AG532" s="43">
        <f>VLOOKUP(AG$84,'Infos Techniques'!$B$7:$E$12,2,0)/($V532*$X$352/12)</f>
        <v>11.05</v>
      </c>
      <c r="AH532" s="43">
        <f>VLOOKUP(AH$84,'Infos Techniques'!$B$7:$E$12,4,0)/($V532*$X$352/12)</f>
        <v>25</v>
      </c>
      <c r="AI532" s="43">
        <f>VLOOKUP(AI$84,'Infos Techniques'!$B$7:$E$12,4,0)/($V532*$X$352/12)</f>
        <v>25</v>
      </c>
      <c r="AJ532" s="43">
        <f>VLOOKUP(AJ$84,'Infos Techniques'!$B$7:$E$12,4,0)/($V532*$X$352/12)</f>
        <v>25</v>
      </c>
      <c r="AK532" s="43">
        <f>VLOOKUP(AK$84,'Infos Techniques'!$B$7:$E$12,4,0)/($V532*$X$352/12)</f>
        <v>13.816666666666666</v>
      </c>
      <c r="AL532" s="63">
        <f>VLOOKUP(AL$84,'Infos Techniques'!$B$7:$E$12,4,0)/($V532*$X$352/12)</f>
        <v>11.05</v>
      </c>
    </row>
    <row r="533" spans="2:38" ht="15" thickBot="1">
      <c r="B533" s="1849"/>
      <c r="C533" s="71">
        <v>25</v>
      </c>
      <c r="D533" s="76" t="e">
        <f t="shared" si="167"/>
        <v>#N/A</v>
      </c>
      <c r="E533" s="43" t="e">
        <f t="shared" si="153"/>
        <v>#N/A</v>
      </c>
      <c r="F533" s="43" t="e">
        <f t="shared" si="154"/>
        <v>#N/A</v>
      </c>
      <c r="G533" s="43" t="e">
        <f t="shared" si="155"/>
        <v>#N/A</v>
      </c>
      <c r="H533" s="43" t="e">
        <f t="shared" si="156"/>
        <v>#N/A</v>
      </c>
      <c r="I533" s="43" t="e">
        <f t="shared" si="157"/>
        <v>#N/A</v>
      </c>
      <c r="J533" s="43" t="e">
        <f t="shared" si="158"/>
        <v>#N/A</v>
      </c>
      <c r="K533" s="43" t="e">
        <f t="shared" si="159"/>
        <v>#N/A</v>
      </c>
      <c r="L533" s="43" t="e">
        <f t="shared" si="160"/>
        <v>#N/A</v>
      </c>
      <c r="M533" s="43" t="e">
        <f t="shared" si="161"/>
        <v>#N/A</v>
      </c>
      <c r="N533" s="43" t="e">
        <f t="shared" si="162"/>
        <v>#N/A</v>
      </c>
      <c r="O533" s="43" t="e">
        <f t="shared" si="163"/>
        <v>#N/A</v>
      </c>
      <c r="P533" s="43" t="e">
        <f t="shared" si="164"/>
        <v>#N/A</v>
      </c>
      <c r="Q533" s="43" t="e">
        <f t="shared" si="165"/>
        <v>#N/A</v>
      </c>
      <c r="R533" s="63" t="e">
        <f t="shared" si="166"/>
        <v>#N/A</v>
      </c>
      <c r="U533" s="1601"/>
      <c r="V533" s="28">
        <v>25</v>
      </c>
      <c r="W533" s="43" t="e" cm="1">
        <f t="array" ref="W533">VLOOKUP(MAX(IF('Courbe Déflexion'!$GJ$25:$GJ$305&lt;=V533,'Courbe Déflexion'!$GJ$25:$GJ$305)),'Courbe Déflexion'!$GJ$25:$IA$305,5,0)</f>
        <v>#N/A</v>
      </c>
      <c r="X533" s="43">
        <f>VLOOKUP(X$84,'Infos Techniques'!$B$7:$E$12,3,0)/($V533*$X$352/12)</f>
        <v>13.333333333333334</v>
      </c>
      <c r="Y533" s="43">
        <f>VLOOKUP(Y$84,'Infos Techniques'!$B$7:$E$12,3,0)/($V533*$X$352/12)</f>
        <v>9.1999999999999993</v>
      </c>
      <c r="Z533" s="43">
        <f>VLOOKUP(Z$84,'Infos Techniques'!$B$7:$E$12,3,0)/($V533*$X$352/12)</f>
        <v>7.7333333333333334</v>
      </c>
      <c r="AA533" s="43">
        <f>VLOOKUP(AA$84,'Infos Techniques'!$B$7:$E$12,3,0)/($V533*$X$352/12)</f>
        <v>5.52</v>
      </c>
      <c r="AB533" s="43">
        <f>VLOOKUP(AB$84,'Infos Techniques'!$B$7:$E$12,3,0)/($V533*$X$352/12)</f>
        <v>4.4133333333333331</v>
      </c>
      <c r="AC533" s="43">
        <f>VLOOKUP(AC$84,'Infos Techniques'!$B$7:$E$12,2,0)/($V533*$X$352/12)</f>
        <v>16</v>
      </c>
      <c r="AD533" s="43">
        <f>VLOOKUP(AD$84,'Infos Techniques'!$B$7:$E$12,2,0)/($V533*$X$352/12)</f>
        <v>16</v>
      </c>
      <c r="AE533" s="43">
        <f>VLOOKUP(AE$84,'Infos Techniques'!$B$7:$E$12,2,0)/($V533*$X$352/12)</f>
        <v>15.466666666666667</v>
      </c>
      <c r="AF533" s="43">
        <f>VLOOKUP(AF$84,'Infos Techniques'!$B$7:$E$12,2,0)/($V533*$X$352/12)</f>
        <v>11.053333333333333</v>
      </c>
      <c r="AG533" s="43">
        <f>VLOOKUP(AG$84,'Infos Techniques'!$B$7:$E$12,2,0)/($V533*$X$352/12)</f>
        <v>8.84</v>
      </c>
      <c r="AH533" s="43">
        <f>VLOOKUP(AH$84,'Infos Techniques'!$B$7:$E$12,4,0)/($V533*$X$352/12)</f>
        <v>20</v>
      </c>
      <c r="AI533" s="43">
        <f>VLOOKUP(AI$84,'Infos Techniques'!$B$7:$E$12,4,0)/($V533*$X$352/12)</f>
        <v>20</v>
      </c>
      <c r="AJ533" s="43">
        <f>VLOOKUP(AJ$84,'Infos Techniques'!$B$7:$E$12,4,0)/($V533*$X$352/12)</f>
        <v>20</v>
      </c>
      <c r="AK533" s="43">
        <f>VLOOKUP(AK$84,'Infos Techniques'!$B$7:$E$12,4,0)/($V533*$X$352/12)</f>
        <v>11.053333333333333</v>
      </c>
      <c r="AL533" s="63">
        <f>VLOOKUP(AL$84,'Infos Techniques'!$B$7:$E$12,4,0)/($V533*$X$352/12)</f>
        <v>8.84</v>
      </c>
    </row>
    <row r="534" spans="2:38">
      <c r="B534" s="1849"/>
      <c r="C534" s="69">
        <v>30</v>
      </c>
      <c r="D534" s="76" t="e">
        <f t="shared" si="167"/>
        <v>#N/A</v>
      </c>
      <c r="E534" s="43" t="e">
        <f t="shared" si="153"/>
        <v>#N/A</v>
      </c>
      <c r="F534" s="43" t="e">
        <f t="shared" si="154"/>
        <v>#N/A</v>
      </c>
      <c r="G534" s="43" t="e">
        <f t="shared" si="155"/>
        <v>#N/A</v>
      </c>
      <c r="H534" s="43" t="e">
        <f t="shared" si="156"/>
        <v>#N/A</v>
      </c>
      <c r="I534" s="43" t="e">
        <f t="shared" si="157"/>
        <v>#N/A</v>
      </c>
      <c r="J534" s="43" t="e">
        <f t="shared" si="158"/>
        <v>#N/A</v>
      </c>
      <c r="K534" s="43" t="e">
        <f t="shared" si="159"/>
        <v>#N/A</v>
      </c>
      <c r="L534" s="43" t="e">
        <f t="shared" si="160"/>
        <v>#N/A</v>
      </c>
      <c r="M534" s="43" t="e">
        <f t="shared" si="161"/>
        <v>#N/A</v>
      </c>
      <c r="N534" s="43" t="e">
        <f t="shared" si="162"/>
        <v>#N/A</v>
      </c>
      <c r="O534" s="43" t="e">
        <f t="shared" si="163"/>
        <v>#N/A</v>
      </c>
      <c r="P534" s="43" t="e">
        <f t="shared" si="164"/>
        <v>#N/A</v>
      </c>
      <c r="Q534" s="43" t="e">
        <f t="shared" si="165"/>
        <v>#N/A</v>
      </c>
      <c r="R534" s="63" t="e">
        <f t="shared" si="166"/>
        <v>#N/A</v>
      </c>
      <c r="U534" s="1601"/>
      <c r="V534" s="28">
        <v>30</v>
      </c>
      <c r="W534" s="43" t="e" cm="1">
        <f t="array" ref="W534">VLOOKUP(MAX(IF('Courbe Déflexion'!$GJ$25:$GJ$305&lt;=V534,'Courbe Déflexion'!$GJ$25:$GJ$305)),'Courbe Déflexion'!$GJ$25:$IA$305,5,0)</f>
        <v>#N/A</v>
      </c>
      <c r="X534" s="43">
        <f>VLOOKUP(X$84,'Infos Techniques'!$B$7:$E$12,3,0)/($V534*$X$352/12)</f>
        <v>11.111111111111111</v>
      </c>
      <c r="Y534" s="43">
        <f>VLOOKUP(Y$84,'Infos Techniques'!$B$7:$E$12,3,0)/($V534*$X$352/12)</f>
        <v>7.666666666666667</v>
      </c>
      <c r="Z534" s="43">
        <f>VLOOKUP(Z$84,'Infos Techniques'!$B$7:$E$12,3,0)/($V534*$X$352/12)</f>
        <v>6.4444444444444446</v>
      </c>
      <c r="AA534" s="43">
        <f>VLOOKUP(AA$84,'Infos Techniques'!$B$7:$E$12,3,0)/($V534*$X$352/12)</f>
        <v>4.5999999999999996</v>
      </c>
      <c r="AB534" s="43">
        <f>VLOOKUP(AB$84,'Infos Techniques'!$B$7:$E$12,3,0)/($V534*$X$352/12)</f>
        <v>3.6777777777777776</v>
      </c>
      <c r="AC534" s="43">
        <f>VLOOKUP(AC$84,'Infos Techniques'!$B$7:$E$12,2,0)/($V534*$X$352/12)</f>
        <v>13.333333333333334</v>
      </c>
      <c r="AD534" s="43">
        <f>VLOOKUP(AD$84,'Infos Techniques'!$B$7:$E$12,2,0)/($V534*$X$352/12)</f>
        <v>13.333333333333334</v>
      </c>
      <c r="AE534" s="43">
        <f>VLOOKUP(AE$84,'Infos Techniques'!$B$7:$E$12,2,0)/($V534*$X$352/12)</f>
        <v>12.888888888888889</v>
      </c>
      <c r="AF534" s="43">
        <f>VLOOKUP(AF$84,'Infos Techniques'!$B$7:$E$12,2,0)/($V534*$X$352/12)</f>
        <v>9.2111111111111104</v>
      </c>
      <c r="AG534" s="43">
        <f>VLOOKUP(AG$84,'Infos Techniques'!$B$7:$E$12,2,0)/($V534*$X$352/12)</f>
        <v>7.3666666666666663</v>
      </c>
      <c r="AH534" s="43">
        <f>VLOOKUP(AH$84,'Infos Techniques'!$B$7:$E$12,4,0)/($V534*$X$352/12)</f>
        <v>16.666666666666668</v>
      </c>
      <c r="AI534" s="43">
        <f>VLOOKUP(AI$84,'Infos Techniques'!$B$7:$E$12,4,0)/($V534*$X$352/12)</f>
        <v>16.666666666666668</v>
      </c>
      <c r="AJ534" s="43">
        <f>VLOOKUP(AJ$84,'Infos Techniques'!$B$7:$E$12,4,0)/($V534*$X$352/12)</f>
        <v>16.666666666666668</v>
      </c>
      <c r="AK534" s="43">
        <f>VLOOKUP(AK$84,'Infos Techniques'!$B$7:$E$12,4,0)/($V534*$X$352/12)</f>
        <v>9.2111111111111104</v>
      </c>
      <c r="AL534" s="63">
        <f>VLOOKUP(AL$84,'Infos Techniques'!$B$7:$E$12,4,0)/($V534*$X$352/12)</f>
        <v>7.3666666666666663</v>
      </c>
    </row>
    <row r="535" spans="2:38">
      <c r="B535" s="1849"/>
      <c r="C535" s="70">
        <v>35</v>
      </c>
      <c r="D535" s="76" t="e">
        <f t="shared" si="167"/>
        <v>#N/A</v>
      </c>
      <c r="E535" s="43" t="e">
        <f t="shared" si="153"/>
        <v>#N/A</v>
      </c>
      <c r="F535" s="43" t="e">
        <f t="shared" si="154"/>
        <v>#N/A</v>
      </c>
      <c r="G535" s="43" t="e">
        <f t="shared" si="155"/>
        <v>#N/A</v>
      </c>
      <c r="H535" s="43" t="e">
        <f t="shared" si="156"/>
        <v>#N/A</v>
      </c>
      <c r="I535" s="43" t="e">
        <f t="shared" si="157"/>
        <v>#N/A</v>
      </c>
      <c r="J535" s="43" t="e">
        <f t="shared" si="158"/>
        <v>#N/A</v>
      </c>
      <c r="K535" s="43" t="e">
        <f t="shared" si="159"/>
        <v>#N/A</v>
      </c>
      <c r="L535" s="43" t="e">
        <f t="shared" si="160"/>
        <v>#N/A</v>
      </c>
      <c r="M535" s="43" t="e">
        <f t="shared" si="161"/>
        <v>#N/A</v>
      </c>
      <c r="N535" s="43" t="e">
        <f t="shared" si="162"/>
        <v>#N/A</v>
      </c>
      <c r="O535" s="43" t="e">
        <f t="shared" si="163"/>
        <v>#N/A</v>
      </c>
      <c r="P535" s="43" t="e">
        <f t="shared" si="164"/>
        <v>#N/A</v>
      </c>
      <c r="Q535" s="43" t="e">
        <f t="shared" si="165"/>
        <v>#N/A</v>
      </c>
      <c r="R535" s="63" t="e">
        <f t="shared" si="166"/>
        <v>#N/A</v>
      </c>
      <c r="U535" s="1601"/>
      <c r="V535" s="28">
        <v>35</v>
      </c>
      <c r="W535" s="43" t="e" cm="1">
        <f t="array" ref="W535">VLOOKUP(MAX(IF('Courbe Déflexion'!$GJ$25:$GJ$305&lt;=V535,'Courbe Déflexion'!$GJ$25:$GJ$305)),'Courbe Déflexion'!$GJ$25:$IA$305,5,0)</f>
        <v>#N/A</v>
      </c>
      <c r="X535" s="43">
        <f>VLOOKUP(X$84,'Infos Techniques'!$B$7:$E$12,3,0)/($V535*$X$352/12)</f>
        <v>9.5238095238095237</v>
      </c>
      <c r="Y535" s="43">
        <f>VLOOKUP(Y$84,'Infos Techniques'!$B$7:$E$12,3,0)/($V535*$X$352/12)</f>
        <v>6.5714285714285712</v>
      </c>
      <c r="Z535" s="43">
        <f>VLOOKUP(Z$84,'Infos Techniques'!$B$7:$E$12,3,0)/($V535*$X$352/12)</f>
        <v>5.5238095238095237</v>
      </c>
      <c r="AA535" s="43">
        <f>VLOOKUP(AA$84,'Infos Techniques'!$B$7:$E$12,3,0)/($V535*$X$352/12)</f>
        <v>3.9428571428571431</v>
      </c>
      <c r="AB535" s="43">
        <f>VLOOKUP(AB$84,'Infos Techniques'!$B$7:$E$12,3,0)/($V535*$X$352/12)</f>
        <v>3.1523809523809523</v>
      </c>
      <c r="AC535" s="43">
        <f>VLOOKUP(AC$84,'Infos Techniques'!$B$7:$E$12,2,0)/($V535*$X$352/12)</f>
        <v>11.428571428571429</v>
      </c>
      <c r="AD535" s="43">
        <f>VLOOKUP(AD$84,'Infos Techniques'!$B$7:$E$12,2,0)/($V535*$X$352/12)</f>
        <v>11.428571428571429</v>
      </c>
      <c r="AE535" s="43">
        <f>VLOOKUP(AE$84,'Infos Techniques'!$B$7:$E$12,2,0)/($V535*$X$352/12)</f>
        <v>11.047619047619047</v>
      </c>
      <c r="AF535" s="43">
        <f>VLOOKUP(AF$84,'Infos Techniques'!$B$7:$E$12,2,0)/($V535*$X$352/12)</f>
        <v>7.8952380952380956</v>
      </c>
      <c r="AG535" s="43">
        <f>VLOOKUP(AG$84,'Infos Techniques'!$B$7:$E$12,2,0)/($V535*$X$352/12)</f>
        <v>6.3142857142857141</v>
      </c>
      <c r="AH535" s="43">
        <f>VLOOKUP(AH$84,'Infos Techniques'!$B$7:$E$12,4,0)/($V535*$X$352/12)</f>
        <v>14.285714285714286</v>
      </c>
      <c r="AI535" s="43">
        <f>VLOOKUP(AI$84,'Infos Techniques'!$B$7:$E$12,4,0)/($V535*$X$352/12)</f>
        <v>14.285714285714286</v>
      </c>
      <c r="AJ535" s="43">
        <f>VLOOKUP(AJ$84,'Infos Techniques'!$B$7:$E$12,4,0)/($V535*$X$352/12)</f>
        <v>14.285714285714286</v>
      </c>
      <c r="AK535" s="43">
        <f>VLOOKUP(AK$84,'Infos Techniques'!$B$7:$E$12,4,0)/($V535*$X$352/12)</f>
        <v>7.8952380952380956</v>
      </c>
      <c r="AL535" s="63">
        <f>VLOOKUP(AL$84,'Infos Techniques'!$B$7:$E$12,4,0)/($V535*$X$352/12)</f>
        <v>6.3142857142857141</v>
      </c>
    </row>
    <row r="536" spans="2:38">
      <c r="B536" s="1849"/>
      <c r="C536" s="70">
        <v>40</v>
      </c>
      <c r="D536" s="76" t="e">
        <f t="shared" si="167"/>
        <v>#N/A</v>
      </c>
      <c r="E536" s="43" t="e">
        <f t="shared" si="153"/>
        <v>#N/A</v>
      </c>
      <c r="F536" s="43" t="e">
        <f t="shared" si="154"/>
        <v>#N/A</v>
      </c>
      <c r="G536" s="43" t="e">
        <f t="shared" si="155"/>
        <v>#N/A</v>
      </c>
      <c r="H536" s="43" t="e">
        <f t="shared" si="156"/>
        <v>#N/A</v>
      </c>
      <c r="I536" s="43" t="e">
        <f t="shared" si="157"/>
        <v>#N/A</v>
      </c>
      <c r="J536" s="43" t="e">
        <f t="shared" si="158"/>
        <v>#N/A</v>
      </c>
      <c r="K536" s="43" t="e">
        <f t="shared" si="159"/>
        <v>#N/A</v>
      </c>
      <c r="L536" s="43" t="e">
        <f t="shared" si="160"/>
        <v>#N/A</v>
      </c>
      <c r="M536" s="43" t="e">
        <f t="shared" si="161"/>
        <v>#N/A</v>
      </c>
      <c r="N536" s="43" t="e">
        <f t="shared" si="162"/>
        <v>#N/A</v>
      </c>
      <c r="O536" s="43" t="e">
        <f t="shared" si="163"/>
        <v>#N/A</v>
      </c>
      <c r="P536" s="43" t="e">
        <f t="shared" si="164"/>
        <v>#N/A</v>
      </c>
      <c r="Q536" s="43" t="e">
        <f t="shared" si="165"/>
        <v>#N/A</v>
      </c>
      <c r="R536" s="63" t="e">
        <f t="shared" si="166"/>
        <v>#N/A</v>
      </c>
      <c r="U536" s="1601"/>
      <c r="V536" s="28">
        <v>40</v>
      </c>
      <c r="W536" s="43" t="e" cm="1">
        <f t="array" ref="W536">VLOOKUP(MAX(IF('Courbe Déflexion'!$GJ$25:$GJ$305&lt;=V536,'Courbe Déflexion'!$GJ$25:$GJ$305)),'Courbe Déflexion'!$GJ$25:$IA$305,5,0)</f>
        <v>#N/A</v>
      </c>
      <c r="X536" s="43">
        <f>VLOOKUP(X$84,'Infos Techniques'!$B$7:$E$12,3,0)/($V536*$X$352/12)</f>
        <v>8.3333333333333339</v>
      </c>
      <c r="Y536" s="43">
        <f>VLOOKUP(Y$84,'Infos Techniques'!$B$7:$E$12,3,0)/($V536*$X$352/12)</f>
        <v>5.75</v>
      </c>
      <c r="Z536" s="43">
        <f>VLOOKUP(Z$84,'Infos Techniques'!$B$7:$E$12,3,0)/($V536*$X$352/12)</f>
        <v>4.833333333333333</v>
      </c>
      <c r="AA536" s="43">
        <f>VLOOKUP(AA$84,'Infos Techniques'!$B$7:$E$12,3,0)/($V536*$X$352/12)</f>
        <v>3.45</v>
      </c>
      <c r="AB536" s="43">
        <f>VLOOKUP(AB$84,'Infos Techniques'!$B$7:$E$12,3,0)/($V536*$X$352/12)</f>
        <v>2.7583333333333333</v>
      </c>
      <c r="AC536" s="43">
        <f>VLOOKUP(AC$84,'Infos Techniques'!$B$7:$E$12,2,0)/($V536*$X$352/12)</f>
        <v>10</v>
      </c>
      <c r="AD536" s="43">
        <f>VLOOKUP(AD$84,'Infos Techniques'!$B$7:$E$12,2,0)/($V536*$X$352/12)</f>
        <v>10</v>
      </c>
      <c r="AE536" s="43">
        <f>VLOOKUP(AE$84,'Infos Techniques'!$B$7:$E$12,2,0)/($V536*$X$352/12)</f>
        <v>9.6666666666666661</v>
      </c>
      <c r="AF536" s="43">
        <f>VLOOKUP(AF$84,'Infos Techniques'!$B$7:$E$12,2,0)/($V536*$X$352/12)</f>
        <v>6.9083333333333332</v>
      </c>
      <c r="AG536" s="43">
        <f>VLOOKUP(AG$84,'Infos Techniques'!$B$7:$E$12,2,0)/($V536*$X$352/12)</f>
        <v>5.5250000000000004</v>
      </c>
      <c r="AH536" s="43">
        <f>VLOOKUP(AH$84,'Infos Techniques'!$B$7:$E$12,4,0)/($V536*$X$352/12)</f>
        <v>12.5</v>
      </c>
      <c r="AI536" s="43">
        <f>VLOOKUP(AI$84,'Infos Techniques'!$B$7:$E$12,4,0)/($V536*$X$352/12)</f>
        <v>12.5</v>
      </c>
      <c r="AJ536" s="43">
        <f>VLOOKUP(AJ$84,'Infos Techniques'!$B$7:$E$12,4,0)/($V536*$X$352/12)</f>
        <v>12.5</v>
      </c>
      <c r="AK536" s="43">
        <f>VLOOKUP(AK$84,'Infos Techniques'!$B$7:$E$12,4,0)/($V536*$X$352/12)</f>
        <v>6.9083333333333332</v>
      </c>
      <c r="AL536" s="63">
        <f>VLOOKUP(AL$84,'Infos Techniques'!$B$7:$E$12,4,0)/($V536*$X$352/12)</f>
        <v>5.5250000000000004</v>
      </c>
    </row>
    <row r="537" spans="2:38">
      <c r="B537" s="1849"/>
      <c r="C537" s="70">
        <v>45</v>
      </c>
      <c r="D537" s="76" t="e">
        <f t="shared" si="167"/>
        <v>#N/A</v>
      </c>
      <c r="E537" s="43" t="e">
        <f t="shared" si="153"/>
        <v>#N/A</v>
      </c>
      <c r="F537" s="43" t="e">
        <f t="shared" si="154"/>
        <v>#N/A</v>
      </c>
      <c r="G537" s="43" t="e">
        <f t="shared" si="155"/>
        <v>#N/A</v>
      </c>
      <c r="H537" s="43" t="e">
        <f t="shared" si="156"/>
        <v>#N/A</v>
      </c>
      <c r="I537" s="43" t="e">
        <f t="shared" si="157"/>
        <v>#N/A</v>
      </c>
      <c r="J537" s="43" t="e">
        <f t="shared" si="158"/>
        <v>#N/A</v>
      </c>
      <c r="K537" s="43" t="e">
        <f t="shared" si="159"/>
        <v>#N/A</v>
      </c>
      <c r="L537" s="43" t="e">
        <f t="shared" si="160"/>
        <v>#N/A</v>
      </c>
      <c r="M537" s="43" t="e">
        <f t="shared" si="161"/>
        <v>#N/A</v>
      </c>
      <c r="N537" s="43" t="e">
        <f t="shared" si="162"/>
        <v>#N/A</v>
      </c>
      <c r="O537" s="43" t="e">
        <f t="shared" si="163"/>
        <v>#N/A</v>
      </c>
      <c r="P537" s="43" t="e">
        <f t="shared" si="164"/>
        <v>#N/A</v>
      </c>
      <c r="Q537" s="43" t="e">
        <f t="shared" si="165"/>
        <v>#N/A</v>
      </c>
      <c r="R537" s="63" t="e">
        <f t="shared" si="166"/>
        <v>#N/A</v>
      </c>
      <c r="U537" s="1601"/>
      <c r="V537" s="28">
        <v>45</v>
      </c>
      <c r="W537" s="43" t="e" cm="1">
        <f t="array" ref="W537">VLOOKUP(MAX(IF('Courbe Déflexion'!$GJ$25:$GJ$305&lt;=V537,'Courbe Déflexion'!$GJ$25:$GJ$305)),'Courbe Déflexion'!$GJ$25:$IA$305,5,0)</f>
        <v>#N/A</v>
      </c>
      <c r="X537" s="43">
        <f>VLOOKUP(X$84,'Infos Techniques'!$B$7:$E$12,3,0)/($V537*$X$352/12)</f>
        <v>7.4074074074074074</v>
      </c>
      <c r="Y537" s="43">
        <f>VLOOKUP(Y$84,'Infos Techniques'!$B$7:$E$12,3,0)/($V537*$X$352/12)</f>
        <v>5.1111111111111107</v>
      </c>
      <c r="Z537" s="43">
        <f>VLOOKUP(Z$84,'Infos Techniques'!$B$7:$E$12,3,0)/($V537*$X$352/12)</f>
        <v>4.2962962962962967</v>
      </c>
      <c r="AA537" s="43">
        <f>VLOOKUP(AA$84,'Infos Techniques'!$B$7:$E$12,3,0)/($V537*$X$352/12)</f>
        <v>3.0666666666666669</v>
      </c>
      <c r="AB537" s="43">
        <f>VLOOKUP(AB$84,'Infos Techniques'!$B$7:$E$12,3,0)/($V537*$X$352/12)</f>
        <v>2.4518518518518517</v>
      </c>
      <c r="AC537" s="43">
        <f>VLOOKUP(AC$84,'Infos Techniques'!$B$7:$E$12,2,0)/($V537*$X$352/12)</f>
        <v>8.8888888888888893</v>
      </c>
      <c r="AD537" s="43">
        <f>VLOOKUP(AD$84,'Infos Techniques'!$B$7:$E$12,2,0)/($V537*$X$352/12)</f>
        <v>8.8888888888888893</v>
      </c>
      <c r="AE537" s="43">
        <f>VLOOKUP(AE$84,'Infos Techniques'!$B$7:$E$12,2,0)/($V537*$X$352/12)</f>
        <v>8.5925925925925934</v>
      </c>
      <c r="AF537" s="43">
        <f>VLOOKUP(AF$84,'Infos Techniques'!$B$7:$E$12,2,0)/($V537*$X$352/12)</f>
        <v>6.1407407407407408</v>
      </c>
      <c r="AG537" s="43">
        <f>VLOOKUP(AG$84,'Infos Techniques'!$B$7:$E$12,2,0)/($V537*$X$352/12)</f>
        <v>4.9111111111111114</v>
      </c>
      <c r="AH537" s="43">
        <f>VLOOKUP(AH$84,'Infos Techniques'!$B$7:$E$12,4,0)/($V537*$X$352/12)</f>
        <v>11.111111111111111</v>
      </c>
      <c r="AI537" s="43">
        <f>VLOOKUP(AI$84,'Infos Techniques'!$B$7:$E$12,4,0)/($V537*$X$352/12)</f>
        <v>11.111111111111111</v>
      </c>
      <c r="AJ537" s="43">
        <f>VLOOKUP(AJ$84,'Infos Techniques'!$B$7:$E$12,4,0)/($V537*$X$352/12)</f>
        <v>11.111111111111111</v>
      </c>
      <c r="AK537" s="43">
        <f>VLOOKUP(AK$84,'Infos Techniques'!$B$7:$E$12,4,0)/($V537*$X$352/12)</f>
        <v>6.1407407407407408</v>
      </c>
      <c r="AL537" s="63">
        <f>VLOOKUP(AL$84,'Infos Techniques'!$B$7:$E$12,4,0)/($V537*$X$352/12)</f>
        <v>4.9111111111111114</v>
      </c>
    </row>
    <row r="538" spans="2:38" ht="15" thickBot="1">
      <c r="B538" s="1849"/>
      <c r="C538" s="71">
        <v>50</v>
      </c>
      <c r="D538" s="76" t="e">
        <f t="shared" si="167"/>
        <v>#N/A</v>
      </c>
      <c r="E538" s="43" t="e">
        <f t="shared" si="153"/>
        <v>#N/A</v>
      </c>
      <c r="F538" s="43" t="e">
        <f t="shared" si="154"/>
        <v>#N/A</v>
      </c>
      <c r="G538" s="43" t="e">
        <f t="shared" si="155"/>
        <v>#N/A</v>
      </c>
      <c r="H538" s="43" t="e">
        <f t="shared" si="156"/>
        <v>#N/A</v>
      </c>
      <c r="I538" s="43" t="e">
        <f t="shared" si="157"/>
        <v>#N/A</v>
      </c>
      <c r="J538" s="43" t="e">
        <f t="shared" si="158"/>
        <v>#N/A</v>
      </c>
      <c r="K538" s="43" t="e">
        <f t="shared" si="159"/>
        <v>#N/A</v>
      </c>
      <c r="L538" s="43" t="e">
        <f t="shared" si="160"/>
        <v>#N/A</v>
      </c>
      <c r="M538" s="43" t="e">
        <f t="shared" si="161"/>
        <v>#N/A</v>
      </c>
      <c r="N538" s="43" t="e">
        <f t="shared" si="162"/>
        <v>#N/A</v>
      </c>
      <c r="O538" s="43" t="e">
        <f t="shared" si="163"/>
        <v>#N/A</v>
      </c>
      <c r="P538" s="43" t="e">
        <f t="shared" si="164"/>
        <v>#N/A</v>
      </c>
      <c r="Q538" s="43" t="e">
        <f t="shared" si="165"/>
        <v>#N/A</v>
      </c>
      <c r="R538" s="63" t="e">
        <f t="shared" si="166"/>
        <v>#N/A</v>
      </c>
      <c r="U538" s="1601"/>
      <c r="V538" s="28">
        <v>50</v>
      </c>
      <c r="W538" s="43" t="e" cm="1">
        <f t="array" ref="W538">VLOOKUP(MAX(IF('Courbe Déflexion'!$GJ$25:$GJ$305&lt;=V538,'Courbe Déflexion'!$GJ$25:$GJ$305)),'Courbe Déflexion'!$GJ$25:$IA$305,5,0)</f>
        <v>#N/A</v>
      </c>
      <c r="X538" s="43">
        <f>VLOOKUP(X$84,'Infos Techniques'!$B$7:$E$12,3,0)/($V538*$X$352/12)</f>
        <v>6.666666666666667</v>
      </c>
      <c r="Y538" s="43">
        <f>VLOOKUP(Y$84,'Infos Techniques'!$B$7:$E$12,3,0)/($V538*$X$352/12)</f>
        <v>4.5999999999999996</v>
      </c>
      <c r="Z538" s="43">
        <f>VLOOKUP(Z$84,'Infos Techniques'!$B$7:$E$12,3,0)/($V538*$X$352/12)</f>
        <v>3.8666666666666667</v>
      </c>
      <c r="AA538" s="43">
        <f>VLOOKUP(AA$84,'Infos Techniques'!$B$7:$E$12,3,0)/($V538*$X$352/12)</f>
        <v>2.76</v>
      </c>
      <c r="AB538" s="43">
        <f>VLOOKUP(AB$84,'Infos Techniques'!$B$7:$E$12,3,0)/($V538*$X$352/12)</f>
        <v>2.2066666666666666</v>
      </c>
      <c r="AC538" s="43">
        <f>VLOOKUP(AC$84,'Infos Techniques'!$B$7:$E$12,2,0)/($V538*$X$352/12)</f>
        <v>8</v>
      </c>
      <c r="AD538" s="43">
        <f>VLOOKUP(AD$84,'Infos Techniques'!$B$7:$E$12,2,0)/($V538*$X$352/12)</f>
        <v>8</v>
      </c>
      <c r="AE538" s="43">
        <f>VLOOKUP(AE$84,'Infos Techniques'!$B$7:$E$12,2,0)/($V538*$X$352/12)</f>
        <v>7.7333333333333334</v>
      </c>
      <c r="AF538" s="43">
        <f>VLOOKUP(AF$84,'Infos Techniques'!$B$7:$E$12,2,0)/($V538*$X$352/12)</f>
        <v>5.5266666666666664</v>
      </c>
      <c r="AG538" s="43">
        <f>VLOOKUP(AG$84,'Infos Techniques'!$B$7:$E$12,2,0)/($V538*$X$352/12)</f>
        <v>4.42</v>
      </c>
      <c r="AH538" s="43">
        <f>VLOOKUP(AH$84,'Infos Techniques'!$B$7:$E$12,4,0)/($V538*$X$352/12)</f>
        <v>10</v>
      </c>
      <c r="AI538" s="43">
        <f>VLOOKUP(AI$84,'Infos Techniques'!$B$7:$E$12,4,0)/($V538*$X$352/12)</f>
        <v>10</v>
      </c>
      <c r="AJ538" s="43">
        <f>VLOOKUP(AJ$84,'Infos Techniques'!$B$7:$E$12,4,0)/($V538*$X$352/12)</f>
        <v>10</v>
      </c>
      <c r="AK538" s="43">
        <f>VLOOKUP(AK$84,'Infos Techniques'!$B$7:$E$12,4,0)/($V538*$X$352/12)</f>
        <v>5.5266666666666664</v>
      </c>
      <c r="AL538" s="63">
        <f>VLOOKUP(AL$84,'Infos Techniques'!$B$7:$E$12,4,0)/($V538*$X$352/12)</f>
        <v>4.42</v>
      </c>
    </row>
    <row r="539" spans="2:38">
      <c r="B539" s="1849"/>
      <c r="C539" s="69">
        <v>55</v>
      </c>
      <c r="D539" s="76" t="e">
        <f t="shared" si="167"/>
        <v>#N/A</v>
      </c>
      <c r="E539" s="43" t="e">
        <f t="shared" si="153"/>
        <v>#N/A</v>
      </c>
      <c r="F539" s="43" t="e">
        <f t="shared" si="154"/>
        <v>#N/A</v>
      </c>
      <c r="G539" s="43" t="e">
        <f t="shared" si="155"/>
        <v>#N/A</v>
      </c>
      <c r="H539" s="43" t="e">
        <f t="shared" si="156"/>
        <v>#N/A</v>
      </c>
      <c r="I539" s="43" t="e">
        <f t="shared" si="157"/>
        <v>#N/A</v>
      </c>
      <c r="J539" s="43" t="e">
        <f t="shared" si="158"/>
        <v>#N/A</v>
      </c>
      <c r="K539" s="43" t="e">
        <f t="shared" si="159"/>
        <v>#N/A</v>
      </c>
      <c r="L539" s="43" t="e">
        <f t="shared" si="160"/>
        <v>#N/A</v>
      </c>
      <c r="M539" s="43" t="e">
        <f t="shared" si="161"/>
        <v>#N/A</v>
      </c>
      <c r="N539" s="43" t="e">
        <f t="shared" si="162"/>
        <v>#N/A</v>
      </c>
      <c r="O539" s="43" t="e">
        <f t="shared" si="163"/>
        <v>#N/A</v>
      </c>
      <c r="P539" s="43" t="e">
        <f t="shared" si="164"/>
        <v>#N/A</v>
      </c>
      <c r="Q539" s="43" t="e">
        <f t="shared" si="165"/>
        <v>#N/A</v>
      </c>
      <c r="R539" s="63" t="e">
        <f t="shared" si="166"/>
        <v>#N/A</v>
      </c>
      <c r="U539" s="1601"/>
      <c r="V539" s="28">
        <v>55</v>
      </c>
      <c r="W539" s="43" t="e" cm="1">
        <f t="array" ref="W539">VLOOKUP(MAX(IF('Courbe Déflexion'!$GJ$25:$GJ$305&lt;=V539,'Courbe Déflexion'!$GJ$25:$GJ$305)),'Courbe Déflexion'!$GJ$25:$IA$305,5,0)</f>
        <v>#N/A</v>
      </c>
      <c r="X539" s="43">
        <f>VLOOKUP(X$84,'Infos Techniques'!$B$7:$E$12,3,0)/($V539*$X$352/12)</f>
        <v>6.0606060606060606</v>
      </c>
      <c r="Y539" s="43">
        <f>VLOOKUP(Y$84,'Infos Techniques'!$B$7:$E$12,3,0)/($V539*$X$352/12)</f>
        <v>4.1818181818181817</v>
      </c>
      <c r="Z539" s="43">
        <f>VLOOKUP(Z$84,'Infos Techniques'!$B$7:$E$12,3,0)/($V539*$X$352/12)</f>
        <v>3.5151515151515151</v>
      </c>
      <c r="AA539" s="43">
        <f>VLOOKUP(AA$84,'Infos Techniques'!$B$7:$E$12,3,0)/($V539*$X$352/12)</f>
        <v>2.5090909090909093</v>
      </c>
      <c r="AB539" s="43">
        <f>VLOOKUP(AB$84,'Infos Techniques'!$B$7:$E$12,3,0)/($V539*$X$352/12)</f>
        <v>2.0060606060606059</v>
      </c>
      <c r="AC539" s="43">
        <f>VLOOKUP(AC$84,'Infos Techniques'!$B$7:$E$12,2,0)/($V539*$X$352/12)</f>
        <v>7.2727272727272725</v>
      </c>
      <c r="AD539" s="43">
        <f>VLOOKUP(AD$84,'Infos Techniques'!$B$7:$E$12,2,0)/($V539*$X$352/12)</f>
        <v>7.2727272727272725</v>
      </c>
      <c r="AE539" s="43">
        <f>VLOOKUP(AE$84,'Infos Techniques'!$B$7:$E$12,2,0)/($V539*$X$352/12)</f>
        <v>7.0303030303030303</v>
      </c>
      <c r="AF539" s="43">
        <f>VLOOKUP(AF$84,'Infos Techniques'!$B$7:$E$12,2,0)/($V539*$X$352/12)</f>
        <v>5.0242424242424244</v>
      </c>
      <c r="AG539" s="43">
        <f>VLOOKUP(AG$84,'Infos Techniques'!$B$7:$E$12,2,0)/($V539*$X$352/12)</f>
        <v>4.0181818181818185</v>
      </c>
      <c r="AH539" s="43">
        <f>VLOOKUP(AH$84,'Infos Techniques'!$B$7:$E$12,4,0)/($V539*$X$352/12)</f>
        <v>9.0909090909090917</v>
      </c>
      <c r="AI539" s="43">
        <f>VLOOKUP(AI$84,'Infos Techniques'!$B$7:$E$12,4,0)/($V539*$X$352/12)</f>
        <v>9.0909090909090917</v>
      </c>
      <c r="AJ539" s="43">
        <f>VLOOKUP(AJ$84,'Infos Techniques'!$B$7:$E$12,4,0)/($V539*$X$352/12)</f>
        <v>9.0909090909090917</v>
      </c>
      <c r="AK539" s="43">
        <f>VLOOKUP(AK$84,'Infos Techniques'!$B$7:$E$12,4,0)/($V539*$X$352/12)</f>
        <v>5.0242424242424244</v>
      </c>
      <c r="AL539" s="63">
        <f>VLOOKUP(AL$84,'Infos Techniques'!$B$7:$E$12,4,0)/($V539*$X$352/12)</f>
        <v>4.0181818181818185</v>
      </c>
    </row>
    <row r="540" spans="2:38">
      <c r="B540" s="1849"/>
      <c r="C540" s="70">
        <v>60</v>
      </c>
      <c r="D540" s="76" t="e">
        <f t="shared" si="167"/>
        <v>#N/A</v>
      </c>
      <c r="E540" s="43" t="e">
        <f t="shared" si="153"/>
        <v>#N/A</v>
      </c>
      <c r="F540" s="43" t="e">
        <f t="shared" si="154"/>
        <v>#N/A</v>
      </c>
      <c r="G540" s="43" t="e">
        <f t="shared" si="155"/>
        <v>#N/A</v>
      </c>
      <c r="H540" s="43" t="e">
        <f t="shared" si="156"/>
        <v>#N/A</v>
      </c>
      <c r="I540" s="43" t="e">
        <f t="shared" si="157"/>
        <v>#N/A</v>
      </c>
      <c r="J540" s="43" t="e">
        <f t="shared" si="158"/>
        <v>#N/A</v>
      </c>
      <c r="K540" s="43" t="e">
        <f t="shared" si="159"/>
        <v>#N/A</v>
      </c>
      <c r="L540" s="43" t="e">
        <f t="shared" si="160"/>
        <v>#N/A</v>
      </c>
      <c r="M540" s="43" t="e">
        <f t="shared" si="161"/>
        <v>#N/A</v>
      </c>
      <c r="N540" s="43" t="e">
        <f t="shared" si="162"/>
        <v>#N/A</v>
      </c>
      <c r="O540" s="43" t="e">
        <f t="shared" si="163"/>
        <v>#N/A</v>
      </c>
      <c r="P540" s="43" t="e">
        <f t="shared" si="164"/>
        <v>#N/A</v>
      </c>
      <c r="Q540" s="43" t="e">
        <f t="shared" si="165"/>
        <v>#N/A</v>
      </c>
      <c r="R540" s="63" t="e">
        <f t="shared" si="166"/>
        <v>#N/A</v>
      </c>
      <c r="U540" s="1601"/>
      <c r="V540" s="28">
        <v>60</v>
      </c>
      <c r="W540" s="43" t="e" cm="1">
        <f t="array" ref="W540">VLOOKUP(MAX(IF('Courbe Déflexion'!$GJ$25:$GJ$305&lt;=V540,'Courbe Déflexion'!$GJ$25:$GJ$305)),'Courbe Déflexion'!$GJ$25:$IA$305,5,0)</f>
        <v>#N/A</v>
      </c>
      <c r="X540" s="43">
        <f>VLOOKUP(X$84,'Infos Techniques'!$B$7:$E$12,3,0)/($V540*$X$352/12)</f>
        <v>5.5555555555555554</v>
      </c>
      <c r="Y540" s="43">
        <f>VLOOKUP(Y$84,'Infos Techniques'!$B$7:$E$12,3,0)/($V540*$X$352/12)</f>
        <v>3.8333333333333335</v>
      </c>
      <c r="Z540" s="43">
        <f>VLOOKUP(Z$84,'Infos Techniques'!$B$7:$E$12,3,0)/($V540*$X$352/12)</f>
        <v>3.2222222222222223</v>
      </c>
      <c r="AA540" s="43">
        <f>VLOOKUP(AA$84,'Infos Techniques'!$B$7:$E$12,3,0)/($V540*$X$352/12)</f>
        <v>2.2999999999999998</v>
      </c>
      <c r="AB540" s="43">
        <f>VLOOKUP(AB$84,'Infos Techniques'!$B$7:$E$12,3,0)/($V540*$X$352/12)</f>
        <v>1.8388888888888888</v>
      </c>
      <c r="AC540" s="43">
        <f>VLOOKUP(AC$84,'Infos Techniques'!$B$7:$E$12,2,0)/($V540*$X$352/12)</f>
        <v>6.666666666666667</v>
      </c>
      <c r="AD540" s="43">
        <f>VLOOKUP(AD$84,'Infos Techniques'!$B$7:$E$12,2,0)/($V540*$X$352/12)</f>
        <v>6.666666666666667</v>
      </c>
      <c r="AE540" s="43">
        <f>VLOOKUP(AE$84,'Infos Techniques'!$B$7:$E$12,2,0)/($V540*$X$352/12)</f>
        <v>6.4444444444444446</v>
      </c>
      <c r="AF540" s="43">
        <f>VLOOKUP(AF$84,'Infos Techniques'!$B$7:$E$12,2,0)/($V540*$X$352/12)</f>
        <v>4.6055555555555552</v>
      </c>
      <c r="AG540" s="43">
        <f>VLOOKUP(AG$84,'Infos Techniques'!$B$7:$E$12,2,0)/($V540*$X$352/12)</f>
        <v>3.6833333333333331</v>
      </c>
      <c r="AH540" s="43">
        <f>VLOOKUP(AH$84,'Infos Techniques'!$B$7:$E$12,4,0)/($V540*$X$352/12)</f>
        <v>8.3333333333333339</v>
      </c>
      <c r="AI540" s="43">
        <f>VLOOKUP(AI$84,'Infos Techniques'!$B$7:$E$12,4,0)/($V540*$X$352/12)</f>
        <v>8.3333333333333339</v>
      </c>
      <c r="AJ540" s="43">
        <f>VLOOKUP(AJ$84,'Infos Techniques'!$B$7:$E$12,4,0)/($V540*$X$352/12)</f>
        <v>8.3333333333333339</v>
      </c>
      <c r="AK540" s="43">
        <f>VLOOKUP(AK$84,'Infos Techniques'!$B$7:$E$12,4,0)/($V540*$X$352/12)</f>
        <v>4.6055555555555552</v>
      </c>
      <c r="AL540" s="63">
        <f>VLOOKUP(AL$84,'Infos Techniques'!$B$7:$E$12,4,0)/($V540*$X$352/12)</f>
        <v>3.6833333333333331</v>
      </c>
    </row>
    <row r="541" spans="2:38">
      <c r="B541" s="1849"/>
      <c r="C541" s="70">
        <v>65</v>
      </c>
      <c r="D541" s="76" t="e">
        <f t="shared" si="167"/>
        <v>#N/A</v>
      </c>
      <c r="E541" s="43" t="e">
        <f t="shared" si="153"/>
        <v>#N/A</v>
      </c>
      <c r="F541" s="43" t="e">
        <f t="shared" si="154"/>
        <v>#N/A</v>
      </c>
      <c r="G541" s="43" t="e">
        <f t="shared" si="155"/>
        <v>#N/A</v>
      </c>
      <c r="H541" s="43" t="e">
        <f t="shared" si="156"/>
        <v>#N/A</v>
      </c>
      <c r="I541" s="43" t="e">
        <f t="shared" si="157"/>
        <v>#N/A</v>
      </c>
      <c r="J541" s="43" t="e">
        <f t="shared" si="158"/>
        <v>#N/A</v>
      </c>
      <c r="K541" s="43" t="e">
        <f t="shared" si="159"/>
        <v>#N/A</v>
      </c>
      <c r="L541" s="43" t="e">
        <f t="shared" si="160"/>
        <v>#N/A</v>
      </c>
      <c r="M541" s="43" t="e">
        <f t="shared" si="161"/>
        <v>#N/A</v>
      </c>
      <c r="N541" s="43" t="e">
        <f t="shared" si="162"/>
        <v>#N/A</v>
      </c>
      <c r="O541" s="43" t="e">
        <f t="shared" si="163"/>
        <v>#N/A</v>
      </c>
      <c r="P541" s="43" t="e">
        <f t="shared" si="164"/>
        <v>#N/A</v>
      </c>
      <c r="Q541" s="43" t="e">
        <f t="shared" si="165"/>
        <v>#N/A</v>
      </c>
      <c r="R541" s="63" t="e">
        <f t="shared" si="166"/>
        <v>#N/A</v>
      </c>
      <c r="U541" s="1601"/>
      <c r="V541" s="28">
        <v>65</v>
      </c>
      <c r="W541" s="43" t="e" cm="1">
        <f t="array" ref="W541">VLOOKUP(MAX(IF('Courbe Déflexion'!$GJ$25:$GJ$305&lt;=V541,'Courbe Déflexion'!$GJ$25:$GJ$305)),'Courbe Déflexion'!$GJ$25:$IA$305,5,0)</f>
        <v>#N/A</v>
      </c>
      <c r="X541" s="43">
        <f>VLOOKUP(X$84,'Infos Techniques'!$B$7:$E$12,3,0)/($V541*$X$352/12)</f>
        <v>5.1282051282051286</v>
      </c>
      <c r="Y541" s="43">
        <f>VLOOKUP(Y$84,'Infos Techniques'!$B$7:$E$12,3,0)/($V541*$X$352/12)</f>
        <v>3.5384615384615383</v>
      </c>
      <c r="Z541" s="43">
        <f>VLOOKUP(Z$84,'Infos Techniques'!$B$7:$E$12,3,0)/($V541*$X$352/12)</f>
        <v>2.9743589743589745</v>
      </c>
      <c r="AA541" s="43">
        <f>VLOOKUP(AA$84,'Infos Techniques'!$B$7:$E$12,3,0)/($V541*$X$352/12)</f>
        <v>2.1230769230769231</v>
      </c>
      <c r="AB541" s="43">
        <f>VLOOKUP(AB$84,'Infos Techniques'!$B$7:$E$12,3,0)/($V541*$X$352/12)</f>
        <v>1.6974358974358974</v>
      </c>
      <c r="AC541" s="43">
        <f>VLOOKUP(AC$84,'Infos Techniques'!$B$7:$E$12,2,0)/($V541*$X$352/12)</f>
        <v>6.1538461538461542</v>
      </c>
      <c r="AD541" s="43">
        <f>VLOOKUP(AD$84,'Infos Techniques'!$B$7:$E$12,2,0)/($V541*$X$352/12)</f>
        <v>6.1538461538461542</v>
      </c>
      <c r="AE541" s="43">
        <f>VLOOKUP(AE$84,'Infos Techniques'!$B$7:$E$12,2,0)/($V541*$X$352/12)</f>
        <v>5.9487179487179489</v>
      </c>
      <c r="AF541" s="43">
        <f>VLOOKUP(AF$84,'Infos Techniques'!$B$7:$E$12,2,0)/($V541*$X$352/12)</f>
        <v>4.2512820512820513</v>
      </c>
      <c r="AG541" s="43">
        <f>VLOOKUP(AG$84,'Infos Techniques'!$B$7:$E$12,2,0)/($V541*$X$352/12)</f>
        <v>3.4</v>
      </c>
      <c r="AH541" s="43">
        <f>VLOOKUP(AH$84,'Infos Techniques'!$B$7:$E$12,4,0)/($V541*$X$352/12)</f>
        <v>7.6923076923076925</v>
      </c>
      <c r="AI541" s="43">
        <f>VLOOKUP(AI$84,'Infos Techniques'!$B$7:$E$12,4,0)/($V541*$X$352/12)</f>
        <v>7.6923076923076925</v>
      </c>
      <c r="AJ541" s="43">
        <f>VLOOKUP(AJ$84,'Infos Techniques'!$B$7:$E$12,4,0)/($V541*$X$352/12)</f>
        <v>7.6923076923076925</v>
      </c>
      <c r="AK541" s="43">
        <f>VLOOKUP(AK$84,'Infos Techniques'!$B$7:$E$12,4,0)/($V541*$X$352/12)</f>
        <v>4.2512820512820513</v>
      </c>
      <c r="AL541" s="63">
        <f>VLOOKUP(AL$84,'Infos Techniques'!$B$7:$E$12,4,0)/($V541*$X$352/12)</f>
        <v>3.4</v>
      </c>
    </row>
    <row r="542" spans="2:38">
      <c r="B542" s="1849"/>
      <c r="C542" s="70">
        <v>70</v>
      </c>
      <c r="D542" s="76" t="e">
        <f t="shared" si="167"/>
        <v>#N/A</v>
      </c>
      <c r="E542" s="43" t="e">
        <f t="shared" si="153"/>
        <v>#N/A</v>
      </c>
      <c r="F542" s="43" t="e">
        <f t="shared" si="154"/>
        <v>#N/A</v>
      </c>
      <c r="G542" s="43" t="e">
        <f t="shared" si="155"/>
        <v>#N/A</v>
      </c>
      <c r="H542" s="43" t="e">
        <f t="shared" si="156"/>
        <v>#N/A</v>
      </c>
      <c r="I542" s="43" t="e">
        <f t="shared" si="157"/>
        <v>#N/A</v>
      </c>
      <c r="J542" s="43" t="e">
        <f t="shared" si="158"/>
        <v>#N/A</v>
      </c>
      <c r="K542" s="43" t="e">
        <f t="shared" si="159"/>
        <v>#N/A</v>
      </c>
      <c r="L542" s="43" t="e">
        <f t="shared" si="160"/>
        <v>#N/A</v>
      </c>
      <c r="M542" s="43" t="e">
        <f t="shared" si="161"/>
        <v>#N/A</v>
      </c>
      <c r="N542" s="43" t="e">
        <f t="shared" si="162"/>
        <v>#N/A</v>
      </c>
      <c r="O542" s="43" t="e">
        <f t="shared" si="163"/>
        <v>#N/A</v>
      </c>
      <c r="P542" s="43" t="e">
        <f t="shared" si="164"/>
        <v>#N/A</v>
      </c>
      <c r="Q542" s="43" t="e">
        <f t="shared" si="165"/>
        <v>#N/A</v>
      </c>
      <c r="R542" s="63" t="e">
        <f t="shared" si="166"/>
        <v>#N/A</v>
      </c>
      <c r="U542" s="1601"/>
      <c r="V542" s="28">
        <v>70</v>
      </c>
      <c r="W542" s="43" t="e" cm="1">
        <f t="array" ref="W542">VLOOKUP(MAX(IF('Courbe Déflexion'!$GJ$25:$GJ$305&lt;=V542,'Courbe Déflexion'!$GJ$25:$GJ$305)),'Courbe Déflexion'!$GJ$25:$IA$305,5,0)</f>
        <v>#N/A</v>
      </c>
      <c r="X542" s="43">
        <f>VLOOKUP(X$84,'Infos Techniques'!$B$7:$E$12,3,0)/($V542*$X$352/12)</f>
        <v>4.7619047619047619</v>
      </c>
      <c r="Y542" s="43">
        <f>VLOOKUP(Y$84,'Infos Techniques'!$B$7:$E$12,3,0)/($V542*$X$352/12)</f>
        <v>3.2857142857142856</v>
      </c>
      <c r="Z542" s="43">
        <f>VLOOKUP(Z$84,'Infos Techniques'!$B$7:$E$12,3,0)/($V542*$X$352/12)</f>
        <v>2.7619047619047619</v>
      </c>
      <c r="AA542" s="43">
        <f>VLOOKUP(AA$84,'Infos Techniques'!$B$7:$E$12,3,0)/($V542*$X$352/12)</f>
        <v>1.9714285714285715</v>
      </c>
      <c r="AB542" s="43">
        <f>VLOOKUP(AB$84,'Infos Techniques'!$B$7:$E$12,3,0)/($V542*$X$352/12)</f>
        <v>1.5761904761904761</v>
      </c>
      <c r="AC542" s="43">
        <f>VLOOKUP(AC$84,'Infos Techniques'!$B$7:$E$12,2,0)/($V542*$X$352/12)</f>
        <v>5.7142857142857144</v>
      </c>
      <c r="AD542" s="43">
        <f>VLOOKUP(AD$84,'Infos Techniques'!$B$7:$E$12,2,0)/($V542*$X$352/12)</f>
        <v>5.7142857142857144</v>
      </c>
      <c r="AE542" s="43">
        <f>VLOOKUP(AE$84,'Infos Techniques'!$B$7:$E$12,2,0)/($V542*$X$352/12)</f>
        <v>5.5238095238095237</v>
      </c>
      <c r="AF542" s="43">
        <f>VLOOKUP(AF$84,'Infos Techniques'!$B$7:$E$12,2,0)/($V542*$X$352/12)</f>
        <v>3.9476190476190478</v>
      </c>
      <c r="AG542" s="43">
        <f>VLOOKUP(AG$84,'Infos Techniques'!$B$7:$E$12,2,0)/($V542*$X$352/12)</f>
        <v>3.157142857142857</v>
      </c>
      <c r="AH542" s="43">
        <f>VLOOKUP(AH$84,'Infos Techniques'!$B$7:$E$12,4,0)/($V542*$X$352/12)</f>
        <v>7.1428571428571432</v>
      </c>
      <c r="AI542" s="43">
        <f>VLOOKUP(AI$84,'Infos Techniques'!$B$7:$E$12,4,0)/($V542*$X$352/12)</f>
        <v>7.1428571428571432</v>
      </c>
      <c r="AJ542" s="43">
        <f>VLOOKUP(AJ$84,'Infos Techniques'!$B$7:$E$12,4,0)/($V542*$X$352/12)</f>
        <v>7.1428571428571432</v>
      </c>
      <c r="AK542" s="43">
        <f>VLOOKUP(AK$84,'Infos Techniques'!$B$7:$E$12,4,0)/($V542*$X$352/12)</f>
        <v>3.9476190476190478</v>
      </c>
      <c r="AL542" s="63">
        <f>VLOOKUP(AL$84,'Infos Techniques'!$B$7:$E$12,4,0)/($V542*$X$352/12)</f>
        <v>3.157142857142857</v>
      </c>
    </row>
    <row r="543" spans="2:38" ht="15" thickBot="1">
      <c r="B543" s="1849"/>
      <c r="C543" s="71">
        <v>75</v>
      </c>
      <c r="D543" s="76" t="e">
        <f t="shared" si="167"/>
        <v>#N/A</v>
      </c>
      <c r="E543" s="43" t="e">
        <f t="shared" si="153"/>
        <v>#N/A</v>
      </c>
      <c r="F543" s="43" t="e">
        <f t="shared" si="154"/>
        <v>#N/A</v>
      </c>
      <c r="G543" s="43" t="e">
        <f t="shared" si="155"/>
        <v>#N/A</v>
      </c>
      <c r="H543" s="43" t="e">
        <f t="shared" si="156"/>
        <v>#N/A</v>
      </c>
      <c r="I543" s="43" t="e">
        <f t="shared" si="157"/>
        <v>#N/A</v>
      </c>
      <c r="J543" s="43" t="e">
        <f t="shared" si="158"/>
        <v>#N/A</v>
      </c>
      <c r="K543" s="43" t="e">
        <f t="shared" si="159"/>
        <v>#N/A</v>
      </c>
      <c r="L543" s="43" t="e">
        <f t="shared" si="160"/>
        <v>#N/A</v>
      </c>
      <c r="M543" s="43" t="e">
        <f t="shared" si="161"/>
        <v>#N/A</v>
      </c>
      <c r="N543" s="43" t="e">
        <f t="shared" si="162"/>
        <v>#N/A</v>
      </c>
      <c r="O543" s="43" t="e">
        <f t="shared" si="163"/>
        <v>#N/A</v>
      </c>
      <c r="P543" s="43" t="e">
        <f t="shared" si="164"/>
        <v>#N/A</v>
      </c>
      <c r="Q543" s="43" t="e">
        <f t="shared" si="165"/>
        <v>#N/A</v>
      </c>
      <c r="R543" s="63" t="e">
        <f t="shared" si="166"/>
        <v>#N/A</v>
      </c>
      <c r="U543" s="1601"/>
      <c r="V543" s="28">
        <v>75</v>
      </c>
      <c r="W543" s="43" t="e" cm="1">
        <f t="array" ref="W543">VLOOKUP(MAX(IF('Courbe Déflexion'!$GJ$25:$GJ$305&lt;=V543,'Courbe Déflexion'!$GJ$25:$GJ$305)),'Courbe Déflexion'!$GJ$25:$IA$305,5,0)</f>
        <v>#N/A</v>
      </c>
      <c r="X543" s="43">
        <f>VLOOKUP(X$84,'Infos Techniques'!$B$7:$E$12,3,0)/($V543*$X$352/12)</f>
        <v>4.4444444444444446</v>
      </c>
      <c r="Y543" s="43">
        <f>VLOOKUP(Y$84,'Infos Techniques'!$B$7:$E$12,3,0)/($V543*$X$352/12)</f>
        <v>3.0666666666666669</v>
      </c>
      <c r="Z543" s="43">
        <f>VLOOKUP(Z$84,'Infos Techniques'!$B$7:$E$12,3,0)/($V543*$X$352/12)</f>
        <v>2.5777777777777779</v>
      </c>
      <c r="AA543" s="43">
        <f>VLOOKUP(AA$84,'Infos Techniques'!$B$7:$E$12,3,0)/($V543*$X$352/12)</f>
        <v>1.84</v>
      </c>
      <c r="AB543" s="43">
        <f>VLOOKUP(AB$84,'Infos Techniques'!$B$7:$E$12,3,0)/($V543*$X$352/12)</f>
        <v>1.471111111111111</v>
      </c>
      <c r="AC543" s="43">
        <f>VLOOKUP(AC$84,'Infos Techniques'!$B$7:$E$12,2,0)/($V543*$X$352/12)</f>
        <v>5.333333333333333</v>
      </c>
      <c r="AD543" s="43">
        <f>VLOOKUP(AD$84,'Infos Techniques'!$B$7:$E$12,2,0)/($V543*$X$352/12)</f>
        <v>5.333333333333333</v>
      </c>
      <c r="AE543" s="43">
        <f>VLOOKUP(AE$84,'Infos Techniques'!$B$7:$E$12,2,0)/($V543*$X$352/12)</f>
        <v>5.1555555555555559</v>
      </c>
      <c r="AF543" s="43">
        <f>VLOOKUP(AF$84,'Infos Techniques'!$B$7:$E$12,2,0)/($V543*$X$352/12)</f>
        <v>3.6844444444444444</v>
      </c>
      <c r="AG543" s="43">
        <f>VLOOKUP(AG$84,'Infos Techniques'!$B$7:$E$12,2,0)/($V543*$X$352/12)</f>
        <v>2.9466666666666668</v>
      </c>
      <c r="AH543" s="43">
        <f>VLOOKUP(AH$84,'Infos Techniques'!$B$7:$E$12,4,0)/($V543*$X$352/12)</f>
        <v>6.666666666666667</v>
      </c>
      <c r="AI543" s="43">
        <f>VLOOKUP(AI$84,'Infos Techniques'!$B$7:$E$12,4,0)/($V543*$X$352/12)</f>
        <v>6.666666666666667</v>
      </c>
      <c r="AJ543" s="43">
        <f>VLOOKUP(AJ$84,'Infos Techniques'!$B$7:$E$12,4,0)/($V543*$X$352/12)</f>
        <v>6.666666666666667</v>
      </c>
      <c r="AK543" s="43">
        <f>VLOOKUP(AK$84,'Infos Techniques'!$B$7:$E$12,4,0)/($V543*$X$352/12)</f>
        <v>3.6844444444444444</v>
      </c>
      <c r="AL543" s="63">
        <f>VLOOKUP(AL$84,'Infos Techniques'!$B$7:$E$12,4,0)/($V543*$X$352/12)</f>
        <v>2.9466666666666668</v>
      </c>
    </row>
    <row r="544" spans="2:38">
      <c r="B544" s="1849"/>
      <c r="C544" s="72">
        <v>80</v>
      </c>
      <c r="D544" s="76" t="e">
        <f t="shared" si="167"/>
        <v>#N/A</v>
      </c>
      <c r="E544" s="43" t="e">
        <f t="shared" si="153"/>
        <v>#N/A</v>
      </c>
      <c r="F544" s="43" t="e">
        <f t="shared" si="154"/>
        <v>#N/A</v>
      </c>
      <c r="G544" s="43" t="e">
        <f t="shared" si="155"/>
        <v>#N/A</v>
      </c>
      <c r="H544" s="43" t="e">
        <f t="shared" si="156"/>
        <v>#N/A</v>
      </c>
      <c r="I544" s="43" t="e">
        <f t="shared" si="157"/>
        <v>#N/A</v>
      </c>
      <c r="J544" s="43" t="e">
        <f t="shared" si="158"/>
        <v>#N/A</v>
      </c>
      <c r="K544" s="43" t="e">
        <f t="shared" si="159"/>
        <v>#N/A</v>
      </c>
      <c r="L544" s="43" t="e">
        <f t="shared" si="160"/>
        <v>#N/A</v>
      </c>
      <c r="M544" s="43" t="e">
        <f t="shared" si="161"/>
        <v>#N/A</v>
      </c>
      <c r="N544" s="43" t="e">
        <f t="shared" si="162"/>
        <v>#N/A</v>
      </c>
      <c r="O544" s="43" t="e">
        <f t="shared" si="163"/>
        <v>#N/A</v>
      </c>
      <c r="P544" s="43" t="e">
        <f t="shared" si="164"/>
        <v>#N/A</v>
      </c>
      <c r="Q544" s="43" t="e">
        <f t="shared" si="165"/>
        <v>#N/A</v>
      </c>
      <c r="R544" s="63" t="e">
        <f t="shared" si="166"/>
        <v>#N/A</v>
      </c>
      <c r="U544" s="1601"/>
      <c r="V544" s="28">
        <v>80</v>
      </c>
      <c r="W544" s="43" t="e" cm="1">
        <f t="array" ref="W544">VLOOKUP(MAX(IF('Courbe Déflexion'!$GJ$25:$GJ$305&lt;=V544,'Courbe Déflexion'!$GJ$25:$GJ$305)),'Courbe Déflexion'!$GJ$25:$IA$305,5,0)</f>
        <v>#N/A</v>
      </c>
      <c r="X544" s="43">
        <f>VLOOKUP(X$84,'Infos Techniques'!$B$7:$E$12,3,0)/($V544*$X$352/12)</f>
        <v>4.166666666666667</v>
      </c>
      <c r="Y544" s="43">
        <f>VLOOKUP(Y$84,'Infos Techniques'!$B$7:$E$12,3,0)/($V544*$X$352/12)</f>
        <v>2.875</v>
      </c>
      <c r="Z544" s="43">
        <f>VLOOKUP(Z$84,'Infos Techniques'!$B$7:$E$12,3,0)/($V544*$X$352/12)</f>
        <v>2.4166666666666665</v>
      </c>
      <c r="AA544" s="43">
        <f>VLOOKUP(AA$84,'Infos Techniques'!$B$7:$E$12,3,0)/($V544*$X$352/12)</f>
        <v>1.7250000000000001</v>
      </c>
      <c r="AB544" s="43">
        <f>VLOOKUP(AB$84,'Infos Techniques'!$B$7:$E$12,3,0)/($V544*$X$352/12)</f>
        <v>1.3791666666666667</v>
      </c>
      <c r="AC544" s="43">
        <f>VLOOKUP(AC$84,'Infos Techniques'!$B$7:$E$12,2,0)/($V544*$X$352/12)</f>
        <v>5</v>
      </c>
      <c r="AD544" s="43">
        <f>VLOOKUP(AD$84,'Infos Techniques'!$B$7:$E$12,2,0)/($V544*$X$352/12)</f>
        <v>5</v>
      </c>
      <c r="AE544" s="43">
        <f>VLOOKUP(AE$84,'Infos Techniques'!$B$7:$E$12,2,0)/($V544*$X$352/12)</f>
        <v>4.833333333333333</v>
      </c>
      <c r="AF544" s="43">
        <f>VLOOKUP(AF$84,'Infos Techniques'!$B$7:$E$12,2,0)/($V544*$X$352/12)</f>
        <v>3.4541666666666666</v>
      </c>
      <c r="AG544" s="43">
        <f>VLOOKUP(AG$84,'Infos Techniques'!$B$7:$E$12,2,0)/($V544*$X$352/12)</f>
        <v>2.7625000000000002</v>
      </c>
      <c r="AH544" s="43">
        <f>VLOOKUP(AH$84,'Infos Techniques'!$B$7:$E$12,4,0)/($V544*$X$352/12)</f>
        <v>6.25</v>
      </c>
      <c r="AI544" s="43">
        <f>VLOOKUP(AI$84,'Infos Techniques'!$B$7:$E$12,4,0)/($V544*$X$352/12)</f>
        <v>6.25</v>
      </c>
      <c r="AJ544" s="43">
        <f>VLOOKUP(AJ$84,'Infos Techniques'!$B$7:$E$12,4,0)/($V544*$X$352/12)</f>
        <v>6.25</v>
      </c>
      <c r="AK544" s="43">
        <f>VLOOKUP(AK$84,'Infos Techniques'!$B$7:$E$12,4,0)/($V544*$X$352/12)</f>
        <v>3.4541666666666666</v>
      </c>
      <c r="AL544" s="63">
        <f>VLOOKUP(AL$84,'Infos Techniques'!$B$7:$E$12,4,0)/($V544*$X$352/12)</f>
        <v>2.7625000000000002</v>
      </c>
    </row>
    <row r="545" spans="2:38">
      <c r="B545" s="1849"/>
      <c r="C545" s="70">
        <v>85</v>
      </c>
      <c r="D545" s="76" t="e">
        <f t="shared" si="167"/>
        <v>#N/A</v>
      </c>
      <c r="E545" s="43" t="e">
        <f t="shared" si="153"/>
        <v>#N/A</v>
      </c>
      <c r="F545" s="43" t="e">
        <f t="shared" si="154"/>
        <v>#N/A</v>
      </c>
      <c r="G545" s="43" t="e">
        <f t="shared" si="155"/>
        <v>#N/A</v>
      </c>
      <c r="H545" s="43" t="e">
        <f t="shared" si="156"/>
        <v>#N/A</v>
      </c>
      <c r="I545" s="43" t="e">
        <f t="shared" si="157"/>
        <v>#N/A</v>
      </c>
      <c r="J545" s="43" t="e">
        <f t="shared" si="158"/>
        <v>#N/A</v>
      </c>
      <c r="K545" s="43" t="e">
        <f t="shared" si="159"/>
        <v>#N/A</v>
      </c>
      <c r="L545" s="43" t="e">
        <f t="shared" si="160"/>
        <v>#N/A</v>
      </c>
      <c r="M545" s="43" t="e">
        <f t="shared" si="161"/>
        <v>#N/A</v>
      </c>
      <c r="N545" s="43" t="e">
        <f t="shared" si="162"/>
        <v>#N/A</v>
      </c>
      <c r="O545" s="43" t="e">
        <f t="shared" si="163"/>
        <v>#N/A</v>
      </c>
      <c r="P545" s="43" t="e">
        <f t="shared" si="164"/>
        <v>#N/A</v>
      </c>
      <c r="Q545" s="43" t="e">
        <f t="shared" si="165"/>
        <v>#N/A</v>
      </c>
      <c r="R545" s="63" t="e">
        <f t="shared" si="166"/>
        <v>#N/A</v>
      </c>
      <c r="U545" s="1601"/>
      <c r="V545" s="28">
        <v>85</v>
      </c>
      <c r="W545" s="43" t="e" cm="1">
        <f t="array" ref="W545">VLOOKUP(MAX(IF('Courbe Déflexion'!$GJ$25:$GJ$305&lt;=V545,'Courbe Déflexion'!$GJ$25:$GJ$305)),'Courbe Déflexion'!$GJ$25:$IA$305,5,0)</f>
        <v>#N/A</v>
      </c>
      <c r="X545" s="43">
        <f>VLOOKUP(X$84,'Infos Techniques'!$B$7:$E$12,3,0)/($V545*$X$352/12)</f>
        <v>3.9215686274509802</v>
      </c>
      <c r="Y545" s="43">
        <f>VLOOKUP(Y$84,'Infos Techniques'!$B$7:$E$12,3,0)/($V545*$X$352/12)</f>
        <v>2.7058823529411766</v>
      </c>
      <c r="Z545" s="43">
        <f>VLOOKUP(Z$84,'Infos Techniques'!$B$7:$E$12,3,0)/($V545*$X$352/12)</f>
        <v>2.2745098039215685</v>
      </c>
      <c r="AA545" s="43">
        <f>VLOOKUP(AA$84,'Infos Techniques'!$B$7:$E$12,3,0)/($V545*$X$352/12)</f>
        <v>1.6235294117647059</v>
      </c>
      <c r="AB545" s="43">
        <f>VLOOKUP(AB$84,'Infos Techniques'!$B$7:$E$12,3,0)/($V545*$X$352/12)</f>
        <v>1.2980392156862746</v>
      </c>
      <c r="AC545" s="43">
        <f>VLOOKUP(AC$84,'Infos Techniques'!$B$7:$E$12,2,0)/($V545*$X$352/12)</f>
        <v>4.7058823529411766</v>
      </c>
      <c r="AD545" s="43">
        <f>VLOOKUP(AD$84,'Infos Techniques'!$B$7:$E$12,2,0)/($V545*$X$352/12)</f>
        <v>4.7058823529411766</v>
      </c>
      <c r="AE545" s="43">
        <f>VLOOKUP(AE$84,'Infos Techniques'!$B$7:$E$12,2,0)/($V545*$X$352/12)</f>
        <v>4.5490196078431371</v>
      </c>
      <c r="AF545" s="43">
        <f>VLOOKUP(AF$84,'Infos Techniques'!$B$7:$E$12,2,0)/($V545*$X$352/12)</f>
        <v>3.2509803921568627</v>
      </c>
      <c r="AG545" s="43">
        <f>VLOOKUP(AG$84,'Infos Techniques'!$B$7:$E$12,2,0)/($V545*$X$352/12)</f>
        <v>2.6</v>
      </c>
      <c r="AH545" s="43">
        <f>VLOOKUP(AH$84,'Infos Techniques'!$B$7:$E$12,4,0)/($V545*$X$352/12)</f>
        <v>5.882352941176471</v>
      </c>
      <c r="AI545" s="43">
        <f>VLOOKUP(AI$84,'Infos Techniques'!$B$7:$E$12,4,0)/($V545*$X$352/12)</f>
        <v>5.882352941176471</v>
      </c>
      <c r="AJ545" s="43">
        <f>VLOOKUP(AJ$84,'Infos Techniques'!$B$7:$E$12,4,0)/($V545*$X$352/12)</f>
        <v>5.882352941176471</v>
      </c>
      <c r="AK545" s="43">
        <f>VLOOKUP(AK$84,'Infos Techniques'!$B$7:$E$12,4,0)/($V545*$X$352/12)</f>
        <v>3.2509803921568627</v>
      </c>
      <c r="AL545" s="63">
        <f>VLOOKUP(AL$84,'Infos Techniques'!$B$7:$E$12,4,0)/($V545*$X$352/12)</f>
        <v>2.6</v>
      </c>
    </row>
    <row r="546" spans="2:38">
      <c r="B546" s="1849"/>
      <c r="C546" s="70">
        <v>90</v>
      </c>
      <c r="D546" s="76" t="e">
        <f t="shared" si="167"/>
        <v>#N/A</v>
      </c>
      <c r="E546" s="43" t="e">
        <f t="shared" si="153"/>
        <v>#N/A</v>
      </c>
      <c r="F546" s="43" t="e">
        <f t="shared" si="154"/>
        <v>#N/A</v>
      </c>
      <c r="G546" s="43" t="e">
        <f t="shared" si="155"/>
        <v>#N/A</v>
      </c>
      <c r="H546" s="43" t="e">
        <f t="shared" si="156"/>
        <v>#N/A</v>
      </c>
      <c r="I546" s="43" t="e">
        <f t="shared" si="157"/>
        <v>#N/A</v>
      </c>
      <c r="J546" s="43" t="e">
        <f t="shared" si="158"/>
        <v>#N/A</v>
      </c>
      <c r="K546" s="43" t="e">
        <f t="shared" si="159"/>
        <v>#N/A</v>
      </c>
      <c r="L546" s="43" t="e">
        <f t="shared" si="160"/>
        <v>#N/A</v>
      </c>
      <c r="M546" s="43" t="e">
        <f t="shared" si="161"/>
        <v>#N/A</v>
      </c>
      <c r="N546" s="43" t="e">
        <f t="shared" si="162"/>
        <v>#N/A</v>
      </c>
      <c r="O546" s="43" t="e">
        <f t="shared" si="163"/>
        <v>#N/A</v>
      </c>
      <c r="P546" s="43" t="e">
        <f t="shared" si="164"/>
        <v>#N/A</v>
      </c>
      <c r="Q546" s="43" t="e">
        <f t="shared" si="165"/>
        <v>#N/A</v>
      </c>
      <c r="R546" s="63" t="e">
        <f t="shared" si="166"/>
        <v>#N/A</v>
      </c>
      <c r="U546" s="1601"/>
      <c r="V546" s="28">
        <v>90</v>
      </c>
      <c r="W546" s="43" t="e" cm="1">
        <f t="array" ref="W546">VLOOKUP(MAX(IF('Courbe Déflexion'!$GJ$25:$GJ$305&lt;=V546,'Courbe Déflexion'!$GJ$25:$GJ$305)),'Courbe Déflexion'!$GJ$25:$IA$305,5,0)</f>
        <v>#N/A</v>
      </c>
      <c r="X546" s="43">
        <f>VLOOKUP(X$84,'Infos Techniques'!$B$7:$E$12,3,0)/($V546*$X$352/12)</f>
        <v>3.7037037037037037</v>
      </c>
      <c r="Y546" s="43">
        <f>VLOOKUP(Y$84,'Infos Techniques'!$B$7:$E$12,3,0)/($V546*$X$352/12)</f>
        <v>2.5555555555555554</v>
      </c>
      <c r="Z546" s="43">
        <f>VLOOKUP(Z$84,'Infos Techniques'!$B$7:$E$12,3,0)/($V546*$X$352/12)</f>
        <v>2.1481481481481484</v>
      </c>
      <c r="AA546" s="43">
        <f>VLOOKUP(AA$84,'Infos Techniques'!$B$7:$E$12,3,0)/($V546*$X$352/12)</f>
        <v>1.5333333333333334</v>
      </c>
      <c r="AB546" s="43">
        <f>VLOOKUP(AB$84,'Infos Techniques'!$B$7:$E$12,3,0)/($V546*$X$352/12)</f>
        <v>1.2259259259259259</v>
      </c>
      <c r="AC546" s="43">
        <f>VLOOKUP(AC$84,'Infos Techniques'!$B$7:$E$12,2,0)/($V546*$X$352/12)</f>
        <v>4.4444444444444446</v>
      </c>
      <c r="AD546" s="43">
        <f>VLOOKUP(AD$84,'Infos Techniques'!$B$7:$E$12,2,0)/($V546*$X$352/12)</f>
        <v>4.4444444444444446</v>
      </c>
      <c r="AE546" s="43">
        <f>VLOOKUP(AE$84,'Infos Techniques'!$B$7:$E$12,2,0)/($V546*$X$352/12)</f>
        <v>4.2962962962962967</v>
      </c>
      <c r="AF546" s="43">
        <f>VLOOKUP(AF$84,'Infos Techniques'!$B$7:$E$12,2,0)/($V546*$X$352/12)</f>
        <v>3.0703703703703704</v>
      </c>
      <c r="AG546" s="43">
        <f>VLOOKUP(AG$84,'Infos Techniques'!$B$7:$E$12,2,0)/($V546*$X$352/12)</f>
        <v>2.4555555555555557</v>
      </c>
      <c r="AH546" s="43">
        <f>VLOOKUP(AH$84,'Infos Techniques'!$B$7:$E$12,4,0)/($V546*$X$352/12)</f>
        <v>5.5555555555555554</v>
      </c>
      <c r="AI546" s="43">
        <f>VLOOKUP(AI$84,'Infos Techniques'!$B$7:$E$12,4,0)/($V546*$X$352/12)</f>
        <v>5.5555555555555554</v>
      </c>
      <c r="AJ546" s="43">
        <f>VLOOKUP(AJ$84,'Infos Techniques'!$B$7:$E$12,4,0)/($V546*$X$352/12)</f>
        <v>5.5555555555555554</v>
      </c>
      <c r="AK546" s="43">
        <f>VLOOKUP(AK$84,'Infos Techniques'!$B$7:$E$12,4,0)/($V546*$X$352/12)</f>
        <v>3.0703703703703704</v>
      </c>
      <c r="AL546" s="63">
        <f>VLOOKUP(AL$84,'Infos Techniques'!$B$7:$E$12,4,0)/($V546*$X$352/12)</f>
        <v>2.4555555555555557</v>
      </c>
    </row>
    <row r="547" spans="2:38">
      <c r="B547" s="1849"/>
      <c r="C547" s="70">
        <v>95</v>
      </c>
      <c r="D547" s="76" t="e">
        <f t="shared" si="167"/>
        <v>#N/A</v>
      </c>
      <c r="E547" s="43" t="e">
        <f t="shared" si="153"/>
        <v>#N/A</v>
      </c>
      <c r="F547" s="43" t="e">
        <f t="shared" si="154"/>
        <v>#N/A</v>
      </c>
      <c r="G547" s="43" t="e">
        <f t="shared" si="155"/>
        <v>#N/A</v>
      </c>
      <c r="H547" s="43" t="e">
        <f t="shared" si="156"/>
        <v>#N/A</v>
      </c>
      <c r="I547" s="43" t="e">
        <f t="shared" si="157"/>
        <v>#N/A</v>
      </c>
      <c r="J547" s="43" t="e">
        <f t="shared" si="158"/>
        <v>#N/A</v>
      </c>
      <c r="K547" s="43" t="e">
        <f t="shared" si="159"/>
        <v>#N/A</v>
      </c>
      <c r="L547" s="43" t="e">
        <f t="shared" si="160"/>
        <v>#N/A</v>
      </c>
      <c r="M547" s="43" t="e">
        <f t="shared" si="161"/>
        <v>#N/A</v>
      </c>
      <c r="N547" s="43" t="e">
        <f t="shared" si="162"/>
        <v>#N/A</v>
      </c>
      <c r="O547" s="43" t="e">
        <f t="shared" si="163"/>
        <v>#N/A</v>
      </c>
      <c r="P547" s="43" t="e">
        <f t="shared" si="164"/>
        <v>#N/A</v>
      </c>
      <c r="Q547" s="43" t="e">
        <f t="shared" si="165"/>
        <v>#N/A</v>
      </c>
      <c r="R547" s="63" t="e">
        <f t="shared" si="166"/>
        <v>#N/A</v>
      </c>
      <c r="U547" s="1601"/>
      <c r="V547" s="28">
        <v>95</v>
      </c>
      <c r="W547" s="43" t="e" cm="1">
        <f t="array" ref="W547">VLOOKUP(MAX(IF('Courbe Déflexion'!$GJ$25:$GJ$305&lt;=V547,'Courbe Déflexion'!$GJ$25:$GJ$305)),'Courbe Déflexion'!$GJ$25:$IA$305,5,0)</f>
        <v>#N/A</v>
      </c>
      <c r="X547" s="43">
        <f>VLOOKUP(X$84,'Infos Techniques'!$B$7:$E$12,3,0)/($V547*$X$352/12)</f>
        <v>3.5087719298245612</v>
      </c>
      <c r="Y547" s="43">
        <f>VLOOKUP(Y$84,'Infos Techniques'!$B$7:$E$12,3,0)/($V547*$X$352/12)</f>
        <v>2.4210526315789473</v>
      </c>
      <c r="Z547" s="43">
        <f>VLOOKUP(Z$84,'Infos Techniques'!$B$7:$E$12,3,0)/($V547*$X$352/12)</f>
        <v>2.0350877192982457</v>
      </c>
      <c r="AA547" s="43">
        <f>VLOOKUP(AA$84,'Infos Techniques'!$B$7:$E$12,3,0)/($V547*$X$352/12)</f>
        <v>1.4526315789473685</v>
      </c>
      <c r="AB547" s="43">
        <f>VLOOKUP(AB$84,'Infos Techniques'!$B$7:$E$12,3,0)/($V547*$X$352/12)</f>
        <v>1.1614035087719299</v>
      </c>
      <c r="AC547" s="43">
        <f>VLOOKUP(AC$84,'Infos Techniques'!$B$7:$E$12,2,0)/($V547*$X$352/12)</f>
        <v>4.2105263157894735</v>
      </c>
      <c r="AD547" s="43">
        <f>VLOOKUP(AD$84,'Infos Techniques'!$B$7:$E$12,2,0)/($V547*$X$352/12)</f>
        <v>4.2105263157894735</v>
      </c>
      <c r="AE547" s="43">
        <f>VLOOKUP(AE$84,'Infos Techniques'!$B$7:$E$12,2,0)/($V547*$X$352/12)</f>
        <v>4.0701754385964914</v>
      </c>
      <c r="AF547" s="43">
        <f>VLOOKUP(AF$84,'Infos Techniques'!$B$7:$E$12,2,0)/($V547*$X$352/12)</f>
        <v>2.9087719298245616</v>
      </c>
      <c r="AG547" s="43">
        <f>VLOOKUP(AG$84,'Infos Techniques'!$B$7:$E$12,2,0)/($V547*$X$352/12)</f>
        <v>2.3263157894736843</v>
      </c>
      <c r="AH547" s="43">
        <f>VLOOKUP(AH$84,'Infos Techniques'!$B$7:$E$12,4,0)/($V547*$X$352/12)</f>
        <v>5.2631578947368425</v>
      </c>
      <c r="AI547" s="43">
        <f>VLOOKUP(AI$84,'Infos Techniques'!$B$7:$E$12,4,0)/($V547*$X$352/12)</f>
        <v>5.2631578947368425</v>
      </c>
      <c r="AJ547" s="43">
        <f>VLOOKUP(AJ$84,'Infos Techniques'!$B$7:$E$12,4,0)/($V547*$X$352/12)</f>
        <v>5.2631578947368425</v>
      </c>
      <c r="AK547" s="43">
        <f>VLOOKUP(AK$84,'Infos Techniques'!$B$7:$E$12,4,0)/($V547*$X$352/12)</f>
        <v>2.9087719298245616</v>
      </c>
      <c r="AL547" s="63">
        <f>VLOOKUP(AL$84,'Infos Techniques'!$B$7:$E$12,4,0)/($V547*$X$352/12)</f>
        <v>2.3263157894736843</v>
      </c>
    </row>
    <row r="548" spans="2:38" ht="15" thickBot="1">
      <c r="B548" s="1850"/>
      <c r="C548" s="73">
        <v>100</v>
      </c>
      <c r="D548" s="79" t="e">
        <f t="shared" si="167"/>
        <v>#N/A</v>
      </c>
      <c r="E548" s="45" t="e">
        <f t="shared" si="153"/>
        <v>#N/A</v>
      </c>
      <c r="F548" s="45" t="e">
        <f t="shared" si="154"/>
        <v>#N/A</v>
      </c>
      <c r="G548" s="45" t="e">
        <f t="shared" si="155"/>
        <v>#N/A</v>
      </c>
      <c r="H548" s="45" t="e">
        <f t="shared" si="156"/>
        <v>#N/A</v>
      </c>
      <c r="I548" s="45" t="e">
        <f t="shared" si="157"/>
        <v>#N/A</v>
      </c>
      <c r="J548" s="45" t="e">
        <f t="shared" si="158"/>
        <v>#N/A</v>
      </c>
      <c r="K548" s="45" t="e">
        <f t="shared" si="159"/>
        <v>#N/A</v>
      </c>
      <c r="L548" s="45" t="e">
        <f t="shared" si="160"/>
        <v>#N/A</v>
      </c>
      <c r="M548" s="45" t="e">
        <f t="shared" si="161"/>
        <v>#N/A</v>
      </c>
      <c r="N548" s="45" t="e">
        <f t="shared" si="162"/>
        <v>#N/A</v>
      </c>
      <c r="O548" s="45" t="e">
        <f t="shared" si="163"/>
        <v>#N/A</v>
      </c>
      <c r="P548" s="45" t="e">
        <f t="shared" si="164"/>
        <v>#N/A</v>
      </c>
      <c r="Q548" s="45" t="e">
        <f t="shared" si="165"/>
        <v>#N/A</v>
      </c>
      <c r="R548" s="66" t="e">
        <f t="shared" si="166"/>
        <v>#N/A</v>
      </c>
      <c r="U548" s="1602"/>
      <c r="V548" s="44">
        <v>100</v>
      </c>
      <c r="W548" s="45" t="e" cm="1">
        <f t="array" ref="W548">VLOOKUP(MAX(IF('Courbe Déflexion'!$GJ$25:$GJ$305&lt;=V548,'Courbe Déflexion'!$GJ$25:$GJ$305)),'Courbe Déflexion'!$GJ$25:$IA$305,5,0)</f>
        <v>#N/A</v>
      </c>
      <c r="X548" s="45">
        <f>VLOOKUP(X$84,'Infos Techniques'!$B$7:$E$12,3,0)/($V548*$X$352/12)</f>
        <v>3.3333333333333335</v>
      </c>
      <c r="Y548" s="45">
        <f>VLOOKUP(Y$84,'Infos Techniques'!$B$7:$E$12,3,0)/($V548*$X$352/12)</f>
        <v>2.2999999999999998</v>
      </c>
      <c r="Z548" s="45">
        <f>VLOOKUP(Z$84,'Infos Techniques'!$B$7:$E$12,3,0)/($V548*$X$352/12)</f>
        <v>1.9333333333333333</v>
      </c>
      <c r="AA548" s="45">
        <f>VLOOKUP(AA$84,'Infos Techniques'!$B$7:$E$12,3,0)/($V548*$X$352/12)</f>
        <v>1.38</v>
      </c>
      <c r="AB548" s="45">
        <f>VLOOKUP(AB$84,'Infos Techniques'!$B$7:$E$12,3,0)/($V548*$X$352/12)</f>
        <v>1.1033333333333333</v>
      </c>
      <c r="AC548" s="45">
        <f>VLOOKUP(AC$84,'Infos Techniques'!$B$7:$E$12,2,0)/($V548*$X$352/12)</f>
        <v>4</v>
      </c>
      <c r="AD548" s="45">
        <f>VLOOKUP(AD$84,'Infos Techniques'!$B$7:$E$12,2,0)/($V548*$X$352/12)</f>
        <v>4</v>
      </c>
      <c r="AE548" s="45">
        <f>VLOOKUP(AE$84,'Infos Techniques'!$B$7:$E$12,2,0)/($V548*$X$352/12)</f>
        <v>3.8666666666666667</v>
      </c>
      <c r="AF548" s="45">
        <f>VLOOKUP(AF$84,'Infos Techniques'!$B$7:$E$12,2,0)/($V548*$X$352/12)</f>
        <v>2.7633333333333332</v>
      </c>
      <c r="AG548" s="45">
        <f>VLOOKUP(AG$84,'Infos Techniques'!$B$7:$E$12,2,0)/($V548*$X$352/12)</f>
        <v>2.21</v>
      </c>
      <c r="AH548" s="45">
        <f>VLOOKUP(AH$84,'Infos Techniques'!$B$7:$E$12,4,0)/($V548*$X$352/12)</f>
        <v>5</v>
      </c>
      <c r="AI548" s="45">
        <f>VLOOKUP(AI$84,'Infos Techniques'!$B$7:$E$12,4,0)/($V548*$X$352/12)</f>
        <v>5</v>
      </c>
      <c r="AJ548" s="45">
        <f>VLOOKUP(AJ$84,'Infos Techniques'!$B$7:$E$12,4,0)/($V548*$X$352/12)</f>
        <v>5</v>
      </c>
      <c r="AK548" s="45">
        <f>VLOOKUP(AK$84,'Infos Techniques'!$B$7:$E$12,4,0)/($V548*$X$352/12)</f>
        <v>2.7633333333333332</v>
      </c>
      <c r="AL548" s="66">
        <f>VLOOKUP(AL$84,'Infos Techniques'!$B$7:$E$12,4,0)/($V548*$X$352/12)</f>
        <v>2.21</v>
      </c>
    </row>
    <row r="549" spans="2:38" ht="15" thickTop="1"/>
    <row r="564" spans="1:38" ht="25.9">
      <c r="A564" s="1802" t="s">
        <v>1686</v>
      </c>
      <c r="B564" s="1802"/>
      <c r="C564" s="1802"/>
      <c r="D564" s="1802"/>
      <c r="E564" s="1802"/>
      <c r="F564" s="1802"/>
      <c r="G564" s="1802"/>
      <c r="H564" s="1802"/>
      <c r="I564" s="1802"/>
      <c r="J564" s="1802"/>
      <c r="K564" s="1802"/>
      <c r="L564" s="1802"/>
      <c r="M564" s="1802"/>
      <c r="N564" s="1802"/>
    </row>
    <row r="565" spans="1:38" ht="25.9">
      <c r="B565" s="262"/>
      <c r="C565" s="263"/>
      <c r="D565" s="263"/>
      <c r="E565" s="263"/>
      <c r="F565" s="263"/>
      <c r="G565" s="263"/>
      <c r="H565" s="263"/>
      <c r="I565" s="263"/>
      <c r="J565" s="263"/>
      <c r="K565" s="263"/>
      <c r="L565" s="263"/>
      <c r="M565" s="263"/>
      <c r="N565" s="263"/>
    </row>
    <row r="566" spans="1:38" ht="26.45" thickBot="1">
      <c r="B566" s="1803" t="s">
        <v>1662</v>
      </c>
      <c r="C566" s="1803"/>
      <c r="D566" s="1803"/>
      <c r="E566" s="1803"/>
      <c r="F566" s="1803"/>
      <c r="G566" s="1803"/>
      <c r="H566" s="1803"/>
      <c r="I566" s="1803"/>
      <c r="J566" s="1803"/>
      <c r="K566" s="1803"/>
      <c r="L566" s="1803"/>
      <c r="M566" s="1803"/>
      <c r="N566" s="264"/>
    </row>
    <row r="567" spans="1:38" ht="15.6" thickTop="1" thickBot="1">
      <c r="U567" s="1808"/>
      <c r="V567" s="1809"/>
      <c r="W567" s="1606" t="s">
        <v>315</v>
      </c>
      <c r="X567" s="1606" t="s">
        <v>263</v>
      </c>
      <c r="Y567" s="1606"/>
      <c r="Z567" s="1606"/>
      <c r="AA567" s="1606"/>
      <c r="AB567" s="1606"/>
      <c r="AC567" s="1606"/>
      <c r="AD567" s="1606"/>
      <c r="AE567" s="1606"/>
      <c r="AF567" s="1606"/>
      <c r="AG567" s="1606"/>
      <c r="AH567" s="1606"/>
      <c r="AI567" s="1606"/>
      <c r="AJ567" s="1606"/>
      <c r="AK567" s="1606"/>
      <c r="AL567" s="1832"/>
    </row>
    <row r="568" spans="1:38" ht="22.15" thickTop="1" thickBot="1">
      <c r="B568" s="1812"/>
      <c r="C568" s="1813"/>
      <c r="D568" s="1817" t="s">
        <v>263</v>
      </c>
      <c r="E568" s="1818"/>
      <c r="F568" s="1818"/>
      <c r="G568" s="1818"/>
      <c r="H568" s="1818"/>
      <c r="I568" s="1818"/>
      <c r="J568" s="1818"/>
      <c r="K568" s="1818"/>
      <c r="L568" s="1818"/>
      <c r="M568" s="1819"/>
      <c r="U568" s="1810"/>
      <c r="V568" s="1811"/>
      <c r="W568" s="1571"/>
      <c r="X568" s="54"/>
      <c r="Y568" s="55"/>
      <c r="Z568" s="55"/>
      <c r="AA568" s="55"/>
      <c r="AB568" s="56"/>
      <c r="AC568" s="54"/>
      <c r="AD568" s="55"/>
      <c r="AE568" s="55"/>
      <c r="AF568" s="55"/>
      <c r="AG568" s="56"/>
      <c r="AH568" s="54"/>
      <c r="AI568" s="55"/>
      <c r="AJ568" s="55"/>
      <c r="AK568" s="55"/>
      <c r="AL568" s="57"/>
    </row>
    <row r="569" spans="1:38" ht="16.149999999999999" thickBot="1">
      <c r="B569" s="1814"/>
      <c r="C569" s="1397"/>
      <c r="D569" s="1820" t="s">
        <v>321</v>
      </c>
      <c r="E569" s="1821"/>
      <c r="F569" s="1821"/>
      <c r="G569" s="1821"/>
      <c r="H569" s="1822"/>
      <c r="I569" s="1823" t="s">
        <v>322</v>
      </c>
      <c r="J569" s="1821"/>
      <c r="K569" s="1821"/>
      <c r="L569" s="1821"/>
      <c r="M569" s="1824"/>
      <c r="U569" s="1646"/>
      <c r="V569" s="1113"/>
      <c r="W569" s="1603"/>
      <c r="X569" s="1833" t="s">
        <v>1663</v>
      </c>
      <c r="Y569" s="1834"/>
      <c r="Z569" s="1834"/>
      <c r="AA569" s="1834"/>
      <c r="AB569" s="1835"/>
      <c r="AC569" s="1833" t="s">
        <v>321</v>
      </c>
      <c r="AD569" s="1834"/>
      <c r="AE569" s="1834"/>
      <c r="AF569" s="1834"/>
      <c r="AG569" s="1835"/>
      <c r="AH569" s="1833" t="s">
        <v>322</v>
      </c>
      <c r="AI569" s="1834"/>
      <c r="AJ569" s="1834"/>
      <c r="AK569" s="1834"/>
      <c r="AL569" s="1836"/>
    </row>
    <row r="570" spans="1:38" ht="18" thickTop="1">
      <c r="B570" s="1814"/>
      <c r="C570" s="1397"/>
      <c r="D570" s="1825" t="s">
        <v>1664</v>
      </c>
      <c r="E570" s="1826"/>
      <c r="F570" s="1826"/>
      <c r="G570" s="1826"/>
      <c r="H570" s="1827"/>
      <c r="I570" s="1825" t="s">
        <v>1664</v>
      </c>
      <c r="J570" s="1826"/>
      <c r="K570" s="1826"/>
      <c r="L570" s="1826"/>
      <c r="M570" s="1828"/>
      <c r="U570" s="1646"/>
      <c r="V570" s="1113"/>
      <c r="W570" s="29"/>
      <c r="X570" s="237"/>
      <c r="Y570" s="80"/>
      <c r="Z570" s="80"/>
      <c r="AA570" s="80"/>
      <c r="AB570" s="239"/>
      <c r="AC570" s="237"/>
      <c r="AD570" s="80"/>
      <c r="AE570" s="80"/>
      <c r="AF570" s="80"/>
      <c r="AG570" s="239"/>
      <c r="AH570" s="237"/>
      <c r="AI570" s="80"/>
      <c r="AJ570" s="80"/>
      <c r="AK570" s="80"/>
      <c r="AL570" s="238"/>
    </row>
    <row r="571" spans="1:38" ht="14.45" customHeight="1" thickBot="1">
      <c r="B571" s="1815"/>
      <c r="C571" s="1816"/>
      <c r="D571" s="49" t="s">
        <v>1665</v>
      </c>
      <c r="E571" s="50" t="s">
        <v>1666</v>
      </c>
      <c r="F571" s="50" t="s">
        <v>1667</v>
      </c>
      <c r="G571" s="50" t="s">
        <v>1668</v>
      </c>
      <c r="H571" s="52" t="s">
        <v>1669</v>
      </c>
      <c r="I571" s="49" t="s">
        <v>1670</v>
      </c>
      <c r="J571" s="50" t="s">
        <v>1666</v>
      </c>
      <c r="K571" s="50" t="s">
        <v>1667</v>
      </c>
      <c r="L571" s="50" t="s">
        <v>1668</v>
      </c>
      <c r="M571" s="53" t="s">
        <v>1669</v>
      </c>
      <c r="U571" s="1646"/>
      <c r="V571" s="1113"/>
      <c r="W571" s="29" t="s">
        <v>333</v>
      </c>
      <c r="X571" s="28">
        <v>0.1875</v>
      </c>
      <c r="Y571" s="28" t="s">
        <v>334</v>
      </c>
      <c r="Z571" s="28" t="s">
        <v>335</v>
      </c>
      <c r="AA571" s="28" t="s">
        <v>336</v>
      </c>
      <c r="AB571" s="28" t="s">
        <v>337</v>
      </c>
      <c r="AC571" s="28">
        <v>0.1875</v>
      </c>
      <c r="AD571" s="28" t="s">
        <v>334</v>
      </c>
      <c r="AE571" s="28" t="s">
        <v>335</v>
      </c>
      <c r="AF571" s="28" t="s">
        <v>336</v>
      </c>
      <c r="AG571" s="28" t="s">
        <v>337</v>
      </c>
      <c r="AH571" s="28">
        <v>0.1875</v>
      </c>
      <c r="AI571" s="28" t="s">
        <v>334</v>
      </c>
      <c r="AJ571" s="28" t="s">
        <v>335</v>
      </c>
      <c r="AK571" s="28" t="s">
        <v>336</v>
      </c>
      <c r="AL571" s="40" t="s">
        <v>337</v>
      </c>
    </row>
    <row r="572" spans="1:38">
      <c r="B572" s="1829" t="s">
        <v>1671</v>
      </c>
      <c r="C572" s="69">
        <v>5</v>
      </c>
      <c r="D572" s="59">
        <f>MIN($X$354,AC572,$W572)</f>
        <v>12</v>
      </c>
      <c r="E572" s="59">
        <f t="shared" ref="E572:M587" si="168">MIN($X$354,AD572,$W572)</f>
        <v>12</v>
      </c>
      <c r="F572" s="59">
        <f t="shared" si="168"/>
        <v>12</v>
      </c>
      <c r="G572" s="59">
        <f t="shared" si="168"/>
        <v>12</v>
      </c>
      <c r="H572" s="59">
        <f t="shared" si="168"/>
        <v>12</v>
      </c>
      <c r="I572" s="59">
        <f t="shared" si="168"/>
        <v>12</v>
      </c>
      <c r="J572" s="59">
        <f t="shared" si="168"/>
        <v>12</v>
      </c>
      <c r="K572" s="59">
        <f t="shared" si="168"/>
        <v>12</v>
      </c>
      <c r="L572" s="59">
        <f t="shared" si="168"/>
        <v>12</v>
      </c>
      <c r="M572" s="62">
        <f t="shared" si="168"/>
        <v>12</v>
      </c>
      <c r="U572" s="1601" t="s">
        <v>314</v>
      </c>
      <c r="V572" s="28">
        <v>5</v>
      </c>
      <c r="W572" s="43" t="s">
        <v>1674</v>
      </c>
      <c r="X572" s="276"/>
      <c r="Y572" s="276"/>
      <c r="Z572" s="276"/>
      <c r="AA572" s="276"/>
      <c r="AB572" s="276"/>
      <c r="AC572" s="43">
        <f>VLOOKUP(AC$84,'Infos Techniques'!$B$7:$H$12,5,0)/($V572*$X$352/12)</f>
        <v>50</v>
      </c>
      <c r="AD572" s="43">
        <f>VLOOKUP(AD$84,'Infos Techniques'!$B$7:$H$12,5,0)/($V572*$X$352/12)</f>
        <v>50</v>
      </c>
      <c r="AE572" s="43">
        <f>VLOOKUP(AE$84,'Infos Techniques'!$B$7:$H$12,5,0)/($V572*$X$352/12)</f>
        <v>50</v>
      </c>
      <c r="AF572" s="43">
        <f>VLOOKUP(AF$84,'Infos Techniques'!$B$7:$H$12,5,0)/($V572*$X$352/12)</f>
        <v>50</v>
      </c>
      <c r="AG572" s="43">
        <f>VLOOKUP(AG$84,'Infos Techniques'!$B$7:$H$12,5,0)/($V572*$X$352/12)</f>
        <v>44.2</v>
      </c>
      <c r="AH572" s="43">
        <f>VLOOKUP(AH$84,'Infos Techniques'!$B$7:$H$12,7,0)/($V572*$X$352/12)</f>
        <v>66.666666666666671</v>
      </c>
      <c r="AI572" s="43">
        <f>VLOOKUP(AI$84,'Infos Techniques'!$B$7:$H$12,7,0)/($V572*$X$352/12)</f>
        <v>66.666666666666671</v>
      </c>
      <c r="AJ572" s="43">
        <f>VLOOKUP(AJ$84,'Infos Techniques'!$B$7:$H$12,7,0)/($V572*$X$352/12)</f>
        <v>66.666666666666671</v>
      </c>
      <c r="AK572" s="43">
        <f>VLOOKUP(AK$84,'Infos Techniques'!$B$7:$H$12,7,0)/($V572*$X$352/12)</f>
        <v>50</v>
      </c>
      <c r="AL572" s="63">
        <f>VLOOKUP(AL$84,'Infos Techniques'!$B$7:$H$12,7,0)/($V572*$X$352/12)</f>
        <v>44.2</v>
      </c>
    </row>
    <row r="573" spans="1:38">
      <c r="B573" s="1830"/>
      <c r="C573" s="70">
        <v>10</v>
      </c>
      <c r="D573" s="43" t="e">
        <f t="shared" ref="D573:H590" si="169">MIN($X$354,AC573,$W573)</f>
        <v>#REF!</v>
      </c>
      <c r="E573" s="43" t="e">
        <f t="shared" si="168"/>
        <v>#REF!</v>
      </c>
      <c r="F573" s="43" t="e">
        <f t="shared" si="168"/>
        <v>#REF!</v>
      </c>
      <c r="G573" s="43" t="e">
        <f t="shared" si="168"/>
        <v>#REF!</v>
      </c>
      <c r="H573" s="43" t="e">
        <f t="shared" si="168"/>
        <v>#REF!</v>
      </c>
      <c r="I573" s="43" t="e">
        <f t="shared" ref="I573:M590" si="170">MIN($X$354,AH573,$W573)</f>
        <v>#REF!</v>
      </c>
      <c r="J573" s="43" t="e">
        <f t="shared" si="168"/>
        <v>#REF!</v>
      </c>
      <c r="K573" s="43" t="e">
        <f t="shared" si="168"/>
        <v>#REF!</v>
      </c>
      <c r="L573" s="43" t="e">
        <f t="shared" si="168"/>
        <v>#REF!</v>
      </c>
      <c r="M573" s="63" t="e">
        <f t="shared" si="168"/>
        <v>#REF!</v>
      </c>
      <c r="U573" s="1601"/>
      <c r="V573" s="28">
        <v>10</v>
      </c>
      <c r="W573" s="43" t="e" cm="1">
        <f t="array" ref="W573">VLOOKUP(MAX(IF('Courbe Déflexion'!$GK$5:$GK$285&lt;=V573,'Courbe Déflexion'!$GK$5:$GK$285)),'Courbe Déflexion'!#REF!,4,0)</f>
        <v>#REF!</v>
      </c>
      <c r="X573" s="276"/>
      <c r="Y573" s="276"/>
      <c r="Z573" s="276"/>
      <c r="AA573" s="276"/>
      <c r="AB573" s="276"/>
      <c r="AC573" s="43">
        <f>VLOOKUP(AC$84,'Infos Techniques'!$B$7:$H$12,5,0)/($V573*$X$352/12)</f>
        <v>25</v>
      </c>
      <c r="AD573" s="43">
        <f>VLOOKUP(AD$84,'Infos Techniques'!$B$7:$H$12,5,0)/($V573*$X$352/12)</f>
        <v>25</v>
      </c>
      <c r="AE573" s="43">
        <f>VLOOKUP(AE$84,'Infos Techniques'!$B$7:$H$12,5,0)/($V573*$X$352/12)</f>
        <v>25</v>
      </c>
      <c r="AF573" s="43">
        <f>VLOOKUP(AF$84,'Infos Techniques'!$B$7:$H$12,5,0)/($V573*$X$352/12)</f>
        <v>25</v>
      </c>
      <c r="AG573" s="43">
        <f>VLOOKUP(AG$84,'Infos Techniques'!$B$7:$H$12,5,0)/($V573*$X$352/12)</f>
        <v>22.1</v>
      </c>
      <c r="AH573" s="43">
        <f>VLOOKUP(AH$84,'Infos Techniques'!$B$7:$H$12,7,0)/($V573*$X$352/12)</f>
        <v>33.333333333333336</v>
      </c>
      <c r="AI573" s="43">
        <f>VLOOKUP(AI$84,'Infos Techniques'!$B$7:$H$12,7,0)/($V573*$X$352/12)</f>
        <v>33.333333333333336</v>
      </c>
      <c r="AJ573" s="43">
        <f>VLOOKUP(AJ$84,'Infos Techniques'!$B$7:$H$12,7,0)/($V573*$X$352/12)</f>
        <v>33.333333333333336</v>
      </c>
      <c r="AK573" s="43">
        <f>VLOOKUP(AK$84,'Infos Techniques'!$B$7:$H$12,7,0)/($V573*$X$352/12)</f>
        <v>25</v>
      </c>
      <c r="AL573" s="63">
        <f>VLOOKUP(AL$84,'Infos Techniques'!$B$7:$H$12,7,0)/($V573*$X$352/12)</f>
        <v>22.1</v>
      </c>
    </row>
    <row r="574" spans="1:38">
      <c r="B574" s="1830"/>
      <c r="C574" s="70">
        <v>15</v>
      </c>
      <c r="D574" s="43" t="e">
        <f t="shared" si="169"/>
        <v>#REF!</v>
      </c>
      <c r="E574" s="43" t="e">
        <f t="shared" si="168"/>
        <v>#REF!</v>
      </c>
      <c r="F574" s="43" t="e">
        <f t="shared" si="168"/>
        <v>#REF!</v>
      </c>
      <c r="G574" s="43" t="e">
        <f t="shared" si="168"/>
        <v>#REF!</v>
      </c>
      <c r="H574" s="43" t="e">
        <f t="shared" si="168"/>
        <v>#REF!</v>
      </c>
      <c r="I574" s="43" t="e">
        <f t="shared" si="170"/>
        <v>#REF!</v>
      </c>
      <c r="J574" s="43" t="e">
        <f t="shared" si="168"/>
        <v>#REF!</v>
      </c>
      <c r="K574" s="43" t="e">
        <f t="shared" si="168"/>
        <v>#REF!</v>
      </c>
      <c r="L574" s="43" t="e">
        <f t="shared" si="168"/>
        <v>#REF!</v>
      </c>
      <c r="M574" s="63" t="e">
        <f t="shared" si="168"/>
        <v>#REF!</v>
      </c>
      <c r="U574" s="1601"/>
      <c r="V574" s="28">
        <v>15</v>
      </c>
      <c r="W574" s="43" t="e" cm="1">
        <f t="array" ref="W574">VLOOKUP(MAX(IF('Courbe Déflexion'!$GK$5:$GK$285&lt;=V574,'Courbe Déflexion'!$GK$5:$GK$285)),'Courbe Déflexion'!#REF!,4,0)</f>
        <v>#REF!</v>
      </c>
      <c r="X574" s="276"/>
      <c r="Y574" s="276"/>
      <c r="Z574" s="276"/>
      <c r="AA574" s="276"/>
      <c r="AB574" s="276"/>
      <c r="AC574" s="43">
        <f>VLOOKUP(AC$84,'Infos Techniques'!$B$7:$H$12,5,0)/($V574*$X$352/12)</f>
        <v>16.666666666666668</v>
      </c>
      <c r="AD574" s="43">
        <f>VLOOKUP(AD$84,'Infos Techniques'!$B$7:$H$12,5,0)/($V574*$X$352/12)</f>
        <v>16.666666666666668</v>
      </c>
      <c r="AE574" s="43">
        <f>VLOOKUP(AE$84,'Infos Techniques'!$B$7:$H$12,5,0)/($V574*$X$352/12)</f>
        <v>16.666666666666668</v>
      </c>
      <c r="AF574" s="43">
        <f>VLOOKUP(AF$84,'Infos Techniques'!$B$7:$H$12,5,0)/($V574*$X$352/12)</f>
        <v>16.666666666666668</v>
      </c>
      <c r="AG574" s="43">
        <f>VLOOKUP(AG$84,'Infos Techniques'!$B$7:$H$12,5,0)/($V574*$X$352/12)</f>
        <v>14.733333333333333</v>
      </c>
      <c r="AH574" s="43">
        <f>VLOOKUP(AH$84,'Infos Techniques'!$B$7:$H$12,7,0)/($V574*$X$352/12)</f>
        <v>22.222222222222221</v>
      </c>
      <c r="AI574" s="43">
        <f>VLOOKUP(AI$84,'Infos Techniques'!$B$7:$H$12,7,0)/($V574*$X$352/12)</f>
        <v>22.222222222222221</v>
      </c>
      <c r="AJ574" s="43">
        <f>VLOOKUP(AJ$84,'Infos Techniques'!$B$7:$H$12,7,0)/($V574*$X$352/12)</f>
        <v>22.222222222222221</v>
      </c>
      <c r="AK574" s="43">
        <f>VLOOKUP(AK$84,'Infos Techniques'!$B$7:$H$12,7,0)/($V574*$X$352/12)</f>
        <v>16.666666666666668</v>
      </c>
      <c r="AL574" s="63">
        <f>VLOOKUP(AL$84,'Infos Techniques'!$B$7:$H$12,7,0)/($V574*$X$352/12)</f>
        <v>14.733333333333333</v>
      </c>
    </row>
    <row r="575" spans="1:38">
      <c r="B575" s="1830"/>
      <c r="C575" s="70">
        <v>20</v>
      </c>
      <c r="D575" s="43" t="e">
        <f t="shared" si="169"/>
        <v>#REF!</v>
      </c>
      <c r="E575" s="43" t="e">
        <f t="shared" si="168"/>
        <v>#REF!</v>
      </c>
      <c r="F575" s="43" t="e">
        <f t="shared" si="168"/>
        <v>#REF!</v>
      </c>
      <c r="G575" s="43" t="e">
        <f t="shared" si="168"/>
        <v>#REF!</v>
      </c>
      <c r="H575" s="43" t="e">
        <f t="shared" si="168"/>
        <v>#REF!</v>
      </c>
      <c r="I575" s="43" t="e">
        <f t="shared" si="170"/>
        <v>#REF!</v>
      </c>
      <c r="J575" s="43" t="e">
        <f t="shared" si="168"/>
        <v>#REF!</v>
      </c>
      <c r="K575" s="43" t="e">
        <f t="shared" si="168"/>
        <v>#REF!</v>
      </c>
      <c r="L575" s="43" t="e">
        <f t="shared" si="168"/>
        <v>#REF!</v>
      </c>
      <c r="M575" s="63" t="e">
        <f t="shared" si="168"/>
        <v>#REF!</v>
      </c>
      <c r="U575" s="1601"/>
      <c r="V575" s="28">
        <v>20</v>
      </c>
      <c r="W575" s="43" t="e" cm="1">
        <f t="array" ref="W575">VLOOKUP(MAX(IF('Courbe Déflexion'!$GK$5:$GK$285&lt;=V575,'Courbe Déflexion'!$GK$5:$GK$285)),'Courbe Déflexion'!#REF!,4,0)</f>
        <v>#REF!</v>
      </c>
      <c r="X575" s="276"/>
      <c r="Y575" s="276"/>
      <c r="Z575" s="276"/>
      <c r="AA575" s="276"/>
      <c r="AB575" s="276"/>
      <c r="AC575" s="43">
        <f>VLOOKUP(AC$84,'Infos Techniques'!$B$7:$H$12,5,0)/($V575*$X$352/12)</f>
        <v>12.5</v>
      </c>
      <c r="AD575" s="43">
        <f>VLOOKUP(AD$84,'Infos Techniques'!$B$7:$H$12,5,0)/($V575*$X$352/12)</f>
        <v>12.5</v>
      </c>
      <c r="AE575" s="43">
        <f>VLOOKUP(AE$84,'Infos Techniques'!$B$7:$H$12,5,0)/($V575*$X$352/12)</f>
        <v>12.5</v>
      </c>
      <c r="AF575" s="43">
        <f>VLOOKUP(AF$84,'Infos Techniques'!$B$7:$H$12,5,0)/($V575*$X$352/12)</f>
        <v>12.5</v>
      </c>
      <c r="AG575" s="43">
        <f>VLOOKUP(AG$84,'Infos Techniques'!$B$7:$H$12,5,0)/($V575*$X$352/12)</f>
        <v>11.05</v>
      </c>
      <c r="AH575" s="43">
        <f>VLOOKUP(AH$84,'Infos Techniques'!$B$7:$H$12,7,0)/($V575*$X$352/12)</f>
        <v>16.666666666666668</v>
      </c>
      <c r="AI575" s="43">
        <f>VLOOKUP(AI$84,'Infos Techniques'!$B$7:$H$12,7,0)/($V575*$X$352/12)</f>
        <v>16.666666666666668</v>
      </c>
      <c r="AJ575" s="43">
        <f>VLOOKUP(AJ$84,'Infos Techniques'!$B$7:$H$12,7,0)/($V575*$X$352/12)</f>
        <v>16.666666666666668</v>
      </c>
      <c r="AK575" s="43">
        <f>VLOOKUP(AK$84,'Infos Techniques'!$B$7:$H$12,7,0)/($V575*$X$352/12)</f>
        <v>12.5</v>
      </c>
      <c r="AL575" s="63">
        <f>VLOOKUP(AL$84,'Infos Techniques'!$B$7:$H$12,7,0)/($V575*$X$352/12)</f>
        <v>11.05</v>
      </c>
    </row>
    <row r="576" spans="1:38" ht="15" thickBot="1">
      <c r="B576" s="1830"/>
      <c r="C576" s="71">
        <v>25</v>
      </c>
      <c r="D576" s="43" t="e">
        <f t="shared" si="169"/>
        <v>#REF!</v>
      </c>
      <c r="E576" s="43" t="e">
        <f t="shared" si="168"/>
        <v>#REF!</v>
      </c>
      <c r="F576" s="43" t="e">
        <f t="shared" si="168"/>
        <v>#REF!</v>
      </c>
      <c r="G576" s="43" t="e">
        <f t="shared" si="168"/>
        <v>#REF!</v>
      </c>
      <c r="H576" s="43" t="e">
        <f t="shared" si="168"/>
        <v>#REF!</v>
      </c>
      <c r="I576" s="43" t="e">
        <f t="shared" si="170"/>
        <v>#REF!</v>
      </c>
      <c r="J576" s="43" t="e">
        <f t="shared" si="168"/>
        <v>#REF!</v>
      </c>
      <c r="K576" s="43" t="e">
        <f t="shared" si="168"/>
        <v>#REF!</v>
      </c>
      <c r="L576" s="43" t="e">
        <f t="shared" si="168"/>
        <v>#REF!</v>
      </c>
      <c r="M576" s="63" t="e">
        <f t="shared" si="168"/>
        <v>#REF!</v>
      </c>
      <c r="U576" s="1601"/>
      <c r="V576" s="28">
        <v>25</v>
      </c>
      <c r="W576" s="43" t="e" cm="1">
        <f t="array" ref="W576">VLOOKUP(MAX(IF('Courbe Déflexion'!$GK$5:$GK$285&lt;=V576,'Courbe Déflexion'!$GK$5:$GK$285)),'Courbe Déflexion'!#REF!,4,0)</f>
        <v>#REF!</v>
      </c>
      <c r="X576" s="276"/>
      <c r="Y576" s="276"/>
      <c r="Z576" s="276"/>
      <c r="AA576" s="276"/>
      <c r="AB576" s="276"/>
      <c r="AC576" s="43">
        <f>VLOOKUP(AC$84,'Infos Techniques'!$B$7:$H$12,5,0)/($V576*$X$352/12)</f>
        <v>10</v>
      </c>
      <c r="AD576" s="43">
        <f>VLOOKUP(AD$84,'Infos Techniques'!$B$7:$H$12,5,0)/($V576*$X$352/12)</f>
        <v>10</v>
      </c>
      <c r="AE576" s="43">
        <f>VLOOKUP(AE$84,'Infos Techniques'!$B$7:$H$12,5,0)/($V576*$X$352/12)</f>
        <v>10</v>
      </c>
      <c r="AF576" s="43">
        <f>VLOOKUP(AF$84,'Infos Techniques'!$B$7:$H$12,5,0)/($V576*$X$352/12)</f>
        <v>10</v>
      </c>
      <c r="AG576" s="43">
        <f>VLOOKUP(AG$84,'Infos Techniques'!$B$7:$H$12,5,0)/($V576*$X$352/12)</f>
        <v>8.84</v>
      </c>
      <c r="AH576" s="43">
        <f>VLOOKUP(AH$84,'Infos Techniques'!$B$7:$H$12,7,0)/($V576*$X$352/12)</f>
        <v>13.333333333333334</v>
      </c>
      <c r="AI576" s="43">
        <f>VLOOKUP(AI$84,'Infos Techniques'!$B$7:$H$12,7,0)/($V576*$X$352/12)</f>
        <v>13.333333333333334</v>
      </c>
      <c r="AJ576" s="43">
        <f>VLOOKUP(AJ$84,'Infos Techniques'!$B$7:$H$12,7,0)/($V576*$X$352/12)</f>
        <v>13.333333333333334</v>
      </c>
      <c r="AK576" s="43">
        <f>VLOOKUP(AK$84,'Infos Techniques'!$B$7:$H$12,7,0)/($V576*$X$352/12)</f>
        <v>10</v>
      </c>
      <c r="AL576" s="63">
        <f>VLOOKUP(AL$84,'Infos Techniques'!$B$7:$H$12,7,0)/($V576*$X$352/12)</f>
        <v>8.84</v>
      </c>
    </row>
    <row r="577" spans="2:38">
      <c r="B577" s="1830"/>
      <c r="C577" s="69">
        <v>30</v>
      </c>
      <c r="D577" s="43" t="e">
        <f t="shared" si="169"/>
        <v>#REF!</v>
      </c>
      <c r="E577" s="43" t="e">
        <f t="shared" si="168"/>
        <v>#REF!</v>
      </c>
      <c r="F577" s="43" t="e">
        <f t="shared" si="168"/>
        <v>#REF!</v>
      </c>
      <c r="G577" s="43" t="e">
        <f t="shared" si="168"/>
        <v>#REF!</v>
      </c>
      <c r="H577" s="43" t="e">
        <f t="shared" si="168"/>
        <v>#REF!</v>
      </c>
      <c r="I577" s="43" t="e">
        <f t="shared" si="170"/>
        <v>#REF!</v>
      </c>
      <c r="J577" s="43" t="e">
        <f t="shared" si="168"/>
        <v>#REF!</v>
      </c>
      <c r="K577" s="43" t="e">
        <f t="shared" si="168"/>
        <v>#REF!</v>
      </c>
      <c r="L577" s="43" t="e">
        <f t="shared" si="168"/>
        <v>#REF!</v>
      </c>
      <c r="M577" s="63" t="e">
        <f t="shared" si="168"/>
        <v>#REF!</v>
      </c>
      <c r="U577" s="1601"/>
      <c r="V577" s="28">
        <v>30</v>
      </c>
      <c r="W577" s="43" t="e" cm="1">
        <f t="array" ref="W577">VLOOKUP(MAX(IF('Courbe Déflexion'!$GK$5:$GK$285&lt;=V577,'Courbe Déflexion'!$GK$5:$GK$285)),'Courbe Déflexion'!#REF!,4,0)</f>
        <v>#REF!</v>
      </c>
      <c r="X577" s="276"/>
      <c r="Y577" s="276"/>
      <c r="Z577" s="276"/>
      <c r="AA577" s="276"/>
      <c r="AB577" s="276"/>
      <c r="AC577" s="43">
        <f>VLOOKUP(AC$84,'Infos Techniques'!$B$7:$H$12,5,0)/($V577*$X$352/12)</f>
        <v>8.3333333333333339</v>
      </c>
      <c r="AD577" s="43">
        <f>VLOOKUP(AD$84,'Infos Techniques'!$B$7:$H$12,5,0)/($V577*$X$352/12)</f>
        <v>8.3333333333333339</v>
      </c>
      <c r="AE577" s="43">
        <f>VLOOKUP(AE$84,'Infos Techniques'!$B$7:$H$12,5,0)/($V577*$X$352/12)</f>
        <v>8.3333333333333339</v>
      </c>
      <c r="AF577" s="43">
        <f>VLOOKUP(AF$84,'Infos Techniques'!$B$7:$H$12,5,0)/($V577*$X$352/12)</f>
        <v>8.3333333333333339</v>
      </c>
      <c r="AG577" s="43">
        <f>VLOOKUP(AG$84,'Infos Techniques'!$B$7:$H$12,5,0)/($V577*$X$352/12)</f>
        <v>7.3666666666666663</v>
      </c>
      <c r="AH577" s="43">
        <f>VLOOKUP(AH$84,'Infos Techniques'!$B$7:$H$12,7,0)/($V577*$X$352/12)</f>
        <v>11.111111111111111</v>
      </c>
      <c r="AI577" s="43">
        <f>VLOOKUP(AI$84,'Infos Techniques'!$B$7:$H$12,7,0)/($V577*$X$352/12)</f>
        <v>11.111111111111111</v>
      </c>
      <c r="AJ577" s="43">
        <f>VLOOKUP(AJ$84,'Infos Techniques'!$B$7:$H$12,7,0)/($V577*$X$352/12)</f>
        <v>11.111111111111111</v>
      </c>
      <c r="AK577" s="43">
        <f>VLOOKUP(AK$84,'Infos Techniques'!$B$7:$H$12,7,0)/($V577*$X$352/12)</f>
        <v>8.3333333333333339</v>
      </c>
      <c r="AL577" s="63">
        <f>VLOOKUP(AL$84,'Infos Techniques'!$B$7:$H$12,7,0)/($V577*$X$352/12)</f>
        <v>7.3666666666666663</v>
      </c>
    </row>
    <row r="578" spans="2:38">
      <c r="B578" s="1830"/>
      <c r="C578" s="70">
        <v>35</v>
      </c>
      <c r="D578" s="43" t="e">
        <f t="shared" si="169"/>
        <v>#REF!</v>
      </c>
      <c r="E578" s="43" t="e">
        <f t="shared" si="168"/>
        <v>#REF!</v>
      </c>
      <c r="F578" s="43" t="e">
        <f t="shared" si="168"/>
        <v>#REF!</v>
      </c>
      <c r="G578" s="43" t="e">
        <f t="shared" si="168"/>
        <v>#REF!</v>
      </c>
      <c r="H578" s="43" t="e">
        <f t="shared" si="168"/>
        <v>#REF!</v>
      </c>
      <c r="I578" s="43" t="e">
        <f t="shared" si="170"/>
        <v>#REF!</v>
      </c>
      <c r="J578" s="43" t="e">
        <f t="shared" si="168"/>
        <v>#REF!</v>
      </c>
      <c r="K578" s="43" t="e">
        <f t="shared" si="168"/>
        <v>#REF!</v>
      </c>
      <c r="L578" s="43" t="e">
        <f t="shared" si="168"/>
        <v>#REF!</v>
      </c>
      <c r="M578" s="63" t="e">
        <f t="shared" si="168"/>
        <v>#REF!</v>
      </c>
      <c r="U578" s="1601"/>
      <c r="V578" s="28">
        <v>35</v>
      </c>
      <c r="W578" s="43" t="e" cm="1">
        <f t="array" ref="W578">VLOOKUP(MAX(IF('Courbe Déflexion'!$GK$5:$GK$285&lt;=V578,'Courbe Déflexion'!$GK$5:$GK$285)),'Courbe Déflexion'!#REF!,4,0)</f>
        <v>#REF!</v>
      </c>
      <c r="X578" s="276"/>
      <c r="Y578" s="276"/>
      <c r="Z578" s="276"/>
      <c r="AA578" s="276"/>
      <c r="AB578" s="276"/>
      <c r="AC578" s="43">
        <f>VLOOKUP(AC$84,'Infos Techniques'!$B$7:$H$12,5,0)/($V578*$X$352/12)</f>
        <v>7.1428571428571432</v>
      </c>
      <c r="AD578" s="43">
        <f>VLOOKUP(AD$84,'Infos Techniques'!$B$7:$H$12,5,0)/($V578*$X$352/12)</f>
        <v>7.1428571428571432</v>
      </c>
      <c r="AE578" s="43">
        <f>VLOOKUP(AE$84,'Infos Techniques'!$B$7:$H$12,5,0)/($V578*$X$352/12)</f>
        <v>7.1428571428571432</v>
      </c>
      <c r="AF578" s="43">
        <f>VLOOKUP(AF$84,'Infos Techniques'!$B$7:$H$12,5,0)/($V578*$X$352/12)</f>
        <v>7.1428571428571432</v>
      </c>
      <c r="AG578" s="43">
        <f>VLOOKUP(AG$84,'Infos Techniques'!$B$7:$H$12,5,0)/($V578*$X$352/12)</f>
        <v>6.3142857142857141</v>
      </c>
      <c r="AH578" s="43">
        <f>VLOOKUP(AH$84,'Infos Techniques'!$B$7:$H$12,7,0)/($V578*$X$352/12)</f>
        <v>9.5238095238095237</v>
      </c>
      <c r="AI578" s="43">
        <f>VLOOKUP(AI$84,'Infos Techniques'!$B$7:$H$12,7,0)/($V578*$X$352/12)</f>
        <v>9.5238095238095237</v>
      </c>
      <c r="AJ578" s="43">
        <f>VLOOKUP(AJ$84,'Infos Techniques'!$B$7:$H$12,7,0)/($V578*$X$352/12)</f>
        <v>9.5238095238095237</v>
      </c>
      <c r="AK578" s="43">
        <f>VLOOKUP(AK$84,'Infos Techniques'!$B$7:$H$12,7,0)/($V578*$X$352/12)</f>
        <v>7.1428571428571432</v>
      </c>
      <c r="AL578" s="63">
        <f>VLOOKUP(AL$84,'Infos Techniques'!$B$7:$H$12,7,0)/($V578*$X$352/12)</f>
        <v>6.3142857142857141</v>
      </c>
    </row>
    <row r="579" spans="2:38">
      <c r="B579" s="1830"/>
      <c r="C579" s="70">
        <v>40</v>
      </c>
      <c r="D579" s="43" t="e">
        <f t="shared" si="169"/>
        <v>#REF!</v>
      </c>
      <c r="E579" s="43" t="e">
        <f t="shared" si="168"/>
        <v>#REF!</v>
      </c>
      <c r="F579" s="43" t="e">
        <f t="shared" si="168"/>
        <v>#REF!</v>
      </c>
      <c r="G579" s="43" t="e">
        <f t="shared" si="168"/>
        <v>#REF!</v>
      </c>
      <c r="H579" s="43" t="e">
        <f t="shared" si="168"/>
        <v>#REF!</v>
      </c>
      <c r="I579" s="43" t="e">
        <f t="shared" si="170"/>
        <v>#REF!</v>
      </c>
      <c r="J579" s="43" t="e">
        <f t="shared" si="168"/>
        <v>#REF!</v>
      </c>
      <c r="K579" s="43" t="e">
        <f t="shared" si="168"/>
        <v>#REF!</v>
      </c>
      <c r="L579" s="43" t="e">
        <f t="shared" si="168"/>
        <v>#REF!</v>
      </c>
      <c r="M579" s="63" t="e">
        <f t="shared" si="168"/>
        <v>#REF!</v>
      </c>
      <c r="U579" s="1601"/>
      <c r="V579" s="28">
        <v>40</v>
      </c>
      <c r="W579" s="43" t="e" cm="1">
        <f t="array" ref="W579">VLOOKUP(MAX(IF('Courbe Déflexion'!$GK$5:$GK$285&lt;=V579,'Courbe Déflexion'!$GK$5:$GK$285)),'Courbe Déflexion'!#REF!,4,0)</f>
        <v>#REF!</v>
      </c>
      <c r="X579" s="276"/>
      <c r="Y579" s="276"/>
      <c r="Z579" s="276"/>
      <c r="AA579" s="276"/>
      <c r="AB579" s="276"/>
      <c r="AC579" s="43">
        <f>VLOOKUP(AC$84,'Infos Techniques'!$B$7:$H$12,5,0)/($V579*$X$352/12)</f>
        <v>6.25</v>
      </c>
      <c r="AD579" s="43">
        <f>VLOOKUP(AD$84,'Infos Techniques'!$B$7:$H$12,5,0)/($V579*$X$352/12)</f>
        <v>6.25</v>
      </c>
      <c r="AE579" s="43">
        <f>VLOOKUP(AE$84,'Infos Techniques'!$B$7:$H$12,5,0)/($V579*$X$352/12)</f>
        <v>6.25</v>
      </c>
      <c r="AF579" s="43">
        <f>VLOOKUP(AF$84,'Infos Techniques'!$B$7:$H$12,5,0)/($V579*$X$352/12)</f>
        <v>6.25</v>
      </c>
      <c r="AG579" s="43">
        <f>VLOOKUP(AG$84,'Infos Techniques'!$B$7:$H$12,5,0)/($V579*$X$352/12)</f>
        <v>5.5250000000000004</v>
      </c>
      <c r="AH579" s="43">
        <f>VLOOKUP(AH$84,'Infos Techniques'!$B$7:$H$12,7,0)/($V579*$X$352/12)</f>
        <v>8.3333333333333339</v>
      </c>
      <c r="AI579" s="43">
        <f>VLOOKUP(AI$84,'Infos Techniques'!$B$7:$H$12,7,0)/($V579*$X$352/12)</f>
        <v>8.3333333333333339</v>
      </c>
      <c r="AJ579" s="43">
        <f>VLOOKUP(AJ$84,'Infos Techniques'!$B$7:$H$12,7,0)/($V579*$X$352/12)</f>
        <v>8.3333333333333339</v>
      </c>
      <c r="AK579" s="43">
        <f>VLOOKUP(AK$84,'Infos Techniques'!$B$7:$H$12,7,0)/($V579*$X$352/12)</f>
        <v>6.25</v>
      </c>
      <c r="AL579" s="63">
        <f>VLOOKUP(AL$84,'Infos Techniques'!$B$7:$H$12,7,0)/($V579*$X$352/12)</f>
        <v>5.5250000000000004</v>
      </c>
    </row>
    <row r="580" spans="2:38">
      <c r="B580" s="1830"/>
      <c r="C580" s="70">
        <v>45</v>
      </c>
      <c r="D580" s="43" t="e">
        <f t="shared" si="169"/>
        <v>#REF!</v>
      </c>
      <c r="E580" s="43" t="e">
        <f t="shared" si="168"/>
        <v>#REF!</v>
      </c>
      <c r="F580" s="43" t="e">
        <f t="shared" si="168"/>
        <v>#REF!</v>
      </c>
      <c r="G580" s="43" t="e">
        <f t="shared" si="168"/>
        <v>#REF!</v>
      </c>
      <c r="H580" s="43" t="e">
        <f t="shared" si="168"/>
        <v>#REF!</v>
      </c>
      <c r="I580" s="43" t="e">
        <f t="shared" si="170"/>
        <v>#REF!</v>
      </c>
      <c r="J580" s="43" t="e">
        <f t="shared" si="168"/>
        <v>#REF!</v>
      </c>
      <c r="K580" s="43" t="e">
        <f t="shared" si="168"/>
        <v>#REF!</v>
      </c>
      <c r="L580" s="43" t="e">
        <f t="shared" si="168"/>
        <v>#REF!</v>
      </c>
      <c r="M580" s="63" t="e">
        <f t="shared" si="168"/>
        <v>#REF!</v>
      </c>
      <c r="U580" s="1601"/>
      <c r="V580" s="28">
        <v>45</v>
      </c>
      <c r="W580" s="43" t="e" cm="1">
        <f t="array" ref="W580">VLOOKUP(MAX(IF('Courbe Déflexion'!$GK$5:$GK$285&lt;=V580,'Courbe Déflexion'!$GK$5:$GK$285)),'Courbe Déflexion'!#REF!,4,0)</f>
        <v>#REF!</v>
      </c>
      <c r="X580" s="276"/>
      <c r="Y580" s="276"/>
      <c r="Z580" s="276"/>
      <c r="AA580" s="276"/>
      <c r="AB580" s="276"/>
      <c r="AC580" s="43">
        <f>VLOOKUP(AC$84,'Infos Techniques'!$B$7:$H$12,5,0)/($V580*$X$352/12)</f>
        <v>5.5555555555555554</v>
      </c>
      <c r="AD580" s="43">
        <f>VLOOKUP(AD$84,'Infos Techniques'!$B$7:$H$12,5,0)/($V580*$X$352/12)</f>
        <v>5.5555555555555554</v>
      </c>
      <c r="AE580" s="43">
        <f>VLOOKUP(AE$84,'Infos Techniques'!$B$7:$H$12,5,0)/($V580*$X$352/12)</f>
        <v>5.5555555555555554</v>
      </c>
      <c r="AF580" s="43">
        <f>VLOOKUP(AF$84,'Infos Techniques'!$B$7:$H$12,5,0)/($V580*$X$352/12)</f>
        <v>5.5555555555555554</v>
      </c>
      <c r="AG580" s="43">
        <f>VLOOKUP(AG$84,'Infos Techniques'!$B$7:$H$12,5,0)/($V580*$X$352/12)</f>
        <v>4.9111111111111114</v>
      </c>
      <c r="AH580" s="43">
        <f>VLOOKUP(AH$84,'Infos Techniques'!$B$7:$H$12,7,0)/($V580*$X$352/12)</f>
        <v>7.4074074074074074</v>
      </c>
      <c r="AI580" s="43">
        <f>VLOOKUP(AI$84,'Infos Techniques'!$B$7:$H$12,7,0)/($V580*$X$352/12)</f>
        <v>7.4074074074074074</v>
      </c>
      <c r="AJ580" s="43">
        <f>VLOOKUP(AJ$84,'Infos Techniques'!$B$7:$H$12,7,0)/($V580*$X$352/12)</f>
        <v>7.4074074074074074</v>
      </c>
      <c r="AK580" s="43">
        <f>VLOOKUP(AK$84,'Infos Techniques'!$B$7:$H$12,7,0)/($V580*$X$352/12)</f>
        <v>5.5555555555555554</v>
      </c>
      <c r="AL580" s="63">
        <f>VLOOKUP(AL$84,'Infos Techniques'!$B$7:$H$12,7,0)/($V580*$X$352/12)</f>
        <v>4.9111111111111114</v>
      </c>
    </row>
    <row r="581" spans="2:38" ht="15" thickBot="1">
      <c r="B581" s="1830"/>
      <c r="C581" s="71">
        <v>50</v>
      </c>
      <c r="D581" s="43" t="e">
        <f t="shared" si="169"/>
        <v>#REF!</v>
      </c>
      <c r="E581" s="43" t="e">
        <f t="shared" si="168"/>
        <v>#REF!</v>
      </c>
      <c r="F581" s="43" t="e">
        <f t="shared" si="168"/>
        <v>#REF!</v>
      </c>
      <c r="G581" s="43" t="e">
        <f t="shared" si="168"/>
        <v>#REF!</v>
      </c>
      <c r="H581" s="43" t="e">
        <f t="shared" si="168"/>
        <v>#REF!</v>
      </c>
      <c r="I581" s="43" t="e">
        <f t="shared" si="170"/>
        <v>#REF!</v>
      </c>
      <c r="J581" s="43" t="e">
        <f t="shared" si="168"/>
        <v>#REF!</v>
      </c>
      <c r="K581" s="43" t="e">
        <f t="shared" si="168"/>
        <v>#REF!</v>
      </c>
      <c r="L581" s="43" t="e">
        <f t="shared" si="168"/>
        <v>#REF!</v>
      </c>
      <c r="M581" s="63" t="e">
        <f t="shared" si="168"/>
        <v>#REF!</v>
      </c>
      <c r="U581" s="1601"/>
      <c r="V581" s="28">
        <v>50</v>
      </c>
      <c r="W581" s="43" t="e" cm="1">
        <f t="array" ref="W581">VLOOKUP(MAX(IF('Courbe Déflexion'!$GK$5:$GK$285&lt;=V581,'Courbe Déflexion'!$GK$5:$GK$285)),'Courbe Déflexion'!#REF!,4,0)</f>
        <v>#REF!</v>
      </c>
      <c r="X581" s="276"/>
      <c r="Y581" s="276"/>
      <c r="Z581" s="276"/>
      <c r="AA581" s="276"/>
      <c r="AB581" s="276"/>
      <c r="AC581" s="43">
        <f>VLOOKUP(AC$84,'Infos Techniques'!$B$7:$H$12,5,0)/($V581*$X$352/12)</f>
        <v>5</v>
      </c>
      <c r="AD581" s="43">
        <f>VLOOKUP(AD$84,'Infos Techniques'!$B$7:$H$12,5,0)/($V581*$X$352/12)</f>
        <v>5</v>
      </c>
      <c r="AE581" s="43">
        <f>VLOOKUP(AE$84,'Infos Techniques'!$B$7:$H$12,5,0)/($V581*$X$352/12)</f>
        <v>5</v>
      </c>
      <c r="AF581" s="43">
        <f>VLOOKUP(AF$84,'Infos Techniques'!$B$7:$H$12,5,0)/($V581*$X$352/12)</f>
        <v>5</v>
      </c>
      <c r="AG581" s="43">
        <f>VLOOKUP(AG$84,'Infos Techniques'!$B$7:$H$12,5,0)/($V581*$X$352/12)</f>
        <v>4.42</v>
      </c>
      <c r="AH581" s="43">
        <f>VLOOKUP(AH$84,'Infos Techniques'!$B$7:$H$12,7,0)/($V581*$X$352/12)</f>
        <v>6.666666666666667</v>
      </c>
      <c r="AI581" s="43">
        <f>VLOOKUP(AI$84,'Infos Techniques'!$B$7:$H$12,7,0)/($V581*$X$352/12)</f>
        <v>6.666666666666667</v>
      </c>
      <c r="AJ581" s="43">
        <f>VLOOKUP(AJ$84,'Infos Techniques'!$B$7:$H$12,7,0)/($V581*$X$352/12)</f>
        <v>6.666666666666667</v>
      </c>
      <c r="AK581" s="43">
        <f>VLOOKUP(AK$84,'Infos Techniques'!$B$7:$H$12,7,0)/($V581*$X$352/12)</f>
        <v>5</v>
      </c>
      <c r="AL581" s="63">
        <f>VLOOKUP(AL$84,'Infos Techniques'!$B$7:$H$12,7,0)/($V581*$X$352/12)</f>
        <v>4.42</v>
      </c>
    </row>
    <row r="582" spans="2:38">
      <c r="B582" s="1830"/>
      <c r="C582" s="69">
        <v>55</v>
      </c>
      <c r="D582" s="43" t="e">
        <f t="shared" si="169"/>
        <v>#REF!</v>
      </c>
      <c r="E582" s="43" t="e">
        <f t="shared" si="168"/>
        <v>#REF!</v>
      </c>
      <c r="F582" s="43" t="e">
        <f t="shared" si="168"/>
        <v>#REF!</v>
      </c>
      <c r="G582" s="43" t="e">
        <f t="shared" si="168"/>
        <v>#REF!</v>
      </c>
      <c r="H582" s="43" t="e">
        <f t="shared" si="168"/>
        <v>#REF!</v>
      </c>
      <c r="I582" s="43" t="e">
        <f t="shared" si="170"/>
        <v>#REF!</v>
      </c>
      <c r="J582" s="43" t="e">
        <f t="shared" si="168"/>
        <v>#REF!</v>
      </c>
      <c r="K582" s="43" t="e">
        <f t="shared" si="168"/>
        <v>#REF!</v>
      </c>
      <c r="L582" s="43" t="e">
        <f t="shared" si="168"/>
        <v>#REF!</v>
      </c>
      <c r="M582" s="63" t="e">
        <f t="shared" si="168"/>
        <v>#REF!</v>
      </c>
      <c r="U582" s="1601"/>
      <c r="V582" s="28">
        <v>55</v>
      </c>
      <c r="W582" s="43" t="e" cm="1">
        <f t="array" ref="W582">VLOOKUP(MAX(IF('Courbe Déflexion'!$GK$5:$GK$285&lt;=V582,'Courbe Déflexion'!$GK$5:$GK$285)),'Courbe Déflexion'!#REF!,4,0)</f>
        <v>#REF!</v>
      </c>
      <c r="X582" s="276"/>
      <c r="Y582" s="276"/>
      <c r="Z582" s="276"/>
      <c r="AA582" s="276"/>
      <c r="AB582" s="276"/>
      <c r="AC582" s="43">
        <f>VLOOKUP(AC$84,'Infos Techniques'!$B$7:$H$12,5,0)/($V582*$X$352/12)</f>
        <v>4.5454545454545459</v>
      </c>
      <c r="AD582" s="43">
        <f>VLOOKUP(AD$84,'Infos Techniques'!$B$7:$H$12,5,0)/($V582*$X$352/12)</f>
        <v>4.5454545454545459</v>
      </c>
      <c r="AE582" s="43">
        <f>VLOOKUP(AE$84,'Infos Techniques'!$B$7:$H$12,5,0)/($V582*$X$352/12)</f>
        <v>4.5454545454545459</v>
      </c>
      <c r="AF582" s="43">
        <f>VLOOKUP(AF$84,'Infos Techniques'!$B$7:$H$12,5,0)/($V582*$X$352/12)</f>
        <v>4.5454545454545459</v>
      </c>
      <c r="AG582" s="43">
        <f>VLOOKUP(AG$84,'Infos Techniques'!$B$7:$H$12,5,0)/($V582*$X$352/12)</f>
        <v>4.0181818181818185</v>
      </c>
      <c r="AH582" s="43">
        <f>VLOOKUP(AH$84,'Infos Techniques'!$B$7:$H$12,7,0)/($V582*$X$352/12)</f>
        <v>6.0606060606060606</v>
      </c>
      <c r="AI582" s="43">
        <f>VLOOKUP(AI$84,'Infos Techniques'!$B$7:$H$12,7,0)/($V582*$X$352/12)</f>
        <v>6.0606060606060606</v>
      </c>
      <c r="AJ582" s="43">
        <f>VLOOKUP(AJ$84,'Infos Techniques'!$B$7:$H$12,7,0)/($V582*$X$352/12)</f>
        <v>6.0606060606060606</v>
      </c>
      <c r="AK582" s="43">
        <f>VLOOKUP(AK$84,'Infos Techniques'!$B$7:$H$12,7,0)/($V582*$X$352/12)</f>
        <v>4.5454545454545459</v>
      </c>
      <c r="AL582" s="63">
        <f>VLOOKUP(AL$84,'Infos Techniques'!$B$7:$H$12,7,0)/($V582*$X$352/12)</f>
        <v>4.0181818181818185</v>
      </c>
    </row>
    <row r="583" spans="2:38">
      <c r="B583" s="1830"/>
      <c r="C583" s="70">
        <v>60</v>
      </c>
      <c r="D583" s="43" t="e">
        <f t="shared" si="169"/>
        <v>#REF!</v>
      </c>
      <c r="E583" s="43" t="e">
        <f t="shared" si="168"/>
        <v>#REF!</v>
      </c>
      <c r="F583" s="43" t="e">
        <f t="shared" si="168"/>
        <v>#REF!</v>
      </c>
      <c r="G583" s="43" t="e">
        <f t="shared" si="168"/>
        <v>#REF!</v>
      </c>
      <c r="H583" s="43" t="e">
        <f t="shared" si="168"/>
        <v>#REF!</v>
      </c>
      <c r="I583" s="43" t="e">
        <f t="shared" si="170"/>
        <v>#REF!</v>
      </c>
      <c r="J583" s="43" t="e">
        <f t="shared" si="168"/>
        <v>#REF!</v>
      </c>
      <c r="K583" s="43" t="e">
        <f t="shared" si="168"/>
        <v>#REF!</v>
      </c>
      <c r="L583" s="43" t="e">
        <f t="shared" si="168"/>
        <v>#REF!</v>
      </c>
      <c r="M583" s="63" t="e">
        <f t="shared" si="168"/>
        <v>#REF!</v>
      </c>
      <c r="U583" s="1601"/>
      <c r="V583" s="28">
        <v>60</v>
      </c>
      <c r="W583" s="43" t="e" cm="1">
        <f t="array" ref="W583">VLOOKUP(MAX(IF('Courbe Déflexion'!$GK$5:$GK$285&lt;=V583,'Courbe Déflexion'!$GK$5:$GK$285)),'Courbe Déflexion'!#REF!,4,0)</f>
        <v>#REF!</v>
      </c>
      <c r="X583" s="276"/>
      <c r="Y583" s="276"/>
      <c r="Z583" s="276"/>
      <c r="AA583" s="276"/>
      <c r="AB583" s="276"/>
      <c r="AC583" s="43">
        <f>VLOOKUP(AC$84,'Infos Techniques'!$B$7:$H$12,5,0)/($V583*$X$352/12)</f>
        <v>4.166666666666667</v>
      </c>
      <c r="AD583" s="43">
        <f>VLOOKUP(AD$84,'Infos Techniques'!$B$7:$H$12,5,0)/($V583*$X$352/12)</f>
        <v>4.166666666666667</v>
      </c>
      <c r="AE583" s="43">
        <f>VLOOKUP(AE$84,'Infos Techniques'!$B$7:$H$12,5,0)/($V583*$X$352/12)</f>
        <v>4.166666666666667</v>
      </c>
      <c r="AF583" s="43">
        <f>VLOOKUP(AF$84,'Infos Techniques'!$B$7:$H$12,5,0)/($V583*$X$352/12)</f>
        <v>4.166666666666667</v>
      </c>
      <c r="AG583" s="43">
        <f>VLOOKUP(AG$84,'Infos Techniques'!$B$7:$H$12,5,0)/($V583*$X$352/12)</f>
        <v>3.6833333333333331</v>
      </c>
      <c r="AH583" s="43">
        <f>VLOOKUP(AH$84,'Infos Techniques'!$B$7:$H$12,7,0)/($V583*$X$352/12)</f>
        <v>5.5555555555555554</v>
      </c>
      <c r="AI583" s="43">
        <f>VLOOKUP(AI$84,'Infos Techniques'!$B$7:$H$12,7,0)/($V583*$X$352/12)</f>
        <v>5.5555555555555554</v>
      </c>
      <c r="AJ583" s="43">
        <f>VLOOKUP(AJ$84,'Infos Techniques'!$B$7:$H$12,7,0)/($V583*$X$352/12)</f>
        <v>5.5555555555555554</v>
      </c>
      <c r="AK583" s="43">
        <f>VLOOKUP(AK$84,'Infos Techniques'!$B$7:$H$12,7,0)/($V583*$X$352/12)</f>
        <v>4.166666666666667</v>
      </c>
      <c r="AL583" s="63">
        <f>VLOOKUP(AL$84,'Infos Techniques'!$B$7:$H$12,7,0)/($V583*$X$352/12)</f>
        <v>3.6833333333333331</v>
      </c>
    </row>
    <row r="584" spans="2:38">
      <c r="B584" s="1830"/>
      <c r="C584" s="70">
        <v>65</v>
      </c>
      <c r="D584" s="43" t="e">
        <f t="shared" si="169"/>
        <v>#REF!</v>
      </c>
      <c r="E584" s="43" t="e">
        <f t="shared" si="168"/>
        <v>#REF!</v>
      </c>
      <c r="F584" s="43" t="e">
        <f t="shared" si="168"/>
        <v>#REF!</v>
      </c>
      <c r="G584" s="43" t="e">
        <f t="shared" si="168"/>
        <v>#REF!</v>
      </c>
      <c r="H584" s="43" t="e">
        <f t="shared" si="168"/>
        <v>#REF!</v>
      </c>
      <c r="I584" s="43" t="e">
        <f t="shared" si="170"/>
        <v>#REF!</v>
      </c>
      <c r="J584" s="43" t="e">
        <f t="shared" si="168"/>
        <v>#REF!</v>
      </c>
      <c r="K584" s="43" t="e">
        <f t="shared" si="168"/>
        <v>#REF!</v>
      </c>
      <c r="L584" s="43" t="e">
        <f t="shared" si="168"/>
        <v>#REF!</v>
      </c>
      <c r="M584" s="63" t="e">
        <f t="shared" si="168"/>
        <v>#REF!</v>
      </c>
      <c r="U584" s="1601"/>
      <c r="V584" s="28">
        <v>65</v>
      </c>
      <c r="W584" s="43" t="e" cm="1">
        <f t="array" ref="W584">VLOOKUP(MAX(IF('Courbe Déflexion'!$GK$5:$GK$285&lt;=V584,'Courbe Déflexion'!$GK$5:$GK$285)),'Courbe Déflexion'!#REF!,4,0)</f>
        <v>#REF!</v>
      </c>
      <c r="X584" s="276"/>
      <c r="Y584" s="276"/>
      <c r="Z584" s="276"/>
      <c r="AA584" s="276"/>
      <c r="AB584" s="276"/>
      <c r="AC584" s="43">
        <f>VLOOKUP(AC$84,'Infos Techniques'!$B$7:$H$12,5,0)/($V584*$X$352/12)</f>
        <v>3.8461538461538463</v>
      </c>
      <c r="AD584" s="43">
        <f>VLOOKUP(AD$84,'Infos Techniques'!$B$7:$H$12,5,0)/($V584*$X$352/12)</f>
        <v>3.8461538461538463</v>
      </c>
      <c r="AE584" s="43">
        <f>VLOOKUP(AE$84,'Infos Techniques'!$B$7:$H$12,5,0)/($V584*$X$352/12)</f>
        <v>3.8461538461538463</v>
      </c>
      <c r="AF584" s="43">
        <f>VLOOKUP(AF$84,'Infos Techniques'!$B$7:$H$12,5,0)/($V584*$X$352/12)</f>
        <v>3.8461538461538463</v>
      </c>
      <c r="AG584" s="43">
        <f>VLOOKUP(AG$84,'Infos Techniques'!$B$7:$H$12,5,0)/($V584*$X$352/12)</f>
        <v>3.4</v>
      </c>
      <c r="AH584" s="43">
        <f>VLOOKUP(AH$84,'Infos Techniques'!$B$7:$H$12,7,0)/($V584*$X$352/12)</f>
        <v>5.1282051282051286</v>
      </c>
      <c r="AI584" s="43">
        <f>VLOOKUP(AI$84,'Infos Techniques'!$B$7:$H$12,7,0)/($V584*$X$352/12)</f>
        <v>5.1282051282051286</v>
      </c>
      <c r="AJ584" s="43">
        <f>VLOOKUP(AJ$84,'Infos Techniques'!$B$7:$H$12,7,0)/($V584*$X$352/12)</f>
        <v>5.1282051282051286</v>
      </c>
      <c r="AK584" s="43">
        <f>VLOOKUP(AK$84,'Infos Techniques'!$B$7:$H$12,7,0)/($V584*$X$352/12)</f>
        <v>3.8461538461538463</v>
      </c>
      <c r="AL584" s="63">
        <f>VLOOKUP(AL$84,'Infos Techniques'!$B$7:$H$12,7,0)/($V584*$X$352/12)</f>
        <v>3.4</v>
      </c>
    </row>
    <row r="585" spans="2:38">
      <c r="B585" s="1830"/>
      <c r="C585" s="70">
        <v>70</v>
      </c>
      <c r="D585" s="43" t="e">
        <f t="shared" si="169"/>
        <v>#REF!</v>
      </c>
      <c r="E585" s="43" t="e">
        <f t="shared" si="168"/>
        <v>#REF!</v>
      </c>
      <c r="F585" s="43" t="e">
        <f t="shared" si="168"/>
        <v>#REF!</v>
      </c>
      <c r="G585" s="43" t="e">
        <f t="shared" si="168"/>
        <v>#REF!</v>
      </c>
      <c r="H585" s="43" t="e">
        <f t="shared" si="168"/>
        <v>#REF!</v>
      </c>
      <c r="I585" s="43" t="e">
        <f t="shared" si="170"/>
        <v>#REF!</v>
      </c>
      <c r="J585" s="43" t="e">
        <f t="shared" si="168"/>
        <v>#REF!</v>
      </c>
      <c r="K585" s="43" t="e">
        <f t="shared" si="168"/>
        <v>#REF!</v>
      </c>
      <c r="L585" s="43" t="e">
        <f t="shared" si="168"/>
        <v>#REF!</v>
      </c>
      <c r="M585" s="63" t="e">
        <f t="shared" si="168"/>
        <v>#REF!</v>
      </c>
      <c r="U585" s="1601"/>
      <c r="V585" s="28">
        <v>70</v>
      </c>
      <c r="W585" s="43" t="e" cm="1">
        <f t="array" ref="W585">VLOOKUP(MAX(IF('Courbe Déflexion'!$GK$5:$GK$285&lt;=V585,'Courbe Déflexion'!$GK$5:$GK$285)),'Courbe Déflexion'!#REF!,4,0)</f>
        <v>#REF!</v>
      </c>
      <c r="X585" s="276"/>
      <c r="Y585" s="276"/>
      <c r="Z585" s="276"/>
      <c r="AA585" s="276"/>
      <c r="AB585" s="276"/>
      <c r="AC585" s="43">
        <f>VLOOKUP(AC$84,'Infos Techniques'!$B$7:$H$12,5,0)/($V585*$X$352/12)</f>
        <v>3.5714285714285716</v>
      </c>
      <c r="AD585" s="43">
        <f>VLOOKUP(AD$84,'Infos Techniques'!$B$7:$H$12,5,0)/($V585*$X$352/12)</f>
        <v>3.5714285714285716</v>
      </c>
      <c r="AE585" s="43">
        <f>VLOOKUP(AE$84,'Infos Techniques'!$B$7:$H$12,5,0)/($V585*$X$352/12)</f>
        <v>3.5714285714285716</v>
      </c>
      <c r="AF585" s="43">
        <f>VLOOKUP(AF$84,'Infos Techniques'!$B$7:$H$12,5,0)/($V585*$X$352/12)</f>
        <v>3.5714285714285716</v>
      </c>
      <c r="AG585" s="43">
        <f>VLOOKUP(AG$84,'Infos Techniques'!$B$7:$H$12,5,0)/($V585*$X$352/12)</f>
        <v>3.157142857142857</v>
      </c>
      <c r="AH585" s="43">
        <f>VLOOKUP(AH$84,'Infos Techniques'!$B$7:$H$12,7,0)/($V585*$X$352/12)</f>
        <v>4.7619047619047619</v>
      </c>
      <c r="AI585" s="43">
        <f>VLOOKUP(AI$84,'Infos Techniques'!$B$7:$H$12,7,0)/($V585*$X$352/12)</f>
        <v>4.7619047619047619</v>
      </c>
      <c r="AJ585" s="43">
        <f>VLOOKUP(AJ$84,'Infos Techniques'!$B$7:$H$12,7,0)/($V585*$X$352/12)</f>
        <v>4.7619047619047619</v>
      </c>
      <c r="AK585" s="43">
        <f>VLOOKUP(AK$84,'Infos Techniques'!$B$7:$H$12,7,0)/($V585*$X$352/12)</f>
        <v>3.5714285714285716</v>
      </c>
      <c r="AL585" s="63">
        <f>VLOOKUP(AL$84,'Infos Techniques'!$B$7:$H$12,7,0)/($V585*$X$352/12)</f>
        <v>3.157142857142857</v>
      </c>
    </row>
    <row r="586" spans="2:38" ht="15" thickBot="1">
      <c r="B586" s="1830"/>
      <c r="C586" s="71">
        <v>75</v>
      </c>
      <c r="D586" s="43" t="e">
        <f t="shared" si="169"/>
        <v>#REF!</v>
      </c>
      <c r="E586" s="43" t="e">
        <f t="shared" si="168"/>
        <v>#REF!</v>
      </c>
      <c r="F586" s="43" t="e">
        <f t="shared" si="168"/>
        <v>#REF!</v>
      </c>
      <c r="G586" s="43" t="e">
        <f t="shared" si="168"/>
        <v>#REF!</v>
      </c>
      <c r="H586" s="43" t="e">
        <f t="shared" si="168"/>
        <v>#REF!</v>
      </c>
      <c r="I586" s="43" t="e">
        <f t="shared" si="170"/>
        <v>#REF!</v>
      </c>
      <c r="J586" s="43" t="e">
        <f t="shared" si="168"/>
        <v>#REF!</v>
      </c>
      <c r="K586" s="43" t="e">
        <f t="shared" si="168"/>
        <v>#REF!</v>
      </c>
      <c r="L586" s="43" t="e">
        <f t="shared" si="168"/>
        <v>#REF!</v>
      </c>
      <c r="M586" s="63" t="e">
        <f t="shared" si="168"/>
        <v>#REF!</v>
      </c>
      <c r="U586" s="1601"/>
      <c r="V586" s="28">
        <v>75</v>
      </c>
      <c r="W586" s="43" t="e" cm="1">
        <f t="array" ref="W586">VLOOKUP(MAX(IF('Courbe Déflexion'!$GK$5:$GK$285&lt;=V586,'Courbe Déflexion'!$GK$5:$GK$285)),'Courbe Déflexion'!#REF!,4,0)</f>
        <v>#REF!</v>
      </c>
      <c r="X586" s="276"/>
      <c r="Y586" s="276"/>
      <c r="Z586" s="276"/>
      <c r="AA586" s="276"/>
      <c r="AB586" s="276"/>
      <c r="AC586" s="43">
        <f>VLOOKUP(AC$84,'Infos Techniques'!$B$7:$H$12,5,0)/($V586*$X$352/12)</f>
        <v>3.3333333333333335</v>
      </c>
      <c r="AD586" s="43">
        <f>VLOOKUP(AD$84,'Infos Techniques'!$B$7:$H$12,5,0)/($V586*$X$352/12)</f>
        <v>3.3333333333333335</v>
      </c>
      <c r="AE586" s="43">
        <f>VLOOKUP(AE$84,'Infos Techniques'!$B$7:$H$12,5,0)/($V586*$X$352/12)</f>
        <v>3.3333333333333335</v>
      </c>
      <c r="AF586" s="43">
        <f>VLOOKUP(AF$84,'Infos Techniques'!$B$7:$H$12,5,0)/($V586*$X$352/12)</f>
        <v>3.3333333333333335</v>
      </c>
      <c r="AG586" s="43">
        <f>VLOOKUP(AG$84,'Infos Techniques'!$B$7:$H$12,5,0)/($V586*$X$352/12)</f>
        <v>2.9466666666666668</v>
      </c>
      <c r="AH586" s="43">
        <f>VLOOKUP(AH$84,'Infos Techniques'!$B$7:$H$12,7,0)/($V586*$X$352/12)</f>
        <v>4.4444444444444446</v>
      </c>
      <c r="AI586" s="43">
        <f>VLOOKUP(AI$84,'Infos Techniques'!$B$7:$H$12,7,0)/($V586*$X$352/12)</f>
        <v>4.4444444444444446</v>
      </c>
      <c r="AJ586" s="43">
        <f>VLOOKUP(AJ$84,'Infos Techniques'!$B$7:$H$12,7,0)/($V586*$X$352/12)</f>
        <v>4.4444444444444446</v>
      </c>
      <c r="AK586" s="43">
        <f>VLOOKUP(AK$84,'Infos Techniques'!$B$7:$H$12,7,0)/($V586*$X$352/12)</f>
        <v>3.3333333333333335</v>
      </c>
      <c r="AL586" s="63">
        <f>VLOOKUP(AL$84,'Infos Techniques'!$B$7:$H$12,7,0)/($V586*$X$352/12)</f>
        <v>2.9466666666666668</v>
      </c>
    </row>
    <row r="587" spans="2:38">
      <c r="B587" s="1830"/>
      <c r="C587" s="72">
        <v>80</v>
      </c>
      <c r="D587" s="43" t="e">
        <f t="shared" si="169"/>
        <v>#REF!</v>
      </c>
      <c r="E587" s="43" t="e">
        <f t="shared" si="168"/>
        <v>#REF!</v>
      </c>
      <c r="F587" s="43" t="e">
        <f t="shared" si="168"/>
        <v>#REF!</v>
      </c>
      <c r="G587" s="43" t="e">
        <f t="shared" si="168"/>
        <v>#REF!</v>
      </c>
      <c r="H587" s="43" t="e">
        <f t="shared" si="168"/>
        <v>#REF!</v>
      </c>
      <c r="I587" s="43" t="e">
        <f t="shared" si="170"/>
        <v>#REF!</v>
      </c>
      <c r="J587" s="43" t="e">
        <f t="shared" si="168"/>
        <v>#REF!</v>
      </c>
      <c r="K587" s="43" t="e">
        <f t="shared" si="168"/>
        <v>#REF!</v>
      </c>
      <c r="L587" s="43" t="e">
        <f t="shared" si="168"/>
        <v>#REF!</v>
      </c>
      <c r="M587" s="63" t="e">
        <f t="shared" si="168"/>
        <v>#REF!</v>
      </c>
      <c r="U587" s="1601"/>
      <c r="V587" s="28">
        <v>80</v>
      </c>
      <c r="W587" s="43" t="e" cm="1">
        <f t="array" ref="W587">VLOOKUP(MAX(IF('Courbe Déflexion'!$GK$5:$GK$285&lt;=V587,'Courbe Déflexion'!$GK$5:$GK$285)),'Courbe Déflexion'!#REF!,4,0)</f>
        <v>#REF!</v>
      </c>
      <c r="X587" s="276"/>
      <c r="Y587" s="276"/>
      <c r="Z587" s="276"/>
      <c r="AA587" s="276"/>
      <c r="AB587" s="276"/>
      <c r="AC587" s="43">
        <f>VLOOKUP(AC$84,'Infos Techniques'!$B$7:$H$12,5,0)/($V587*$X$352/12)</f>
        <v>3.125</v>
      </c>
      <c r="AD587" s="43">
        <f>VLOOKUP(AD$84,'Infos Techniques'!$B$7:$H$12,5,0)/($V587*$X$352/12)</f>
        <v>3.125</v>
      </c>
      <c r="AE587" s="43">
        <f>VLOOKUP(AE$84,'Infos Techniques'!$B$7:$H$12,5,0)/($V587*$X$352/12)</f>
        <v>3.125</v>
      </c>
      <c r="AF587" s="43">
        <f>VLOOKUP(AF$84,'Infos Techniques'!$B$7:$H$12,5,0)/($V587*$X$352/12)</f>
        <v>3.125</v>
      </c>
      <c r="AG587" s="43">
        <f>VLOOKUP(AG$84,'Infos Techniques'!$B$7:$H$12,5,0)/($V587*$X$352/12)</f>
        <v>2.7625000000000002</v>
      </c>
      <c r="AH587" s="43">
        <f>VLOOKUP(AH$84,'Infos Techniques'!$B$7:$H$12,7,0)/($V587*$X$352/12)</f>
        <v>4.166666666666667</v>
      </c>
      <c r="AI587" s="43">
        <f>VLOOKUP(AI$84,'Infos Techniques'!$B$7:$H$12,7,0)/($V587*$X$352/12)</f>
        <v>4.166666666666667</v>
      </c>
      <c r="AJ587" s="43">
        <f>VLOOKUP(AJ$84,'Infos Techniques'!$B$7:$H$12,7,0)/($V587*$X$352/12)</f>
        <v>4.166666666666667</v>
      </c>
      <c r="AK587" s="43">
        <f>VLOOKUP(AK$84,'Infos Techniques'!$B$7:$H$12,7,0)/($V587*$X$352/12)</f>
        <v>3.125</v>
      </c>
      <c r="AL587" s="63">
        <f>VLOOKUP(AL$84,'Infos Techniques'!$B$7:$H$12,7,0)/($V587*$X$352/12)</f>
        <v>2.7625000000000002</v>
      </c>
    </row>
    <row r="588" spans="2:38">
      <c r="B588" s="1830"/>
      <c r="C588" s="70">
        <v>85</v>
      </c>
      <c r="D588" s="43" t="e">
        <f t="shared" si="169"/>
        <v>#REF!</v>
      </c>
      <c r="E588" s="43" t="e">
        <f t="shared" si="169"/>
        <v>#REF!</v>
      </c>
      <c r="F588" s="43" t="e">
        <f t="shared" si="169"/>
        <v>#REF!</v>
      </c>
      <c r="G588" s="43" t="e">
        <f t="shared" si="169"/>
        <v>#REF!</v>
      </c>
      <c r="H588" s="43" t="e">
        <f t="shared" si="169"/>
        <v>#REF!</v>
      </c>
      <c r="I588" s="43" t="e">
        <f t="shared" si="170"/>
        <v>#REF!</v>
      </c>
      <c r="J588" s="43" t="e">
        <f t="shared" si="170"/>
        <v>#REF!</v>
      </c>
      <c r="K588" s="43" t="e">
        <f t="shared" si="170"/>
        <v>#REF!</v>
      </c>
      <c r="L588" s="43" t="e">
        <f t="shared" si="170"/>
        <v>#REF!</v>
      </c>
      <c r="M588" s="63" t="e">
        <f t="shared" si="170"/>
        <v>#REF!</v>
      </c>
      <c r="U588" s="1601"/>
      <c r="V588" s="28">
        <v>85</v>
      </c>
      <c r="W588" s="43" t="e" cm="1">
        <f t="array" ref="W588">VLOOKUP(MAX(IF('Courbe Déflexion'!$GK$5:$GK$285&lt;=V588,'Courbe Déflexion'!$GK$5:$GK$285)),'Courbe Déflexion'!#REF!,4,0)</f>
        <v>#REF!</v>
      </c>
      <c r="X588" s="276"/>
      <c r="Y588" s="276"/>
      <c r="Z588" s="276"/>
      <c r="AA588" s="276"/>
      <c r="AB588" s="276"/>
      <c r="AC588" s="43">
        <f>VLOOKUP(AC$84,'Infos Techniques'!$B$7:$H$12,5,0)/($V588*$X$352/12)</f>
        <v>2.9411764705882355</v>
      </c>
      <c r="AD588" s="43">
        <f>VLOOKUP(AD$84,'Infos Techniques'!$B$7:$H$12,5,0)/($V588*$X$352/12)</f>
        <v>2.9411764705882355</v>
      </c>
      <c r="AE588" s="43">
        <f>VLOOKUP(AE$84,'Infos Techniques'!$B$7:$H$12,5,0)/($V588*$X$352/12)</f>
        <v>2.9411764705882355</v>
      </c>
      <c r="AF588" s="43">
        <f>VLOOKUP(AF$84,'Infos Techniques'!$B$7:$H$12,5,0)/($V588*$X$352/12)</f>
        <v>2.9411764705882355</v>
      </c>
      <c r="AG588" s="43">
        <f>VLOOKUP(AG$84,'Infos Techniques'!$B$7:$H$12,5,0)/($V588*$X$352/12)</f>
        <v>2.6</v>
      </c>
      <c r="AH588" s="43">
        <f>VLOOKUP(AH$84,'Infos Techniques'!$B$7:$H$12,7,0)/($V588*$X$352/12)</f>
        <v>3.9215686274509802</v>
      </c>
      <c r="AI588" s="43">
        <f>VLOOKUP(AI$84,'Infos Techniques'!$B$7:$H$12,7,0)/($V588*$X$352/12)</f>
        <v>3.9215686274509802</v>
      </c>
      <c r="AJ588" s="43">
        <f>VLOOKUP(AJ$84,'Infos Techniques'!$B$7:$H$12,7,0)/($V588*$X$352/12)</f>
        <v>3.9215686274509802</v>
      </c>
      <c r="AK588" s="43">
        <f>VLOOKUP(AK$84,'Infos Techniques'!$B$7:$H$12,7,0)/($V588*$X$352/12)</f>
        <v>2.9411764705882355</v>
      </c>
      <c r="AL588" s="63">
        <f>VLOOKUP(AL$84,'Infos Techniques'!$B$7:$H$12,7,0)/($V588*$X$352/12)</f>
        <v>2.6</v>
      </c>
    </row>
    <row r="589" spans="2:38">
      <c r="B589" s="1830"/>
      <c r="C589" s="70">
        <v>90</v>
      </c>
      <c r="D589" s="43" t="e">
        <f t="shared" si="169"/>
        <v>#REF!</v>
      </c>
      <c r="E589" s="43" t="e">
        <f t="shared" si="169"/>
        <v>#REF!</v>
      </c>
      <c r="F589" s="43" t="e">
        <f t="shared" si="169"/>
        <v>#REF!</v>
      </c>
      <c r="G589" s="43" t="e">
        <f t="shared" si="169"/>
        <v>#REF!</v>
      </c>
      <c r="H589" s="43" t="e">
        <f t="shared" si="169"/>
        <v>#REF!</v>
      </c>
      <c r="I589" s="43" t="e">
        <f t="shared" si="170"/>
        <v>#REF!</v>
      </c>
      <c r="J589" s="43" t="e">
        <f t="shared" si="170"/>
        <v>#REF!</v>
      </c>
      <c r="K589" s="43" t="e">
        <f t="shared" si="170"/>
        <v>#REF!</v>
      </c>
      <c r="L589" s="43" t="e">
        <f t="shared" si="170"/>
        <v>#REF!</v>
      </c>
      <c r="M589" s="63" t="e">
        <f t="shared" si="170"/>
        <v>#REF!</v>
      </c>
      <c r="U589" s="1601"/>
      <c r="V589" s="28">
        <v>90</v>
      </c>
      <c r="W589" s="43" t="e" cm="1">
        <f t="array" ref="W589">VLOOKUP(MAX(IF('Courbe Déflexion'!$GK$5:$GK$285&lt;=V589,'Courbe Déflexion'!$GK$5:$GK$285)),'Courbe Déflexion'!#REF!,4,0)</f>
        <v>#REF!</v>
      </c>
      <c r="X589" s="276"/>
      <c r="Y589" s="276"/>
      <c r="Z589" s="276"/>
      <c r="AA589" s="276"/>
      <c r="AB589" s="276"/>
      <c r="AC589" s="43">
        <f>VLOOKUP(AC$84,'Infos Techniques'!$B$7:$H$12,5,0)/($V589*$X$352/12)</f>
        <v>2.7777777777777777</v>
      </c>
      <c r="AD589" s="43">
        <f>VLOOKUP(AD$84,'Infos Techniques'!$B$7:$H$12,5,0)/($V589*$X$352/12)</f>
        <v>2.7777777777777777</v>
      </c>
      <c r="AE589" s="43">
        <f>VLOOKUP(AE$84,'Infos Techniques'!$B$7:$H$12,5,0)/($V589*$X$352/12)</f>
        <v>2.7777777777777777</v>
      </c>
      <c r="AF589" s="43">
        <f>VLOOKUP(AF$84,'Infos Techniques'!$B$7:$H$12,5,0)/($V589*$X$352/12)</f>
        <v>2.7777777777777777</v>
      </c>
      <c r="AG589" s="43">
        <f>VLOOKUP(AG$84,'Infos Techniques'!$B$7:$H$12,5,0)/($V589*$X$352/12)</f>
        <v>2.4555555555555557</v>
      </c>
      <c r="AH589" s="43">
        <f>VLOOKUP(AH$84,'Infos Techniques'!$B$7:$H$12,7,0)/($V589*$X$352/12)</f>
        <v>3.7037037037037037</v>
      </c>
      <c r="AI589" s="43">
        <f>VLOOKUP(AI$84,'Infos Techniques'!$B$7:$H$12,7,0)/($V589*$X$352/12)</f>
        <v>3.7037037037037037</v>
      </c>
      <c r="AJ589" s="43">
        <f>VLOOKUP(AJ$84,'Infos Techniques'!$B$7:$H$12,7,0)/($V589*$X$352/12)</f>
        <v>3.7037037037037037</v>
      </c>
      <c r="AK589" s="43">
        <f>VLOOKUP(AK$84,'Infos Techniques'!$B$7:$H$12,7,0)/($V589*$X$352/12)</f>
        <v>2.7777777777777777</v>
      </c>
      <c r="AL589" s="63">
        <f>VLOOKUP(AL$84,'Infos Techniques'!$B$7:$H$12,7,0)/($V589*$X$352/12)</f>
        <v>2.4555555555555557</v>
      </c>
    </row>
    <row r="590" spans="2:38">
      <c r="B590" s="1830"/>
      <c r="C590" s="70">
        <v>95</v>
      </c>
      <c r="D590" s="43" t="e">
        <f t="shared" si="169"/>
        <v>#REF!</v>
      </c>
      <c r="E590" s="43" t="e">
        <f t="shared" si="169"/>
        <v>#REF!</v>
      </c>
      <c r="F590" s="43" t="e">
        <f t="shared" si="169"/>
        <v>#REF!</v>
      </c>
      <c r="G590" s="43" t="e">
        <f t="shared" si="169"/>
        <v>#REF!</v>
      </c>
      <c r="H590" s="43" t="e">
        <f t="shared" si="169"/>
        <v>#REF!</v>
      </c>
      <c r="I590" s="43" t="e">
        <f t="shared" si="170"/>
        <v>#REF!</v>
      </c>
      <c r="J590" s="43" t="e">
        <f t="shared" si="170"/>
        <v>#REF!</v>
      </c>
      <c r="K590" s="43" t="e">
        <f t="shared" si="170"/>
        <v>#REF!</v>
      </c>
      <c r="L590" s="43" t="e">
        <f t="shared" si="170"/>
        <v>#REF!</v>
      </c>
      <c r="M590" s="63" t="e">
        <f t="shared" si="170"/>
        <v>#REF!</v>
      </c>
      <c r="U590" s="1601"/>
      <c r="V590" s="28">
        <v>95</v>
      </c>
      <c r="W590" s="43" t="e" cm="1">
        <f t="array" ref="W590">VLOOKUP(MAX(IF('Courbe Déflexion'!$GK$5:$GK$285&lt;=V590,'Courbe Déflexion'!$GK$5:$GK$285)),'Courbe Déflexion'!#REF!,4,0)</f>
        <v>#REF!</v>
      </c>
      <c r="X590" s="276"/>
      <c r="Y590" s="276"/>
      <c r="Z590" s="276"/>
      <c r="AA590" s="276"/>
      <c r="AB590" s="276"/>
      <c r="AC590" s="43">
        <f>VLOOKUP(AC$84,'Infos Techniques'!$B$7:$H$12,5,0)/($V590*$X$352/12)</f>
        <v>2.6315789473684212</v>
      </c>
      <c r="AD590" s="43">
        <f>VLOOKUP(AD$84,'Infos Techniques'!$B$7:$H$12,5,0)/($V590*$X$352/12)</f>
        <v>2.6315789473684212</v>
      </c>
      <c r="AE590" s="43">
        <f>VLOOKUP(AE$84,'Infos Techniques'!$B$7:$H$12,5,0)/($V590*$X$352/12)</f>
        <v>2.6315789473684212</v>
      </c>
      <c r="AF590" s="43">
        <f>VLOOKUP(AF$84,'Infos Techniques'!$B$7:$H$12,5,0)/($V590*$X$352/12)</f>
        <v>2.6315789473684212</v>
      </c>
      <c r="AG590" s="43">
        <f>VLOOKUP(AG$84,'Infos Techniques'!$B$7:$H$12,5,0)/($V590*$X$352/12)</f>
        <v>2.3263157894736843</v>
      </c>
      <c r="AH590" s="43">
        <f>VLOOKUP(AH$84,'Infos Techniques'!$B$7:$H$12,7,0)/($V590*$X$352/12)</f>
        <v>3.5087719298245612</v>
      </c>
      <c r="AI590" s="43">
        <f>VLOOKUP(AI$84,'Infos Techniques'!$B$7:$H$12,7,0)/($V590*$X$352/12)</f>
        <v>3.5087719298245612</v>
      </c>
      <c r="AJ590" s="43">
        <f>VLOOKUP(AJ$84,'Infos Techniques'!$B$7:$H$12,7,0)/($V590*$X$352/12)</f>
        <v>3.5087719298245612</v>
      </c>
      <c r="AK590" s="43">
        <f>VLOOKUP(AK$84,'Infos Techniques'!$B$7:$H$12,7,0)/($V590*$X$352/12)</f>
        <v>2.6315789473684212</v>
      </c>
      <c r="AL590" s="63">
        <f>VLOOKUP(AL$84,'Infos Techniques'!$B$7:$H$12,7,0)/($V590*$X$352/12)</f>
        <v>2.3263157894736843</v>
      </c>
    </row>
    <row r="591" spans="2:38" ht="15" thickBot="1">
      <c r="B591" s="1831"/>
      <c r="C591" s="73">
        <v>100</v>
      </c>
      <c r="D591" s="271" t="s">
        <v>1687</v>
      </c>
      <c r="E591" s="271" t="s">
        <v>1687</v>
      </c>
      <c r="F591" s="271" t="s">
        <v>1687</v>
      </c>
      <c r="G591" s="271" t="s">
        <v>1687</v>
      </c>
      <c r="H591" s="271" t="s">
        <v>1687</v>
      </c>
      <c r="I591" s="271" t="s">
        <v>1687</v>
      </c>
      <c r="J591" s="271" t="s">
        <v>1687</v>
      </c>
      <c r="K591" s="271" t="s">
        <v>1687</v>
      </c>
      <c r="L591" s="271" t="s">
        <v>1687</v>
      </c>
      <c r="M591" s="289" t="s">
        <v>1687</v>
      </c>
      <c r="U591" s="1602"/>
      <c r="V591" s="44">
        <v>100</v>
      </c>
      <c r="W591" s="45" t="e" cm="1">
        <f t="array" ref="W591">VLOOKUP(MAX(IF('Courbe Déflexion'!$GK$5:$GK$285&lt;=V591,'Courbe Déflexion'!$GK$5:$GK$285)),'Courbe Déflexion'!#REF!,4,0)</f>
        <v>#REF!</v>
      </c>
      <c r="X591" s="277"/>
      <c r="Y591" s="277"/>
      <c r="Z591" s="277"/>
      <c r="AA591" s="277"/>
      <c r="AB591" s="277"/>
      <c r="AC591" s="45">
        <f>VLOOKUP(AC$84,'Infos Techniques'!$B$7:$H$12,5,0)/($V591*$X$352/12)</f>
        <v>2.5</v>
      </c>
      <c r="AD591" s="45">
        <f>VLOOKUP(AD$84,'Infos Techniques'!$B$7:$H$12,5,0)/($V591*$X$352/12)</f>
        <v>2.5</v>
      </c>
      <c r="AE591" s="45">
        <f>VLOOKUP(AE$84,'Infos Techniques'!$B$7:$H$12,5,0)/($V591*$X$352/12)</f>
        <v>2.5</v>
      </c>
      <c r="AF591" s="45">
        <f>VLOOKUP(AF$84,'Infos Techniques'!$B$7:$H$12,5,0)/($V591*$X$352/12)</f>
        <v>2.5</v>
      </c>
      <c r="AG591" s="45">
        <f>VLOOKUP(AG$84,'Infos Techniques'!$B$7:$H$12,5,0)/($V591*$X$352/12)</f>
        <v>2.21</v>
      </c>
      <c r="AH591" s="45">
        <f>VLOOKUP(AH$84,'Infos Techniques'!$B$7:$H$12,7,0)/($V591*$X$352/12)</f>
        <v>3.3333333333333335</v>
      </c>
      <c r="AI591" s="45">
        <f>VLOOKUP(AI$84,'Infos Techniques'!$B$7:$H$12,7,0)/($V591*$X$352/12)</f>
        <v>3.3333333333333335</v>
      </c>
      <c r="AJ591" s="45">
        <f>VLOOKUP(AJ$84,'Infos Techniques'!$B$7:$H$12,7,0)/($V591*$X$352/12)</f>
        <v>3.3333333333333335</v>
      </c>
      <c r="AK591" s="45">
        <f>VLOOKUP(AK$84,'Infos Techniques'!$B$7:$H$12,7,0)/($V591*$X$352/12)</f>
        <v>2.5</v>
      </c>
      <c r="AL591" s="66">
        <f>VLOOKUP(AL$84,'Infos Techniques'!$B$7:$H$12,7,0)/($V591*$X$352/12)</f>
        <v>2.21</v>
      </c>
    </row>
    <row r="592" spans="2:38" ht="15" thickTop="1"/>
    <row r="608" spans="1:14" ht="25.9">
      <c r="A608" s="1802" t="s">
        <v>1688</v>
      </c>
      <c r="B608" s="1802"/>
      <c r="C608" s="1802"/>
      <c r="D608" s="1802"/>
      <c r="E608" s="1802"/>
      <c r="F608" s="1802"/>
      <c r="G608" s="1802"/>
      <c r="H608" s="1802"/>
      <c r="I608" s="1802"/>
      <c r="J608" s="1802"/>
      <c r="K608" s="1802"/>
      <c r="L608" s="1802"/>
      <c r="M608" s="1802"/>
      <c r="N608" s="1802"/>
    </row>
    <row r="609" spans="2:38" ht="25.9">
      <c r="B609" s="262"/>
      <c r="C609" s="263"/>
      <c r="D609" s="263"/>
      <c r="E609" s="263"/>
      <c r="F609" s="263"/>
      <c r="G609" s="263"/>
      <c r="H609" s="263"/>
      <c r="I609" s="263"/>
      <c r="J609" s="263"/>
      <c r="K609" s="263"/>
      <c r="L609" s="263"/>
      <c r="M609" s="263"/>
      <c r="N609" s="263"/>
    </row>
    <row r="610" spans="2:38" ht="26.45" thickBot="1">
      <c r="B610" s="1803" t="s">
        <v>1662</v>
      </c>
      <c r="C610" s="1803"/>
      <c r="D610" s="1803"/>
      <c r="E610" s="1803"/>
      <c r="F610" s="1803"/>
      <c r="G610" s="1803"/>
      <c r="H610" s="1803"/>
      <c r="I610" s="1803"/>
      <c r="J610" s="1803"/>
      <c r="K610" s="1803"/>
      <c r="L610" s="1803"/>
      <c r="M610" s="1803"/>
      <c r="N610" s="264"/>
    </row>
    <row r="611" spans="2:38" ht="15.6" thickTop="1" thickBot="1">
      <c r="U611" s="1808"/>
      <c r="V611" s="1809"/>
      <c r="W611" s="1606" t="s">
        <v>315</v>
      </c>
      <c r="X611" s="1606" t="s">
        <v>263</v>
      </c>
      <c r="Y611" s="1606"/>
      <c r="Z611" s="1606"/>
      <c r="AA611" s="1606"/>
      <c r="AB611" s="1606"/>
      <c r="AC611" s="1606"/>
      <c r="AD611" s="1606"/>
      <c r="AE611" s="1606"/>
      <c r="AF611" s="1606"/>
      <c r="AG611" s="1606"/>
      <c r="AH611" s="1606"/>
      <c r="AI611" s="1606"/>
      <c r="AJ611" s="1606"/>
      <c r="AK611" s="1606"/>
      <c r="AL611" s="1832"/>
    </row>
    <row r="612" spans="2:38" ht="22.15" thickTop="1" thickBot="1">
      <c r="B612" s="1812"/>
      <c r="C612" s="1813"/>
      <c r="D612" s="1817" t="s">
        <v>263</v>
      </c>
      <c r="E612" s="1818"/>
      <c r="F612" s="1818"/>
      <c r="G612" s="1818"/>
      <c r="H612" s="1818"/>
      <c r="I612" s="1818"/>
      <c r="J612" s="1818"/>
      <c r="K612" s="1818"/>
      <c r="L612" s="1818"/>
      <c r="M612" s="1819"/>
      <c r="U612" s="1810"/>
      <c r="V612" s="1811"/>
      <c r="W612" s="1571"/>
      <c r="X612" s="54"/>
      <c r="Y612" s="55"/>
      <c r="Z612" s="55"/>
      <c r="AA612" s="55"/>
      <c r="AB612" s="56"/>
      <c r="AC612" s="54"/>
      <c r="AD612" s="55"/>
      <c r="AE612" s="55"/>
      <c r="AF612" s="55"/>
      <c r="AG612" s="56"/>
      <c r="AH612" s="54"/>
      <c r="AI612" s="55"/>
      <c r="AJ612" s="55"/>
      <c r="AK612" s="55"/>
      <c r="AL612" s="57"/>
    </row>
    <row r="613" spans="2:38" ht="16.149999999999999" thickBot="1">
      <c r="B613" s="1814"/>
      <c r="C613" s="1397"/>
      <c r="D613" s="1820" t="s">
        <v>321</v>
      </c>
      <c r="E613" s="1821"/>
      <c r="F613" s="1821"/>
      <c r="G613" s="1821"/>
      <c r="H613" s="1822"/>
      <c r="I613" s="1823" t="s">
        <v>322</v>
      </c>
      <c r="J613" s="1821"/>
      <c r="K613" s="1821"/>
      <c r="L613" s="1821"/>
      <c r="M613" s="1824"/>
      <c r="U613" s="1646"/>
      <c r="V613" s="1113"/>
      <c r="W613" s="1603"/>
      <c r="X613" s="1833" t="s">
        <v>1663</v>
      </c>
      <c r="Y613" s="1834"/>
      <c r="Z613" s="1834"/>
      <c r="AA613" s="1834"/>
      <c r="AB613" s="1835"/>
      <c r="AC613" s="1833" t="s">
        <v>321</v>
      </c>
      <c r="AD613" s="1834"/>
      <c r="AE613" s="1834"/>
      <c r="AF613" s="1834"/>
      <c r="AG613" s="1835"/>
      <c r="AH613" s="1833" t="s">
        <v>322</v>
      </c>
      <c r="AI613" s="1834"/>
      <c r="AJ613" s="1834"/>
      <c r="AK613" s="1834"/>
      <c r="AL613" s="1836"/>
    </row>
    <row r="614" spans="2:38" ht="18" thickTop="1">
      <c r="B614" s="1814"/>
      <c r="C614" s="1397"/>
      <c r="D614" s="1825" t="s">
        <v>1664</v>
      </c>
      <c r="E614" s="1826"/>
      <c r="F614" s="1826"/>
      <c r="G614" s="1826"/>
      <c r="H614" s="1827"/>
      <c r="I614" s="1825" t="s">
        <v>1664</v>
      </c>
      <c r="J614" s="1826"/>
      <c r="K614" s="1826"/>
      <c r="L614" s="1826"/>
      <c r="M614" s="1828"/>
      <c r="U614" s="1646"/>
      <c r="V614" s="1113"/>
      <c r="W614" s="29"/>
      <c r="X614" s="237"/>
      <c r="Y614" s="80"/>
      <c r="Z614" s="80"/>
      <c r="AA614" s="80"/>
      <c r="AB614" s="239"/>
      <c r="AC614" s="237"/>
      <c r="AD614" s="80"/>
      <c r="AE614" s="80"/>
      <c r="AF614" s="80"/>
      <c r="AG614" s="239"/>
      <c r="AH614" s="237"/>
      <c r="AI614" s="80"/>
      <c r="AJ614" s="80"/>
      <c r="AK614" s="80"/>
      <c r="AL614" s="238"/>
    </row>
    <row r="615" spans="2:38" ht="15" thickBot="1">
      <c r="B615" s="1815"/>
      <c r="C615" s="1816"/>
      <c r="D615" s="49" t="s">
        <v>1665</v>
      </c>
      <c r="E615" s="50" t="s">
        <v>1666</v>
      </c>
      <c r="F615" s="50" t="s">
        <v>1667</v>
      </c>
      <c r="G615" s="50" t="s">
        <v>1668</v>
      </c>
      <c r="H615" s="52" t="s">
        <v>1669</v>
      </c>
      <c r="I615" s="49" t="s">
        <v>1670</v>
      </c>
      <c r="J615" s="50" t="s">
        <v>1666</v>
      </c>
      <c r="K615" s="50" t="s">
        <v>1667</v>
      </c>
      <c r="L615" s="50" t="s">
        <v>1668</v>
      </c>
      <c r="M615" s="53" t="s">
        <v>1669</v>
      </c>
      <c r="U615" s="1646"/>
      <c r="V615" s="1113"/>
      <c r="W615" s="29" t="s">
        <v>333</v>
      </c>
      <c r="X615" s="28">
        <v>0.1875</v>
      </c>
      <c r="Y615" s="28" t="s">
        <v>334</v>
      </c>
      <c r="Z615" s="28" t="s">
        <v>335</v>
      </c>
      <c r="AA615" s="28" t="s">
        <v>336</v>
      </c>
      <c r="AB615" s="28" t="s">
        <v>337</v>
      </c>
      <c r="AC615" s="28">
        <v>0.1875</v>
      </c>
      <c r="AD615" s="28" t="s">
        <v>334</v>
      </c>
      <c r="AE615" s="28" t="s">
        <v>335</v>
      </c>
      <c r="AF615" s="28" t="s">
        <v>336</v>
      </c>
      <c r="AG615" s="28" t="s">
        <v>337</v>
      </c>
      <c r="AH615" s="28">
        <v>0.1875</v>
      </c>
      <c r="AI615" s="28" t="s">
        <v>334</v>
      </c>
      <c r="AJ615" s="28" t="s">
        <v>335</v>
      </c>
      <c r="AK615" s="28" t="s">
        <v>336</v>
      </c>
      <c r="AL615" s="40" t="s">
        <v>337</v>
      </c>
    </row>
    <row r="616" spans="2:38">
      <c r="B616" s="1829" t="s">
        <v>1671</v>
      </c>
      <c r="C616" s="69">
        <v>5</v>
      </c>
      <c r="D616" s="59">
        <f>MIN($X$354,AC616,$W616)</f>
        <v>12</v>
      </c>
      <c r="E616" s="59">
        <f t="shared" ref="E616:E635" si="171">MIN($X$354,AD616,$W616)</f>
        <v>12</v>
      </c>
      <c r="F616" s="59">
        <f t="shared" ref="F616:F635" si="172">MIN($X$354,AE616,$W616)</f>
        <v>12</v>
      </c>
      <c r="G616" s="59">
        <f t="shared" ref="G616:G635" si="173">MIN($X$354,AF616,$W616)</f>
        <v>12</v>
      </c>
      <c r="H616" s="59">
        <f t="shared" ref="H616:H635" si="174">MIN($X$354,AG616,$W616)</f>
        <v>12</v>
      </c>
      <c r="I616" s="59">
        <f t="shared" ref="I616:I635" si="175">MIN($X$354,AH616,$W616)</f>
        <v>12</v>
      </c>
      <c r="J616" s="59">
        <f t="shared" ref="J616:J635" si="176">MIN($X$354,AI616,$W616)</f>
        <v>12</v>
      </c>
      <c r="K616" s="59">
        <f t="shared" ref="K616:K635" si="177">MIN($X$354,AJ616,$W616)</f>
        <v>12</v>
      </c>
      <c r="L616" s="59">
        <f t="shared" ref="L616:L635" si="178">MIN($X$354,AK616,$W616)</f>
        <v>12</v>
      </c>
      <c r="M616" s="62">
        <f t="shared" ref="M616:M635" si="179">MIN($X$354,AL616,$W616)</f>
        <v>12</v>
      </c>
      <c r="U616" s="1601" t="s">
        <v>314</v>
      </c>
      <c r="V616" s="28">
        <v>5</v>
      </c>
      <c r="W616" s="43" t="s">
        <v>1674</v>
      </c>
      <c r="X616" s="276"/>
      <c r="Y616" s="276"/>
      <c r="Z616" s="276"/>
      <c r="AA616" s="276"/>
      <c r="AB616" s="276"/>
      <c r="AC616" s="43">
        <f>VLOOKUP(AC$84,'Infos Techniques'!$B$7:$H$12,5,0)/($V616*$X$352/12)</f>
        <v>50</v>
      </c>
      <c r="AD616" s="43">
        <f>VLOOKUP(AD$84,'Infos Techniques'!$B$7:$H$12,5,0)/($V616*$X$352/12)</f>
        <v>50</v>
      </c>
      <c r="AE616" s="43">
        <f>VLOOKUP(AE$84,'Infos Techniques'!$B$7:$H$12,5,0)/($V616*$X$352/12)</f>
        <v>50</v>
      </c>
      <c r="AF616" s="43">
        <f>VLOOKUP(AF$84,'Infos Techniques'!$B$7:$H$12,5,0)/($V616*$X$352/12)</f>
        <v>50</v>
      </c>
      <c r="AG616" s="43">
        <f>VLOOKUP(AG$84,'Infos Techniques'!$B$7:$H$12,5,0)/($V616*$X$352/12)</f>
        <v>44.2</v>
      </c>
      <c r="AH616" s="43">
        <f>VLOOKUP(AH$84,'Infos Techniques'!$B$7:$H$12,7,0)/($V616*$X$352/12)</f>
        <v>66.666666666666671</v>
      </c>
      <c r="AI616" s="43">
        <f>VLOOKUP(AI$84,'Infos Techniques'!$B$7:$H$12,7,0)/($V616*$X$352/12)</f>
        <v>66.666666666666671</v>
      </c>
      <c r="AJ616" s="43">
        <f>VLOOKUP(AJ$84,'Infos Techniques'!$B$7:$H$12,7,0)/($V616*$X$352/12)</f>
        <v>66.666666666666671</v>
      </c>
      <c r="AK616" s="43">
        <f>VLOOKUP(AK$84,'Infos Techniques'!$B$7:$H$12,7,0)/($V616*$X$352/12)</f>
        <v>50</v>
      </c>
      <c r="AL616" s="63">
        <f>VLOOKUP(AL$84,'Infos Techniques'!$B$7:$H$12,7,0)/($V616*$X$352/12)</f>
        <v>44.2</v>
      </c>
    </row>
    <row r="617" spans="2:38">
      <c r="B617" s="1830"/>
      <c r="C617" s="70">
        <v>10</v>
      </c>
      <c r="D617" s="43" t="e">
        <f t="shared" ref="D617:D635" si="180">MIN($X$354,AC617,$W617)</f>
        <v>#REF!</v>
      </c>
      <c r="E617" s="43" t="e">
        <f t="shared" si="171"/>
        <v>#REF!</v>
      </c>
      <c r="F617" s="43" t="e">
        <f t="shared" si="172"/>
        <v>#REF!</v>
      </c>
      <c r="G617" s="43" t="e">
        <f t="shared" si="173"/>
        <v>#REF!</v>
      </c>
      <c r="H617" s="43" t="e">
        <f t="shared" si="174"/>
        <v>#REF!</v>
      </c>
      <c r="I617" s="43" t="e">
        <f t="shared" si="175"/>
        <v>#REF!</v>
      </c>
      <c r="J617" s="43" t="e">
        <f t="shared" si="176"/>
        <v>#REF!</v>
      </c>
      <c r="K617" s="43" t="e">
        <f t="shared" si="177"/>
        <v>#REF!</v>
      </c>
      <c r="L617" s="43" t="e">
        <f t="shared" si="178"/>
        <v>#REF!</v>
      </c>
      <c r="M617" s="63" t="e">
        <f t="shared" si="179"/>
        <v>#REF!</v>
      </c>
      <c r="U617" s="1601"/>
      <c r="V617" s="28">
        <v>10</v>
      </c>
      <c r="W617" s="43" t="e" cm="1">
        <f t="array" ref="W617">VLOOKUP(MAX(IF('Courbe Déflexion'!$GV$5:$GV$285&lt;=V617,'Courbe Déflexion'!$GV$5:$GV$285)),'Courbe Déflexion'!#REF!,3,0)</f>
        <v>#REF!</v>
      </c>
      <c r="X617" s="276"/>
      <c r="Y617" s="276"/>
      <c r="Z617" s="276"/>
      <c r="AA617" s="276"/>
      <c r="AB617" s="276"/>
      <c r="AC617" s="43">
        <f>VLOOKUP(AC$84,'Infos Techniques'!$B$7:$H$12,5,0)/($V617*$X$352/12)</f>
        <v>25</v>
      </c>
      <c r="AD617" s="43">
        <f>VLOOKUP(AD$84,'Infos Techniques'!$B$7:$H$12,5,0)/($V617*$X$352/12)</f>
        <v>25</v>
      </c>
      <c r="AE617" s="43">
        <f>VLOOKUP(AE$84,'Infos Techniques'!$B$7:$H$12,5,0)/($V617*$X$352/12)</f>
        <v>25</v>
      </c>
      <c r="AF617" s="43">
        <f>VLOOKUP(AF$84,'Infos Techniques'!$B$7:$H$12,5,0)/($V617*$X$352/12)</f>
        <v>25</v>
      </c>
      <c r="AG617" s="43">
        <f>VLOOKUP(AG$84,'Infos Techniques'!$B$7:$H$12,5,0)/($V617*$X$352/12)</f>
        <v>22.1</v>
      </c>
      <c r="AH617" s="43">
        <f>VLOOKUP(AH$84,'Infos Techniques'!$B$7:$H$12,7,0)/($V617*$X$352/12)</f>
        <v>33.333333333333336</v>
      </c>
      <c r="AI617" s="43">
        <f>VLOOKUP(AI$84,'Infos Techniques'!$B$7:$H$12,7,0)/($V617*$X$352/12)</f>
        <v>33.333333333333336</v>
      </c>
      <c r="AJ617" s="43">
        <f>VLOOKUP(AJ$84,'Infos Techniques'!$B$7:$H$12,7,0)/($V617*$X$352/12)</f>
        <v>33.333333333333336</v>
      </c>
      <c r="AK617" s="43">
        <f>VLOOKUP(AK$84,'Infos Techniques'!$B$7:$H$12,7,0)/($V617*$X$352/12)</f>
        <v>25</v>
      </c>
      <c r="AL617" s="63">
        <f>VLOOKUP(AL$84,'Infos Techniques'!$B$7:$H$12,7,0)/($V617*$X$352/12)</f>
        <v>22.1</v>
      </c>
    </row>
    <row r="618" spans="2:38">
      <c r="B618" s="1830"/>
      <c r="C618" s="70">
        <v>15</v>
      </c>
      <c r="D618" s="43" t="e">
        <f t="shared" si="180"/>
        <v>#REF!</v>
      </c>
      <c r="E618" s="43" t="e">
        <f t="shared" si="171"/>
        <v>#REF!</v>
      </c>
      <c r="F618" s="43" t="e">
        <f t="shared" si="172"/>
        <v>#REF!</v>
      </c>
      <c r="G618" s="43" t="e">
        <f t="shared" si="173"/>
        <v>#REF!</v>
      </c>
      <c r="H618" s="43" t="e">
        <f t="shared" si="174"/>
        <v>#REF!</v>
      </c>
      <c r="I618" s="43" t="e">
        <f t="shared" si="175"/>
        <v>#REF!</v>
      </c>
      <c r="J618" s="43" t="e">
        <f t="shared" si="176"/>
        <v>#REF!</v>
      </c>
      <c r="K618" s="43" t="e">
        <f t="shared" si="177"/>
        <v>#REF!</v>
      </c>
      <c r="L618" s="43" t="e">
        <f t="shared" si="178"/>
        <v>#REF!</v>
      </c>
      <c r="M618" s="63" t="e">
        <f t="shared" si="179"/>
        <v>#REF!</v>
      </c>
      <c r="U618" s="1601"/>
      <c r="V618" s="28">
        <v>15</v>
      </c>
      <c r="W618" s="43" t="e" cm="1">
        <f t="array" ref="W618">VLOOKUP(MAX(IF('Courbe Déflexion'!$GV$5:$GV$285&lt;=V618,'Courbe Déflexion'!$GV$5:$GV$285)),'Courbe Déflexion'!#REF!,3,0)</f>
        <v>#REF!</v>
      </c>
      <c r="X618" s="276"/>
      <c r="Y618" s="276"/>
      <c r="Z618" s="276"/>
      <c r="AA618" s="276"/>
      <c r="AB618" s="276"/>
      <c r="AC618" s="43">
        <f>VLOOKUP(AC$84,'Infos Techniques'!$B$7:$H$12,5,0)/($V618*$X$352/12)</f>
        <v>16.666666666666668</v>
      </c>
      <c r="AD618" s="43">
        <f>VLOOKUP(AD$84,'Infos Techniques'!$B$7:$H$12,5,0)/($V618*$X$352/12)</f>
        <v>16.666666666666668</v>
      </c>
      <c r="AE618" s="43">
        <f>VLOOKUP(AE$84,'Infos Techniques'!$B$7:$H$12,5,0)/($V618*$X$352/12)</f>
        <v>16.666666666666668</v>
      </c>
      <c r="AF618" s="43">
        <f>VLOOKUP(AF$84,'Infos Techniques'!$B$7:$H$12,5,0)/($V618*$X$352/12)</f>
        <v>16.666666666666668</v>
      </c>
      <c r="AG618" s="43">
        <f>VLOOKUP(AG$84,'Infos Techniques'!$B$7:$H$12,5,0)/($V618*$X$352/12)</f>
        <v>14.733333333333333</v>
      </c>
      <c r="AH618" s="43">
        <f>VLOOKUP(AH$84,'Infos Techniques'!$B$7:$H$12,7,0)/($V618*$X$352/12)</f>
        <v>22.222222222222221</v>
      </c>
      <c r="AI618" s="43">
        <f>VLOOKUP(AI$84,'Infos Techniques'!$B$7:$H$12,7,0)/($V618*$X$352/12)</f>
        <v>22.222222222222221</v>
      </c>
      <c r="AJ618" s="43">
        <f>VLOOKUP(AJ$84,'Infos Techniques'!$B$7:$H$12,7,0)/($V618*$X$352/12)</f>
        <v>22.222222222222221</v>
      </c>
      <c r="AK618" s="43">
        <f>VLOOKUP(AK$84,'Infos Techniques'!$B$7:$H$12,7,0)/($V618*$X$352/12)</f>
        <v>16.666666666666668</v>
      </c>
      <c r="AL618" s="63">
        <f>VLOOKUP(AL$84,'Infos Techniques'!$B$7:$H$12,7,0)/($V618*$X$352/12)</f>
        <v>14.733333333333333</v>
      </c>
    </row>
    <row r="619" spans="2:38">
      <c r="B619" s="1830"/>
      <c r="C619" s="70">
        <v>20</v>
      </c>
      <c r="D619" s="43" t="e">
        <f t="shared" si="180"/>
        <v>#REF!</v>
      </c>
      <c r="E619" s="43" t="e">
        <f t="shared" si="171"/>
        <v>#REF!</v>
      </c>
      <c r="F619" s="43" t="e">
        <f t="shared" si="172"/>
        <v>#REF!</v>
      </c>
      <c r="G619" s="43" t="e">
        <f t="shared" si="173"/>
        <v>#REF!</v>
      </c>
      <c r="H619" s="43" t="e">
        <f t="shared" si="174"/>
        <v>#REF!</v>
      </c>
      <c r="I619" s="43" t="e">
        <f t="shared" si="175"/>
        <v>#REF!</v>
      </c>
      <c r="J619" s="43" t="e">
        <f t="shared" si="176"/>
        <v>#REF!</v>
      </c>
      <c r="K619" s="43" t="e">
        <f t="shared" si="177"/>
        <v>#REF!</v>
      </c>
      <c r="L619" s="43" t="e">
        <f t="shared" si="178"/>
        <v>#REF!</v>
      </c>
      <c r="M619" s="63" t="e">
        <f t="shared" si="179"/>
        <v>#REF!</v>
      </c>
      <c r="U619" s="1601"/>
      <c r="V619" s="28">
        <v>20</v>
      </c>
      <c r="W619" s="43" t="e" cm="1">
        <f t="array" ref="W619">VLOOKUP(MAX(IF('Courbe Déflexion'!$GV$5:$GV$285&lt;=V619,'Courbe Déflexion'!$GV$5:$GV$285)),'Courbe Déflexion'!#REF!,3,0)</f>
        <v>#REF!</v>
      </c>
      <c r="X619" s="276"/>
      <c r="Y619" s="276"/>
      <c r="Z619" s="276"/>
      <c r="AA619" s="276"/>
      <c r="AB619" s="276"/>
      <c r="AC619" s="43">
        <f>VLOOKUP(AC$84,'Infos Techniques'!$B$7:$H$12,5,0)/($V619*$X$352/12)</f>
        <v>12.5</v>
      </c>
      <c r="AD619" s="43">
        <f>VLOOKUP(AD$84,'Infos Techniques'!$B$7:$H$12,5,0)/($V619*$X$352/12)</f>
        <v>12.5</v>
      </c>
      <c r="AE619" s="43">
        <f>VLOOKUP(AE$84,'Infos Techniques'!$B$7:$H$12,5,0)/($V619*$X$352/12)</f>
        <v>12.5</v>
      </c>
      <c r="AF619" s="43">
        <f>VLOOKUP(AF$84,'Infos Techniques'!$B$7:$H$12,5,0)/($V619*$X$352/12)</f>
        <v>12.5</v>
      </c>
      <c r="AG619" s="43">
        <f>VLOOKUP(AG$84,'Infos Techniques'!$B$7:$H$12,5,0)/($V619*$X$352/12)</f>
        <v>11.05</v>
      </c>
      <c r="AH619" s="43">
        <f>VLOOKUP(AH$84,'Infos Techniques'!$B$7:$H$12,7,0)/($V619*$X$352/12)</f>
        <v>16.666666666666668</v>
      </c>
      <c r="AI619" s="43">
        <f>VLOOKUP(AI$84,'Infos Techniques'!$B$7:$H$12,7,0)/($V619*$X$352/12)</f>
        <v>16.666666666666668</v>
      </c>
      <c r="AJ619" s="43">
        <f>VLOOKUP(AJ$84,'Infos Techniques'!$B$7:$H$12,7,0)/($V619*$X$352/12)</f>
        <v>16.666666666666668</v>
      </c>
      <c r="AK619" s="43">
        <f>VLOOKUP(AK$84,'Infos Techniques'!$B$7:$H$12,7,0)/($V619*$X$352/12)</f>
        <v>12.5</v>
      </c>
      <c r="AL619" s="63">
        <f>VLOOKUP(AL$84,'Infos Techniques'!$B$7:$H$12,7,0)/($V619*$X$352/12)</f>
        <v>11.05</v>
      </c>
    </row>
    <row r="620" spans="2:38" ht="15" thickBot="1">
      <c r="B620" s="1830"/>
      <c r="C620" s="71">
        <v>25</v>
      </c>
      <c r="D620" s="43" t="e">
        <f t="shared" si="180"/>
        <v>#REF!</v>
      </c>
      <c r="E620" s="43" t="e">
        <f t="shared" si="171"/>
        <v>#REF!</v>
      </c>
      <c r="F620" s="43" t="e">
        <f t="shared" si="172"/>
        <v>#REF!</v>
      </c>
      <c r="G620" s="43" t="e">
        <f t="shared" si="173"/>
        <v>#REF!</v>
      </c>
      <c r="H620" s="43" t="e">
        <f t="shared" si="174"/>
        <v>#REF!</v>
      </c>
      <c r="I620" s="43" t="e">
        <f t="shared" si="175"/>
        <v>#REF!</v>
      </c>
      <c r="J620" s="43" t="e">
        <f t="shared" si="176"/>
        <v>#REF!</v>
      </c>
      <c r="K620" s="43" t="e">
        <f t="shared" si="177"/>
        <v>#REF!</v>
      </c>
      <c r="L620" s="43" t="e">
        <f t="shared" si="178"/>
        <v>#REF!</v>
      </c>
      <c r="M620" s="63" t="e">
        <f t="shared" si="179"/>
        <v>#REF!</v>
      </c>
      <c r="U620" s="1601"/>
      <c r="V620" s="28">
        <v>25</v>
      </c>
      <c r="W620" s="43" t="e" cm="1">
        <f t="array" ref="W620">VLOOKUP(MAX(IF('Courbe Déflexion'!$GV$5:$GV$285&lt;=V620,'Courbe Déflexion'!$GV$5:$GV$285)),'Courbe Déflexion'!#REF!,3,0)</f>
        <v>#REF!</v>
      </c>
      <c r="X620" s="276"/>
      <c r="Y620" s="276"/>
      <c r="Z620" s="276"/>
      <c r="AA620" s="276"/>
      <c r="AB620" s="276"/>
      <c r="AC620" s="43">
        <f>VLOOKUP(AC$84,'Infos Techniques'!$B$7:$H$12,5,0)/($V620*$X$352/12)</f>
        <v>10</v>
      </c>
      <c r="AD620" s="43">
        <f>VLOOKUP(AD$84,'Infos Techniques'!$B$7:$H$12,5,0)/($V620*$X$352/12)</f>
        <v>10</v>
      </c>
      <c r="AE620" s="43">
        <f>VLOOKUP(AE$84,'Infos Techniques'!$B$7:$H$12,5,0)/($V620*$X$352/12)</f>
        <v>10</v>
      </c>
      <c r="AF620" s="43">
        <f>VLOOKUP(AF$84,'Infos Techniques'!$B$7:$H$12,5,0)/($V620*$X$352/12)</f>
        <v>10</v>
      </c>
      <c r="AG620" s="43">
        <f>VLOOKUP(AG$84,'Infos Techniques'!$B$7:$H$12,5,0)/($V620*$X$352/12)</f>
        <v>8.84</v>
      </c>
      <c r="AH620" s="43">
        <f>VLOOKUP(AH$84,'Infos Techniques'!$B$7:$H$12,7,0)/($V620*$X$352/12)</f>
        <v>13.333333333333334</v>
      </c>
      <c r="AI620" s="43">
        <f>VLOOKUP(AI$84,'Infos Techniques'!$B$7:$H$12,7,0)/($V620*$X$352/12)</f>
        <v>13.333333333333334</v>
      </c>
      <c r="AJ620" s="43">
        <f>VLOOKUP(AJ$84,'Infos Techniques'!$B$7:$H$12,7,0)/($V620*$X$352/12)</f>
        <v>13.333333333333334</v>
      </c>
      <c r="AK620" s="43">
        <f>VLOOKUP(AK$84,'Infos Techniques'!$B$7:$H$12,7,0)/($V620*$X$352/12)</f>
        <v>10</v>
      </c>
      <c r="AL620" s="63">
        <f>VLOOKUP(AL$84,'Infos Techniques'!$B$7:$H$12,7,0)/($V620*$X$352/12)</f>
        <v>8.84</v>
      </c>
    </row>
    <row r="621" spans="2:38">
      <c r="B621" s="1830"/>
      <c r="C621" s="69">
        <v>30</v>
      </c>
      <c r="D621" s="43" t="e">
        <f t="shared" si="180"/>
        <v>#REF!</v>
      </c>
      <c r="E621" s="43" t="e">
        <f t="shared" si="171"/>
        <v>#REF!</v>
      </c>
      <c r="F621" s="43" t="e">
        <f t="shared" si="172"/>
        <v>#REF!</v>
      </c>
      <c r="G621" s="43" t="e">
        <f t="shared" si="173"/>
        <v>#REF!</v>
      </c>
      <c r="H621" s="43" t="e">
        <f t="shared" si="174"/>
        <v>#REF!</v>
      </c>
      <c r="I621" s="43" t="e">
        <f t="shared" si="175"/>
        <v>#REF!</v>
      </c>
      <c r="J621" s="43" t="e">
        <f t="shared" si="176"/>
        <v>#REF!</v>
      </c>
      <c r="K621" s="43" t="e">
        <f t="shared" si="177"/>
        <v>#REF!</v>
      </c>
      <c r="L621" s="43" t="e">
        <f t="shared" si="178"/>
        <v>#REF!</v>
      </c>
      <c r="M621" s="63" t="e">
        <f t="shared" si="179"/>
        <v>#REF!</v>
      </c>
      <c r="U621" s="1601"/>
      <c r="V621" s="28">
        <v>30</v>
      </c>
      <c r="W621" s="43" t="e" cm="1">
        <f t="array" ref="W621">VLOOKUP(MAX(IF('Courbe Déflexion'!$GV$5:$GV$285&lt;=V621,'Courbe Déflexion'!$GV$5:$GV$285)),'Courbe Déflexion'!#REF!,3,0)</f>
        <v>#REF!</v>
      </c>
      <c r="X621" s="276"/>
      <c r="Y621" s="276"/>
      <c r="Z621" s="276"/>
      <c r="AA621" s="276"/>
      <c r="AB621" s="276"/>
      <c r="AC621" s="43">
        <f>VLOOKUP(AC$84,'Infos Techniques'!$B$7:$H$12,5,0)/($V621*$X$352/12)</f>
        <v>8.3333333333333339</v>
      </c>
      <c r="AD621" s="43">
        <f>VLOOKUP(AD$84,'Infos Techniques'!$B$7:$H$12,5,0)/($V621*$X$352/12)</f>
        <v>8.3333333333333339</v>
      </c>
      <c r="AE621" s="43">
        <f>VLOOKUP(AE$84,'Infos Techniques'!$B$7:$H$12,5,0)/($V621*$X$352/12)</f>
        <v>8.3333333333333339</v>
      </c>
      <c r="AF621" s="43">
        <f>VLOOKUP(AF$84,'Infos Techniques'!$B$7:$H$12,5,0)/($V621*$X$352/12)</f>
        <v>8.3333333333333339</v>
      </c>
      <c r="AG621" s="43">
        <f>VLOOKUP(AG$84,'Infos Techniques'!$B$7:$H$12,5,0)/($V621*$X$352/12)</f>
        <v>7.3666666666666663</v>
      </c>
      <c r="AH621" s="43">
        <f>VLOOKUP(AH$84,'Infos Techniques'!$B$7:$H$12,7,0)/($V621*$X$352/12)</f>
        <v>11.111111111111111</v>
      </c>
      <c r="AI621" s="43">
        <f>VLOOKUP(AI$84,'Infos Techniques'!$B$7:$H$12,7,0)/($V621*$X$352/12)</f>
        <v>11.111111111111111</v>
      </c>
      <c r="AJ621" s="43">
        <f>VLOOKUP(AJ$84,'Infos Techniques'!$B$7:$H$12,7,0)/($V621*$X$352/12)</f>
        <v>11.111111111111111</v>
      </c>
      <c r="AK621" s="43">
        <f>VLOOKUP(AK$84,'Infos Techniques'!$B$7:$H$12,7,0)/($V621*$X$352/12)</f>
        <v>8.3333333333333339</v>
      </c>
      <c r="AL621" s="63">
        <f>VLOOKUP(AL$84,'Infos Techniques'!$B$7:$H$12,7,0)/($V621*$X$352/12)</f>
        <v>7.3666666666666663</v>
      </c>
    </row>
    <row r="622" spans="2:38">
      <c r="B622" s="1830"/>
      <c r="C622" s="70">
        <v>35</v>
      </c>
      <c r="D622" s="43" t="e">
        <f t="shared" si="180"/>
        <v>#REF!</v>
      </c>
      <c r="E622" s="43" t="e">
        <f t="shared" si="171"/>
        <v>#REF!</v>
      </c>
      <c r="F622" s="43" t="e">
        <f t="shared" si="172"/>
        <v>#REF!</v>
      </c>
      <c r="G622" s="43" t="e">
        <f t="shared" si="173"/>
        <v>#REF!</v>
      </c>
      <c r="H622" s="43" t="e">
        <f t="shared" si="174"/>
        <v>#REF!</v>
      </c>
      <c r="I622" s="43" t="e">
        <f t="shared" si="175"/>
        <v>#REF!</v>
      </c>
      <c r="J622" s="43" t="e">
        <f t="shared" si="176"/>
        <v>#REF!</v>
      </c>
      <c r="K622" s="43" t="e">
        <f t="shared" si="177"/>
        <v>#REF!</v>
      </c>
      <c r="L622" s="43" t="e">
        <f t="shared" si="178"/>
        <v>#REF!</v>
      </c>
      <c r="M622" s="63" t="e">
        <f t="shared" si="179"/>
        <v>#REF!</v>
      </c>
      <c r="U622" s="1601"/>
      <c r="V622" s="28">
        <v>35</v>
      </c>
      <c r="W622" s="43" t="e" cm="1">
        <f t="array" ref="W622">VLOOKUP(MAX(IF('Courbe Déflexion'!$GV$5:$GV$285&lt;=V622,'Courbe Déflexion'!$GV$5:$GV$285)),'Courbe Déflexion'!#REF!,3,0)</f>
        <v>#REF!</v>
      </c>
      <c r="X622" s="276"/>
      <c r="Y622" s="276"/>
      <c r="Z622" s="276"/>
      <c r="AA622" s="276"/>
      <c r="AB622" s="276"/>
      <c r="AC622" s="43">
        <f>VLOOKUP(AC$84,'Infos Techniques'!$B$7:$H$12,5,0)/($V622*$X$352/12)</f>
        <v>7.1428571428571432</v>
      </c>
      <c r="AD622" s="43">
        <f>VLOOKUP(AD$84,'Infos Techniques'!$B$7:$H$12,5,0)/($V622*$X$352/12)</f>
        <v>7.1428571428571432</v>
      </c>
      <c r="AE622" s="43">
        <f>VLOOKUP(AE$84,'Infos Techniques'!$B$7:$H$12,5,0)/($V622*$X$352/12)</f>
        <v>7.1428571428571432</v>
      </c>
      <c r="AF622" s="43">
        <f>VLOOKUP(AF$84,'Infos Techniques'!$B$7:$H$12,5,0)/($V622*$X$352/12)</f>
        <v>7.1428571428571432</v>
      </c>
      <c r="AG622" s="43">
        <f>VLOOKUP(AG$84,'Infos Techniques'!$B$7:$H$12,5,0)/($V622*$X$352/12)</f>
        <v>6.3142857142857141</v>
      </c>
      <c r="AH622" s="43">
        <f>VLOOKUP(AH$84,'Infos Techniques'!$B$7:$H$12,7,0)/($V622*$X$352/12)</f>
        <v>9.5238095238095237</v>
      </c>
      <c r="AI622" s="43">
        <f>VLOOKUP(AI$84,'Infos Techniques'!$B$7:$H$12,7,0)/($V622*$X$352/12)</f>
        <v>9.5238095238095237</v>
      </c>
      <c r="AJ622" s="43">
        <f>VLOOKUP(AJ$84,'Infos Techniques'!$B$7:$H$12,7,0)/($V622*$X$352/12)</f>
        <v>9.5238095238095237</v>
      </c>
      <c r="AK622" s="43">
        <f>VLOOKUP(AK$84,'Infos Techniques'!$B$7:$H$12,7,0)/($V622*$X$352/12)</f>
        <v>7.1428571428571432</v>
      </c>
      <c r="AL622" s="63">
        <f>VLOOKUP(AL$84,'Infos Techniques'!$B$7:$H$12,7,0)/($V622*$X$352/12)</f>
        <v>6.3142857142857141</v>
      </c>
    </row>
    <row r="623" spans="2:38">
      <c r="B623" s="1830"/>
      <c r="C623" s="70">
        <v>40</v>
      </c>
      <c r="D623" s="43" t="e">
        <f t="shared" si="180"/>
        <v>#REF!</v>
      </c>
      <c r="E623" s="43" t="e">
        <f t="shared" si="171"/>
        <v>#REF!</v>
      </c>
      <c r="F623" s="43" t="e">
        <f t="shared" si="172"/>
        <v>#REF!</v>
      </c>
      <c r="G623" s="43" t="e">
        <f t="shared" si="173"/>
        <v>#REF!</v>
      </c>
      <c r="H623" s="43" t="e">
        <f t="shared" si="174"/>
        <v>#REF!</v>
      </c>
      <c r="I623" s="43" t="e">
        <f t="shared" si="175"/>
        <v>#REF!</v>
      </c>
      <c r="J623" s="43" t="e">
        <f t="shared" si="176"/>
        <v>#REF!</v>
      </c>
      <c r="K623" s="43" t="e">
        <f t="shared" si="177"/>
        <v>#REF!</v>
      </c>
      <c r="L623" s="43" t="e">
        <f t="shared" si="178"/>
        <v>#REF!</v>
      </c>
      <c r="M623" s="63" t="e">
        <f t="shared" si="179"/>
        <v>#REF!</v>
      </c>
      <c r="U623" s="1601"/>
      <c r="V623" s="28">
        <v>40</v>
      </c>
      <c r="W623" s="43" t="e" cm="1">
        <f t="array" ref="W623">VLOOKUP(MAX(IF('Courbe Déflexion'!$GV$5:$GV$285&lt;=V623,'Courbe Déflexion'!$GV$5:$GV$285)),'Courbe Déflexion'!#REF!,3,0)</f>
        <v>#REF!</v>
      </c>
      <c r="X623" s="276"/>
      <c r="Y623" s="276"/>
      <c r="Z623" s="276"/>
      <c r="AA623" s="276"/>
      <c r="AB623" s="276"/>
      <c r="AC623" s="43">
        <f>VLOOKUP(AC$84,'Infos Techniques'!$B$7:$H$12,5,0)/($V623*$X$352/12)</f>
        <v>6.25</v>
      </c>
      <c r="AD623" s="43">
        <f>VLOOKUP(AD$84,'Infos Techniques'!$B$7:$H$12,5,0)/($V623*$X$352/12)</f>
        <v>6.25</v>
      </c>
      <c r="AE623" s="43">
        <f>VLOOKUP(AE$84,'Infos Techniques'!$B$7:$H$12,5,0)/($V623*$X$352/12)</f>
        <v>6.25</v>
      </c>
      <c r="AF623" s="43">
        <f>VLOOKUP(AF$84,'Infos Techniques'!$B$7:$H$12,5,0)/($V623*$X$352/12)</f>
        <v>6.25</v>
      </c>
      <c r="AG623" s="43">
        <f>VLOOKUP(AG$84,'Infos Techniques'!$B$7:$H$12,5,0)/($V623*$X$352/12)</f>
        <v>5.5250000000000004</v>
      </c>
      <c r="AH623" s="43">
        <f>VLOOKUP(AH$84,'Infos Techniques'!$B$7:$H$12,7,0)/($V623*$X$352/12)</f>
        <v>8.3333333333333339</v>
      </c>
      <c r="AI623" s="43">
        <f>VLOOKUP(AI$84,'Infos Techniques'!$B$7:$H$12,7,0)/($V623*$X$352/12)</f>
        <v>8.3333333333333339</v>
      </c>
      <c r="AJ623" s="43">
        <f>VLOOKUP(AJ$84,'Infos Techniques'!$B$7:$H$12,7,0)/($V623*$X$352/12)</f>
        <v>8.3333333333333339</v>
      </c>
      <c r="AK623" s="43">
        <f>VLOOKUP(AK$84,'Infos Techniques'!$B$7:$H$12,7,0)/($V623*$X$352/12)</f>
        <v>6.25</v>
      </c>
      <c r="AL623" s="63">
        <f>VLOOKUP(AL$84,'Infos Techniques'!$B$7:$H$12,7,0)/($V623*$X$352/12)</f>
        <v>5.5250000000000004</v>
      </c>
    </row>
    <row r="624" spans="2:38">
      <c r="B624" s="1830"/>
      <c r="C624" s="70">
        <v>45</v>
      </c>
      <c r="D624" s="43" t="e">
        <f t="shared" si="180"/>
        <v>#REF!</v>
      </c>
      <c r="E624" s="43" t="e">
        <f t="shared" si="171"/>
        <v>#REF!</v>
      </c>
      <c r="F624" s="43" t="e">
        <f t="shared" si="172"/>
        <v>#REF!</v>
      </c>
      <c r="G624" s="43" t="e">
        <f t="shared" si="173"/>
        <v>#REF!</v>
      </c>
      <c r="H624" s="43" t="e">
        <f t="shared" si="174"/>
        <v>#REF!</v>
      </c>
      <c r="I624" s="43" t="e">
        <f t="shared" si="175"/>
        <v>#REF!</v>
      </c>
      <c r="J624" s="43" t="e">
        <f t="shared" si="176"/>
        <v>#REF!</v>
      </c>
      <c r="K624" s="43" t="e">
        <f t="shared" si="177"/>
        <v>#REF!</v>
      </c>
      <c r="L624" s="43" t="e">
        <f t="shared" si="178"/>
        <v>#REF!</v>
      </c>
      <c r="M624" s="63" t="e">
        <f t="shared" si="179"/>
        <v>#REF!</v>
      </c>
      <c r="U624" s="1601"/>
      <c r="V624" s="28">
        <v>45</v>
      </c>
      <c r="W624" s="43" t="e" cm="1">
        <f t="array" ref="W624">VLOOKUP(MAX(IF('Courbe Déflexion'!$GV$5:$GV$285&lt;=V624,'Courbe Déflexion'!$GV$5:$GV$285)),'Courbe Déflexion'!#REF!,3,0)</f>
        <v>#REF!</v>
      </c>
      <c r="X624" s="276"/>
      <c r="Y624" s="276"/>
      <c r="Z624" s="276"/>
      <c r="AA624" s="276"/>
      <c r="AB624" s="276"/>
      <c r="AC624" s="43">
        <f>VLOOKUP(AC$84,'Infos Techniques'!$B$7:$H$12,5,0)/($V624*$X$352/12)</f>
        <v>5.5555555555555554</v>
      </c>
      <c r="AD624" s="43">
        <f>VLOOKUP(AD$84,'Infos Techniques'!$B$7:$H$12,5,0)/($V624*$X$352/12)</f>
        <v>5.5555555555555554</v>
      </c>
      <c r="AE624" s="43">
        <f>VLOOKUP(AE$84,'Infos Techniques'!$B$7:$H$12,5,0)/($V624*$X$352/12)</f>
        <v>5.5555555555555554</v>
      </c>
      <c r="AF624" s="43">
        <f>VLOOKUP(AF$84,'Infos Techniques'!$B$7:$H$12,5,0)/($V624*$X$352/12)</f>
        <v>5.5555555555555554</v>
      </c>
      <c r="AG624" s="43">
        <f>VLOOKUP(AG$84,'Infos Techniques'!$B$7:$H$12,5,0)/($V624*$X$352/12)</f>
        <v>4.9111111111111114</v>
      </c>
      <c r="AH624" s="43">
        <f>VLOOKUP(AH$84,'Infos Techniques'!$B$7:$H$12,7,0)/($V624*$X$352/12)</f>
        <v>7.4074074074074074</v>
      </c>
      <c r="AI624" s="43">
        <f>VLOOKUP(AI$84,'Infos Techniques'!$B$7:$H$12,7,0)/($V624*$X$352/12)</f>
        <v>7.4074074074074074</v>
      </c>
      <c r="AJ624" s="43">
        <f>VLOOKUP(AJ$84,'Infos Techniques'!$B$7:$H$12,7,0)/($V624*$X$352/12)</f>
        <v>7.4074074074074074</v>
      </c>
      <c r="AK624" s="43">
        <f>VLOOKUP(AK$84,'Infos Techniques'!$B$7:$H$12,7,0)/($V624*$X$352/12)</f>
        <v>5.5555555555555554</v>
      </c>
      <c r="AL624" s="63">
        <f>VLOOKUP(AL$84,'Infos Techniques'!$B$7:$H$12,7,0)/($V624*$X$352/12)</f>
        <v>4.9111111111111114</v>
      </c>
    </row>
    <row r="625" spans="2:38" ht="15" thickBot="1">
      <c r="B625" s="1830"/>
      <c r="C625" s="71">
        <v>50</v>
      </c>
      <c r="D625" s="43" t="e">
        <f t="shared" si="180"/>
        <v>#REF!</v>
      </c>
      <c r="E625" s="43" t="e">
        <f t="shared" si="171"/>
        <v>#REF!</v>
      </c>
      <c r="F625" s="43" t="e">
        <f t="shared" si="172"/>
        <v>#REF!</v>
      </c>
      <c r="G625" s="43" t="e">
        <f t="shared" si="173"/>
        <v>#REF!</v>
      </c>
      <c r="H625" s="43" t="e">
        <f t="shared" si="174"/>
        <v>#REF!</v>
      </c>
      <c r="I625" s="43" t="e">
        <f t="shared" si="175"/>
        <v>#REF!</v>
      </c>
      <c r="J625" s="43" t="e">
        <f t="shared" si="176"/>
        <v>#REF!</v>
      </c>
      <c r="K625" s="43" t="e">
        <f t="shared" si="177"/>
        <v>#REF!</v>
      </c>
      <c r="L625" s="43" t="e">
        <f t="shared" si="178"/>
        <v>#REF!</v>
      </c>
      <c r="M625" s="63" t="e">
        <f t="shared" si="179"/>
        <v>#REF!</v>
      </c>
      <c r="U625" s="1601"/>
      <c r="V625" s="28">
        <v>50</v>
      </c>
      <c r="W625" s="43" t="e" cm="1">
        <f t="array" ref="W625">VLOOKUP(MAX(IF('Courbe Déflexion'!$GV$5:$GV$285&lt;=V625,'Courbe Déflexion'!$GV$5:$GV$285)),'Courbe Déflexion'!#REF!,3,0)</f>
        <v>#REF!</v>
      </c>
      <c r="X625" s="276"/>
      <c r="Y625" s="276"/>
      <c r="Z625" s="276"/>
      <c r="AA625" s="276"/>
      <c r="AB625" s="276"/>
      <c r="AC625" s="43">
        <f>VLOOKUP(AC$84,'Infos Techniques'!$B$7:$H$12,5,0)/($V625*$X$352/12)</f>
        <v>5</v>
      </c>
      <c r="AD625" s="43">
        <f>VLOOKUP(AD$84,'Infos Techniques'!$B$7:$H$12,5,0)/($V625*$X$352/12)</f>
        <v>5</v>
      </c>
      <c r="AE625" s="43">
        <f>VLOOKUP(AE$84,'Infos Techniques'!$B$7:$H$12,5,0)/($V625*$X$352/12)</f>
        <v>5</v>
      </c>
      <c r="AF625" s="43">
        <f>VLOOKUP(AF$84,'Infos Techniques'!$B$7:$H$12,5,0)/($V625*$X$352/12)</f>
        <v>5</v>
      </c>
      <c r="AG625" s="43">
        <f>VLOOKUP(AG$84,'Infos Techniques'!$B$7:$H$12,5,0)/($V625*$X$352/12)</f>
        <v>4.42</v>
      </c>
      <c r="AH625" s="43">
        <f>VLOOKUP(AH$84,'Infos Techniques'!$B$7:$H$12,7,0)/($V625*$X$352/12)</f>
        <v>6.666666666666667</v>
      </c>
      <c r="AI625" s="43">
        <f>VLOOKUP(AI$84,'Infos Techniques'!$B$7:$H$12,7,0)/($V625*$X$352/12)</f>
        <v>6.666666666666667</v>
      </c>
      <c r="AJ625" s="43">
        <f>VLOOKUP(AJ$84,'Infos Techniques'!$B$7:$H$12,7,0)/($V625*$X$352/12)</f>
        <v>6.666666666666667</v>
      </c>
      <c r="AK625" s="43">
        <f>VLOOKUP(AK$84,'Infos Techniques'!$B$7:$H$12,7,0)/($V625*$X$352/12)</f>
        <v>5</v>
      </c>
      <c r="AL625" s="63">
        <f>VLOOKUP(AL$84,'Infos Techniques'!$B$7:$H$12,7,0)/($V625*$X$352/12)</f>
        <v>4.42</v>
      </c>
    </row>
    <row r="626" spans="2:38">
      <c r="B626" s="1830"/>
      <c r="C626" s="69">
        <v>55</v>
      </c>
      <c r="D626" s="43" t="e">
        <f t="shared" si="180"/>
        <v>#REF!</v>
      </c>
      <c r="E626" s="43" t="e">
        <f t="shared" si="171"/>
        <v>#REF!</v>
      </c>
      <c r="F626" s="43" t="e">
        <f t="shared" si="172"/>
        <v>#REF!</v>
      </c>
      <c r="G626" s="43" t="e">
        <f t="shared" si="173"/>
        <v>#REF!</v>
      </c>
      <c r="H626" s="43" t="e">
        <f t="shared" si="174"/>
        <v>#REF!</v>
      </c>
      <c r="I626" s="43" t="e">
        <f t="shared" si="175"/>
        <v>#REF!</v>
      </c>
      <c r="J626" s="43" t="e">
        <f t="shared" si="176"/>
        <v>#REF!</v>
      </c>
      <c r="K626" s="43" t="e">
        <f t="shared" si="177"/>
        <v>#REF!</v>
      </c>
      <c r="L626" s="43" t="e">
        <f t="shared" si="178"/>
        <v>#REF!</v>
      </c>
      <c r="M626" s="63" t="e">
        <f t="shared" si="179"/>
        <v>#REF!</v>
      </c>
      <c r="U626" s="1601"/>
      <c r="V626" s="28">
        <v>55</v>
      </c>
      <c r="W626" s="43" t="e" cm="1">
        <f t="array" ref="W626">VLOOKUP(MAX(IF('Courbe Déflexion'!$GV$5:$GV$285&lt;=V626,'Courbe Déflexion'!$GV$5:$GV$285)),'Courbe Déflexion'!#REF!,3,0)</f>
        <v>#REF!</v>
      </c>
      <c r="X626" s="276"/>
      <c r="Y626" s="276"/>
      <c r="Z626" s="276"/>
      <c r="AA626" s="276"/>
      <c r="AB626" s="276"/>
      <c r="AC626" s="43">
        <f>VLOOKUP(AC$84,'Infos Techniques'!$B$7:$H$12,5,0)/($V626*$X$352/12)</f>
        <v>4.5454545454545459</v>
      </c>
      <c r="AD626" s="43">
        <f>VLOOKUP(AD$84,'Infos Techniques'!$B$7:$H$12,5,0)/($V626*$X$352/12)</f>
        <v>4.5454545454545459</v>
      </c>
      <c r="AE626" s="43">
        <f>VLOOKUP(AE$84,'Infos Techniques'!$B$7:$H$12,5,0)/($V626*$X$352/12)</f>
        <v>4.5454545454545459</v>
      </c>
      <c r="AF626" s="43">
        <f>VLOOKUP(AF$84,'Infos Techniques'!$B$7:$H$12,5,0)/($V626*$X$352/12)</f>
        <v>4.5454545454545459</v>
      </c>
      <c r="AG626" s="43">
        <f>VLOOKUP(AG$84,'Infos Techniques'!$B$7:$H$12,5,0)/($V626*$X$352/12)</f>
        <v>4.0181818181818185</v>
      </c>
      <c r="AH626" s="43">
        <f>VLOOKUP(AH$84,'Infos Techniques'!$B$7:$H$12,7,0)/($V626*$X$352/12)</f>
        <v>6.0606060606060606</v>
      </c>
      <c r="AI626" s="43">
        <f>VLOOKUP(AI$84,'Infos Techniques'!$B$7:$H$12,7,0)/($V626*$X$352/12)</f>
        <v>6.0606060606060606</v>
      </c>
      <c r="AJ626" s="43">
        <f>VLOOKUP(AJ$84,'Infos Techniques'!$B$7:$H$12,7,0)/($V626*$X$352/12)</f>
        <v>6.0606060606060606</v>
      </c>
      <c r="AK626" s="43">
        <f>VLOOKUP(AK$84,'Infos Techniques'!$B$7:$H$12,7,0)/($V626*$X$352/12)</f>
        <v>4.5454545454545459</v>
      </c>
      <c r="AL626" s="63">
        <f>VLOOKUP(AL$84,'Infos Techniques'!$B$7:$H$12,7,0)/($V626*$X$352/12)</f>
        <v>4.0181818181818185</v>
      </c>
    </row>
    <row r="627" spans="2:38">
      <c r="B627" s="1830"/>
      <c r="C627" s="70">
        <v>60</v>
      </c>
      <c r="D627" s="43" t="e">
        <f t="shared" si="180"/>
        <v>#REF!</v>
      </c>
      <c r="E627" s="43" t="e">
        <f t="shared" si="171"/>
        <v>#REF!</v>
      </c>
      <c r="F627" s="43" t="e">
        <f t="shared" si="172"/>
        <v>#REF!</v>
      </c>
      <c r="G627" s="43" t="e">
        <f t="shared" si="173"/>
        <v>#REF!</v>
      </c>
      <c r="H627" s="43" t="e">
        <f t="shared" si="174"/>
        <v>#REF!</v>
      </c>
      <c r="I627" s="43" t="e">
        <f t="shared" si="175"/>
        <v>#REF!</v>
      </c>
      <c r="J627" s="43" t="e">
        <f t="shared" si="176"/>
        <v>#REF!</v>
      </c>
      <c r="K627" s="43" t="e">
        <f t="shared" si="177"/>
        <v>#REF!</v>
      </c>
      <c r="L627" s="43" t="e">
        <f t="shared" si="178"/>
        <v>#REF!</v>
      </c>
      <c r="M627" s="63" t="e">
        <f t="shared" si="179"/>
        <v>#REF!</v>
      </c>
      <c r="U627" s="1601"/>
      <c r="V627" s="28">
        <v>60</v>
      </c>
      <c r="W627" s="43" t="e" cm="1">
        <f t="array" ref="W627">VLOOKUP(MAX(IF('Courbe Déflexion'!$GV$5:$GV$285&lt;=V627,'Courbe Déflexion'!$GV$5:$GV$285)),'Courbe Déflexion'!#REF!,3,0)</f>
        <v>#REF!</v>
      </c>
      <c r="X627" s="276"/>
      <c r="Y627" s="276"/>
      <c r="Z627" s="276"/>
      <c r="AA627" s="276"/>
      <c r="AB627" s="276"/>
      <c r="AC627" s="43">
        <f>VLOOKUP(AC$84,'Infos Techniques'!$B$7:$H$12,5,0)/($V627*$X$352/12)</f>
        <v>4.166666666666667</v>
      </c>
      <c r="AD627" s="43">
        <f>VLOOKUP(AD$84,'Infos Techniques'!$B$7:$H$12,5,0)/($V627*$X$352/12)</f>
        <v>4.166666666666667</v>
      </c>
      <c r="AE627" s="43">
        <f>VLOOKUP(AE$84,'Infos Techniques'!$B$7:$H$12,5,0)/($V627*$X$352/12)</f>
        <v>4.166666666666667</v>
      </c>
      <c r="AF627" s="43">
        <f>VLOOKUP(AF$84,'Infos Techniques'!$B$7:$H$12,5,0)/($V627*$X$352/12)</f>
        <v>4.166666666666667</v>
      </c>
      <c r="AG627" s="43">
        <f>VLOOKUP(AG$84,'Infos Techniques'!$B$7:$H$12,5,0)/($V627*$X$352/12)</f>
        <v>3.6833333333333331</v>
      </c>
      <c r="AH627" s="43">
        <f>VLOOKUP(AH$84,'Infos Techniques'!$B$7:$H$12,7,0)/($V627*$X$352/12)</f>
        <v>5.5555555555555554</v>
      </c>
      <c r="AI627" s="43">
        <f>VLOOKUP(AI$84,'Infos Techniques'!$B$7:$H$12,7,0)/($V627*$X$352/12)</f>
        <v>5.5555555555555554</v>
      </c>
      <c r="AJ627" s="43">
        <f>VLOOKUP(AJ$84,'Infos Techniques'!$B$7:$H$12,7,0)/($V627*$X$352/12)</f>
        <v>5.5555555555555554</v>
      </c>
      <c r="AK627" s="43">
        <f>VLOOKUP(AK$84,'Infos Techniques'!$B$7:$H$12,7,0)/($V627*$X$352/12)</f>
        <v>4.166666666666667</v>
      </c>
      <c r="AL627" s="63">
        <f>VLOOKUP(AL$84,'Infos Techniques'!$B$7:$H$12,7,0)/($V627*$X$352/12)</f>
        <v>3.6833333333333331</v>
      </c>
    </row>
    <row r="628" spans="2:38">
      <c r="B628" s="1830"/>
      <c r="C628" s="70">
        <v>65</v>
      </c>
      <c r="D628" s="43" t="e">
        <f t="shared" si="180"/>
        <v>#REF!</v>
      </c>
      <c r="E628" s="43" t="e">
        <f t="shared" si="171"/>
        <v>#REF!</v>
      </c>
      <c r="F628" s="43" t="e">
        <f t="shared" si="172"/>
        <v>#REF!</v>
      </c>
      <c r="G628" s="43" t="e">
        <f t="shared" si="173"/>
        <v>#REF!</v>
      </c>
      <c r="H628" s="43" t="e">
        <f t="shared" si="174"/>
        <v>#REF!</v>
      </c>
      <c r="I628" s="43" t="e">
        <f t="shared" si="175"/>
        <v>#REF!</v>
      </c>
      <c r="J628" s="43" t="e">
        <f t="shared" si="176"/>
        <v>#REF!</v>
      </c>
      <c r="K628" s="43" t="e">
        <f t="shared" si="177"/>
        <v>#REF!</v>
      </c>
      <c r="L628" s="43" t="e">
        <f t="shared" si="178"/>
        <v>#REF!</v>
      </c>
      <c r="M628" s="63" t="e">
        <f t="shared" si="179"/>
        <v>#REF!</v>
      </c>
      <c r="U628" s="1601"/>
      <c r="V628" s="28">
        <v>65</v>
      </c>
      <c r="W628" s="43" t="e" cm="1">
        <f t="array" ref="W628">VLOOKUP(MAX(IF('Courbe Déflexion'!$GV$5:$GV$285&lt;=V628,'Courbe Déflexion'!$GV$5:$GV$285)),'Courbe Déflexion'!#REF!,3,0)</f>
        <v>#REF!</v>
      </c>
      <c r="X628" s="276"/>
      <c r="Y628" s="276"/>
      <c r="Z628" s="276"/>
      <c r="AA628" s="276"/>
      <c r="AB628" s="276"/>
      <c r="AC628" s="43">
        <f>VLOOKUP(AC$84,'Infos Techniques'!$B$7:$H$12,5,0)/($V628*$X$352/12)</f>
        <v>3.8461538461538463</v>
      </c>
      <c r="AD628" s="43">
        <f>VLOOKUP(AD$84,'Infos Techniques'!$B$7:$H$12,5,0)/($V628*$X$352/12)</f>
        <v>3.8461538461538463</v>
      </c>
      <c r="AE628" s="43">
        <f>VLOOKUP(AE$84,'Infos Techniques'!$B$7:$H$12,5,0)/($V628*$X$352/12)</f>
        <v>3.8461538461538463</v>
      </c>
      <c r="AF628" s="43">
        <f>VLOOKUP(AF$84,'Infos Techniques'!$B$7:$H$12,5,0)/($V628*$X$352/12)</f>
        <v>3.8461538461538463</v>
      </c>
      <c r="AG628" s="43">
        <f>VLOOKUP(AG$84,'Infos Techniques'!$B$7:$H$12,5,0)/($V628*$X$352/12)</f>
        <v>3.4</v>
      </c>
      <c r="AH628" s="43">
        <f>VLOOKUP(AH$84,'Infos Techniques'!$B$7:$H$12,7,0)/($V628*$X$352/12)</f>
        <v>5.1282051282051286</v>
      </c>
      <c r="AI628" s="43">
        <f>VLOOKUP(AI$84,'Infos Techniques'!$B$7:$H$12,7,0)/($V628*$X$352/12)</f>
        <v>5.1282051282051286</v>
      </c>
      <c r="AJ628" s="43">
        <f>VLOOKUP(AJ$84,'Infos Techniques'!$B$7:$H$12,7,0)/($V628*$X$352/12)</f>
        <v>5.1282051282051286</v>
      </c>
      <c r="AK628" s="43">
        <f>VLOOKUP(AK$84,'Infos Techniques'!$B$7:$H$12,7,0)/($V628*$X$352/12)</f>
        <v>3.8461538461538463</v>
      </c>
      <c r="AL628" s="63">
        <f>VLOOKUP(AL$84,'Infos Techniques'!$B$7:$H$12,7,0)/($V628*$X$352/12)</f>
        <v>3.4</v>
      </c>
    </row>
    <row r="629" spans="2:38">
      <c r="B629" s="1830"/>
      <c r="C629" s="70">
        <v>70</v>
      </c>
      <c r="D629" s="43" t="e">
        <f t="shared" si="180"/>
        <v>#REF!</v>
      </c>
      <c r="E629" s="43" t="e">
        <f t="shared" si="171"/>
        <v>#REF!</v>
      </c>
      <c r="F629" s="43" t="e">
        <f t="shared" si="172"/>
        <v>#REF!</v>
      </c>
      <c r="G629" s="43" t="e">
        <f t="shared" si="173"/>
        <v>#REF!</v>
      </c>
      <c r="H629" s="43" t="e">
        <f t="shared" si="174"/>
        <v>#REF!</v>
      </c>
      <c r="I629" s="43" t="e">
        <f t="shared" si="175"/>
        <v>#REF!</v>
      </c>
      <c r="J629" s="43" t="e">
        <f t="shared" si="176"/>
        <v>#REF!</v>
      </c>
      <c r="K629" s="43" t="e">
        <f t="shared" si="177"/>
        <v>#REF!</v>
      </c>
      <c r="L629" s="43" t="e">
        <f t="shared" si="178"/>
        <v>#REF!</v>
      </c>
      <c r="M629" s="63" t="e">
        <f t="shared" si="179"/>
        <v>#REF!</v>
      </c>
      <c r="U629" s="1601"/>
      <c r="V629" s="28">
        <v>70</v>
      </c>
      <c r="W629" s="43" t="e" cm="1">
        <f t="array" ref="W629">VLOOKUP(MAX(IF('Courbe Déflexion'!$GV$5:$GV$285&lt;=V629,'Courbe Déflexion'!$GV$5:$GV$285)),'Courbe Déflexion'!#REF!,3,0)</f>
        <v>#REF!</v>
      </c>
      <c r="X629" s="276"/>
      <c r="Y629" s="276"/>
      <c r="Z629" s="276"/>
      <c r="AA629" s="276"/>
      <c r="AB629" s="276"/>
      <c r="AC629" s="43">
        <f>VLOOKUP(AC$84,'Infos Techniques'!$B$7:$H$12,5,0)/($V629*$X$352/12)</f>
        <v>3.5714285714285716</v>
      </c>
      <c r="AD629" s="43">
        <f>VLOOKUP(AD$84,'Infos Techniques'!$B$7:$H$12,5,0)/($V629*$X$352/12)</f>
        <v>3.5714285714285716</v>
      </c>
      <c r="AE629" s="43">
        <f>VLOOKUP(AE$84,'Infos Techniques'!$B$7:$H$12,5,0)/($V629*$X$352/12)</f>
        <v>3.5714285714285716</v>
      </c>
      <c r="AF629" s="43">
        <f>VLOOKUP(AF$84,'Infos Techniques'!$B$7:$H$12,5,0)/($V629*$X$352/12)</f>
        <v>3.5714285714285716</v>
      </c>
      <c r="AG629" s="43">
        <f>VLOOKUP(AG$84,'Infos Techniques'!$B$7:$H$12,5,0)/($V629*$X$352/12)</f>
        <v>3.157142857142857</v>
      </c>
      <c r="AH629" s="43">
        <f>VLOOKUP(AH$84,'Infos Techniques'!$B$7:$H$12,7,0)/($V629*$X$352/12)</f>
        <v>4.7619047619047619</v>
      </c>
      <c r="AI629" s="43">
        <f>VLOOKUP(AI$84,'Infos Techniques'!$B$7:$H$12,7,0)/($V629*$X$352/12)</f>
        <v>4.7619047619047619</v>
      </c>
      <c r="AJ629" s="43">
        <f>VLOOKUP(AJ$84,'Infos Techniques'!$B$7:$H$12,7,0)/($V629*$X$352/12)</f>
        <v>4.7619047619047619</v>
      </c>
      <c r="AK629" s="43">
        <f>VLOOKUP(AK$84,'Infos Techniques'!$B$7:$H$12,7,0)/($V629*$X$352/12)</f>
        <v>3.5714285714285716</v>
      </c>
      <c r="AL629" s="63">
        <f>VLOOKUP(AL$84,'Infos Techniques'!$B$7:$H$12,7,0)/($V629*$X$352/12)</f>
        <v>3.157142857142857</v>
      </c>
    </row>
    <row r="630" spans="2:38" ht="15" thickBot="1">
      <c r="B630" s="1830"/>
      <c r="C630" s="71">
        <v>75</v>
      </c>
      <c r="D630" s="43" t="e">
        <f t="shared" si="180"/>
        <v>#REF!</v>
      </c>
      <c r="E630" s="43" t="e">
        <f t="shared" si="171"/>
        <v>#REF!</v>
      </c>
      <c r="F630" s="43" t="e">
        <f t="shared" si="172"/>
        <v>#REF!</v>
      </c>
      <c r="G630" s="43" t="e">
        <f t="shared" si="173"/>
        <v>#REF!</v>
      </c>
      <c r="H630" s="43" t="e">
        <f t="shared" si="174"/>
        <v>#REF!</v>
      </c>
      <c r="I630" s="43" t="e">
        <f t="shared" si="175"/>
        <v>#REF!</v>
      </c>
      <c r="J630" s="43" t="e">
        <f t="shared" si="176"/>
        <v>#REF!</v>
      </c>
      <c r="K630" s="43" t="e">
        <f t="shared" si="177"/>
        <v>#REF!</v>
      </c>
      <c r="L630" s="43" t="e">
        <f t="shared" si="178"/>
        <v>#REF!</v>
      </c>
      <c r="M630" s="63" t="e">
        <f t="shared" si="179"/>
        <v>#REF!</v>
      </c>
      <c r="U630" s="1601"/>
      <c r="V630" s="28">
        <v>75</v>
      </c>
      <c r="W630" s="43" t="e" cm="1">
        <f t="array" ref="W630">VLOOKUP(MAX(IF('Courbe Déflexion'!$GV$5:$GV$285&lt;=V630,'Courbe Déflexion'!$GV$5:$GV$285)),'Courbe Déflexion'!#REF!,3,0)</f>
        <v>#REF!</v>
      </c>
      <c r="X630" s="276"/>
      <c r="Y630" s="276"/>
      <c r="Z630" s="276"/>
      <c r="AA630" s="276"/>
      <c r="AB630" s="276"/>
      <c r="AC630" s="43">
        <f>VLOOKUP(AC$84,'Infos Techniques'!$B$7:$H$12,5,0)/($V630*$X$352/12)</f>
        <v>3.3333333333333335</v>
      </c>
      <c r="AD630" s="43">
        <f>VLOOKUP(AD$84,'Infos Techniques'!$B$7:$H$12,5,0)/($V630*$X$352/12)</f>
        <v>3.3333333333333335</v>
      </c>
      <c r="AE630" s="43">
        <f>VLOOKUP(AE$84,'Infos Techniques'!$B$7:$H$12,5,0)/($V630*$X$352/12)</f>
        <v>3.3333333333333335</v>
      </c>
      <c r="AF630" s="43">
        <f>VLOOKUP(AF$84,'Infos Techniques'!$B$7:$H$12,5,0)/($V630*$X$352/12)</f>
        <v>3.3333333333333335</v>
      </c>
      <c r="AG630" s="43">
        <f>VLOOKUP(AG$84,'Infos Techniques'!$B$7:$H$12,5,0)/($V630*$X$352/12)</f>
        <v>2.9466666666666668</v>
      </c>
      <c r="AH630" s="43">
        <f>VLOOKUP(AH$84,'Infos Techniques'!$B$7:$H$12,7,0)/($V630*$X$352/12)</f>
        <v>4.4444444444444446</v>
      </c>
      <c r="AI630" s="43">
        <f>VLOOKUP(AI$84,'Infos Techniques'!$B$7:$H$12,7,0)/($V630*$X$352/12)</f>
        <v>4.4444444444444446</v>
      </c>
      <c r="AJ630" s="43">
        <f>VLOOKUP(AJ$84,'Infos Techniques'!$B$7:$H$12,7,0)/($V630*$X$352/12)</f>
        <v>4.4444444444444446</v>
      </c>
      <c r="AK630" s="43">
        <f>VLOOKUP(AK$84,'Infos Techniques'!$B$7:$H$12,7,0)/($V630*$X$352/12)</f>
        <v>3.3333333333333335</v>
      </c>
      <c r="AL630" s="63">
        <f>VLOOKUP(AL$84,'Infos Techniques'!$B$7:$H$12,7,0)/($V630*$X$352/12)</f>
        <v>2.9466666666666668</v>
      </c>
    </row>
    <row r="631" spans="2:38">
      <c r="B631" s="1830"/>
      <c r="C631" s="72">
        <v>80</v>
      </c>
      <c r="D631" s="43" t="e">
        <f t="shared" si="180"/>
        <v>#REF!</v>
      </c>
      <c r="E631" s="43" t="e">
        <f t="shared" si="171"/>
        <v>#REF!</v>
      </c>
      <c r="F631" s="43" t="e">
        <f t="shared" si="172"/>
        <v>#REF!</v>
      </c>
      <c r="G631" s="43" t="e">
        <f t="shared" si="173"/>
        <v>#REF!</v>
      </c>
      <c r="H631" s="43" t="e">
        <f t="shared" si="174"/>
        <v>#REF!</v>
      </c>
      <c r="I631" s="43" t="e">
        <f t="shared" si="175"/>
        <v>#REF!</v>
      </c>
      <c r="J631" s="43" t="e">
        <f t="shared" si="176"/>
        <v>#REF!</v>
      </c>
      <c r="K631" s="43" t="e">
        <f t="shared" si="177"/>
        <v>#REF!</v>
      </c>
      <c r="L631" s="43" t="e">
        <f t="shared" si="178"/>
        <v>#REF!</v>
      </c>
      <c r="M631" s="63" t="e">
        <f t="shared" si="179"/>
        <v>#REF!</v>
      </c>
      <c r="U631" s="1601"/>
      <c r="V631" s="28">
        <v>80</v>
      </c>
      <c r="W631" s="43" t="e" cm="1">
        <f t="array" ref="W631">VLOOKUP(MAX(IF('Courbe Déflexion'!$GV$5:$GV$285&lt;=V631,'Courbe Déflexion'!$GV$5:$GV$285)),'Courbe Déflexion'!#REF!,3,0)</f>
        <v>#REF!</v>
      </c>
      <c r="X631" s="276"/>
      <c r="Y631" s="276"/>
      <c r="Z631" s="276"/>
      <c r="AA631" s="276"/>
      <c r="AB631" s="276"/>
      <c r="AC631" s="43">
        <f>VLOOKUP(AC$84,'Infos Techniques'!$B$7:$H$12,5,0)/($V631*$X$352/12)</f>
        <v>3.125</v>
      </c>
      <c r="AD631" s="43">
        <f>VLOOKUP(AD$84,'Infos Techniques'!$B$7:$H$12,5,0)/($V631*$X$352/12)</f>
        <v>3.125</v>
      </c>
      <c r="AE631" s="43">
        <f>VLOOKUP(AE$84,'Infos Techniques'!$B$7:$H$12,5,0)/($V631*$X$352/12)</f>
        <v>3.125</v>
      </c>
      <c r="AF631" s="43">
        <f>VLOOKUP(AF$84,'Infos Techniques'!$B$7:$H$12,5,0)/($V631*$X$352/12)</f>
        <v>3.125</v>
      </c>
      <c r="AG631" s="43">
        <f>VLOOKUP(AG$84,'Infos Techniques'!$B$7:$H$12,5,0)/($V631*$X$352/12)</f>
        <v>2.7625000000000002</v>
      </c>
      <c r="AH631" s="43">
        <f>VLOOKUP(AH$84,'Infos Techniques'!$B$7:$H$12,7,0)/($V631*$X$352/12)</f>
        <v>4.166666666666667</v>
      </c>
      <c r="AI631" s="43">
        <f>VLOOKUP(AI$84,'Infos Techniques'!$B$7:$H$12,7,0)/($V631*$X$352/12)</f>
        <v>4.166666666666667</v>
      </c>
      <c r="AJ631" s="43">
        <f>VLOOKUP(AJ$84,'Infos Techniques'!$B$7:$H$12,7,0)/($V631*$X$352/12)</f>
        <v>4.166666666666667</v>
      </c>
      <c r="AK631" s="43">
        <f>VLOOKUP(AK$84,'Infos Techniques'!$B$7:$H$12,7,0)/($V631*$X$352/12)</f>
        <v>3.125</v>
      </c>
      <c r="AL631" s="63">
        <f>VLOOKUP(AL$84,'Infos Techniques'!$B$7:$H$12,7,0)/($V631*$X$352/12)</f>
        <v>2.7625000000000002</v>
      </c>
    </row>
    <row r="632" spans="2:38">
      <c r="B632" s="1830"/>
      <c r="C632" s="70">
        <v>85</v>
      </c>
      <c r="D632" s="43" t="e">
        <f t="shared" si="180"/>
        <v>#REF!</v>
      </c>
      <c r="E632" s="43" t="e">
        <f t="shared" si="171"/>
        <v>#REF!</v>
      </c>
      <c r="F632" s="43" t="e">
        <f t="shared" si="172"/>
        <v>#REF!</v>
      </c>
      <c r="G632" s="43" t="e">
        <f t="shared" si="173"/>
        <v>#REF!</v>
      </c>
      <c r="H632" s="43" t="e">
        <f t="shared" si="174"/>
        <v>#REF!</v>
      </c>
      <c r="I632" s="43" t="e">
        <f t="shared" si="175"/>
        <v>#REF!</v>
      </c>
      <c r="J632" s="43" t="e">
        <f t="shared" si="176"/>
        <v>#REF!</v>
      </c>
      <c r="K632" s="43" t="e">
        <f t="shared" si="177"/>
        <v>#REF!</v>
      </c>
      <c r="L632" s="43" t="e">
        <f t="shared" si="178"/>
        <v>#REF!</v>
      </c>
      <c r="M632" s="63" t="e">
        <f t="shared" si="179"/>
        <v>#REF!</v>
      </c>
      <c r="U632" s="1601"/>
      <c r="V632" s="28">
        <v>85</v>
      </c>
      <c r="W632" s="43" t="e" cm="1">
        <f t="array" ref="W632">VLOOKUP(MAX(IF('Courbe Déflexion'!$GV$5:$GV$285&lt;=V632,'Courbe Déflexion'!$GV$5:$GV$285)),'Courbe Déflexion'!#REF!,3,0)</f>
        <v>#REF!</v>
      </c>
      <c r="X632" s="276"/>
      <c r="Y632" s="276"/>
      <c r="Z632" s="276"/>
      <c r="AA632" s="276"/>
      <c r="AB632" s="276"/>
      <c r="AC632" s="43">
        <f>VLOOKUP(AC$84,'Infos Techniques'!$B$7:$H$12,5,0)/($V632*$X$352/12)</f>
        <v>2.9411764705882355</v>
      </c>
      <c r="AD632" s="43">
        <f>VLOOKUP(AD$84,'Infos Techniques'!$B$7:$H$12,5,0)/($V632*$X$352/12)</f>
        <v>2.9411764705882355</v>
      </c>
      <c r="AE632" s="43">
        <f>VLOOKUP(AE$84,'Infos Techniques'!$B$7:$H$12,5,0)/($V632*$X$352/12)</f>
        <v>2.9411764705882355</v>
      </c>
      <c r="AF632" s="43">
        <f>VLOOKUP(AF$84,'Infos Techniques'!$B$7:$H$12,5,0)/($V632*$X$352/12)</f>
        <v>2.9411764705882355</v>
      </c>
      <c r="AG632" s="43">
        <f>VLOOKUP(AG$84,'Infos Techniques'!$B$7:$H$12,5,0)/($V632*$X$352/12)</f>
        <v>2.6</v>
      </c>
      <c r="AH632" s="43">
        <f>VLOOKUP(AH$84,'Infos Techniques'!$B$7:$H$12,7,0)/($V632*$X$352/12)</f>
        <v>3.9215686274509802</v>
      </c>
      <c r="AI632" s="43">
        <f>VLOOKUP(AI$84,'Infos Techniques'!$B$7:$H$12,7,0)/($V632*$X$352/12)</f>
        <v>3.9215686274509802</v>
      </c>
      <c r="AJ632" s="43">
        <f>VLOOKUP(AJ$84,'Infos Techniques'!$B$7:$H$12,7,0)/($V632*$X$352/12)</f>
        <v>3.9215686274509802</v>
      </c>
      <c r="AK632" s="43">
        <f>VLOOKUP(AK$84,'Infos Techniques'!$B$7:$H$12,7,0)/($V632*$X$352/12)</f>
        <v>2.9411764705882355</v>
      </c>
      <c r="AL632" s="63">
        <f>VLOOKUP(AL$84,'Infos Techniques'!$B$7:$H$12,7,0)/($V632*$X$352/12)</f>
        <v>2.6</v>
      </c>
    </row>
    <row r="633" spans="2:38">
      <c r="B633" s="1830"/>
      <c r="C633" s="70">
        <v>90</v>
      </c>
      <c r="D633" s="43" t="e">
        <f t="shared" si="180"/>
        <v>#REF!</v>
      </c>
      <c r="E633" s="43" t="e">
        <f t="shared" si="171"/>
        <v>#REF!</v>
      </c>
      <c r="F633" s="43" t="e">
        <f t="shared" si="172"/>
        <v>#REF!</v>
      </c>
      <c r="G633" s="43" t="e">
        <f t="shared" si="173"/>
        <v>#REF!</v>
      </c>
      <c r="H633" s="43" t="e">
        <f t="shared" si="174"/>
        <v>#REF!</v>
      </c>
      <c r="I633" s="43" t="e">
        <f t="shared" si="175"/>
        <v>#REF!</v>
      </c>
      <c r="J633" s="43" t="e">
        <f t="shared" si="176"/>
        <v>#REF!</v>
      </c>
      <c r="K633" s="43" t="e">
        <f t="shared" si="177"/>
        <v>#REF!</v>
      </c>
      <c r="L633" s="43" t="e">
        <f t="shared" si="178"/>
        <v>#REF!</v>
      </c>
      <c r="M633" s="63" t="e">
        <f t="shared" si="179"/>
        <v>#REF!</v>
      </c>
      <c r="U633" s="1601"/>
      <c r="V633" s="28">
        <v>90</v>
      </c>
      <c r="W633" s="43" t="e" cm="1">
        <f t="array" ref="W633">VLOOKUP(MAX(IF('Courbe Déflexion'!$GV$5:$GV$285&lt;=V633,'Courbe Déflexion'!$GV$5:$GV$285)),'Courbe Déflexion'!#REF!,3,0)</f>
        <v>#REF!</v>
      </c>
      <c r="X633" s="276"/>
      <c r="Y633" s="276"/>
      <c r="Z633" s="276"/>
      <c r="AA633" s="276"/>
      <c r="AB633" s="276"/>
      <c r="AC633" s="43">
        <f>VLOOKUP(AC$84,'Infos Techniques'!$B$7:$H$12,5,0)/($V633*$X$352/12)</f>
        <v>2.7777777777777777</v>
      </c>
      <c r="AD633" s="43">
        <f>VLOOKUP(AD$84,'Infos Techniques'!$B$7:$H$12,5,0)/($V633*$X$352/12)</f>
        <v>2.7777777777777777</v>
      </c>
      <c r="AE633" s="43">
        <f>VLOOKUP(AE$84,'Infos Techniques'!$B$7:$H$12,5,0)/($V633*$X$352/12)</f>
        <v>2.7777777777777777</v>
      </c>
      <c r="AF633" s="43">
        <f>VLOOKUP(AF$84,'Infos Techniques'!$B$7:$H$12,5,0)/($V633*$X$352/12)</f>
        <v>2.7777777777777777</v>
      </c>
      <c r="AG633" s="43">
        <f>VLOOKUP(AG$84,'Infos Techniques'!$B$7:$H$12,5,0)/($V633*$X$352/12)</f>
        <v>2.4555555555555557</v>
      </c>
      <c r="AH633" s="43">
        <f>VLOOKUP(AH$84,'Infos Techniques'!$B$7:$H$12,7,0)/($V633*$X$352/12)</f>
        <v>3.7037037037037037</v>
      </c>
      <c r="AI633" s="43">
        <f>VLOOKUP(AI$84,'Infos Techniques'!$B$7:$H$12,7,0)/($V633*$X$352/12)</f>
        <v>3.7037037037037037</v>
      </c>
      <c r="AJ633" s="43">
        <f>VLOOKUP(AJ$84,'Infos Techniques'!$B$7:$H$12,7,0)/($V633*$X$352/12)</f>
        <v>3.7037037037037037</v>
      </c>
      <c r="AK633" s="43">
        <f>VLOOKUP(AK$84,'Infos Techniques'!$B$7:$H$12,7,0)/($V633*$X$352/12)</f>
        <v>2.7777777777777777</v>
      </c>
      <c r="AL633" s="63">
        <f>VLOOKUP(AL$84,'Infos Techniques'!$B$7:$H$12,7,0)/($V633*$X$352/12)</f>
        <v>2.4555555555555557</v>
      </c>
    </row>
    <row r="634" spans="2:38">
      <c r="B634" s="1830"/>
      <c r="C634" s="70">
        <v>95</v>
      </c>
      <c r="D634" s="43" t="e">
        <f t="shared" si="180"/>
        <v>#REF!</v>
      </c>
      <c r="E634" s="43" t="e">
        <f t="shared" si="171"/>
        <v>#REF!</v>
      </c>
      <c r="F634" s="43" t="e">
        <f t="shared" si="172"/>
        <v>#REF!</v>
      </c>
      <c r="G634" s="43" t="e">
        <f t="shared" si="173"/>
        <v>#REF!</v>
      </c>
      <c r="H634" s="43" t="e">
        <f t="shared" si="174"/>
        <v>#REF!</v>
      </c>
      <c r="I634" s="43" t="e">
        <f t="shared" si="175"/>
        <v>#REF!</v>
      </c>
      <c r="J634" s="43" t="e">
        <f t="shared" si="176"/>
        <v>#REF!</v>
      </c>
      <c r="K634" s="43" t="e">
        <f t="shared" si="177"/>
        <v>#REF!</v>
      </c>
      <c r="L634" s="43" t="e">
        <f t="shared" si="178"/>
        <v>#REF!</v>
      </c>
      <c r="M634" s="63" t="e">
        <f t="shared" si="179"/>
        <v>#REF!</v>
      </c>
      <c r="U634" s="1601"/>
      <c r="V634" s="28">
        <v>95</v>
      </c>
      <c r="W634" s="43" t="e" cm="1">
        <f t="array" ref="W634">VLOOKUP(MAX(IF('Courbe Déflexion'!$GV$5:$GV$285&lt;=V634,'Courbe Déflexion'!$GV$5:$GV$285)),'Courbe Déflexion'!#REF!,3,0)</f>
        <v>#REF!</v>
      </c>
      <c r="X634" s="276"/>
      <c r="Y634" s="276"/>
      <c r="Z634" s="276"/>
      <c r="AA634" s="276"/>
      <c r="AB634" s="276"/>
      <c r="AC634" s="43">
        <f>VLOOKUP(AC$84,'Infos Techniques'!$B$7:$H$12,5,0)/($V634*$X$352/12)</f>
        <v>2.6315789473684212</v>
      </c>
      <c r="AD634" s="43">
        <f>VLOOKUP(AD$84,'Infos Techniques'!$B$7:$H$12,5,0)/($V634*$X$352/12)</f>
        <v>2.6315789473684212</v>
      </c>
      <c r="AE634" s="43">
        <f>VLOOKUP(AE$84,'Infos Techniques'!$B$7:$H$12,5,0)/($V634*$X$352/12)</f>
        <v>2.6315789473684212</v>
      </c>
      <c r="AF634" s="43">
        <f>VLOOKUP(AF$84,'Infos Techniques'!$B$7:$H$12,5,0)/($V634*$X$352/12)</f>
        <v>2.6315789473684212</v>
      </c>
      <c r="AG634" s="43">
        <f>VLOOKUP(AG$84,'Infos Techniques'!$B$7:$H$12,5,0)/($V634*$X$352/12)</f>
        <v>2.3263157894736843</v>
      </c>
      <c r="AH634" s="43">
        <f>VLOOKUP(AH$84,'Infos Techniques'!$B$7:$H$12,7,0)/($V634*$X$352/12)</f>
        <v>3.5087719298245612</v>
      </c>
      <c r="AI634" s="43">
        <f>VLOOKUP(AI$84,'Infos Techniques'!$B$7:$H$12,7,0)/($V634*$X$352/12)</f>
        <v>3.5087719298245612</v>
      </c>
      <c r="AJ634" s="43">
        <f>VLOOKUP(AJ$84,'Infos Techniques'!$B$7:$H$12,7,0)/($V634*$X$352/12)</f>
        <v>3.5087719298245612</v>
      </c>
      <c r="AK634" s="43">
        <f>VLOOKUP(AK$84,'Infos Techniques'!$B$7:$H$12,7,0)/($V634*$X$352/12)</f>
        <v>2.6315789473684212</v>
      </c>
      <c r="AL634" s="63">
        <f>VLOOKUP(AL$84,'Infos Techniques'!$B$7:$H$12,7,0)/($V634*$X$352/12)</f>
        <v>2.3263157894736843</v>
      </c>
    </row>
    <row r="635" spans="2:38" ht="15" thickBot="1">
      <c r="B635" s="1831"/>
      <c r="C635" s="73">
        <v>100</v>
      </c>
      <c r="D635" s="45" t="e">
        <f t="shared" si="180"/>
        <v>#REF!</v>
      </c>
      <c r="E635" s="45" t="e">
        <f t="shared" si="171"/>
        <v>#REF!</v>
      </c>
      <c r="F635" s="45" t="e">
        <f t="shared" si="172"/>
        <v>#REF!</v>
      </c>
      <c r="G635" s="45" t="e">
        <f t="shared" si="173"/>
        <v>#REF!</v>
      </c>
      <c r="H635" s="45" t="e">
        <f t="shared" si="174"/>
        <v>#REF!</v>
      </c>
      <c r="I635" s="45" t="e">
        <f t="shared" si="175"/>
        <v>#REF!</v>
      </c>
      <c r="J635" s="45" t="e">
        <f t="shared" si="176"/>
        <v>#REF!</v>
      </c>
      <c r="K635" s="45" t="e">
        <f t="shared" si="177"/>
        <v>#REF!</v>
      </c>
      <c r="L635" s="45" t="e">
        <f t="shared" si="178"/>
        <v>#REF!</v>
      </c>
      <c r="M635" s="66" t="e">
        <f t="shared" si="179"/>
        <v>#REF!</v>
      </c>
      <c r="U635" s="1602"/>
      <c r="V635" s="44">
        <v>100</v>
      </c>
      <c r="W635" s="45" t="e" cm="1">
        <f t="array" ref="W635">VLOOKUP(MAX(IF('Courbe Déflexion'!$GV$5:$GV$285&lt;=V635,'Courbe Déflexion'!$GV$5:$GV$285)),'Courbe Déflexion'!#REF!,3,0)</f>
        <v>#REF!</v>
      </c>
      <c r="X635" s="277"/>
      <c r="Y635" s="277"/>
      <c r="Z635" s="277"/>
      <c r="AA635" s="277"/>
      <c r="AB635" s="277"/>
      <c r="AC635" s="45">
        <f>VLOOKUP(AC$84,'Infos Techniques'!$B$7:$H$12,5,0)/($V635*$X$352/12)</f>
        <v>2.5</v>
      </c>
      <c r="AD635" s="45">
        <f>VLOOKUP(AD$84,'Infos Techniques'!$B$7:$H$12,5,0)/($V635*$X$352/12)</f>
        <v>2.5</v>
      </c>
      <c r="AE635" s="45">
        <f>VLOOKUP(AE$84,'Infos Techniques'!$B$7:$H$12,5,0)/($V635*$X$352/12)</f>
        <v>2.5</v>
      </c>
      <c r="AF635" s="45">
        <f>VLOOKUP(AF$84,'Infos Techniques'!$B$7:$H$12,5,0)/($V635*$X$352/12)</f>
        <v>2.5</v>
      </c>
      <c r="AG635" s="45">
        <f>VLOOKUP(AG$84,'Infos Techniques'!$B$7:$H$12,5,0)/($V635*$X$352/12)</f>
        <v>2.21</v>
      </c>
      <c r="AH635" s="45">
        <f>VLOOKUP(AH$84,'Infos Techniques'!$B$7:$H$12,7,0)/($V635*$X$352/12)</f>
        <v>3.3333333333333335</v>
      </c>
      <c r="AI635" s="45">
        <f>VLOOKUP(AI$84,'Infos Techniques'!$B$7:$H$12,7,0)/($V635*$X$352/12)</f>
        <v>3.3333333333333335</v>
      </c>
      <c r="AJ635" s="45">
        <f>VLOOKUP(AJ$84,'Infos Techniques'!$B$7:$H$12,7,0)/($V635*$X$352/12)</f>
        <v>3.3333333333333335</v>
      </c>
      <c r="AK635" s="45">
        <f>VLOOKUP(AK$84,'Infos Techniques'!$B$7:$H$12,7,0)/($V635*$X$352/12)</f>
        <v>2.5</v>
      </c>
      <c r="AL635" s="66">
        <f>VLOOKUP(AL$84,'Infos Techniques'!$B$7:$H$12,7,0)/($V635*$X$352/12)</f>
        <v>2.21</v>
      </c>
    </row>
    <row r="636" spans="2:38" ht="15" thickTop="1"/>
    <row r="652" spans="1:38" ht="25.9">
      <c r="A652" s="1802" t="s">
        <v>1689</v>
      </c>
      <c r="B652" s="1802"/>
      <c r="C652" s="1802"/>
      <c r="D652" s="1802"/>
      <c r="E652" s="1802"/>
      <c r="F652" s="1802"/>
      <c r="G652" s="1802"/>
      <c r="H652" s="1802"/>
      <c r="I652" s="1802"/>
      <c r="J652" s="1802"/>
      <c r="K652" s="1802"/>
      <c r="L652" s="1802"/>
      <c r="M652" s="1802"/>
      <c r="N652" s="1802"/>
    </row>
    <row r="653" spans="1:38" ht="25.9">
      <c r="B653" s="262"/>
      <c r="C653" s="263"/>
      <c r="D653" s="263"/>
      <c r="E653" s="263"/>
      <c r="F653" s="263"/>
      <c r="G653" s="263"/>
      <c r="H653" s="263"/>
      <c r="I653" s="263"/>
      <c r="J653" s="263"/>
      <c r="K653" s="263"/>
      <c r="L653" s="263"/>
      <c r="M653" s="263"/>
      <c r="N653" s="263"/>
    </row>
    <row r="654" spans="1:38" ht="26.45" thickBot="1">
      <c r="B654" s="1803" t="s">
        <v>1662</v>
      </c>
      <c r="C654" s="1803"/>
      <c r="D654" s="1803"/>
      <c r="E654" s="1803"/>
      <c r="F654" s="1803"/>
      <c r="G654" s="1803"/>
      <c r="H654" s="1803"/>
      <c r="I654" s="1803"/>
      <c r="J654" s="1803"/>
      <c r="K654" s="1803"/>
      <c r="L654" s="1803"/>
      <c r="M654" s="1803"/>
      <c r="N654" s="264"/>
    </row>
    <row r="655" spans="1:38" ht="15.6" thickTop="1" thickBot="1">
      <c r="U655" s="1808"/>
      <c r="V655" s="1809"/>
      <c r="W655" s="1606" t="s">
        <v>315</v>
      </c>
      <c r="X655" s="1606" t="s">
        <v>263</v>
      </c>
      <c r="Y655" s="1606"/>
      <c r="Z655" s="1606"/>
      <c r="AA655" s="1606"/>
      <c r="AB655" s="1606"/>
      <c r="AC655" s="1606"/>
      <c r="AD655" s="1606"/>
      <c r="AE655" s="1606"/>
      <c r="AF655" s="1606"/>
      <c r="AG655" s="1606"/>
      <c r="AH655" s="1606"/>
      <c r="AI655" s="1606"/>
      <c r="AJ655" s="1606"/>
      <c r="AK655" s="1606"/>
      <c r="AL655" s="1832"/>
    </row>
    <row r="656" spans="1:38" ht="22.15" thickTop="1" thickBot="1">
      <c r="B656" s="1812"/>
      <c r="C656" s="1813"/>
      <c r="D656" s="1817" t="s">
        <v>263</v>
      </c>
      <c r="E656" s="1818"/>
      <c r="F656" s="1818"/>
      <c r="G656" s="1818"/>
      <c r="H656" s="1818"/>
      <c r="I656" s="1818"/>
      <c r="J656" s="1818"/>
      <c r="K656" s="1818"/>
      <c r="L656" s="1818"/>
      <c r="M656" s="1819"/>
      <c r="U656" s="1810"/>
      <c r="V656" s="1811"/>
      <c r="W656" s="1571"/>
      <c r="X656" s="54"/>
      <c r="Y656" s="55"/>
      <c r="Z656" s="55"/>
      <c r="AA656" s="55"/>
      <c r="AB656" s="56"/>
      <c r="AC656" s="54"/>
      <c r="AD656" s="55"/>
      <c r="AE656" s="55"/>
      <c r="AF656" s="55"/>
      <c r="AG656" s="56"/>
      <c r="AH656" s="54"/>
      <c r="AI656" s="55"/>
      <c r="AJ656" s="55"/>
      <c r="AK656" s="55"/>
      <c r="AL656" s="57"/>
    </row>
    <row r="657" spans="2:38" ht="16.149999999999999" thickBot="1">
      <c r="B657" s="1814"/>
      <c r="C657" s="1397"/>
      <c r="D657" s="1820" t="s">
        <v>321</v>
      </c>
      <c r="E657" s="1821"/>
      <c r="F657" s="1821"/>
      <c r="G657" s="1821"/>
      <c r="H657" s="1822"/>
      <c r="I657" s="1823" t="s">
        <v>322</v>
      </c>
      <c r="J657" s="1821"/>
      <c r="K657" s="1821"/>
      <c r="L657" s="1821"/>
      <c r="M657" s="1824"/>
      <c r="U657" s="1646"/>
      <c r="V657" s="1113"/>
      <c r="W657" s="1603"/>
      <c r="X657" s="1833" t="s">
        <v>1663</v>
      </c>
      <c r="Y657" s="1834"/>
      <c r="Z657" s="1834"/>
      <c r="AA657" s="1834"/>
      <c r="AB657" s="1835"/>
      <c r="AC657" s="1833" t="s">
        <v>321</v>
      </c>
      <c r="AD657" s="1834"/>
      <c r="AE657" s="1834"/>
      <c r="AF657" s="1834"/>
      <c r="AG657" s="1835"/>
      <c r="AH657" s="1833" t="s">
        <v>322</v>
      </c>
      <c r="AI657" s="1834"/>
      <c r="AJ657" s="1834"/>
      <c r="AK657" s="1834"/>
      <c r="AL657" s="1836"/>
    </row>
    <row r="658" spans="2:38" ht="18" thickTop="1">
      <c r="B658" s="1814"/>
      <c r="C658" s="1397"/>
      <c r="D658" s="1825" t="s">
        <v>1664</v>
      </c>
      <c r="E658" s="1826"/>
      <c r="F658" s="1826"/>
      <c r="G658" s="1826"/>
      <c r="H658" s="1827"/>
      <c r="I658" s="1825" t="s">
        <v>1664</v>
      </c>
      <c r="J658" s="1826"/>
      <c r="K658" s="1826"/>
      <c r="L658" s="1826"/>
      <c r="M658" s="1828"/>
      <c r="U658" s="1646"/>
      <c r="V658" s="1113"/>
      <c r="W658" s="29"/>
      <c r="X658" s="237"/>
      <c r="Y658" s="80"/>
      <c r="Z658" s="80"/>
      <c r="AA658" s="80"/>
      <c r="AB658" s="239"/>
      <c r="AC658" s="237"/>
      <c r="AD658" s="80"/>
      <c r="AE658" s="80"/>
      <c r="AF658" s="80"/>
      <c r="AG658" s="239"/>
      <c r="AH658" s="237"/>
      <c r="AI658" s="80"/>
      <c r="AJ658" s="80"/>
      <c r="AK658" s="80"/>
      <c r="AL658" s="238"/>
    </row>
    <row r="659" spans="2:38" ht="15" thickBot="1">
      <c r="B659" s="1815"/>
      <c r="C659" s="1816"/>
      <c r="D659" s="49" t="s">
        <v>1665</v>
      </c>
      <c r="E659" s="50" t="s">
        <v>1666</v>
      </c>
      <c r="F659" s="50" t="s">
        <v>1667</v>
      </c>
      <c r="G659" s="50" t="s">
        <v>1668</v>
      </c>
      <c r="H659" s="52" t="s">
        <v>1669</v>
      </c>
      <c r="I659" s="49" t="s">
        <v>1670</v>
      </c>
      <c r="J659" s="50" t="s">
        <v>1666</v>
      </c>
      <c r="K659" s="50" t="s">
        <v>1667</v>
      </c>
      <c r="L659" s="50" t="s">
        <v>1668</v>
      </c>
      <c r="M659" s="53" t="s">
        <v>1669</v>
      </c>
      <c r="U659" s="1646"/>
      <c r="V659" s="1113"/>
      <c r="W659" s="29" t="s">
        <v>333</v>
      </c>
      <c r="X659" s="28">
        <v>0.1875</v>
      </c>
      <c r="Y659" s="28" t="s">
        <v>334</v>
      </c>
      <c r="Z659" s="28" t="s">
        <v>335</v>
      </c>
      <c r="AA659" s="28" t="s">
        <v>336</v>
      </c>
      <c r="AB659" s="28" t="s">
        <v>337</v>
      </c>
      <c r="AC659" s="28">
        <v>0.1875</v>
      </c>
      <c r="AD659" s="28" t="s">
        <v>334</v>
      </c>
      <c r="AE659" s="28" t="s">
        <v>335</v>
      </c>
      <c r="AF659" s="28" t="s">
        <v>336</v>
      </c>
      <c r="AG659" s="28" t="s">
        <v>337</v>
      </c>
      <c r="AH659" s="28">
        <v>0.1875</v>
      </c>
      <c r="AI659" s="28" t="s">
        <v>334</v>
      </c>
      <c r="AJ659" s="28" t="s">
        <v>335</v>
      </c>
      <c r="AK659" s="28" t="s">
        <v>336</v>
      </c>
      <c r="AL659" s="40" t="s">
        <v>337</v>
      </c>
    </row>
    <row r="660" spans="2:38">
      <c r="B660" s="1829" t="s">
        <v>1671</v>
      </c>
      <c r="C660" s="69">
        <v>5</v>
      </c>
      <c r="D660" s="59">
        <f>MIN($X$354,AC660,$W660)</f>
        <v>12</v>
      </c>
      <c r="E660" s="59">
        <f t="shared" ref="E660:E679" si="181">MIN($X$354,AD660,$W660)</f>
        <v>12</v>
      </c>
      <c r="F660" s="59">
        <f t="shared" ref="F660:F679" si="182">MIN($X$354,AE660,$W660)</f>
        <v>12</v>
      </c>
      <c r="G660" s="59">
        <f t="shared" ref="G660:G679" si="183">MIN($X$354,AF660,$W660)</f>
        <v>12</v>
      </c>
      <c r="H660" s="59">
        <f t="shared" ref="H660:H679" si="184">MIN($X$354,AG660,$W660)</f>
        <v>12</v>
      </c>
      <c r="I660" s="59">
        <f t="shared" ref="I660:I679" si="185">MIN($X$354,AH660,$W660)</f>
        <v>12</v>
      </c>
      <c r="J660" s="59">
        <f t="shared" ref="J660:J679" si="186">MIN($X$354,AI660,$W660)</f>
        <v>12</v>
      </c>
      <c r="K660" s="59">
        <f t="shared" ref="K660:K679" si="187">MIN($X$354,AJ660,$W660)</f>
        <v>12</v>
      </c>
      <c r="L660" s="59">
        <f t="shared" ref="L660:L679" si="188">MIN($X$354,AK660,$W660)</f>
        <v>12</v>
      </c>
      <c r="M660" s="62">
        <f t="shared" ref="M660:M679" si="189">MIN($X$354,AL660,$W660)</f>
        <v>12</v>
      </c>
      <c r="U660" s="1601" t="s">
        <v>314</v>
      </c>
      <c r="V660" s="28">
        <v>5</v>
      </c>
      <c r="W660" s="43" t="s">
        <v>1674</v>
      </c>
      <c r="X660" s="276"/>
      <c r="Y660" s="276"/>
      <c r="Z660" s="276"/>
      <c r="AA660" s="276"/>
      <c r="AB660" s="276"/>
      <c r="AC660" s="43">
        <f>VLOOKUP(AC$84,'Infos Techniques'!$B$7:$H$12,5,0)/($V660*$X$352/12)</f>
        <v>50</v>
      </c>
      <c r="AD660" s="43">
        <f>VLOOKUP(AD$84,'Infos Techniques'!$B$7:$H$12,5,0)/($V660*$X$352/12)</f>
        <v>50</v>
      </c>
      <c r="AE660" s="43">
        <f>VLOOKUP(AE$84,'Infos Techniques'!$B$7:$H$12,5,0)/($V660*$X$352/12)</f>
        <v>50</v>
      </c>
      <c r="AF660" s="43">
        <f>VLOOKUP(AF$84,'Infos Techniques'!$B$7:$H$12,5,0)/($V660*$X$352/12)</f>
        <v>50</v>
      </c>
      <c r="AG660" s="43">
        <f>VLOOKUP(AG$84,'Infos Techniques'!$B$7:$H$12,5,0)/($V660*$X$352/12)</f>
        <v>44.2</v>
      </c>
      <c r="AH660" s="43">
        <f>VLOOKUP(AH$84,'Infos Techniques'!$B$7:$H$12,7,0)/($V660*$X$352/12)</f>
        <v>66.666666666666671</v>
      </c>
      <c r="AI660" s="43">
        <f>VLOOKUP(AI$84,'Infos Techniques'!$B$7:$H$12,7,0)/($V660*$X$352/12)</f>
        <v>66.666666666666671</v>
      </c>
      <c r="AJ660" s="43">
        <f>VLOOKUP(AJ$84,'Infos Techniques'!$B$7:$H$12,7,0)/($V660*$X$352/12)</f>
        <v>66.666666666666671</v>
      </c>
      <c r="AK660" s="43">
        <f>VLOOKUP(AK$84,'Infos Techniques'!$B$7:$H$12,7,0)/($V660*$X$352/12)</f>
        <v>50</v>
      </c>
      <c r="AL660" s="63">
        <f>VLOOKUP(AL$84,'Infos Techniques'!$B$7:$H$12,7,0)/($V660*$X$352/12)</f>
        <v>44.2</v>
      </c>
    </row>
    <row r="661" spans="2:38">
      <c r="B661" s="1830"/>
      <c r="C661" s="70">
        <v>10</v>
      </c>
      <c r="D661" s="43" t="e">
        <f t="shared" ref="D661:D679" si="190">MIN($X$354,AC661,$W661)</f>
        <v>#REF!</v>
      </c>
      <c r="E661" s="43" t="e">
        <f t="shared" si="181"/>
        <v>#REF!</v>
      </c>
      <c r="F661" s="43" t="e">
        <f t="shared" si="182"/>
        <v>#REF!</v>
      </c>
      <c r="G661" s="43" t="e">
        <f t="shared" si="183"/>
        <v>#REF!</v>
      </c>
      <c r="H661" s="43" t="e">
        <f t="shared" si="184"/>
        <v>#REF!</v>
      </c>
      <c r="I661" s="43" t="e">
        <f t="shared" si="185"/>
        <v>#REF!</v>
      </c>
      <c r="J661" s="43" t="e">
        <f t="shared" si="186"/>
        <v>#REF!</v>
      </c>
      <c r="K661" s="43" t="e">
        <f t="shared" si="187"/>
        <v>#REF!</v>
      </c>
      <c r="L661" s="43" t="e">
        <f t="shared" si="188"/>
        <v>#REF!</v>
      </c>
      <c r="M661" s="63" t="e">
        <f t="shared" si="189"/>
        <v>#REF!</v>
      </c>
      <c r="U661" s="1601"/>
      <c r="V661" s="28">
        <v>10</v>
      </c>
      <c r="W661" s="43" t="e" cm="1">
        <f t="array" ref="W661">VLOOKUP(MAX(IF('Courbe Déflexion'!$HG$5:$HG$285&lt;=V661,'Courbe Déflexion'!$HG$5:$HG$285)),'Courbe Déflexion'!#REF!,2,0)</f>
        <v>#REF!</v>
      </c>
      <c r="X661" s="276"/>
      <c r="Y661" s="276"/>
      <c r="Z661" s="276"/>
      <c r="AA661" s="276"/>
      <c r="AB661" s="276"/>
      <c r="AC661" s="43">
        <f>VLOOKUP(AC$84,'Infos Techniques'!$B$7:$H$12,5,0)/($V661*$X$352/12)</f>
        <v>25</v>
      </c>
      <c r="AD661" s="43">
        <f>VLOOKUP(AD$84,'Infos Techniques'!$B$7:$H$12,5,0)/($V661*$X$352/12)</f>
        <v>25</v>
      </c>
      <c r="AE661" s="43">
        <f>VLOOKUP(AE$84,'Infos Techniques'!$B$7:$H$12,5,0)/($V661*$X$352/12)</f>
        <v>25</v>
      </c>
      <c r="AF661" s="43">
        <f>VLOOKUP(AF$84,'Infos Techniques'!$B$7:$H$12,5,0)/($V661*$X$352/12)</f>
        <v>25</v>
      </c>
      <c r="AG661" s="43">
        <f>VLOOKUP(AG$84,'Infos Techniques'!$B$7:$H$12,5,0)/($V661*$X$352/12)</f>
        <v>22.1</v>
      </c>
      <c r="AH661" s="43">
        <f>VLOOKUP(AH$84,'Infos Techniques'!$B$7:$H$12,7,0)/($V661*$X$352/12)</f>
        <v>33.333333333333336</v>
      </c>
      <c r="AI661" s="43">
        <f>VLOOKUP(AI$84,'Infos Techniques'!$B$7:$H$12,7,0)/($V661*$X$352/12)</f>
        <v>33.333333333333336</v>
      </c>
      <c r="AJ661" s="43">
        <f>VLOOKUP(AJ$84,'Infos Techniques'!$B$7:$H$12,7,0)/($V661*$X$352/12)</f>
        <v>33.333333333333336</v>
      </c>
      <c r="AK661" s="43">
        <f>VLOOKUP(AK$84,'Infos Techniques'!$B$7:$H$12,7,0)/($V661*$X$352/12)</f>
        <v>25</v>
      </c>
      <c r="AL661" s="63">
        <f>VLOOKUP(AL$84,'Infos Techniques'!$B$7:$H$12,7,0)/($V661*$X$352/12)</f>
        <v>22.1</v>
      </c>
    </row>
    <row r="662" spans="2:38">
      <c r="B662" s="1830"/>
      <c r="C662" s="70">
        <v>15</v>
      </c>
      <c r="D662" s="43" t="e">
        <f t="shared" si="190"/>
        <v>#REF!</v>
      </c>
      <c r="E662" s="43" t="e">
        <f t="shared" si="181"/>
        <v>#REF!</v>
      </c>
      <c r="F662" s="43" t="e">
        <f t="shared" si="182"/>
        <v>#REF!</v>
      </c>
      <c r="G662" s="43" t="e">
        <f t="shared" si="183"/>
        <v>#REF!</v>
      </c>
      <c r="H662" s="43" t="e">
        <f t="shared" si="184"/>
        <v>#REF!</v>
      </c>
      <c r="I662" s="43" t="e">
        <f t="shared" si="185"/>
        <v>#REF!</v>
      </c>
      <c r="J662" s="43" t="e">
        <f t="shared" si="186"/>
        <v>#REF!</v>
      </c>
      <c r="K662" s="43" t="e">
        <f t="shared" si="187"/>
        <v>#REF!</v>
      </c>
      <c r="L662" s="43" t="e">
        <f t="shared" si="188"/>
        <v>#REF!</v>
      </c>
      <c r="M662" s="63" t="e">
        <f t="shared" si="189"/>
        <v>#REF!</v>
      </c>
      <c r="U662" s="1601"/>
      <c r="V662" s="28">
        <v>15</v>
      </c>
      <c r="W662" s="43" t="e" cm="1">
        <f t="array" ref="W662">VLOOKUP(MAX(IF('Courbe Déflexion'!$HG$5:$HG$285&lt;=V662,'Courbe Déflexion'!$HG$5:$HG$285)),'Courbe Déflexion'!#REF!,2,0)</f>
        <v>#REF!</v>
      </c>
      <c r="X662" s="276"/>
      <c r="Y662" s="276"/>
      <c r="Z662" s="276"/>
      <c r="AA662" s="276"/>
      <c r="AB662" s="276"/>
      <c r="AC662" s="43">
        <f>VLOOKUP(AC$84,'Infos Techniques'!$B$7:$H$12,5,0)/($V662*$X$352/12)</f>
        <v>16.666666666666668</v>
      </c>
      <c r="AD662" s="43">
        <f>VLOOKUP(AD$84,'Infos Techniques'!$B$7:$H$12,5,0)/($V662*$X$352/12)</f>
        <v>16.666666666666668</v>
      </c>
      <c r="AE662" s="43">
        <f>VLOOKUP(AE$84,'Infos Techniques'!$B$7:$H$12,5,0)/($V662*$X$352/12)</f>
        <v>16.666666666666668</v>
      </c>
      <c r="AF662" s="43">
        <f>VLOOKUP(AF$84,'Infos Techniques'!$B$7:$H$12,5,0)/($V662*$X$352/12)</f>
        <v>16.666666666666668</v>
      </c>
      <c r="AG662" s="43">
        <f>VLOOKUP(AG$84,'Infos Techniques'!$B$7:$H$12,5,0)/($V662*$X$352/12)</f>
        <v>14.733333333333333</v>
      </c>
      <c r="AH662" s="43">
        <f>VLOOKUP(AH$84,'Infos Techniques'!$B$7:$H$12,7,0)/($V662*$X$352/12)</f>
        <v>22.222222222222221</v>
      </c>
      <c r="AI662" s="43">
        <f>VLOOKUP(AI$84,'Infos Techniques'!$B$7:$H$12,7,0)/($V662*$X$352/12)</f>
        <v>22.222222222222221</v>
      </c>
      <c r="AJ662" s="43">
        <f>VLOOKUP(AJ$84,'Infos Techniques'!$B$7:$H$12,7,0)/($V662*$X$352/12)</f>
        <v>22.222222222222221</v>
      </c>
      <c r="AK662" s="43">
        <f>VLOOKUP(AK$84,'Infos Techniques'!$B$7:$H$12,7,0)/($V662*$X$352/12)</f>
        <v>16.666666666666668</v>
      </c>
      <c r="AL662" s="63">
        <f>VLOOKUP(AL$84,'Infos Techniques'!$B$7:$H$12,7,0)/($V662*$X$352/12)</f>
        <v>14.733333333333333</v>
      </c>
    </row>
    <row r="663" spans="2:38">
      <c r="B663" s="1830"/>
      <c r="C663" s="70">
        <v>20</v>
      </c>
      <c r="D663" s="43" t="e">
        <f t="shared" si="190"/>
        <v>#REF!</v>
      </c>
      <c r="E663" s="43" t="e">
        <f t="shared" si="181"/>
        <v>#REF!</v>
      </c>
      <c r="F663" s="43" t="e">
        <f t="shared" si="182"/>
        <v>#REF!</v>
      </c>
      <c r="G663" s="43" t="e">
        <f t="shared" si="183"/>
        <v>#REF!</v>
      </c>
      <c r="H663" s="43" t="e">
        <f t="shared" si="184"/>
        <v>#REF!</v>
      </c>
      <c r="I663" s="43" t="e">
        <f t="shared" si="185"/>
        <v>#REF!</v>
      </c>
      <c r="J663" s="43" t="e">
        <f t="shared" si="186"/>
        <v>#REF!</v>
      </c>
      <c r="K663" s="43" t="e">
        <f t="shared" si="187"/>
        <v>#REF!</v>
      </c>
      <c r="L663" s="43" t="e">
        <f t="shared" si="188"/>
        <v>#REF!</v>
      </c>
      <c r="M663" s="63" t="e">
        <f t="shared" si="189"/>
        <v>#REF!</v>
      </c>
      <c r="U663" s="1601"/>
      <c r="V663" s="28">
        <v>20</v>
      </c>
      <c r="W663" s="43" t="e" cm="1">
        <f t="array" ref="W663">VLOOKUP(MAX(IF('Courbe Déflexion'!$HG$5:$HG$285&lt;=V663,'Courbe Déflexion'!$HG$5:$HG$285)),'Courbe Déflexion'!#REF!,2,0)</f>
        <v>#REF!</v>
      </c>
      <c r="X663" s="276"/>
      <c r="Y663" s="276"/>
      <c r="Z663" s="276"/>
      <c r="AA663" s="276"/>
      <c r="AB663" s="276"/>
      <c r="AC663" s="43">
        <f>VLOOKUP(AC$84,'Infos Techniques'!$B$7:$H$12,5,0)/($V663*$X$352/12)</f>
        <v>12.5</v>
      </c>
      <c r="AD663" s="43">
        <f>VLOOKUP(AD$84,'Infos Techniques'!$B$7:$H$12,5,0)/($V663*$X$352/12)</f>
        <v>12.5</v>
      </c>
      <c r="AE663" s="43">
        <f>VLOOKUP(AE$84,'Infos Techniques'!$B$7:$H$12,5,0)/($V663*$X$352/12)</f>
        <v>12.5</v>
      </c>
      <c r="AF663" s="43">
        <f>VLOOKUP(AF$84,'Infos Techniques'!$B$7:$H$12,5,0)/($V663*$X$352/12)</f>
        <v>12.5</v>
      </c>
      <c r="AG663" s="43">
        <f>VLOOKUP(AG$84,'Infos Techniques'!$B$7:$H$12,5,0)/($V663*$X$352/12)</f>
        <v>11.05</v>
      </c>
      <c r="AH663" s="43">
        <f>VLOOKUP(AH$84,'Infos Techniques'!$B$7:$H$12,7,0)/($V663*$X$352/12)</f>
        <v>16.666666666666668</v>
      </c>
      <c r="AI663" s="43">
        <f>VLOOKUP(AI$84,'Infos Techniques'!$B$7:$H$12,7,0)/($V663*$X$352/12)</f>
        <v>16.666666666666668</v>
      </c>
      <c r="AJ663" s="43">
        <f>VLOOKUP(AJ$84,'Infos Techniques'!$B$7:$H$12,7,0)/($V663*$X$352/12)</f>
        <v>16.666666666666668</v>
      </c>
      <c r="AK663" s="43">
        <f>VLOOKUP(AK$84,'Infos Techniques'!$B$7:$H$12,7,0)/($V663*$X$352/12)</f>
        <v>12.5</v>
      </c>
      <c r="AL663" s="63">
        <f>VLOOKUP(AL$84,'Infos Techniques'!$B$7:$H$12,7,0)/($V663*$X$352/12)</f>
        <v>11.05</v>
      </c>
    </row>
    <row r="664" spans="2:38" ht="15" thickBot="1">
      <c r="B664" s="1830"/>
      <c r="C664" s="71">
        <v>25</v>
      </c>
      <c r="D664" s="43" t="e">
        <f t="shared" si="190"/>
        <v>#REF!</v>
      </c>
      <c r="E664" s="43" t="e">
        <f t="shared" si="181"/>
        <v>#REF!</v>
      </c>
      <c r="F664" s="43" t="e">
        <f t="shared" si="182"/>
        <v>#REF!</v>
      </c>
      <c r="G664" s="43" t="e">
        <f t="shared" si="183"/>
        <v>#REF!</v>
      </c>
      <c r="H664" s="43" t="e">
        <f t="shared" si="184"/>
        <v>#REF!</v>
      </c>
      <c r="I664" s="43" t="e">
        <f t="shared" si="185"/>
        <v>#REF!</v>
      </c>
      <c r="J664" s="43" t="e">
        <f t="shared" si="186"/>
        <v>#REF!</v>
      </c>
      <c r="K664" s="43" t="e">
        <f t="shared" si="187"/>
        <v>#REF!</v>
      </c>
      <c r="L664" s="43" t="e">
        <f t="shared" si="188"/>
        <v>#REF!</v>
      </c>
      <c r="M664" s="63" t="e">
        <f t="shared" si="189"/>
        <v>#REF!</v>
      </c>
      <c r="U664" s="1601"/>
      <c r="V664" s="28">
        <v>25</v>
      </c>
      <c r="W664" s="43" t="e" cm="1">
        <f t="array" ref="W664">VLOOKUP(MAX(IF('Courbe Déflexion'!$HG$5:$HG$285&lt;=V664,'Courbe Déflexion'!$HG$5:$HG$285)),'Courbe Déflexion'!#REF!,2,0)</f>
        <v>#REF!</v>
      </c>
      <c r="X664" s="276"/>
      <c r="Y664" s="276"/>
      <c r="Z664" s="276"/>
      <c r="AA664" s="276"/>
      <c r="AB664" s="276"/>
      <c r="AC664" s="43">
        <f>VLOOKUP(AC$84,'Infos Techniques'!$B$7:$H$12,5,0)/($V664*$X$352/12)</f>
        <v>10</v>
      </c>
      <c r="AD664" s="43">
        <f>VLOOKUP(AD$84,'Infos Techniques'!$B$7:$H$12,5,0)/($V664*$X$352/12)</f>
        <v>10</v>
      </c>
      <c r="AE664" s="43">
        <f>VLOOKUP(AE$84,'Infos Techniques'!$B$7:$H$12,5,0)/($V664*$X$352/12)</f>
        <v>10</v>
      </c>
      <c r="AF664" s="43">
        <f>VLOOKUP(AF$84,'Infos Techniques'!$B$7:$H$12,5,0)/($V664*$X$352/12)</f>
        <v>10</v>
      </c>
      <c r="AG664" s="43">
        <f>VLOOKUP(AG$84,'Infos Techniques'!$B$7:$H$12,5,0)/($V664*$X$352/12)</f>
        <v>8.84</v>
      </c>
      <c r="AH664" s="43">
        <f>VLOOKUP(AH$84,'Infos Techniques'!$B$7:$H$12,7,0)/($V664*$X$352/12)</f>
        <v>13.333333333333334</v>
      </c>
      <c r="AI664" s="43">
        <f>VLOOKUP(AI$84,'Infos Techniques'!$B$7:$H$12,7,0)/($V664*$X$352/12)</f>
        <v>13.333333333333334</v>
      </c>
      <c r="AJ664" s="43">
        <f>VLOOKUP(AJ$84,'Infos Techniques'!$B$7:$H$12,7,0)/($V664*$X$352/12)</f>
        <v>13.333333333333334</v>
      </c>
      <c r="AK664" s="43">
        <f>VLOOKUP(AK$84,'Infos Techniques'!$B$7:$H$12,7,0)/($V664*$X$352/12)</f>
        <v>10</v>
      </c>
      <c r="AL664" s="63">
        <f>VLOOKUP(AL$84,'Infos Techniques'!$B$7:$H$12,7,0)/($V664*$X$352/12)</f>
        <v>8.84</v>
      </c>
    </row>
    <row r="665" spans="2:38">
      <c r="B665" s="1830"/>
      <c r="C665" s="69">
        <v>30</v>
      </c>
      <c r="D665" s="43" t="e">
        <f t="shared" si="190"/>
        <v>#REF!</v>
      </c>
      <c r="E665" s="43" t="e">
        <f t="shared" si="181"/>
        <v>#REF!</v>
      </c>
      <c r="F665" s="43" t="e">
        <f t="shared" si="182"/>
        <v>#REF!</v>
      </c>
      <c r="G665" s="43" t="e">
        <f t="shared" si="183"/>
        <v>#REF!</v>
      </c>
      <c r="H665" s="43" t="e">
        <f t="shared" si="184"/>
        <v>#REF!</v>
      </c>
      <c r="I665" s="43" t="e">
        <f t="shared" si="185"/>
        <v>#REF!</v>
      </c>
      <c r="J665" s="43" t="e">
        <f t="shared" si="186"/>
        <v>#REF!</v>
      </c>
      <c r="K665" s="43" t="e">
        <f t="shared" si="187"/>
        <v>#REF!</v>
      </c>
      <c r="L665" s="43" t="e">
        <f t="shared" si="188"/>
        <v>#REF!</v>
      </c>
      <c r="M665" s="63" t="e">
        <f t="shared" si="189"/>
        <v>#REF!</v>
      </c>
      <c r="U665" s="1601"/>
      <c r="V665" s="28">
        <v>30</v>
      </c>
      <c r="W665" s="43" t="e" cm="1">
        <f t="array" ref="W665">VLOOKUP(MAX(IF('Courbe Déflexion'!$HG$5:$HG$285&lt;=V665,'Courbe Déflexion'!$HG$5:$HG$285)),'Courbe Déflexion'!#REF!,2,0)</f>
        <v>#REF!</v>
      </c>
      <c r="X665" s="276"/>
      <c r="Y665" s="276"/>
      <c r="Z665" s="276"/>
      <c r="AA665" s="276"/>
      <c r="AB665" s="276"/>
      <c r="AC665" s="43">
        <f>VLOOKUP(AC$84,'Infos Techniques'!$B$7:$H$12,5,0)/($V665*$X$352/12)</f>
        <v>8.3333333333333339</v>
      </c>
      <c r="AD665" s="43">
        <f>VLOOKUP(AD$84,'Infos Techniques'!$B$7:$H$12,5,0)/($V665*$X$352/12)</f>
        <v>8.3333333333333339</v>
      </c>
      <c r="AE665" s="43">
        <f>VLOOKUP(AE$84,'Infos Techniques'!$B$7:$H$12,5,0)/($V665*$X$352/12)</f>
        <v>8.3333333333333339</v>
      </c>
      <c r="AF665" s="43">
        <f>VLOOKUP(AF$84,'Infos Techniques'!$B$7:$H$12,5,0)/($V665*$X$352/12)</f>
        <v>8.3333333333333339</v>
      </c>
      <c r="AG665" s="43">
        <f>VLOOKUP(AG$84,'Infos Techniques'!$B$7:$H$12,5,0)/($V665*$X$352/12)</f>
        <v>7.3666666666666663</v>
      </c>
      <c r="AH665" s="43">
        <f>VLOOKUP(AH$84,'Infos Techniques'!$B$7:$H$12,7,0)/($V665*$X$352/12)</f>
        <v>11.111111111111111</v>
      </c>
      <c r="AI665" s="43">
        <f>VLOOKUP(AI$84,'Infos Techniques'!$B$7:$H$12,7,0)/($V665*$X$352/12)</f>
        <v>11.111111111111111</v>
      </c>
      <c r="AJ665" s="43">
        <f>VLOOKUP(AJ$84,'Infos Techniques'!$B$7:$H$12,7,0)/($V665*$X$352/12)</f>
        <v>11.111111111111111</v>
      </c>
      <c r="AK665" s="43">
        <f>VLOOKUP(AK$84,'Infos Techniques'!$B$7:$H$12,7,0)/($V665*$X$352/12)</f>
        <v>8.3333333333333339</v>
      </c>
      <c r="AL665" s="63">
        <f>VLOOKUP(AL$84,'Infos Techniques'!$B$7:$H$12,7,0)/($V665*$X$352/12)</f>
        <v>7.3666666666666663</v>
      </c>
    </row>
    <row r="666" spans="2:38">
      <c r="B666" s="1830"/>
      <c r="C666" s="70">
        <v>35</v>
      </c>
      <c r="D666" s="43" t="e">
        <f t="shared" si="190"/>
        <v>#REF!</v>
      </c>
      <c r="E666" s="43" t="e">
        <f t="shared" si="181"/>
        <v>#REF!</v>
      </c>
      <c r="F666" s="43" t="e">
        <f t="shared" si="182"/>
        <v>#REF!</v>
      </c>
      <c r="G666" s="43" t="e">
        <f t="shared" si="183"/>
        <v>#REF!</v>
      </c>
      <c r="H666" s="43" t="e">
        <f t="shared" si="184"/>
        <v>#REF!</v>
      </c>
      <c r="I666" s="43" t="e">
        <f t="shared" si="185"/>
        <v>#REF!</v>
      </c>
      <c r="J666" s="43" t="e">
        <f t="shared" si="186"/>
        <v>#REF!</v>
      </c>
      <c r="K666" s="43" t="e">
        <f t="shared" si="187"/>
        <v>#REF!</v>
      </c>
      <c r="L666" s="43" t="e">
        <f t="shared" si="188"/>
        <v>#REF!</v>
      </c>
      <c r="M666" s="63" t="e">
        <f t="shared" si="189"/>
        <v>#REF!</v>
      </c>
      <c r="U666" s="1601"/>
      <c r="V666" s="28">
        <v>35</v>
      </c>
      <c r="W666" s="43" t="e" cm="1">
        <f t="array" ref="W666">VLOOKUP(MAX(IF('Courbe Déflexion'!$HG$5:$HG$285&lt;=V666,'Courbe Déflexion'!$HG$5:$HG$285)),'Courbe Déflexion'!#REF!,2,0)</f>
        <v>#REF!</v>
      </c>
      <c r="X666" s="276"/>
      <c r="Y666" s="276"/>
      <c r="Z666" s="276"/>
      <c r="AA666" s="276"/>
      <c r="AB666" s="276"/>
      <c r="AC666" s="43">
        <f>VLOOKUP(AC$84,'Infos Techniques'!$B$7:$H$12,5,0)/($V666*$X$352/12)</f>
        <v>7.1428571428571432</v>
      </c>
      <c r="AD666" s="43">
        <f>VLOOKUP(AD$84,'Infos Techniques'!$B$7:$H$12,5,0)/($V666*$X$352/12)</f>
        <v>7.1428571428571432</v>
      </c>
      <c r="AE666" s="43">
        <f>VLOOKUP(AE$84,'Infos Techniques'!$B$7:$H$12,5,0)/($V666*$X$352/12)</f>
        <v>7.1428571428571432</v>
      </c>
      <c r="AF666" s="43">
        <f>VLOOKUP(AF$84,'Infos Techniques'!$B$7:$H$12,5,0)/($V666*$X$352/12)</f>
        <v>7.1428571428571432</v>
      </c>
      <c r="AG666" s="43">
        <f>VLOOKUP(AG$84,'Infos Techniques'!$B$7:$H$12,5,0)/($V666*$X$352/12)</f>
        <v>6.3142857142857141</v>
      </c>
      <c r="AH666" s="43">
        <f>VLOOKUP(AH$84,'Infos Techniques'!$B$7:$H$12,7,0)/($V666*$X$352/12)</f>
        <v>9.5238095238095237</v>
      </c>
      <c r="AI666" s="43">
        <f>VLOOKUP(AI$84,'Infos Techniques'!$B$7:$H$12,7,0)/($V666*$X$352/12)</f>
        <v>9.5238095238095237</v>
      </c>
      <c r="AJ666" s="43">
        <f>VLOOKUP(AJ$84,'Infos Techniques'!$B$7:$H$12,7,0)/($V666*$X$352/12)</f>
        <v>9.5238095238095237</v>
      </c>
      <c r="AK666" s="43">
        <f>VLOOKUP(AK$84,'Infos Techniques'!$B$7:$H$12,7,0)/($V666*$X$352/12)</f>
        <v>7.1428571428571432</v>
      </c>
      <c r="AL666" s="63">
        <f>VLOOKUP(AL$84,'Infos Techniques'!$B$7:$H$12,7,0)/($V666*$X$352/12)</f>
        <v>6.3142857142857141</v>
      </c>
    </row>
    <row r="667" spans="2:38">
      <c r="B667" s="1830"/>
      <c r="C667" s="70">
        <v>40</v>
      </c>
      <c r="D667" s="43" t="e">
        <f t="shared" si="190"/>
        <v>#REF!</v>
      </c>
      <c r="E667" s="43" t="e">
        <f t="shared" si="181"/>
        <v>#REF!</v>
      </c>
      <c r="F667" s="43" t="e">
        <f t="shared" si="182"/>
        <v>#REF!</v>
      </c>
      <c r="G667" s="43" t="e">
        <f t="shared" si="183"/>
        <v>#REF!</v>
      </c>
      <c r="H667" s="43" t="e">
        <f t="shared" si="184"/>
        <v>#REF!</v>
      </c>
      <c r="I667" s="43" t="e">
        <f t="shared" si="185"/>
        <v>#REF!</v>
      </c>
      <c r="J667" s="43" t="e">
        <f t="shared" si="186"/>
        <v>#REF!</v>
      </c>
      <c r="K667" s="43" t="e">
        <f t="shared" si="187"/>
        <v>#REF!</v>
      </c>
      <c r="L667" s="43" t="e">
        <f t="shared" si="188"/>
        <v>#REF!</v>
      </c>
      <c r="M667" s="63" t="e">
        <f t="shared" si="189"/>
        <v>#REF!</v>
      </c>
      <c r="U667" s="1601"/>
      <c r="V667" s="28">
        <v>40</v>
      </c>
      <c r="W667" s="43" t="e" cm="1">
        <f t="array" ref="W667">VLOOKUP(MAX(IF('Courbe Déflexion'!$HG$5:$HG$285&lt;=V667,'Courbe Déflexion'!$HG$5:$HG$285)),'Courbe Déflexion'!#REF!,2,0)</f>
        <v>#REF!</v>
      </c>
      <c r="X667" s="276"/>
      <c r="Y667" s="276"/>
      <c r="Z667" s="276"/>
      <c r="AA667" s="276"/>
      <c r="AB667" s="276"/>
      <c r="AC667" s="43">
        <f>VLOOKUP(AC$84,'Infos Techniques'!$B$7:$H$12,5,0)/($V667*$X$352/12)</f>
        <v>6.25</v>
      </c>
      <c r="AD667" s="43">
        <f>VLOOKUP(AD$84,'Infos Techniques'!$B$7:$H$12,5,0)/($V667*$X$352/12)</f>
        <v>6.25</v>
      </c>
      <c r="AE667" s="43">
        <f>VLOOKUP(AE$84,'Infos Techniques'!$B$7:$H$12,5,0)/($V667*$X$352/12)</f>
        <v>6.25</v>
      </c>
      <c r="AF667" s="43">
        <f>VLOOKUP(AF$84,'Infos Techniques'!$B$7:$H$12,5,0)/($V667*$X$352/12)</f>
        <v>6.25</v>
      </c>
      <c r="AG667" s="43">
        <f>VLOOKUP(AG$84,'Infos Techniques'!$B$7:$H$12,5,0)/($V667*$X$352/12)</f>
        <v>5.5250000000000004</v>
      </c>
      <c r="AH667" s="43">
        <f>VLOOKUP(AH$84,'Infos Techniques'!$B$7:$H$12,7,0)/($V667*$X$352/12)</f>
        <v>8.3333333333333339</v>
      </c>
      <c r="AI667" s="43">
        <f>VLOOKUP(AI$84,'Infos Techniques'!$B$7:$H$12,7,0)/($V667*$X$352/12)</f>
        <v>8.3333333333333339</v>
      </c>
      <c r="AJ667" s="43">
        <f>VLOOKUP(AJ$84,'Infos Techniques'!$B$7:$H$12,7,0)/($V667*$X$352/12)</f>
        <v>8.3333333333333339</v>
      </c>
      <c r="AK667" s="43">
        <f>VLOOKUP(AK$84,'Infos Techniques'!$B$7:$H$12,7,0)/($V667*$X$352/12)</f>
        <v>6.25</v>
      </c>
      <c r="AL667" s="63">
        <f>VLOOKUP(AL$84,'Infos Techniques'!$B$7:$H$12,7,0)/($V667*$X$352/12)</f>
        <v>5.5250000000000004</v>
      </c>
    </row>
    <row r="668" spans="2:38">
      <c r="B668" s="1830"/>
      <c r="C668" s="70">
        <v>45</v>
      </c>
      <c r="D668" s="43" t="e">
        <f t="shared" si="190"/>
        <v>#REF!</v>
      </c>
      <c r="E668" s="43" t="e">
        <f t="shared" si="181"/>
        <v>#REF!</v>
      </c>
      <c r="F668" s="43" t="e">
        <f t="shared" si="182"/>
        <v>#REF!</v>
      </c>
      <c r="G668" s="43" t="e">
        <f t="shared" si="183"/>
        <v>#REF!</v>
      </c>
      <c r="H668" s="43" t="e">
        <f t="shared" si="184"/>
        <v>#REF!</v>
      </c>
      <c r="I668" s="43" t="e">
        <f t="shared" si="185"/>
        <v>#REF!</v>
      </c>
      <c r="J668" s="43" t="e">
        <f t="shared" si="186"/>
        <v>#REF!</v>
      </c>
      <c r="K668" s="43" t="e">
        <f t="shared" si="187"/>
        <v>#REF!</v>
      </c>
      <c r="L668" s="43" t="e">
        <f t="shared" si="188"/>
        <v>#REF!</v>
      </c>
      <c r="M668" s="63" t="e">
        <f t="shared" si="189"/>
        <v>#REF!</v>
      </c>
      <c r="U668" s="1601"/>
      <c r="V668" s="28">
        <v>45</v>
      </c>
      <c r="W668" s="43" t="e" cm="1">
        <f t="array" ref="W668">VLOOKUP(MAX(IF('Courbe Déflexion'!$HG$5:$HG$285&lt;=V668,'Courbe Déflexion'!$HG$5:$HG$285)),'Courbe Déflexion'!#REF!,2,0)</f>
        <v>#REF!</v>
      </c>
      <c r="X668" s="276"/>
      <c r="Y668" s="276"/>
      <c r="Z668" s="276"/>
      <c r="AA668" s="276"/>
      <c r="AB668" s="276"/>
      <c r="AC668" s="43">
        <f>VLOOKUP(AC$84,'Infos Techniques'!$B$7:$H$12,5,0)/($V668*$X$352/12)</f>
        <v>5.5555555555555554</v>
      </c>
      <c r="AD668" s="43">
        <f>VLOOKUP(AD$84,'Infos Techniques'!$B$7:$H$12,5,0)/($V668*$X$352/12)</f>
        <v>5.5555555555555554</v>
      </c>
      <c r="AE668" s="43">
        <f>VLOOKUP(AE$84,'Infos Techniques'!$B$7:$H$12,5,0)/($V668*$X$352/12)</f>
        <v>5.5555555555555554</v>
      </c>
      <c r="AF668" s="43">
        <f>VLOOKUP(AF$84,'Infos Techniques'!$B$7:$H$12,5,0)/($V668*$X$352/12)</f>
        <v>5.5555555555555554</v>
      </c>
      <c r="AG668" s="43">
        <f>VLOOKUP(AG$84,'Infos Techniques'!$B$7:$H$12,5,0)/($V668*$X$352/12)</f>
        <v>4.9111111111111114</v>
      </c>
      <c r="AH668" s="43">
        <f>VLOOKUP(AH$84,'Infos Techniques'!$B$7:$H$12,7,0)/($V668*$X$352/12)</f>
        <v>7.4074074074074074</v>
      </c>
      <c r="AI668" s="43">
        <f>VLOOKUP(AI$84,'Infos Techniques'!$B$7:$H$12,7,0)/($V668*$X$352/12)</f>
        <v>7.4074074074074074</v>
      </c>
      <c r="AJ668" s="43">
        <f>VLOOKUP(AJ$84,'Infos Techniques'!$B$7:$H$12,7,0)/($V668*$X$352/12)</f>
        <v>7.4074074074074074</v>
      </c>
      <c r="AK668" s="43">
        <f>VLOOKUP(AK$84,'Infos Techniques'!$B$7:$H$12,7,0)/($V668*$X$352/12)</f>
        <v>5.5555555555555554</v>
      </c>
      <c r="AL668" s="63">
        <f>VLOOKUP(AL$84,'Infos Techniques'!$B$7:$H$12,7,0)/($V668*$X$352/12)</f>
        <v>4.9111111111111114</v>
      </c>
    </row>
    <row r="669" spans="2:38" ht="15" thickBot="1">
      <c r="B669" s="1830"/>
      <c r="C669" s="71">
        <v>50</v>
      </c>
      <c r="D669" s="43" t="e">
        <f t="shared" si="190"/>
        <v>#REF!</v>
      </c>
      <c r="E669" s="43" t="e">
        <f t="shared" si="181"/>
        <v>#REF!</v>
      </c>
      <c r="F669" s="43" t="e">
        <f t="shared" si="182"/>
        <v>#REF!</v>
      </c>
      <c r="G669" s="43" t="e">
        <f t="shared" si="183"/>
        <v>#REF!</v>
      </c>
      <c r="H669" s="43" t="e">
        <f t="shared" si="184"/>
        <v>#REF!</v>
      </c>
      <c r="I669" s="43" t="e">
        <f t="shared" si="185"/>
        <v>#REF!</v>
      </c>
      <c r="J669" s="43" t="e">
        <f t="shared" si="186"/>
        <v>#REF!</v>
      </c>
      <c r="K669" s="43" t="e">
        <f t="shared" si="187"/>
        <v>#REF!</v>
      </c>
      <c r="L669" s="43" t="e">
        <f t="shared" si="188"/>
        <v>#REF!</v>
      </c>
      <c r="M669" s="63" t="e">
        <f t="shared" si="189"/>
        <v>#REF!</v>
      </c>
      <c r="U669" s="1601"/>
      <c r="V669" s="28">
        <v>50</v>
      </c>
      <c r="W669" s="43" t="e" cm="1">
        <f t="array" ref="W669">VLOOKUP(MAX(IF('Courbe Déflexion'!$HG$5:$HG$285&lt;=V669,'Courbe Déflexion'!$HG$5:$HG$285)),'Courbe Déflexion'!#REF!,2,0)</f>
        <v>#REF!</v>
      </c>
      <c r="X669" s="276"/>
      <c r="Y669" s="276"/>
      <c r="Z669" s="276"/>
      <c r="AA669" s="276"/>
      <c r="AB669" s="276"/>
      <c r="AC669" s="43">
        <f>VLOOKUP(AC$84,'Infos Techniques'!$B$7:$H$12,5,0)/($V669*$X$352/12)</f>
        <v>5</v>
      </c>
      <c r="AD669" s="43">
        <f>VLOOKUP(AD$84,'Infos Techniques'!$B$7:$H$12,5,0)/($V669*$X$352/12)</f>
        <v>5</v>
      </c>
      <c r="AE669" s="43">
        <f>VLOOKUP(AE$84,'Infos Techniques'!$B$7:$H$12,5,0)/($V669*$X$352/12)</f>
        <v>5</v>
      </c>
      <c r="AF669" s="43">
        <f>VLOOKUP(AF$84,'Infos Techniques'!$B$7:$H$12,5,0)/($V669*$X$352/12)</f>
        <v>5</v>
      </c>
      <c r="AG669" s="43">
        <f>VLOOKUP(AG$84,'Infos Techniques'!$B$7:$H$12,5,0)/($V669*$X$352/12)</f>
        <v>4.42</v>
      </c>
      <c r="AH669" s="43">
        <f>VLOOKUP(AH$84,'Infos Techniques'!$B$7:$H$12,7,0)/($V669*$X$352/12)</f>
        <v>6.666666666666667</v>
      </c>
      <c r="AI669" s="43">
        <f>VLOOKUP(AI$84,'Infos Techniques'!$B$7:$H$12,7,0)/($V669*$X$352/12)</f>
        <v>6.666666666666667</v>
      </c>
      <c r="AJ669" s="43">
        <f>VLOOKUP(AJ$84,'Infos Techniques'!$B$7:$H$12,7,0)/($V669*$X$352/12)</f>
        <v>6.666666666666667</v>
      </c>
      <c r="AK669" s="43">
        <f>VLOOKUP(AK$84,'Infos Techniques'!$B$7:$H$12,7,0)/($V669*$X$352/12)</f>
        <v>5</v>
      </c>
      <c r="AL669" s="63">
        <f>VLOOKUP(AL$84,'Infos Techniques'!$B$7:$H$12,7,0)/($V669*$X$352/12)</f>
        <v>4.42</v>
      </c>
    </row>
    <row r="670" spans="2:38">
      <c r="B670" s="1830"/>
      <c r="C670" s="69">
        <v>55</v>
      </c>
      <c r="D670" s="43" t="e">
        <f t="shared" si="190"/>
        <v>#REF!</v>
      </c>
      <c r="E670" s="43" t="e">
        <f t="shared" si="181"/>
        <v>#REF!</v>
      </c>
      <c r="F670" s="43" t="e">
        <f t="shared" si="182"/>
        <v>#REF!</v>
      </c>
      <c r="G670" s="43" t="e">
        <f t="shared" si="183"/>
        <v>#REF!</v>
      </c>
      <c r="H670" s="43" t="e">
        <f t="shared" si="184"/>
        <v>#REF!</v>
      </c>
      <c r="I670" s="43" t="e">
        <f t="shared" si="185"/>
        <v>#REF!</v>
      </c>
      <c r="J670" s="43" t="e">
        <f t="shared" si="186"/>
        <v>#REF!</v>
      </c>
      <c r="K670" s="43" t="e">
        <f t="shared" si="187"/>
        <v>#REF!</v>
      </c>
      <c r="L670" s="43" t="e">
        <f t="shared" si="188"/>
        <v>#REF!</v>
      </c>
      <c r="M670" s="63" t="e">
        <f t="shared" si="189"/>
        <v>#REF!</v>
      </c>
      <c r="U670" s="1601"/>
      <c r="V670" s="28">
        <v>55</v>
      </c>
      <c r="W670" s="43" t="e" cm="1">
        <f t="array" ref="W670">VLOOKUP(MAX(IF('Courbe Déflexion'!$HG$5:$HG$285&lt;=V670,'Courbe Déflexion'!$HG$5:$HG$285)),'Courbe Déflexion'!#REF!,2,0)</f>
        <v>#REF!</v>
      </c>
      <c r="X670" s="276"/>
      <c r="Y670" s="276"/>
      <c r="Z670" s="276"/>
      <c r="AA670" s="276"/>
      <c r="AB670" s="276"/>
      <c r="AC670" s="43">
        <f>VLOOKUP(AC$84,'Infos Techniques'!$B$7:$H$12,5,0)/($V670*$X$352/12)</f>
        <v>4.5454545454545459</v>
      </c>
      <c r="AD670" s="43">
        <f>VLOOKUP(AD$84,'Infos Techniques'!$B$7:$H$12,5,0)/($V670*$X$352/12)</f>
        <v>4.5454545454545459</v>
      </c>
      <c r="AE670" s="43">
        <f>VLOOKUP(AE$84,'Infos Techniques'!$B$7:$H$12,5,0)/($V670*$X$352/12)</f>
        <v>4.5454545454545459</v>
      </c>
      <c r="AF670" s="43">
        <f>VLOOKUP(AF$84,'Infos Techniques'!$B$7:$H$12,5,0)/($V670*$X$352/12)</f>
        <v>4.5454545454545459</v>
      </c>
      <c r="AG670" s="43">
        <f>VLOOKUP(AG$84,'Infos Techniques'!$B$7:$H$12,5,0)/($V670*$X$352/12)</f>
        <v>4.0181818181818185</v>
      </c>
      <c r="AH670" s="43">
        <f>VLOOKUP(AH$84,'Infos Techniques'!$B$7:$H$12,7,0)/($V670*$X$352/12)</f>
        <v>6.0606060606060606</v>
      </c>
      <c r="AI670" s="43">
        <f>VLOOKUP(AI$84,'Infos Techniques'!$B$7:$H$12,7,0)/($V670*$X$352/12)</f>
        <v>6.0606060606060606</v>
      </c>
      <c r="AJ670" s="43">
        <f>VLOOKUP(AJ$84,'Infos Techniques'!$B$7:$H$12,7,0)/($V670*$X$352/12)</f>
        <v>6.0606060606060606</v>
      </c>
      <c r="AK670" s="43">
        <f>VLOOKUP(AK$84,'Infos Techniques'!$B$7:$H$12,7,0)/($V670*$X$352/12)</f>
        <v>4.5454545454545459</v>
      </c>
      <c r="AL670" s="63">
        <f>VLOOKUP(AL$84,'Infos Techniques'!$B$7:$H$12,7,0)/($V670*$X$352/12)</f>
        <v>4.0181818181818185</v>
      </c>
    </row>
    <row r="671" spans="2:38">
      <c r="B671" s="1830"/>
      <c r="C671" s="70">
        <v>60</v>
      </c>
      <c r="D671" s="43" t="e">
        <f t="shared" si="190"/>
        <v>#REF!</v>
      </c>
      <c r="E671" s="43" t="e">
        <f t="shared" si="181"/>
        <v>#REF!</v>
      </c>
      <c r="F671" s="43" t="e">
        <f t="shared" si="182"/>
        <v>#REF!</v>
      </c>
      <c r="G671" s="43" t="e">
        <f t="shared" si="183"/>
        <v>#REF!</v>
      </c>
      <c r="H671" s="43" t="e">
        <f t="shared" si="184"/>
        <v>#REF!</v>
      </c>
      <c r="I671" s="43" t="e">
        <f t="shared" si="185"/>
        <v>#REF!</v>
      </c>
      <c r="J671" s="43" t="e">
        <f t="shared" si="186"/>
        <v>#REF!</v>
      </c>
      <c r="K671" s="43" t="e">
        <f t="shared" si="187"/>
        <v>#REF!</v>
      </c>
      <c r="L671" s="43" t="e">
        <f t="shared" si="188"/>
        <v>#REF!</v>
      </c>
      <c r="M671" s="63" t="e">
        <f t="shared" si="189"/>
        <v>#REF!</v>
      </c>
      <c r="U671" s="1601"/>
      <c r="V671" s="28">
        <v>60</v>
      </c>
      <c r="W671" s="43" t="e" cm="1">
        <f t="array" ref="W671">VLOOKUP(MAX(IF('Courbe Déflexion'!$HG$5:$HG$285&lt;=V671,'Courbe Déflexion'!$HG$5:$HG$285)),'Courbe Déflexion'!#REF!,2,0)</f>
        <v>#REF!</v>
      </c>
      <c r="X671" s="276"/>
      <c r="Y671" s="276"/>
      <c r="Z671" s="276"/>
      <c r="AA671" s="276"/>
      <c r="AB671" s="276"/>
      <c r="AC671" s="43">
        <f>VLOOKUP(AC$84,'Infos Techniques'!$B$7:$H$12,5,0)/($V671*$X$352/12)</f>
        <v>4.166666666666667</v>
      </c>
      <c r="AD671" s="43">
        <f>VLOOKUP(AD$84,'Infos Techniques'!$B$7:$H$12,5,0)/($V671*$X$352/12)</f>
        <v>4.166666666666667</v>
      </c>
      <c r="AE671" s="43">
        <f>VLOOKUP(AE$84,'Infos Techniques'!$B$7:$H$12,5,0)/($V671*$X$352/12)</f>
        <v>4.166666666666667</v>
      </c>
      <c r="AF671" s="43">
        <f>VLOOKUP(AF$84,'Infos Techniques'!$B$7:$H$12,5,0)/($V671*$X$352/12)</f>
        <v>4.166666666666667</v>
      </c>
      <c r="AG671" s="43">
        <f>VLOOKUP(AG$84,'Infos Techniques'!$B$7:$H$12,5,0)/($V671*$X$352/12)</f>
        <v>3.6833333333333331</v>
      </c>
      <c r="AH671" s="43">
        <f>VLOOKUP(AH$84,'Infos Techniques'!$B$7:$H$12,7,0)/($V671*$X$352/12)</f>
        <v>5.5555555555555554</v>
      </c>
      <c r="AI671" s="43">
        <f>VLOOKUP(AI$84,'Infos Techniques'!$B$7:$H$12,7,0)/($V671*$X$352/12)</f>
        <v>5.5555555555555554</v>
      </c>
      <c r="AJ671" s="43">
        <f>VLOOKUP(AJ$84,'Infos Techniques'!$B$7:$H$12,7,0)/($V671*$X$352/12)</f>
        <v>5.5555555555555554</v>
      </c>
      <c r="AK671" s="43">
        <f>VLOOKUP(AK$84,'Infos Techniques'!$B$7:$H$12,7,0)/($V671*$X$352/12)</f>
        <v>4.166666666666667</v>
      </c>
      <c r="AL671" s="63">
        <f>VLOOKUP(AL$84,'Infos Techniques'!$B$7:$H$12,7,0)/($V671*$X$352/12)</f>
        <v>3.6833333333333331</v>
      </c>
    </row>
    <row r="672" spans="2:38">
      <c r="B672" s="1830"/>
      <c r="C672" s="70">
        <v>65</v>
      </c>
      <c r="D672" s="43" t="e">
        <f t="shared" si="190"/>
        <v>#REF!</v>
      </c>
      <c r="E672" s="43" t="e">
        <f t="shared" si="181"/>
        <v>#REF!</v>
      </c>
      <c r="F672" s="43" t="e">
        <f t="shared" si="182"/>
        <v>#REF!</v>
      </c>
      <c r="G672" s="43" t="e">
        <f t="shared" si="183"/>
        <v>#REF!</v>
      </c>
      <c r="H672" s="43" t="e">
        <f t="shared" si="184"/>
        <v>#REF!</v>
      </c>
      <c r="I672" s="43" t="e">
        <f t="shared" si="185"/>
        <v>#REF!</v>
      </c>
      <c r="J672" s="43" t="e">
        <f t="shared" si="186"/>
        <v>#REF!</v>
      </c>
      <c r="K672" s="43" t="e">
        <f t="shared" si="187"/>
        <v>#REF!</v>
      </c>
      <c r="L672" s="43" t="e">
        <f t="shared" si="188"/>
        <v>#REF!</v>
      </c>
      <c r="M672" s="63" t="e">
        <f t="shared" si="189"/>
        <v>#REF!</v>
      </c>
      <c r="U672" s="1601"/>
      <c r="V672" s="28">
        <v>65</v>
      </c>
      <c r="W672" s="43" t="e" cm="1">
        <f t="array" ref="W672">VLOOKUP(MAX(IF('Courbe Déflexion'!$HG$5:$HG$285&lt;=V672,'Courbe Déflexion'!$HG$5:$HG$285)),'Courbe Déflexion'!#REF!,2,0)</f>
        <v>#REF!</v>
      </c>
      <c r="X672" s="276"/>
      <c r="Y672" s="276"/>
      <c r="Z672" s="276"/>
      <c r="AA672" s="276"/>
      <c r="AB672" s="276"/>
      <c r="AC672" s="43">
        <f>VLOOKUP(AC$84,'Infos Techniques'!$B$7:$H$12,5,0)/($V672*$X$352/12)</f>
        <v>3.8461538461538463</v>
      </c>
      <c r="AD672" s="43">
        <f>VLOOKUP(AD$84,'Infos Techniques'!$B$7:$H$12,5,0)/($V672*$X$352/12)</f>
        <v>3.8461538461538463</v>
      </c>
      <c r="AE672" s="43">
        <f>VLOOKUP(AE$84,'Infos Techniques'!$B$7:$H$12,5,0)/($V672*$X$352/12)</f>
        <v>3.8461538461538463</v>
      </c>
      <c r="AF672" s="43">
        <f>VLOOKUP(AF$84,'Infos Techniques'!$B$7:$H$12,5,0)/($V672*$X$352/12)</f>
        <v>3.8461538461538463</v>
      </c>
      <c r="AG672" s="43">
        <f>VLOOKUP(AG$84,'Infos Techniques'!$B$7:$H$12,5,0)/($V672*$X$352/12)</f>
        <v>3.4</v>
      </c>
      <c r="AH672" s="43">
        <f>VLOOKUP(AH$84,'Infos Techniques'!$B$7:$H$12,7,0)/($V672*$X$352/12)</f>
        <v>5.1282051282051286</v>
      </c>
      <c r="AI672" s="43">
        <f>VLOOKUP(AI$84,'Infos Techniques'!$B$7:$H$12,7,0)/($V672*$X$352/12)</f>
        <v>5.1282051282051286</v>
      </c>
      <c r="AJ672" s="43">
        <f>VLOOKUP(AJ$84,'Infos Techniques'!$B$7:$H$12,7,0)/($V672*$X$352/12)</f>
        <v>5.1282051282051286</v>
      </c>
      <c r="AK672" s="43">
        <f>VLOOKUP(AK$84,'Infos Techniques'!$B$7:$H$12,7,0)/($V672*$X$352/12)</f>
        <v>3.8461538461538463</v>
      </c>
      <c r="AL672" s="63">
        <f>VLOOKUP(AL$84,'Infos Techniques'!$B$7:$H$12,7,0)/($V672*$X$352/12)</f>
        <v>3.4</v>
      </c>
    </row>
    <row r="673" spans="2:38">
      <c r="B673" s="1830"/>
      <c r="C673" s="70">
        <v>70</v>
      </c>
      <c r="D673" s="43" t="e">
        <f t="shared" si="190"/>
        <v>#REF!</v>
      </c>
      <c r="E673" s="43" t="e">
        <f t="shared" si="181"/>
        <v>#REF!</v>
      </c>
      <c r="F673" s="43" t="e">
        <f t="shared" si="182"/>
        <v>#REF!</v>
      </c>
      <c r="G673" s="43" t="e">
        <f t="shared" si="183"/>
        <v>#REF!</v>
      </c>
      <c r="H673" s="43" t="e">
        <f t="shared" si="184"/>
        <v>#REF!</v>
      </c>
      <c r="I673" s="43" t="e">
        <f t="shared" si="185"/>
        <v>#REF!</v>
      </c>
      <c r="J673" s="43" t="e">
        <f t="shared" si="186"/>
        <v>#REF!</v>
      </c>
      <c r="K673" s="43" t="e">
        <f t="shared" si="187"/>
        <v>#REF!</v>
      </c>
      <c r="L673" s="43" t="e">
        <f t="shared" si="188"/>
        <v>#REF!</v>
      </c>
      <c r="M673" s="63" t="e">
        <f t="shared" si="189"/>
        <v>#REF!</v>
      </c>
      <c r="U673" s="1601"/>
      <c r="V673" s="28">
        <v>70</v>
      </c>
      <c r="W673" s="43" t="e" cm="1">
        <f t="array" ref="W673">VLOOKUP(MAX(IF('Courbe Déflexion'!$HG$5:$HG$285&lt;=V673,'Courbe Déflexion'!$HG$5:$HG$285)),'Courbe Déflexion'!#REF!,2,0)</f>
        <v>#REF!</v>
      </c>
      <c r="X673" s="276"/>
      <c r="Y673" s="276"/>
      <c r="Z673" s="276"/>
      <c r="AA673" s="276"/>
      <c r="AB673" s="276"/>
      <c r="AC673" s="43">
        <f>VLOOKUP(AC$84,'Infos Techniques'!$B$7:$H$12,5,0)/($V673*$X$352/12)</f>
        <v>3.5714285714285716</v>
      </c>
      <c r="AD673" s="43">
        <f>VLOOKUP(AD$84,'Infos Techniques'!$B$7:$H$12,5,0)/($V673*$X$352/12)</f>
        <v>3.5714285714285716</v>
      </c>
      <c r="AE673" s="43">
        <f>VLOOKUP(AE$84,'Infos Techniques'!$B$7:$H$12,5,0)/($V673*$X$352/12)</f>
        <v>3.5714285714285716</v>
      </c>
      <c r="AF673" s="43">
        <f>VLOOKUP(AF$84,'Infos Techniques'!$B$7:$H$12,5,0)/($V673*$X$352/12)</f>
        <v>3.5714285714285716</v>
      </c>
      <c r="AG673" s="43">
        <f>VLOOKUP(AG$84,'Infos Techniques'!$B$7:$H$12,5,0)/($V673*$X$352/12)</f>
        <v>3.157142857142857</v>
      </c>
      <c r="AH673" s="43">
        <f>VLOOKUP(AH$84,'Infos Techniques'!$B$7:$H$12,7,0)/($V673*$X$352/12)</f>
        <v>4.7619047619047619</v>
      </c>
      <c r="AI673" s="43">
        <f>VLOOKUP(AI$84,'Infos Techniques'!$B$7:$H$12,7,0)/($V673*$X$352/12)</f>
        <v>4.7619047619047619</v>
      </c>
      <c r="AJ673" s="43">
        <f>VLOOKUP(AJ$84,'Infos Techniques'!$B$7:$H$12,7,0)/($V673*$X$352/12)</f>
        <v>4.7619047619047619</v>
      </c>
      <c r="AK673" s="43">
        <f>VLOOKUP(AK$84,'Infos Techniques'!$B$7:$H$12,7,0)/($V673*$X$352/12)</f>
        <v>3.5714285714285716</v>
      </c>
      <c r="AL673" s="63">
        <f>VLOOKUP(AL$84,'Infos Techniques'!$B$7:$H$12,7,0)/($V673*$X$352/12)</f>
        <v>3.157142857142857</v>
      </c>
    </row>
    <row r="674" spans="2:38" ht="15" thickBot="1">
      <c r="B674" s="1830"/>
      <c r="C674" s="71">
        <v>75</v>
      </c>
      <c r="D674" s="43" t="e">
        <f t="shared" si="190"/>
        <v>#REF!</v>
      </c>
      <c r="E674" s="43" t="e">
        <f t="shared" si="181"/>
        <v>#REF!</v>
      </c>
      <c r="F674" s="43" t="e">
        <f t="shared" si="182"/>
        <v>#REF!</v>
      </c>
      <c r="G674" s="43" t="e">
        <f t="shared" si="183"/>
        <v>#REF!</v>
      </c>
      <c r="H674" s="43" t="e">
        <f t="shared" si="184"/>
        <v>#REF!</v>
      </c>
      <c r="I674" s="43" t="e">
        <f t="shared" si="185"/>
        <v>#REF!</v>
      </c>
      <c r="J674" s="43" t="e">
        <f t="shared" si="186"/>
        <v>#REF!</v>
      </c>
      <c r="K674" s="43" t="e">
        <f t="shared" si="187"/>
        <v>#REF!</v>
      </c>
      <c r="L674" s="43" t="e">
        <f t="shared" si="188"/>
        <v>#REF!</v>
      </c>
      <c r="M674" s="63" t="e">
        <f t="shared" si="189"/>
        <v>#REF!</v>
      </c>
      <c r="U674" s="1601"/>
      <c r="V674" s="28">
        <v>75</v>
      </c>
      <c r="W674" s="43" t="e" cm="1">
        <f t="array" ref="W674">VLOOKUP(MAX(IF('Courbe Déflexion'!$HG$5:$HG$285&lt;=V674,'Courbe Déflexion'!$HG$5:$HG$285)),'Courbe Déflexion'!#REF!,2,0)</f>
        <v>#REF!</v>
      </c>
      <c r="X674" s="276"/>
      <c r="Y674" s="276"/>
      <c r="Z674" s="276"/>
      <c r="AA674" s="276"/>
      <c r="AB674" s="276"/>
      <c r="AC674" s="43">
        <f>VLOOKUP(AC$84,'Infos Techniques'!$B$7:$H$12,5,0)/($V674*$X$352/12)</f>
        <v>3.3333333333333335</v>
      </c>
      <c r="AD674" s="43">
        <f>VLOOKUP(AD$84,'Infos Techniques'!$B$7:$H$12,5,0)/($V674*$X$352/12)</f>
        <v>3.3333333333333335</v>
      </c>
      <c r="AE674" s="43">
        <f>VLOOKUP(AE$84,'Infos Techniques'!$B$7:$H$12,5,0)/($V674*$X$352/12)</f>
        <v>3.3333333333333335</v>
      </c>
      <c r="AF674" s="43">
        <f>VLOOKUP(AF$84,'Infos Techniques'!$B$7:$H$12,5,0)/($V674*$X$352/12)</f>
        <v>3.3333333333333335</v>
      </c>
      <c r="AG674" s="43">
        <f>VLOOKUP(AG$84,'Infos Techniques'!$B$7:$H$12,5,0)/($V674*$X$352/12)</f>
        <v>2.9466666666666668</v>
      </c>
      <c r="AH674" s="43">
        <f>VLOOKUP(AH$84,'Infos Techniques'!$B$7:$H$12,7,0)/($V674*$X$352/12)</f>
        <v>4.4444444444444446</v>
      </c>
      <c r="AI674" s="43">
        <f>VLOOKUP(AI$84,'Infos Techniques'!$B$7:$H$12,7,0)/($V674*$X$352/12)</f>
        <v>4.4444444444444446</v>
      </c>
      <c r="AJ674" s="43">
        <f>VLOOKUP(AJ$84,'Infos Techniques'!$B$7:$H$12,7,0)/($V674*$X$352/12)</f>
        <v>4.4444444444444446</v>
      </c>
      <c r="AK674" s="43">
        <f>VLOOKUP(AK$84,'Infos Techniques'!$B$7:$H$12,7,0)/($V674*$X$352/12)</f>
        <v>3.3333333333333335</v>
      </c>
      <c r="AL674" s="63">
        <f>VLOOKUP(AL$84,'Infos Techniques'!$B$7:$H$12,7,0)/($V674*$X$352/12)</f>
        <v>2.9466666666666668</v>
      </c>
    </row>
    <row r="675" spans="2:38">
      <c r="B675" s="1830"/>
      <c r="C675" s="72">
        <v>80</v>
      </c>
      <c r="D675" s="43" t="e">
        <f t="shared" si="190"/>
        <v>#REF!</v>
      </c>
      <c r="E675" s="43" t="e">
        <f t="shared" si="181"/>
        <v>#REF!</v>
      </c>
      <c r="F675" s="43" t="e">
        <f t="shared" si="182"/>
        <v>#REF!</v>
      </c>
      <c r="G675" s="43" t="e">
        <f t="shared" si="183"/>
        <v>#REF!</v>
      </c>
      <c r="H675" s="43" t="e">
        <f t="shared" si="184"/>
        <v>#REF!</v>
      </c>
      <c r="I675" s="43" t="e">
        <f t="shared" si="185"/>
        <v>#REF!</v>
      </c>
      <c r="J675" s="43" t="e">
        <f t="shared" si="186"/>
        <v>#REF!</v>
      </c>
      <c r="K675" s="43" t="e">
        <f t="shared" si="187"/>
        <v>#REF!</v>
      </c>
      <c r="L675" s="43" t="e">
        <f t="shared" si="188"/>
        <v>#REF!</v>
      </c>
      <c r="M675" s="63" t="e">
        <f t="shared" si="189"/>
        <v>#REF!</v>
      </c>
      <c r="U675" s="1601"/>
      <c r="V675" s="28">
        <v>80</v>
      </c>
      <c r="W675" s="43" t="e" cm="1">
        <f t="array" ref="W675">VLOOKUP(MAX(IF('Courbe Déflexion'!$HG$5:$HG$285&lt;=V675,'Courbe Déflexion'!$HG$5:$HG$285)),'Courbe Déflexion'!#REF!,2,0)</f>
        <v>#REF!</v>
      </c>
      <c r="X675" s="276"/>
      <c r="Y675" s="276"/>
      <c r="Z675" s="276"/>
      <c r="AA675" s="276"/>
      <c r="AB675" s="276"/>
      <c r="AC675" s="43">
        <f>VLOOKUP(AC$84,'Infos Techniques'!$B$7:$H$12,5,0)/($V675*$X$352/12)</f>
        <v>3.125</v>
      </c>
      <c r="AD675" s="43">
        <f>VLOOKUP(AD$84,'Infos Techniques'!$B$7:$H$12,5,0)/($V675*$X$352/12)</f>
        <v>3.125</v>
      </c>
      <c r="AE675" s="43">
        <f>VLOOKUP(AE$84,'Infos Techniques'!$B$7:$H$12,5,0)/($V675*$X$352/12)</f>
        <v>3.125</v>
      </c>
      <c r="AF675" s="43">
        <f>VLOOKUP(AF$84,'Infos Techniques'!$B$7:$H$12,5,0)/($V675*$X$352/12)</f>
        <v>3.125</v>
      </c>
      <c r="AG675" s="43">
        <f>VLOOKUP(AG$84,'Infos Techniques'!$B$7:$H$12,5,0)/($V675*$X$352/12)</f>
        <v>2.7625000000000002</v>
      </c>
      <c r="AH675" s="43">
        <f>VLOOKUP(AH$84,'Infos Techniques'!$B$7:$H$12,7,0)/($V675*$X$352/12)</f>
        <v>4.166666666666667</v>
      </c>
      <c r="AI675" s="43">
        <f>VLOOKUP(AI$84,'Infos Techniques'!$B$7:$H$12,7,0)/($V675*$X$352/12)</f>
        <v>4.166666666666667</v>
      </c>
      <c r="AJ675" s="43">
        <f>VLOOKUP(AJ$84,'Infos Techniques'!$B$7:$H$12,7,0)/($V675*$X$352/12)</f>
        <v>4.166666666666667</v>
      </c>
      <c r="AK675" s="43">
        <f>VLOOKUP(AK$84,'Infos Techniques'!$B$7:$H$12,7,0)/($V675*$X$352/12)</f>
        <v>3.125</v>
      </c>
      <c r="AL675" s="63">
        <f>VLOOKUP(AL$84,'Infos Techniques'!$B$7:$H$12,7,0)/($V675*$X$352/12)</f>
        <v>2.7625000000000002</v>
      </c>
    </row>
    <row r="676" spans="2:38">
      <c r="B676" s="1830"/>
      <c r="C676" s="70">
        <v>85</v>
      </c>
      <c r="D676" s="43" t="e">
        <f t="shared" si="190"/>
        <v>#REF!</v>
      </c>
      <c r="E676" s="43" t="e">
        <f t="shared" si="181"/>
        <v>#REF!</v>
      </c>
      <c r="F676" s="43" t="e">
        <f t="shared" si="182"/>
        <v>#REF!</v>
      </c>
      <c r="G676" s="43" t="e">
        <f t="shared" si="183"/>
        <v>#REF!</v>
      </c>
      <c r="H676" s="43" t="e">
        <f t="shared" si="184"/>
        <v>#REF!</v>
      </c>
      <c r="I676" s="43" t="e">
        <f t="shared" si="185"/>
        <v>#REF!</v>
      </c>
      <c r="J676" s="43" t="e">
        <f t="shared" si="186"/>
        <v>#REF!</v>
      </c>
      <c r="K676" s="43" t="e">
        <f t="shared" si="187"/>
        <v>#REF!</v>
      </c>
      <c r="L676" s="43" t="e">
        <f t="shared" si="188"/>
        <v>#REF!</v>
      </c>
      <c r="M676" s="63" t="e">
        <f t="shared" si="189"/>
        <v>#REF!</v>
      </c>
      <c r="U676" s="1601"/>
      <c r="V676" s="28">
        <v>85</v>
      </c>
      <c r="W676" s="43" t="e" cm="1">
        <f t="array" ref="W676">VLOOKUP(MAX(IF('Courbe Déflexion'!$HG$5:$HG$285&lt;=V676,'Courbe Déflexion'!$HG$5:$HG$285)),'Courbe Déflexion'!#REF!,2,0)</f>
        <v>#REF!</v>
      </c>
      <c r="X676" s="276"/>
      <c r="Y676" s="276"/>
      <c r="Z676" s="276"/>
      <c r="AA676" s="276"/>
      <c r="AB676" s="276"/>
      <c r="AC676" s="43">
        <f>VLOOKUP(AC$84,'Infos Techniques'!$B$7:$H$12,5,0)/($V676*$X$352/12)</f>
        <v>2.9411764705882355</v>
      </c>
      <c r="AD676" s="43">
        <f>VLOOKUP(AD$84,'Infos Techniques'!$B$7:$H$12,5,0)/($V676*$X$352/12)</f>
        <v>2.9411764705882355</v>
      </c>
      <c r="AE676" s="43">
        <f>VLOOKUP(AE$84,'Infos Techniques'!$B$7:$H$12,5,0)/($V676*$X$352/12)</f>
        <v>2.9411764705882355</v>
      </c>
      <c r="AF676" s="43">
        <f>VLOOKUP(AF$84,'Infos Techniques'!$B$7:$H$12,5,0)/($V676*$X$352/12)</f>
        <v>2.9411764705882355</v>
      </c>
      <c r="AG676" s="43">
        <f>VLOOKUP(AG$84,'Infos Techniques'!$B$7:$H$12,5,0)/($V676*$X$352/12)</f>
        <v>2.6</v>
      </c>
      <c r="AH676" s="43">
        <f>VLOOKUP(AH$84,'Infos Techniques'!$B$7:$H$12,7,0)/($V676*$X$352/12)</f>
        <v>3.9215686274509802</v>
      </c>
      <c r="AI676" s="43">
        <f>VLOOKUP(AI$84,'Infos Techniques'!$B$7:$H$12,7,0)/($V676*$X$352/12)</f>
        <v>3.9215686274509802</v>
      </c>
      <c r="AJ676" s="43">
        <f>VLOOKUP(AJ$84,'Infos Techniques'!$B$7:$H$12,7,0)/($V676*$X$352/12)</f>
        <v>3.9215686274509802</v>
      </c>
      <c r="AK676" s="43">
        <f>VLOOKUP(AK$84,'Infos Techniques'!$B$7:$H$12,7,0)/($V676*$X$352/12)</f>
        <v>2.9411764705882355</v>
      </c>
      <c r="AL676" s="63">
        <f>VLOOKUP(AL$84,'Infos Techniques'!$B$7:$H$12,7,0)/($V676*$X$352/12)</f>
        <v>2.6</v>
      </c>
    </row>
    <row r="677" spans="2:38">
      <c r="B677" s="1830"/>
      <c r="C677" s="70">
        <v>90</v>
      </c>
      <c r="D677" s="43" t="e">
        <f t="shared" si="190"/>
        <v>#REF!</v>
      </c>
      <c r="E677" s="43" t="e">
        <f t="shared" si="181"/>
        <v>#REF!</v>
      </c>
      <c r="F677" s="43" t="e">
        <f t="shared" si="182"/>
        <v>#REF!</v>
      </c>
      <c r="G677" s="43" t="e">
        <f t="shared" si="183"/>
        <v>#REF!</v>
      </c>
      <c r="H677" s="43" t="e">
        <f t="shared" si="184"/>
        <v>#REF!</v>
      </c>
      <c r="I677" s="43" t="e">
        <f t="shared" si="185"/>
        <v>#REF!</v>
      </c>
      <c r="J677" s="43" t="e">
        <f t="shared" si="186"/>
        <v>#REF!</v>
      </c>
      <c r="K677" s="43" t="e">
        <f t="shared" si="187"/>
        <v>#REF!</v>
      </c>
      <c r="L677" s="43" t="e">
        <f t="shared" si="188"/>
        <v>#REF!</v>
      </c>
      <c r="M677" s="63" t="e">
        <f t="shared" si="189"/>
        <v>#REF!</v>
      </c>
      <c r="U677" s="1601"/>
      <c r="V677" s="28">
        <v>90</v>
      </c>
      <c r="W677" s="43" t="e" cm="1">
        <f t="array" ref="W677">VLOOKUP(MAX(IF('Courbe Déflexion'!$HG$5:$HG$285&lt;=V677,'Courbe Déflexion'!$HG$5:$HG$285)),'Courbe Déflexion'!#REF!,2,0)</f>
        <v>#REF!</v>
      </c>
      <c r="X677" s="276"/>
      <c r="Y677" s="276"/>
      <c r="Z677" s="276"/>
      <c r="AA677" s="276"/>
      <c r="AB677" s="276"/>
      <c r="AC677" s="43">
        <f>VLOOKUP(AC$84,'Infos Techniques'!$B$7:$H$12,5,0)/($V677*$X$352/12)</f>
        <v>2.7777777777777777</v>
      </c>
      <c r="AD677" s="43">
        <f>VLOOKUP(AD$84,'Infos Techniques'!$B$7:$H$12,5,0)/($V677*$X$352/12)</f>
        <v>2.7777777777777777</v>
      </c>
      <c r="AE677" s="43">
        <f>VLOOKUP(AE$84,'Infos Techniques'!$B$7:$H$12,5,0)/($V677*$X$352/12)</f>
        <v>2.7777777777777777</v>
      </c>
      <c r="AF677" s="43">
        <f>VLOOKUP(AF$84,'Infos Techniques'!$B$7:$H$12,5,0)/($V677*$X$352/12)</f>
        <v>2.7777777777777777</v>
      </c>
      <c r="AG677" s="43">
        <f>VLOOKUP(AG$84,'Infos Techniques'!$B$7:$H$12,5,0)/($V677*$X$352/12)</f>
        <v>2.4555555555555557</v>
      </c>
      <c r="AH677" s="43">
        <f>VLOOKUP(AH$84,'Infos Techniques'!$B$7:$H$12,7,0)/($V677*$X$352/12)</f>
        <v>3.7037037037037037</v>
      </c>
      <c r="AI677" s="43">
        <f>VLOOKUP(AI$84,'Infos Techniques'!$B$7:$H$12,7,0)/($V677*$X$352/12)</f>
        <v>3.7037037037037037</v>
      </c>
      <c r="AJ677" s="43">
        <f>VLOOKUP(AJ$84,'Infos Techniques'!$B$7:$H$12,7,0)/($V677*$X$352/12)</f>
        <v>3.7037037037037037</v>
      </c>
      <c r="AK677" s="43">
        <f>VLOOKUP(AK$84,'Infos Techniques'!$B$7:$H$12,7,0)/($V677*$X$352/12)</f>
        <v>2.7777777777777777</v>
      </c>
      <c r="AL677" s="63">
        <f>VLOOKUP(AL$84,'Infos Techniques'!$B$7:$H$12,7,0)/($V677*$X$352/12)</f>
        <v>2.4555555555555557</v>
      </c>
    </row>
    <row r="678" spans="2:38">
      <c r="B678" s="1830"/>
      <c r="C678" s="70">
        <v>95</v>
      </c>
      <c r="D678" s="43" t="e">
        <f t="shared" si="190"/>
        <v>#REF!</v>
      </c>
      <c r="E678" s="43" t="e">
        <f t="shared" si="181"/>
        <v>#REF!</v>
      </c>
      <c r="F678" s="43" t="e">
        <f t="shared" si="182"/>
        <v>#REF!</v>
      </c>
      <c r="G678" s="43" t="e">
        <f t="shared" si="183"/>
        <v>#REF!</v>
      </c>
      <c r="H678" s="43" t="e">
        <f t="shared" si="184"/>
        <v>#REF!</v>
      </c>
      <c r="I678" s="43" t="e">
        <f t="shared" si="185"/>
        <v>#REF!</v>
      </c>
      <c r="J678" s="43" t="e">
        <f t="shared" si="186"/>
        <v>#REF!</v>
      </c>
      <c r="K678" s="43" t="e">
        <f t="shared" si="187"/>
        <v>#REF!</v>
      </c>
      <c r="L678" s="43" t="e">
        <f t="shared" si="188"/>
        <v>#REF!</v>
      </c>
      <c r="M678" s="63" t="e">
        <f t="shared" si="189"/>
        <v>#REF!</v>
      </c>
      <c r="U678" s="1601"/>
      <c r="V678" s="28">
        <v>95</v>
      </c>
      <c r="W678" s="43" t="e" cm="1">
        <f t="array" ref="W678">VLOOKUP(MAX(IF('Courbe Déflexion'!$HG$5:$HG$285&lt;=V678,'Courbe Déflexion'!$HG$5:$HG$285)),'Courbe Déflexion'!#REF!,2,0)</f>
        <v>#REF!</v>
      </c>
      <c r="X678" s="276"/>
      <c r="Y678" s="276"/>
      <c r="Z678" s="276"/>
      <c r="AA678" s="276"/>
      <c r="AB678" s="276"/>
      <c r="AC678" s="43">
        <f>VLOOKUP(AC$84,'Infos Techniques'!$B$7:$H$12,5,0)/($V678*$X$352/12)</f>
        <v>2.6315789473684212</v>
      </c>
      <c r="AD678" s="43">
        <f>VLOOKUP(AD$84,'Infos Techniques'!$B$7:$H$12,5,0)/($V678*$X$352/12)</f>
        <v>2.6315789473684212</v>
      </c>
      <c r="AE678" s="43">
        <f>VLOOKUP(AE$84,'Infos Techniques'!$B$7:$H$12,5,0)/($V678*$X$352/12)</f>
        <v>2.6315789473684212</v>
      </c>
      <c r="AF678" s="43">
        <f>VLOOKUP(AF$84,'Infos Techniques'!$B$7:$H$12,5,0)/($V678*$X$352/12)</f>
        <v>2.6315789473684212</v>
      </c>
      <c r="AG678" s="43">
        <f>VLOOKUP(AG$84,'Infos Techniques'!$B$7:$H$12,5,0)/($V678*$X$352/12)</f>
        <v>2.3263157894736843</v>
      </c>
      <c r="AH678" s="43">
        <f>VLOOKUP(AH$84,'Infos Techniques'!$B$7:$H$12,7,0)/($V678*$X$352/12)</f>
        <v>3.5087719298245612</v>
      </c>
      <c r="AI678" s="43">
        <f>VLOOKUP(AI$84,'Infos Techniques'!$B$7:$H$12,7,0)/($V678*$X$352/12)</f>
        <v>3.5087719298245612</v>
      </c>
      <c r="AJ678" s="43">
        <f>VLOOKUP(AJ$84,'Infos Techniques'!$B$7:$H$12,7,0)/($V678*$X$352/12)</f>
        <v>3.5087719298245612</v>
      </c>
      <c r="AK678" s="43">
        <f>VLOOKUP(AK$84,'Infos Techniques'!$B$7:$H$12,7,0)/($V678*$X$352/12)</f>
        <v>2.6315789473684212</v>
      </c>
      <c r="AL678" s="63">
        <f>VLOOKUP(AL$84,'Infos Techniques'!$B$7:$H$12,7,0)/($V678*$X$352/12)</f>
        <v>2.3263157894736843</v>
      </c>
    </row>
    <row r="679" spans="2:38" ht="15" thickBot="1">
      <c r="B679" s="1831"/>
      <c r="C679" s="73">
        <v>100</v>
      </c>
      <c r="D679" s="45" t="e">
        <f t="shared" si="190"/>
        <v>#REF!</v>
      </c>
      <c r="E679" s="45" t="e">
        <f t="shared" si="181"/>
        <v>#REF!</v>
      </c>
      <c r="F679" s="45" t="e">
        <f t="shared" si="182"/>
        <v>#REF!</v>
      </c>
      <c r="G679" s="45" t="e">
        <f t="shared" si="183"/>
        <v>#REF!</v>
      </c>
      <c r="H679" s="45" t="e">
        <f t="shared" si="184"/>
        <v>#REF!</v>
      </c>
      <c r="I679" s="45" t="e">
        <f t="shared" si="185"/>
        <v>#REF!</v>
      </c>
      <c r="J679" s="45" t="e">
        <f t="shared" si="186"/>
        <v>#REF!</v>
      </c>
      <c r="K679" s="45" t="e">
        <f t="shared" si="187"/>
        <v>#REF!</v>
      </c>
      <c r="L679" s="45" t="e">
        <f t="shared" si="188"/>
        <v>#REF!</v>
      </c>
      <c r="M679" s="66" t="e">
        <f t="shared" si="189"/>
        <v>#REF!</v>
      </c>
      <c r="U679" s="1602"/>
      <c r="V679" s="44">
        <v>100</v>
      </c>
      <c r="W679" s="45" t="e" cm="1">
        <f t="array" ref="W679">VLOOKUP(MAX(IF('Courbe Déflexion'!$HG$5:$HG$285&lt;=V679,'Courbe Déflexion'!$HG$5:$HG$285)),'Courbe Déflexion'!#REF!,2,0)</f>
        <v>#REF!</v>
      </c>
      <c r="X679" s="277"/>
      <c r="Y679" s="277"/>
      <c r="Z679" s="277"/>
      <c r="AA679" s="277"/>
      <c r="AB679" s="277"/>
      <c r="AC679" s="45">
        <f>VLOOKUP(AC$84,'Infos Techniques'!$B$7:$H$12,5,0)/($V679*$X$352/12)</f>
        <v>2.5</v>
      </c>
      <c r="AD679" s="45">
        <f>VLOOKUP(AD$84,'Infos Techniques'!$B$7:$H$12,5,0)/($V679*$X$352/12)</f>
        <v>2.5</v>
      </c>
      <c r="AE679" s="45">
        <f>VLOOKUP(AE$84,'Infos Techniques'!$B$7:$H$12,5,0)/($V679*$X$352/12)</f>
        <v>2.5</v>
      </c>
      <c r="AF679" s="45">
        <f>VLOOKUP(AF$84,'Infos Techniques'!$B$7:$H$12,5,0)/($V679*$X$352/12)</f>
        <v>2.5</v>
      </c>
      <c r="AG679" s="45">
        <f>VLOOKUP(AG$84,'Infos Techniques'!$B$7:$H$12,5,0)/($V679*$X$352/12)</f>
        <v>2.21</v>
      </c>
      <c r="AH679" s="45">
        <f>VLOOKUP(AH$84,'Infos Techniques'!$B$7:$H$12,7,0)/($V679*$X$352/12)</f>
        <v>3.3333333333333335</v>
      </c>
      <c r="AI679" s="45">
        <f>VLOOKUP(AI$84,'Infos Techniques'!$B$7:$H$12,7,0)/($V679*$X$352/12)</f>
        <v>3.3333333333333335</v>
      </c>
      <c r="AJ679" s="45">
        <f>VLOOKUP(AJ$84,'Infos Techniques'!$B$7:$H$12,7,0)/($V679*$X$352/12)</f>
        <v>3.3333333333333335</v>
      </c>
      <c r="AK679" s="45">
        <f>VLOOKUP(AK$84,'Infos Techniques'!$B$7:$H$12,7,0)/($V679*$X$352/12)</f>
        <v>2.5</v>
      </c>
      <c r="AL679" s="66">
        <f>VLOOKUP(AL$84,'Infos Techniques'!$B$7:$H$12,7,0)/($V679*$X$352/12)</f>
        <v>2.21</v>
      </c>
    </row>
    <row r="680" spans="2:38" ht="15" thickTop="1"/>
  </sheetData>
  <sheetProtection algorithmName="SHA-512" hashValue="zCGWKGh40av64peIfuLwmYn4K8RSLRYCTIUBbe0QXyvlNO2jBj+HDOaq72xnnDPN9H5dmRQO5N6pspi2ybcv/g==" saltValue="L/zX4tJpAqrTrEWOcrzceA==" spinCount="100000" sheet="1" formatCells="0" formatColumns="0" formatRows="0" insertColumns="0" insertRows="0" insertHyperlinks="0" deleteColumns="0" deleteRows="0" sort="0" autoFilter="0" pivotTables="0"/>
  <mergeCells count="287">
    <mergeCell ref="U572:U591"/>
    <mergeCell ref="U567:V571"/>
    <mergeCell ref="W567:W569"/>
    <mergeCell ref="X567:AL567"/>
    <mergeCell ref="X569:AB569"/>
    <mergeCell ref="AC569:AG569"/>
    <mergeCell ref="AH569:AL569"/>
    <mergeCell ref="B529:B548"/>
    <mergeCell ref="B521:R521"/>
    <mergeCell ref="B523:R523"/>
    <mergeCell ref="X524:AL524"/>
    <mergeCell ref="X526:AB526"/>
    <mergeCell ref="AC526:AG526"/>
    <mergeCell ref="AH526:AL526"/>
    <mergeCell ref="U529:U548"/>
    <mergeCell ref="D569:H569"/>
    <mergeCell ref="I569:M569"/>
    <mergeCell ref="B568:C571"/>
    <mergeCell ref="D568:M568"/>
    <mergeCell ref="U524:V528"/>
    <mergeCell ref="W524:W526"/>
    <mergeCell ref="B525:C528"/>
    <mergeCell ref="D525:R525"/>
    <mergeCell ref="D526:H526"/>
    <mergeCell ref="D478:R478"/>
    <mergeCell ref="D479:H479"/>
    <mergeCell ref="I479:M479"/>
    <mergeCell ref="N479:R479"/>
    <mergeCell ref="D480:H480"/>
    <mergeCell ref="I480:M480"/>
    <mergeCell ref="N480:R480"/>
    <mergeCell ref="B482:B501"/>
    <mergeCell ref="U477:V481"/>
    <mergeCell ref="I526:M526"/>
    <mergeCell ref="N526:R526"/>
    <mergeCell ref="D527:H527"/>
    <mergeCell ref="I527:M527"/>
    <mergeCell ref="N527:R527"/>
    <mergeCell ref="B441:B460"/>
    <mergeCell ref="W436:W438"/>
    <mergeCell ref="X436:AL436"/>
    <mergeCell ref="X438:AB438"/>
    <mergeCell ref="AC438:AG438"/>
    <mergeCell ref="AH438:AL438"/>
    <mergeCell ref="W477:W479"/>
    <mergeCell ref="X477:AL477"/>
    <mergeCell ref="X479:AB479"/>
    <mergeCell ref="AC479:AG479"/>
    <mergeCell ref="AH479:AL479"/>
    <mergeCell ref="U441:U460"/>
    <mergeCell ref="D438:H438"/>
    <mergeCell ref="I438:M438"/>
    <mergeCell ref="N438:R438"/>
    <mergeCell ref="B474:R474"/>
    <mergeCell ref="B476:R476"/>
    <mergeCell ref="U482:U501"/>
    <mergeCell ref="B478:C481"/>
    <mergeCell ref="B394:R394"/>
    <mergeCell ref="B396:R396"/>
    <mergeCell ref="U436:V440"/>
    <mergeCell ref="B433:R433"/>
    <mergeCell ref="U402:U421"/>
    <mergeCell ref="D399:H399"/>
    <mergeCell ref="I399:M399"/>
    <mergeCell ref="N399:R399"/>
    <mergeCell ref="B398:C401"/>
    <mergeCell ref="D398:R398"/>
    <mergeCell ref="D400:H400"/>
    <mergeCell ref="I400:M400"/>
    <mergeCell ref="N400:R400"/>
    <mergeCell ref="B402:B421"/>
    <mergeCell ref="U397:V401"/>
    <mergeCell ref="B437:C440"/>
    <mergeCell ref="D437:R437"/>
    <mergeCell ref="D439:H439"/>
    <mergeCell ref="I439:M439"/>
    <mergeCell ref="N439:R439"/>
    <mergeCell ref="B435:R435"/>
    <mergeCell ref="W397:W399"/>
    <mergeCell ref="X397:AL397"/>
    <mergeCell ref="X399:AB399"/>
    <mergeCell ref="AC399:AG399"/>
    <mergeCell ref="AH399:AL399"/>
    <mergeCell ref="U365:U384"/>
    <mergeCell ref="D325:M325"/>
    <mergeCell ref="B323:M323"/>
    <mergeCell ref="A321:N321"/>
    <mergeCell ref="B361:C364"/>
    <mergeCell ref="D361:R361"/>
    <mergeCell ref="D362:H362"/>
    <mergeCell ref="I362:M362"/>
    <mergeCell ref="N362:R362"/>
    <mergeCell ref="D363:H363"/>
    <mergeCell ref="I363:M363"/>
    <mergeCell ref="N363:R363"/>
    <mergeCell ref="B365:B384"/>
    <mergeCell ref="B357:R357"/>
    <mergeCell ref="B359:R359"/>
    <mergeCell ref="U360:V364"/>
    <mergeCell ref="W360:W362"/>
    <mergeCell ref="X360:AL360"/>
    <mergeCell ref="X362:AB362"/>
    <mergeCell ref="AC362:AG362"/>
    <mergeCell ref="AH362:AL362"/>
    <mergeCell ref="U329:U348"/>
    <mergeCell ref="D326:H326"/>
    <mergeCell ref="I326:M326"/>
    <mergeCell ref="B325:C328"/>
    <mergeCell ref="D327:H327"/>
    <mergeCell ref="I327:M327"/>
    <mergeCell ref="B329:B348"/>
    <mergeCell ref="X324:AL324"/>
    <mergeCell ref="D283:M283"/>
    <mergeCell ref="A278:N278"/>
    <mergeCell ref="B280:M280"/>
    <mergeCell ref="U287:U306"/>
    <mergeCell ref="B283:C286"/>
    <mergeCell ref="D284:H284"/>
    <mergeCell ref="I284:M284"/>
    <mergeCell ref="D285:H285"/>
    <mergeCell ref="I285:M285"/>
    <mergeCell ref="B287:B306"/>
    <mergeCell ref="U282:V286"/>
    <mergeCell ref="W282:W284"/>
    <mergeCell ref="X282:AL282"/>
    <mergeCell ref="X284:AB284"/>
    <mergeCell ref="AC284:AG284"/>
    <mergeCell ref="AH284:AL284"/>
    <mergeCell ref="U249:U268"/>
    <mergeCell ref="D246:H246"/>
    <mergeCell ref="I246:M246"/>
    <mergeCell ref="B245:C248"/>
    <mergeCell ref="D247:H247"/>
    <mergeCell ref="I247:M247"/>
    <mergeCell ref="B249:B268"/>
    <mergeCell ref="B195:R195"/>
    <mergeCell ref="B197:R197"/>
    <mergeCell ref="U244:V248"/>
    <mergeCell ref="B200:C203"/>
    <mergeCell ref="D200:R200"/>
    <mergeCell ref="D201:H201"/>
    <mergeCell ref="I201:M201"/>
    <mergeCell ref="N201:R201"/>
    <mergeCell ref="D202:H202"/>
    <mergeCell ref="I202:M202"/>
    <mergeCell ref="N202:R202"/>
    <mergeCell ref="U199:V203"/>
    <mergeCell ref="X244:AL244"/>
    <mergeCell ref="X246:AB246"/>
    <mergeCell ref="AC246:AG246"/>
    <mergeCell ref="AH246:AL246"/>
    <mergeCell ref="D245:M245"/>
    <mergeCell ref="A241:N241"/>
    <mergeCell ref="B243:M243"/>
    <mergeCell ref="U204:U223"/>
    <mergeCell ref="B204:B223"/>
    <mergeCell ref="B161:C164"/>
    <mergeCell ref="D161:R161"/>
    <mergeCell ref="D162:H162"/>
    <mergeCell ref="I162:M162"/>
    <mergeCell ref="N162:R162"/>
    <mergeCell ref="D163:H163"/>
    <mergeCell ref="I163:M163"/>
    <mergeCell ref="N163:R163"/>
    <mergeCell ref="B165:B184"/>
    <mergeCell ref="D16:M16"/>
    <mergeCell ref="D18:E19"/>
    <mergeCell ref="B10:S11"/>
    <mergeCell ref="D20:E20"/>
    <mergeCell ref="D21:E21"/>
    <mergeCell ref="B157:R157"/>
    <mergeCell ref="B159:R159"/>
    <mergeCell ref="F18:J18"/>
    <mergeCell ref="K18:M18"/>
    <mergeCell ref="B42:R42"/>
    <mergeCell ref="B44:C47"/>
    <mergeCell ref="D44:R44"/>
    <mergeCell ref="D46:H46"/>
    <mergeCell ref="I46:M46"/>
    <mergeCell ref="N46:R46"/>
    <mergeCell ref="B119:R119"/>
    <mergeCell ref="B121:R121"/>
    <mergeCell ref="AH82:AL82"/>
    <mergeCell ref="B85:B104"/>
    <mergeCell ref="D83:H83"/>
    <mergeCell ref="I83:M83"/>
    <mergeCell ref="U85:U104"/>
    <mergeCell ref="W43:W45"/>
    <mergeCell ref="X43:AL43"/>
    <mergeCell ref="X45:AB45"/>
    <mergeCell ref="AC45:AG45"/>
    <mergeCell ref="AH45:AL45"/>
    <mergeCell ref="Z4:AE4"/>
    <mergeCell ref="Z3:AE3"/>
    <mergeCell ref="Z2:AE2"/>
    <mergeCell ref="N83:R83"/>
    <mergeCell ref="V2:Y2"/>
    <mergeCell ref="B77:R77"/>
    <mergeCell ref="B79:R79"/>
    <mergeCell ref="B48:B67"/>
    <mergeCell ref="D45:H45"/>
    <mergeCell ref="I45:M45"/>
    <mergeCell ref="N45:R45"/>
    <mergeCell ref="U48:U67"/>
    <mergeCell ref="U43:V47"/>
    <mergeCell ref="B40:R40"/>
    <mergeCell ref="B81:C84"/>
    <mergeCell ref="W80:W82"/>
    <mergeCell ref="U80:V84"/>
    <mergeCell ref="X82:AB82"/>
    <mergeCell ref="AC82:AG82"/>
    <mergeCell ref="X80:AL80"/>
    <mergeCell ref="D82:H82"/>
    <mergeCell ref="I82:M82"/>
    <mergeCell ref="N82:R82"/>
    <mergeCell ref="D81:R81"/>
    <mergeCell ref="U127:U146"/>
    <mergeCell ref="B123:C126"/>
    <mergeCell ref="D123:R123"/>
    <mergeCell ref="D124:H124"/>
    <mergeCell ref="I124:M124"/>
    <mergeCell ref="N124:R124"/>
    <mergeCell ref="D125:H125"/>
    <mergeCell ref="I125:M125"/>
    <mergeCell ref="N125:R125"/>
    <mergeCell ref="B127:B146"/>
    <mergeCell ref="U122:V126"/>
    <mergeCell ref="U611:V615"/>
    <mergeCell ref="W611:W613"/>
    <mergeCell ref="X611:AL611"/>
    <mergeCell ref="X613:AB613"/>
    <mergeCell ref="AC613:AG613"/>
    <mergeCell ref="AH613:AL613"/>
    <mergeCell ref="X124:AB124"/>
    <mergeCell ref="AC124:AG124"/>
    <mergeCell ref="AH124:AL124"/>
    <mergeCell ref="U160:V164"/>
    <mergeCell ref="W160:W162"/>
    <mergeCell ref="X160:AL160"/>
    <mergeCell ref="X162:AB162"/>
    <mergeCell ref="AC162:AG162"/>
    <mergeCell ref="AH162:AL162"/>
    <mergeCell ref="W122:W124"/>
    <mergeCell ref="X122:AL122"/>
    <mergeCell ref="W199:W201"/>
    <mergeCell ref="X199:AL199"/>
    <mergeCell ref="X201:AB201"/>
    <mergeCell ref="AC201:AG201"/>
    <mergeCell ref="AH201:AL201"/>
    <mergeCell ref="U165:U184"/>
    <mergeCell ref="W244:W246"/>
    <mergeCell ref="X655:AL655"/>
    <mergeCell ref="X657:AB657"/>
    <mergeCell ref="AC657:AG657"/>
    <mergeCell ref="AH657:AL657"/>
    <mergeCell ref="U660:U679"/>
    <mergeCell ref="B656:C659"/>
    <mergeCell ref="D656:M656"/>
    <mergeCell ref="D657:H657"/>
    <mergeCell ref="I657:M657"/>
    <mergeCell ref="D658:H658"/>
    <mergeCell ref="I658:M658"/>
    <mergeCell ref="B660:B679"/>
    <mergeCell ref="A652:N652"/>
    <mergeCell ref="B654:M654"/>
    <mergeCell ref="B28:E28"/>
    <mergeCell ref="F28:K28"/>
    <mergeCell ref="F29:K29"/>
    <mergeCell ref="F30:K30"/>
    <mergeCell ref="B25:F25"/>
    <mergeCell ref="U655:V659"/>
    <mergeCell ref="W655:W657"/>
    <mergeCell ref="U616:U635"/>
    <mergeCell ref="B612:C615"/>
    <mergeCell ref="D612:M612"/>
    <mergeCell ref="D613:H613"/>
    <mergeCell ref="I613:M613"/>
    <mergeCell ref="D614:H614"/>
    <mergeCell ref="I614:M614"/>
    <mergeCell ref="B616:B635"/>
    <mergeCell ref="A608:N608"/>
    <mergeCell ref="B610:M610"/>
    <mergeCell ref="D570:H570"/>
    <mergeCell ref="I570:M570"/>
    <mergeCell ref="B572:B591"/>
    <mergeCell ref="A564:N564"/>
    <mergeCell ref="B566:M566"/>
  </mergeCells>
  <phoneticPr fontId="33" type="noConversion"/>
  <conditionalFormatting sqref="D85:R104 D329:M348">
    <cfRule type="cellIs" dxfId="109" priority="150" operator="equal">
      <formula>$X$41</formula>
    </cfRule>
  </conditionalFormatting>
  <conditionalFormatting sqref="D48:R67 D329:M348">
    <cfRule type="cellIs" dxfId="108" priority="143" operator="equal">
      <formula>$W48</formula>
    </cfRule>
  </conditionalFormatting>
  <conditionalFormatting sqref="D48:R67">
    <cfRule type="cellIs" dxfId="107" priority="142" operator="equal">
      <formula>X48</formula>
    </cfRule>
  </conditionalFormatting>
  <conditionalFormatting sqref="D48:R67">
    <cfRule type="cellIs" dxfId="106" priority="144" operator="equal">
      <formula>$X$41</formula>
    </cfRule>
  </conditionalFormatting>
  <conditionalFormatting sqref="D85:R104">
    <cfRule type="cellIs" dxfId="105" priority="256" operator="equal">
      <formula>$W85</formula>
    </cfRule>
  </conditionalFormatting>
  <conditionalFormatting sqref="D85:R104">
    <cfRule type="cellIs" dxfId="104" priority="257" operator="equal">
      <formula>X85</formula>
    </cfRule>
  </conditionalFormatting>
  <conditionalFormatting sqref="D127:R146">
    <cfRule type="cellIs" dxfId="103" priority="139" operator="equal">
      <formula>$X$41</formula>
    </cfRule>
  </conditionalFormatting>
  <conditionalFormatting sqref="D127:R146">
    <cfRule type="cellIs" dxfId="102" priority="140" operator="equal">
      <formula>$W127</formula>
    </cfRule>
  </conditionalFormatting>
  <conditionalFormatting sqref="D127:R146">
    <cfRule type="cellIs" dxfId="101" priority="141" operator="equal">
      <formula>X127</formula>
    </cfRule>
  </conditionalFormatting>
  <conditionalFormatting sqref="A1:AO9 A18:D18 N18:AO18 A17:AO17 A16:D16 N16:AO16 A19:C19 A12:AO15 A10:B10 A11 T10:AO11 A20:D21 F19:AO21 A352:T354 AA352:AO354 V352:X354 A349:AO351 A326:O348 A325:D325 N325:AO325 A324:AO324 A323:B323 N323:AO323 A322:AO322 O321:AO321 A321 A307:AO320 A283:A306 A269:AO277 A245:A268 A279:AO279 O278:AO278 A278 A281:AO282 A280:B280 N280:AO280 A242:AO242 O241:AO241 A241 A244:AO244 A243:B243 N243:AO243 N245:AO268 N283:AO306 U326:AL348 A355:AO431 S432:AO435 B433:R434 A432:A435 B435 A436:AO563 A592:AO607 A567:T567 AM567:AO591 A568:A591 N568:T591 O564:AO566 A636:AO651 A611:T611 AM611:AO635 A612:A635 N612:T635 O608:AO610 A680:AO5000 A655:T655 AM654:AO679 A656:A679 N656:T679 O654:T654 O652:AO653 A22:AO24 A26:AO240 A25:B25 G25:AO25">
    <cfRule type="containsText" dxfId="100" priority="138" operator="containsText" text="XX">
      <formula>NOT(ISERROR(SEARCH("XX",A1)))</formula>
    </cfRule>
  </conditionalFormatting>
  <conditionalFormatting sqref="D165:R184">
    <cfRule type="cellIs" dxfId="99" priority="135" operator="equal">
      <formula>$X$41</formula>
    </cfRule>
  </conditionalFormatting>
  <conditionalFormatting sqref="D165:R184">
    <cfRule type="cellIs" dxfId="98" priority="136" operator="equal">
      <formula>$W165</formula>
    </cfRule>
  </conditionalFormatting>
  <conditionalFormatting sqref="D165:R184">
    <cfRule type="cellIs" dxfId="97" priority="137" operator="equal">
      <formula>X165</formula>
    </cfRule>
  </conditionalFormatting>
  <conditionalFormatting sqref="D204:R223">
    <cfRule type="cellIs" dxfId="96" priority="132" operator="equal">
      <formula>$X$41</formula>
    </cfRule>
  </conditionalFormatting>
  <conditionalFormatting sqref="D204:R223">
    <cfRule type="cellIs" dxfId="95" priority="133" operator="equal">
      <formula>$W204</formula>
    </cfRule>
  </conditionalFormatting>
  <conditionalFormatting sqref="D204:R223">
    <cfRule type="cellIs" dxfId="94" priority="134" operator="equal">
      <formula>X204</formula>
    </cfRule>
  </conditionalFormatting>
  <conditionalFormatting sqref="N249:R268">
    <cfRule type="cellIs" dxfId="93" priority="129" operator="equal">
      <formula>$X$41</formula>
    </cfRule>
  </conditionalFormatting>
  <conditionalFormatting sqref="N249:R268">
    <cfRule type="cellIs" dxfId="92" priority="130" operator="equal">
      <formula>$W249</formula>
    </cfRule>
  </conditionalFormatting>
  <conditionalFormatting sqref="N249:R268">
    <cfRule type="cellIs" dxfId="91" priority="131" operator="equal">
      <formula>AH249</formula>
    </cfRule>
  </conditionalFormatting>
  <conditionalFormatting sqref="N287:R306">
    <cfRule type="cellIs" dxfId="90" priority="126" operator="equal">
      <formula>$X$41</formula>
    </cfRule>
  </conditionalFormatting>
  <conditionalFormatting sqref="N287:R306">
    <cfRule type="cellIs" dxfId="89" priority="127" operator="equal">
      <formula>$W287</formula>
    </cfRule>
  </conditionalFormatting>
  <conditionalFormatting sqref="N287:R306">
    <cfRule type="cellIs" dxfId="88" priority="128" operator="equal">
      <formula>AH287</formula>
    </cfRule>
  </conditionalFormatting>
  <conditionalFormatting sqref="D329:M348">
    <cfRule type="cellIs" dxfId="87" priority="262" operator="equal">
      <formula>AC329</formula>
    </cfRule>
  </conditionalFormatting>
  <conditionalFormatting sqref="D287:M306">
    <cfRule type="cellIs" dxfId="86" priority="122" operator="equal">
      <formula>$X$41</formula>
    </cfRule>
  </conditionalFormatting>
  <conditionalFormatting sqref="D287:M306">
    <cfRule type="cellIs" dxfId="85" priority="121" operator="equal">
      <formula>$W287</formula>
    </cfRule>
  </conditionalFormatting>
  <conditionalFormatting sqref="B284:M306 B283:D283">
    <cfRule type="containsText" dxfId="84" priority="120" operator="containsText" text="XX">
      <formula>NOT(ISERROR(SEARCH("XX",B283)))</formula>
    </cfRule>
  </conditionalFormatting>
  <conditionalFormatting sqref="D287:M306">
    <cfRule type="cellIs" dxfId="83" priority="263" operator="equal">
      <formula>AC287</formula>
    </cfRule>
  </conditionalFormatting>
  <conditionalFormatting sqref="I268:L268">
    <cfRule type="cellIs" dxfId="82" priority="117" operator="equal">
      <formula>$X$41</formula>
    </cfRule>
  </conditionalFormatting>
  <conditionalFormatting sqref="I268:L268">
    <cfRule type="cellIs" dxfId="81" priority="116" operator="equal">
      <formula>$W268</formula>
    </cfRule>
  </conditionalFormatting>
  <conditionalFormatting sqref="B245:D245 B246:M248 B249:C268 I268:L268">
    <cfRule type="containsText" dxfId="80" priority="115" operator="containsText" text="XX">
      <formula>NOT(ISERROR(SEARCH("XX",B245)))</formula>
    </cfRule>
  </conditionalFormatting>
  <conditionalFormatting sqref="D365:R384">
    <cfRule type="cellIs" dxfId="79" priority="112" operator="equal">
      <formula>$X$41</formula>
    </cfRule>
  </conditionalFormatting>
  <conditionalFormatting sqref="D365:R384">
    <cfRule type="cellIs" dxfId="78" priority="113" operator="equal">
      <formula>$W365</formula>
    </cfRule>
  </conditionalFormatting>
  <conditionalFormatting sqref="D365:R384">
    <cfRule type="cellIs" dxfId="77" priority="114" operator="equal">
      <formula>X365</formula>
    </cfRule>
  </conditionalFormatting>
  <conditionalFormatting sqref="D482:R501">
    <cfRule type="cellIs" dxfId="76" priority="103" operator="equal">
      <formula>$X$41</formula>
    </cfRule>
  </conditionalFormatting>
  <conditionalFormatting sqref="D402:R421">
    <cfRule type="cellIs" dxfId="75" priority="109" operator="equal">
      <formula>$X$41</formula>
    </cfRule>
  </conditionalFormatting>
  <conditionalFormatting sqref="D402:R421">
    <cfRule type="cellIs" dxfId="74" priority="110" operator="equal">
      <formula>$W402</formula>
    </cfRule>
  </conditionalFormatting>
  <conditionalFormatting sqref="D402:R421">
    <cfRule type="cellIs" dxfId="73" priority="111" operator="equal">
      <formula>X402</formula>
    </cfRule>
  </conditionalFormatting>
  <conditionalFormatting sqref="D441:R460">
    <cfRule type="cellIs" dxfId="72" priority="106" operator="equal">
      <formula>$X$41</formula>
    </cfRule>
  </conditionalFormatting>
  <conditionalFormatting sqref="D441:R460">
    <cfRule type="cellIs" dxfId="71" priority="107" operator="equal">
      <formula>$W441</formula>
    </cfRule>
  </conditionalFormatting>
  <conditionalFormatting sqref="D441:R460">
    <cfRule type="cellIs" dxfId="70" priority="108" operator="equal">
      <formula>X441</formula>
    </cfRule>
  </conditionalFormatting>
  <conditionalFormatting sqref="D482:R501">
    <cfRule type="cellIs" dxfId="69" priority="104" operator="equal">
      <formula>$W482</formula>
    </cfRule>
  </conditionalFormatting>
  <conditionalFormatting sqref="D482:R501">
    <cfRule type="cellIs" dxfId="68" priority="105" operator="equal">
      <formula>X482</formula>
    </cfRule>
  </conditionalFormatting>
  <conditionalFormatting sqref="D529:R548">
    <cfRule type="cellIs" dxfId="67" priority="100" operator="equal">
      <formula>$X$41</formula>
    </cfRule>
  </conditionalFormatting>
  <conditionalFormatting sqref="D529:R548">
    <cfRule type="cellIs" dxfId="66" priority="101" operator="equal">
      <formula>$W529</formula>
    </cfRule>
  </conditionalFormatting>
  <conditionalFormatting sqref="D529:R548">
    <cfRule type="cellIs" dxfId="65" priority="102" operator="equal">
      <formula>X529</formula>
    </cfRule>
  </conditionalFormatting>
  <conditionalFormatting sqref="U567:AL591">
    <cfRule type="containsText" dxfId="64" priority="99" operator="containsText" text="XX">
      <formula>NOT(ISERROR(SEARCH("XX",U567)))</formula>
    </cfRule>
  </conditionalFormatting>
  <conditionalFormatting sqref="A653:N653 A652 A654:B654 N654">
    <cfRule type="containsText" dxfId="63" priority="1" operator="containsText" text="XX">
      <formula>NOT(ISERROR(SEARCH("XX",A652)))</formula>
    </cfRule>
  </conditionalFormatting>
  <conditionalFormatting sqref="D572:M590">
    <cfRule type="cellIs" dxfId="62" priority="89" operator="equal">
      <formula>$X$41</formula>
    </cfRule>
  </conditionalFormatting>
  <conditionalFormatting sqref="D572:M590">
    <cfRule type="cellIs" dxfId="61" priority="88" operator="equal">
      <formula>$W572</formula>
    </cfRule>
  </conditionalFormatting>
  <conditionalFormatting sqref="B569:M590 B568:D568 B591:C591">
    <cfRule type="containsText" dxfId="60" priority="87" operator="containsText" text="XX">
      <formula>NOT(ISERROR(SEARCH("XX",B568)))</formula>
    </cfRule>
  </conditionalFormatting>
  <conditionalFormatting sqref="D572:M590">
    <cfRule type="cellIs" dxfId="59" priority="90" operator="equal">
      <formula>AC572</formula>
    </cfRule>
  </conditionalFormatting>
  <conditionalFormatting sqref="D249:M267 D268:G268">
    <cfRule type="cellIs" dxfId="58" priority="85" operator="equal">
      <formula>$X$41</formula>
    </cfRule>
  </conditionalFormatting>
  <conditionalFormatting sqref="D249:M267 D268:G268">
    <cfRule type="cellIs" dxfId="57" priority="84" operator="equal">
      <formula>$W249</formula>
    </cfRule>
  </conditionalFormatting>
  <conditionalFormatting sqref="D249:M267 D268:G268">
    <cfRule type="containsText" dxfId="56" priority="83" operator="containsText" text="XX">
      <formula>NOT(ISERROR(SEARCH("XX",D249)))</formula>
    </cfRule>
  </conditionalFormatting>
  <conditionalFormatting sqref="D249:M267 D268:G268">
    <cfRule type="cellIs" dxfId="55" priority="86" operator="equal">
      <formula>AC249</formula>
    </cfRule>
  </conditionalFormatting>
  <conditionalFormatting sqref="H268">
    <cfRule type="cellIs" dxfId="54" priority="81" operator="equal">
      <formula>$X$41</formula>
    </cfRule>
  </conditionalFormatting>
  <conditionalFormatting sqref="H268">
    <cfRule type="cellIs" dxfId="53" priority="80" operator="equal">
      <formula>$W268</formula>
    </cfRule>
  </conditionalFormatting>
  <conditionalFormatting sqref="H268">
    <cfRule type="containsText" dxfId="52" priority="79" operator="containsText" text="XX">
      <formula>NOT(ISERROR(SEARCH("XX",H268)))</formula>
    </cfRule>
  </conditionalFormatting>
  <conditionalFormatting sqref="H268">
    <cfRule type="cellIs" dxfId="51" priority="82" operator="equal">
      <formula>AG268</formula>
    </cfRule>
  </conditionalFormatting>
  <conditionalFormatting sqref="M268">
    <cfRule type="cellIs" dxfId="50" priority="77" operator="equal">
      <formula>$X$41</formula>
    </cfRule>
  </conditionalFormatting>
  <conditionalFormatting sqref="M268">
    <cfRule type="cellIs" dxfId="49" priority="76" operator="equal">
      <formula>$W268</formula>
    </cfRule>
  </conditionalFormatting>
  <conditionalFormatting sqref="M268">
    <cfRule type="containsText" dxfId="48" priority="75" operator="containsText" text="XX">
      <formula>NOT(ISERROR(SEARCH("XX",M268)))</formula>
    </cfRule>
  </conditionalFormatting>
  <conditionalFormatting sqref="M268">
    <cfRule type="cellIs" dxfId="47" priority="78" operator="equal">
      <formula>AL268</formula>
    </cfRule>
  </conditionalFormatting>
  <conditionalFormatting sqref="D591">
    <cfRule type="cellIs" dxfId="46" priority="74" operator="equal">
      <formula>$X$41</formula>
    </cfRule>
  </conditionalFormatting>
  <conditionalFormatting sqref="D591">
    <cfRule type="cellIs" dxfId="45" priority="73" operator="equal">
      <formula>$W591</formula>
    </cfRule>
  </conditionalFormatting>
  <conditionalFormatting sqref="D591">
    <cfRule type="containsText" dxfId="44" priority="72" operator="containsText" text="XX">
      <formula>NOT(ISERROR(SEARCH("XX",D591)))</formula>
    </cfRule>
  </conditionalFormatting>
  <conditionalFormatting sqref="E591">
    <cfRule type="cellIs" dxfId="43" priority="71" operator="equal">
      <formula>$X$41</formula>
    </cfRule>
  </conditionalFormatting>
  <conditionalFormatting sqref="E591">
    <cfRule type="cellIs" dxfId="42" priority="70" operator="equal">
      <formula>$W591</formula>
    </cfRule>
  </conditionalFormatting>
  <conditionalFormatting sqref="E591">
    <cfRule type="containsText" dxfId="41" priority="69" operator="containsText" text="XX">
      <formula>NOT(ISERROR(SEARCH("XX",E591)))</formula>
    </cfRule>
  </conditionalFormatting>
  <conditionalFormatting sqref="F591">
    <cfRule type="cellIs" dxfId="40" priority="68" operator="equal">
      <formula>$X$41</formula>
    </cfRule>
  </conditionalFormatting>
  <conditionalFormatting sqref="F591">
    <cfRule type="cellIs" dxfId="39" priority="67" operator="equal">
      <formula>$W591</formula>
    </cfRule>
  </conditionalFormatting>
  <conditionalFormatting sqref="F591">
    <cfRule type="containsText" dxfId="38" priority="66" operator="containsText" text="XX">
      <formula>NOT(ISERROR(SEARCH("XX",F591)))</formula>
    </cfRule>
  </conditionalFormatting>
  <conditionalFormatting sqref="M591">
    <cfRule type="cellIs" dxfId="37" priority="65" operator="equal">
      <formula>$X$41</formula>
    </cfRule>
  </conditionalFormatting>
  <conditionalFormatting sqref="M591">
    <cfRule type="cellIs" dxfId="36" priority="64" operator="equal">
      <formula>$W591</formula>
    </cfRule>
  </conditionalFormatting>
  <conditionalFormatting sqref="M591">
    <cfRule type="containsText" dxfId="35" priority="63" operator="containsText" text="XX">
      <formula>NOT(ISERROR(SEARCH("XX",M591)))</formula>
    </cfRule>
  </conditionalFormatting>
  <conditionalFormatting sqref="L591">
    <cfRule type="cellIs" dxfId="34" priority="62" operator="equal">
      <formula>$X$41</formula>
    </cfRule>
  </conditionalFormatting>
  <conditionalFormatting sqref="L591">
    <cfRule type="cellIs" dxfId="33" priority="61" operator="equal">
      <formula>$W591</formula>
    </cfRule>
  </conditionalFormatting>
  <conditionalFormatting sqref="L591">
    <cfRule type="containsText" dxfId="32" priority="60" operator="containsText" text="XX">
      <formula>NOT(ISERROR(SEARCH("XX",L591)))</formula>
    </cfRule>
  </conditionalFormatting>
  <conditionalFormatting sqref="G591">
    <cfRule type="cellIs" dxfId="31" priority="59" operator="equal">
      <formula>$X$41</formula>
    </cfRule>
  </conditionalFormatting>
  <conditionalFormatting sqref="G591">
    <cfRule type="cellIs" dxfId="30" priority="58" operator="equal">
      <formula>$W591</formula>
    </cfRule>
  </conditionalFormatting>
  <conditionalFormatting sqref="G591">
    <cfRule type="containsText" dxfId="29" priority="57" operator="containsText" text="XX">
      <formula>NOT(ISERROR(SEARCH("XX",G591)))</formula>
    </cfRule>
  </conditionalFormatting>
  <conditionalFormatting sqref="H591">
    <cfRule type="cellIs" dxfId="28" priority="56" operator="equal">
      <formula>$X$41</formula>
    </cfRule>
  </conditionalFormatting>
  <conditionalFormatting sqref="H591">
    <cfRule type="cellIs" dxfId="27" priority="55" operator="equal">
      <formula>$W591</formula>
    </cfRule>
  </conditionalFormatting>
  <conditionalFormatting sqref="H591">
    <cfRule type="containsText" dxfId="26" priority="54" operator="containsText" text="XX">
      <formula>NOT(ISERROR(SEARCH("XX",H591)))</formula>
    </cfRule>
  </conditionalFormatting>
  <conditionalFormatting sqref="I591">
    <cfRule type="cellIs" dxfId="25" priority="53" operator="equal">
      <formula>$X$41</formula>
    </cfRule>
  </conditionalFormatting>
  <conditionalFormatting sqref="I591">
    <cfRule type="cellIs" dxfId="24" priority="52" operator="equal">
      <formula>$W591</formula>
    </cfRule>
  </conditionalFormatting>
  <conditionalFormatting sqref="I591">
    <cfRule type="containsText" dxfId="23" priority="51" operator="containsText" text="XX">
      <formula>NOT(ISERROR(SEARCH("XX",I591)))</formula>
    </cfRule>
  </conditionalFormatting>
  <conditionalFormatting sqref="J591">
    <cfRule type="cellIs" dxfId="22" priority="50" operator="equal">
      <formula>$X$41</formula>
    </cfRule>
  </conditionalFormatting>
  <conditionalFormatting sqref="J591">
    <cfRule type="cellIs" dxfId="21" priority="49" operator="equal">
      <formula>$W591</formula>
    </cfRule>
  </conditionalFormatting>
  <conditionalFormatting sqref="J591">
    <cfRule type="containsText" dxfId="20" priority="48" operator="containsText" text="XX">
      <formula>NOT(ISERROR(SEARCH("XX",J591)))</formula>
    </cfRule>
  </conditionalFormatting>
  <conditionalFormatting sqref="K591">
    <cfRule type="cellIs" dxfId="19" priority="47" operator="equal">
      <formula>$X$41</formula>
    </cfRule>
  </conditionalFormatting>
  <conditionalFormatting sqref="K591">
    <cfRule type="cellIs" dxfId="18" priority="46" operator="equal">
      <formula>$W591</formula>
    </cfRule>
  </conditionalFormatting>
  <conditionalFormatting sqref="K591">
    <cfRule type="containsText" dxfId="17" priority="45" operator="containsText" text="XX">
      <formula>NOT(ISERROR(SEARCH("XX",K591)))</formula>
    </cfRule>
  </conditionalFormatting>
  <conditionalFormatting sqref="A565:N565 A564 A566:B566 N566">
    <cfRule type="containsText" dxfId="16" priority="44" operator="containsText" text="XX">
      <formula>NOT(ISERROR(SEARCH("XX",A564)))</formula>
    </cfRule>
  </conditionalFormatting>
  <conditionalFormatting sqref="U611:AL635">
    <cfRule type="containsText" dxfId="15" priority="43" operator="containsText" text="XX">
      <formula>NOT(ISERROR(SEARCH("XX",U611)))</formula>
    </cfRule>
  </conditionalFormatting>
  <conditionalFormatting sqref="D616:M635">
    <cfRule type="cellIs" dxfId="14" priority="41" operator="equal">
      <formula>$X$41</formula>
    </cfRule>
  </conditionalFormatting>
  <conditionalFormatting sqref="D616:M635">
    <cfRule type="cellIs" dxfId="13" priority="40" operator="equal">
      <formula>$W616</formula>
    </cfRule>
  </conditionalFormatting>
  <conditionalFormatting sqref="B612:D612 B613:M635">
    <cfRule type="containsText" dxfId="12" priority="39" operator="containsText" text="XX">
      <formula>NOT(ISERROR(SEARCH("XX",B612)))</formula>
    </cfRule>
  </conditionalFormatting>
  <conditionalFormatting sqref="D616:M635">
    <cfRule type="cellIs" dxfId="11" priority="42" operator="equal">
      <formula>AC616</formula>
    </cfRule>
  </conditionalFormatting>
  <conditionalFormatting sqref="U654:AL654">
    <cfRule type="containsText" dxfId="10" priority="7" operator="containsText" text="XX">
      <formula>NOT(ISERROR(SEARCH("XX",U654)))</formula>
    </cfRule>
  </conditionalFormatting>
  <conditionalFormatting sqref="A609:N609 A608 A610:B610 N610">
    <cfRule type="containsText" dxfId="9" priority="8" operator="containsText" text="XX">
      <formula>NOT(ISERROR(SEARCH("XX",A608)))</formula>
    </cfRule>
  </conditionalFormatting>
  <conditionalFormatting sqref="U655:AL679">
    <cfRule type="containsText" dxfId="8" priority="6" operator="containsText" text="XX">
      <formula>NOT(ISERROR(SEARCH("XX",U655)))</formula>
    </cfRule>
  </conditionalFormatting>
  <conditionalFormatting sqref="D660:M679">
    <cfRule type="cellIs" dxfId="7" priority="4" operator="equal">
      <formula>$X$41</formula>
    </cfRule>
  </conditionalFormatting>
  <conditionalFormatting sqref="D660:M679">
    <cfRule type="cellIs" dxfId="6" priority="3" operator="equal">
      <formula>$W660</formula>
    </cfRule>
  </conditionalFormatting>
  <conditionalFormatting sqref="B656:D656 B657:M679">
    <cfRule type="containsText" dxfId="5" priority="2" operator="containsText" text="XX">
      <formula>NOT(ISERROR(SEARCH("XX",B656)))</formula>
    </cfRule>
  </conditionalFormatting>
  <conditionalFormatting sqref="D660:M679">
    <cfRule type="cellIs" dxfId="4" priority="5" operator="equal">
      <formula>AC660</formula>
    </cfRule>
  </conditionalFormatting>
  <hyperlinks>
    <hyperlink ref="F20" location="Chart!B48" display="Chart!B48" xr:uid="{2151658B-94A3-4B20-B69D-ABE9F28AE5EB}"/>
    <hyperlink ref="G20" location="Chart!B85" display="Chart!B85" xr:uid="{C17CB9B9-9873-45C8-8F2D-280DEA4BA58C}"/>
    <hyperlink ref="H20" location="Chart!B127" display="Chart!B127" xr:uid="{E204FE03-38AF-4095-84B2-B075EC8C6F06}"/>
    <hyperlink ref="I20" location="Chart!B165" display="Chart!B165" xr:uid="{96AF1567-D3AA-4E86-89FD-149817CF9B82}"/>
    <hyperlink ref="J20" location="Chart!B204" display="Chart!B204" xr:uid="{2BE4719A-2E19-43CC-8F8B-19E70961A7E1}"/>
    <hyperlink ref="K20" location="Chart!B249" display="Chart!B249" xr:uid="{22F381FF-B015-4B64-A31C-5B304ECD493D}"/>
    <hyperlink ref="L20" location="Chart!B287" display="Chart!B287" xr:uid="{A9F2E677-4CAD-487A-ACBD-F358AB68AD7F}"/>
    <hyperlink ref="M20" location="Chart!B329" display="Chart!B329" xr:uid="{7A589D3F-1E0B-4BD3-AEA7-F1AADA3AB022}"/>
    <hyperlink ref="F21" location="Chart!B365" display="Chart!B365" xr:uid="{3741157E-D23E-45EB-8DDA-1616C814836B}"/>
    <hyperlink ref="G21" location="Chart!B402" display="Chart!B402" xr:uid="{3A8501C4-9AB6-4800-8D8B-80846E6A9767}"/>
    <hyperlink ref="H21" location="Chart!B441" display="Chart!B441" xr:uid="{48BD8BFE-6873-4F93-8164-EC0694B60593}"/>
    <hyperlink ref="I21" location="Chart!B482" display="Chart!B482" xr:uid="{88B25CF1-690C-4B29-9039-DB93C1287DE7}"/>
    <hyperlink ref="J21" location="Chart!B529" display="Chart!B529" xr:uid="{B1B82178-4DBD-47C1-ABAF-5892E672D9E9}"/>
    <hyperlink ref="K21" location="Chart!B572" display="Chart!B572" xr:uid="{5C6A54BF-3FB4-42FA-B210-FA7F5C487C35}"/>
    <hyperlink ref="L21" location="Chart!B616" display="Chart!B616" xr:uid="{F97F4F62-F543-4C9C-B622-FC02D7C5FF3E}"/>
    <hyperlink ref="M21" location="Chart!B660" display="Chart!B660" xr:uid="{7ABBAC24-37D9-4973-B573-80B94D48F4CC}"/>
  </hyperlinks>
  <pageMargins left="0.7" right="0.7" top="0.75" bottom="0.75" header="0.3" footer="0.3"/>
  <pageSetup scale="10" orientation="landscape"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51ABD-06A7-42A9-B2C7-AB08E361B58B}">
  <dimension ref="A2:AS462"/>
  <sheetViews>
    <sheetView tabSelected="1" topLeftCell="A57" zoomScale="85" zoomScaleNormal="85" workbookViewId="0">
      <pane ySplit="11" topLeftCell="A117" activePane="bottomLeft" state="frozen"/>
      <selection pane="bottomLeft" activeCell="P130" sqref="P130"/>
      <selection activeCell="A57" sqref="A57"/>
    </sheetView>
  </sheetViews>
  <sheetFormatPr defaultColWidth="11.42578125" defaultRowHeight="14.45"/>
  <cols>
    <col min="3" max="3" width="38.5703125" customWidth="1"/>
    <col min="4" max="4" width="15.7109375" customWidth="1"/>
    <col min="5" max="6" width="11.42578125" hidden="1" customWidth="1"/>
    <col min="15" max="15" width="11.42578125" customWidth="1"/>
    <col min="16" max="16" width="13.7109375" bestFit="1" customWidth="1"/>
    <col min="17" max="17" width="14.7109375" bestFit="1" customWidth="1"/>
  </cols>
  <sheetData>
    <row r="2" spans="3:26" ht="21">
      <c r="C2" s="1085" t="s">
        <v>1690</v>
      </c>
      <c r="D2" s="1085"/>
    </row>
    <row r="3" spans="3:26" ht="18">
      <c r="C3" s="909"/>
    </row>
    <row r="4" spans="3:26" ht="18.600000000000001" thickBot="1">
      <c r="C4" s="909" t="s">
        <v>1691</v>
      </c>
      <c r="O4" s="910" t="s">
        <v>1692</v>
      </c>
      <c r="P4" s="911"/>
      <c r="Q4" s="911"/>
      <c r="R4" s="911"/>
      <c r="S4" s="911"/>
      <c r="T4" s="911"/>
      <c r="U4" s="911"/>
      <c r="V4" s="911"/>
      <c r="W4" s="911"/>
      <c r="X4" s="911"/>
      <c r="Y4" s="911"/>
      <c r="Z4" s="911"/>
    </row>
    <row r="5" spans="3:26" ht="14.45" customHeight="1">
      <c r="C5" s="1097" t="s">
        <v>1693</v>
      </c>
      <c r="D5" s="1099" t="s">
        <v>1694</v>
      </c>
      <c r="E5" s="1101" t="s">
        <v>1695</v>
      </c>
      <c r="F5" s="1103" t="s">
        <v>1696</v>
      </c>
      <c r="G5" s="1099" t="s">
        <v>1697</v>
      </c>
      <c r="H5" s="1105" t="s">
        <v>1698</v>
      </c>
      <c r="I5" s="1087" t="s">
        <v>1699</v>
      </c>
      <c r="J5" s="1089" t="s">
        <v>1700</v>
      </c>
      <c r="K5" s="1091" t="s">
        <v>1701</v>
      </c>
      <c r="L5" s="1093" t="s">
        <v>387</v>
      </c>
      <c r="M5" s="1095" t="s">
        <v>1702</v>
      </c>
      <c r="O5" s="912" t="s">
        <v>1703</v>
      </c>
      <c r="P5" s="913"/>
      <c r="Q5" s="913"/>
      <c r="R5" s="913"/>
      <c r="S5" s="913"/>
      <c r="T5" s="913"/>
      <c r="U5" s="911"/>
      <c r="V5" s="911"/>
      <c r="W5" s="911"/>
      <c r="X5" s="911"/>
      <c r="Y5" s="911"/>
      <c r="Z5" s="911"/>
    </row>
    <row r="6" spans="3:26" ht="15" thickBot="1">
      <c r="C6" s="1098"/>
      <c r="D6" s="1100"/>
      <c r="E6" s="1102"/>
      <c r="F6" s="1104"/>
      <c r="G6" s="1100"/>
      <c r="H6" s="1106"/>
      <c r="I6" s="1088"/>
      <c r="J6" s="1090"/>
      <c r="K6" s="1092"/>
      <c r="L6" s="1094"/>
      <c r="M6" s="1096"/>
      <c r="O6" s="1086" t="s">
        <v>1704</v>
      </c>
      <c r="P6" s="1086"/>
      <c r="Q6" s="1086"/>
      <c r="R6" s="1086"/>
      <c r="S6" s="1086"/>
      <c r="T6" s="1086"/>
      <c r="U6" s="911"/>
      <c r="V6" s="911"/>
      <c r="W6" s="911"/>
      <c r="X6" s="911"/>
      <c r="Y6" s="911"/>
      <c r="Z6" s="911"/>
    </row>
    <row r="7" spans="3:26" ht="15" customHeight="1">
      <c r="C7" s="914" t="s">
        <v>448</v>
      </c>
      <c r="D7" s="915"/>
      <c r="E7" s="916">
        <v>10856</v>
      </c>
      <c r="F7" s="917" t="s">
        <v>403</v>
      </c>
      <c r="G7" s="918">
        <v>0.73</v>
      </c>
      <c r="H7" s="918">
        <f t="shared" ref="H7:H36" si="0">1-G7</f>
        <v>0.27</v>
      </c>
      <c r="I7" s="916">
        <v>0.89</v>
      </c>
      <c r="J7" s="919">
        <f t="shared" ref="J7:J36" si="1">(309.07+((1066.07*H7-31.98*I7)/(6.78*I7+$Z$30))-((890.94*(H7^2)+2153.86*H7*I7)/((6.78*I7+$Z$30)^2)))-273.15</f>
        <v>48.511394896125807</v>
      </c>
      <c r="K7" s="920">
        <f t="shared" ref="K7:K36" si="2">(((1-G7)-0.029*I7)*(8.797+$M$53))/(9.5205*I7+$M$53)</f>
        <v>0.25352027824050888</v>
      </c>
      <c r="L7" s="921">
        <f t="shared" ref="L7:L36" si="3">IF((123.97-141.35*K7+9.655*K7^2)&lt;0,-1,123.97-141.35*K7+9.655*K7^2)</f>
        <v>88.75545996213522</v>
      </c>
      <c r="M7" s="922"/>
      <c r="O7" s="1086"/>
      <c r="P7" s="1086"/>
      <c r="Q7" s="1086"/>
      <c r="R7" s="1086"/>
      <c r="S7" s="1086"/>
      <c r="T7" s="1086"/>
      <c r="U7" s="911"/>
      <c r="V7" s="911"/>
      <c r="W7" s="911"/>
      <c r="X7" s="911"/>
      <c r="Y7" s="911"/>
      <c r="Z7" s="911"/>
    </row>
    <row r="8" spans="3:26" ht="28.9">
      <c r="C8" s="923" t="s">
        <v>408</v>
      </c>
      <c r="D8" s="924" t="s">
        <v>404</v>
      </c>
      <c r="E8" s="889" t="s">
        <v>409</v>
      </c>
      <c r="F8" s="925"/>
      <c r="G8" s="926">
        <v>0.64</v>
      </c>
      <c r="H8" s="927">
        <f t="shared" si="0"/>
        <v>0.36</v>
      </c>
      <c r="I8" s="889">
        <v>0.87</v>
      </c>
      <c r="J8" s="928">
        <f t="shared" si="1"/>
        <v>53.341586567624176</v>
      </c>
      <c r="K8" s="928">
        <f t="shared" si="2"/>
        <v>0.35555117179081802</v>
      </c>
      <c r="L8" s="929">
        <f t="shared" si="3"/>
        <v>74.933394485648279</v>
      </c>
      <c r="M8" s="930" t="s">
        <v>1705</v>
      </c>
      <c r="O8" s="911"/>
      <c r="P8" s="911"/>
      <c r="Q8" s="911"/>
      <c r="R8" s="911"/>
      <c r="S8" s="911"/>
      <c r="T8" s="911"/>
      <c r="U8" s="911"/>
      <c r="V8" s="911"/>
      <c r="W8" s="911"/>
      <c r="X8" s="911"/>
      <c r="Y8" s="911"/>
      <c r="Z8" s="911"/>
    </row>
    <row r="9" spans="3:26" ht="43.15">
      <c r="C9" s="923" t="s">
        <v>398</v>
      </c>
      <c r="D9" s="924" t="s">
        <v>392</v>
      </c>
      <c r="E9" s="889">
        <v>28783</v>
      </c>
      <c r="F9" s="931"/>
      <c r="G9" s="932">
        <v>0.64</v>
      </c>
      <c r="H9" s="927">
        <f t="shared" si="0"/>
        <v>0.36</v>
      </c>
      <c r="I9" s="889">
        <v>0.86</v>
      </c>
      <c r="J9" s="928">
        <f t="shared" si="1"/>
        <v>53.440740989031156</v>
      </c>
      <c r="K9" s="928">
        <f t="shared" si="2"/>
        <v>0.3599970711915414</v>
      </c>
      <c r="L9" s="929">
        <f t="shared" si="3"/>
        <v>74.335681627253578</v>
      </c>
      <c r="M9" s="933" t="s">
        <v>1706</v>
      </c>
      <c r="O9" s="911"/>
      <c r="P9" s="911"/>
      <c r="Q9" s="911"/>
      <c r="R9" s="911"/>
      <c r="S9" s="911"/>
      <c r="T9" s="911"/>
      <c r="U9" s="911"/>
      <c r="V9" s="911"/>
      <c r="W9" s="911"/>
      <c r="X9" s="911"/>
      <c r="Y9" s="911"/>
      <c r="Z9" s="911"/>
    </row>
    <row r="10" spans="3:26">
      <c r="C10" s="934" t="s">
        <v>1707</v>
      </c>
      <c r="D10" s="924" t="s">
        <v>1708</v>
      </c>
      <c r="E10" s="776"/>
      <c r="F10" s="935"/>
      <c r="G10" s="29">
        <v>0.57999999999999996</v>
      </c>
      <c r="H10" s="927">
        <f t="shared" si="0"/>
        <v>0.42000000000000004</v>
      </c>
      <c r="I10" s="29">
        <v>0.86</v>
      </c>
      <c r="J10" s="928">
        <f t="shared" si="1"/>
        <v>56.54731983250025</v>
      </c>
      <c r="K10" s="928">
        <f t="shared" si="2"/>
        <v>0.42446261250203049</v>
      </c>
      <c r="L10" s="929">
        <f t="shared" si="3"/>
        <v>65.71173668121132</v>
      </c>
      <c r="M10" s="936">
        <v>26</v>
      </c>
      <c r="O10" s="911"/>
      <c r="P10" s="911"/>
      <c r="Q10" s="911"/>
      <c r="R10" s="911"/>
      <c r="S10" s="911"/>
      <c r="T10" s="911"/>
      <c r="U10" s="911"/>
      <c r="V10" s="911"/>
      <c r="W10" s="911"/>
      <c r="X10" s="911"/>
      <c r="Y10" s="911"/>
      <c r="Z10" s="911"/>
    </row>
    <row r="11" spans="3:26">
      <c r="C11" s="934" t="s">
        <v>57</v>
      </c>
      <c r="D11" s="937" t="s">
        <v>1709</v>
      </c>
      <c r="E11" s="905" t="s">
        <v>436</v>
      </c>
      <c r="F11" s="938"/>
      <c r="G11" s="939">
        <v>0.56999999999999995</v>
      </c>
      <c r="H11" s="927">
        <f t="shared" si="0"/>
        <v>0.43000000000000005</v>
      </c>
      <c r="I11" s="905">
        <v>0.89</v>
      </c>
      <c r="J11" s="928">
        <f t="shared" si="1"/>
        <v>56.71974203572637</v>
      </c>
      <c r="K11" s="928">
        <f t="shared" si="2"/>
        <v>0.41963373300311752</v>
      </c>
      <c r="L11" s="929">
        <f t="shared" si="3"/>
        <v>66.354944636644092</v>
      </c>
      <c r="M11" s="936">
        <v>22</v>
      </c>
      <c r="O11" s="911"/>
      <c r="P11" s="911"/>
      <c r="Q11" s="911"/>
      <c r="R11" s="911"/>
      <c r="S11" s="911"/>
      <c r="T11" s="911"/>
      <c r="U11" s="911"/>
      <c r="V11" s="911"/>
      <c r="W11" s="911"/>
      <c r="X11" s="911"/>
      <c r="Y11" s="911"/>
      <c r="Z11" s="911"/>
    </row>
    <row r="12" spans="3:26">
      <c r="C12" s="923" t="s">
        <v>393</v>
      </c>
      <c r="D12" s="924" t="s">
        <v>392</v>
      </c>
      <c r="E12" s="889">
        <v>28317</v>
      </c>
      <c r="F12" s="940"/>
      <c r="G12" s="926">
        <v>0.56000000000000005</v>
      </c>
      <c r="H12" s="927">
        <f t="shared" si="0"/>
        <v>0.43999999999999995</v>
      </c>
      <c r="I12" s="889">
        <v>0.86</v>
      </c>
      <c r="J12" s="928">
        <f t="shared" si="1"/>
        <v>57.578362514458831</v>
      </c>
      <c r="K12" s="928">
        <f t="shared" si="2"/>
        <v>0.44595112627219347</v>
      </c>
      <c r="L12" s="929">
        <f t="shared" si="3"/>
        <v>62.854921391236751</v>
      </c>
      <c r="M12" s="941">
        <v>26</v>
      </c>
      <c r="O12" s="911"/>
      <c r="P12" s="911"/>
      <c r="Q12" s="911"/>
      <c r="R12" s="911"/>
      <c r="S12" s="911"/>
      <c r="T12" s="911"/>
      <c r="U12" s="911"/>
      <c r="V12" s="911"/>
      <c r="W12" s="911"/>
      <c r="X12" s="911"/>
      <c r="Y12" s="911"/>
      <c r="Z12" s="911"/>
    </row>
    <row r="13" spans="3:26">
      <c r="C13" s="923" t="s">
        <v>411</v>
      </c>
      <c r="D13" s="924" t="s">
        <v>404</v>
      </c>
      <c r="E13" s="889" t="s">
        <v>412</v>
      </c>
      <c r="F13" s="942"/>
      <c r="G13" s="932">
        <v>0.54</v>
      </c>
      <c r="H13" s="927">
        <f t="shared" si="0"/>
        <v>0.45999999999999996</v>
      </c>
      <c r="I13" s="889">
        <v>0.86</v>
      </c>
      <c r="J13" s="928">
        <f t="shared" si="1"/>
        <v>58.607163396818464</v>
      </c>
      <c r="K13" s="928">
        <f t="shared" si="2"/>
        <v>0.46743964004235655</v>
      </c>
      <c r="L13" s="929">
        <f t="shared" si="3"/>
        <v>60.007022613948578</v>
      </c>
      <c r="M13" s="936">
        <v>22</v>
      </c>
      <c r="O13" s="911"/>
      <c r="P13" s="911"/>
      <c r="Q13" s="911"/>
      <c r="R13" s="911"/>
      <c r="S13" s="911"/>
      <c r="T13" s="911"/>
      <c r="U13" s="911"/>
      <c r="V13" s="911"/>
      <c r="W13" s="911"/>
      <c r="X13" s="911"/>
      <c r="Y13" s="911"/>
      <c r="Z13" s="911"/>
    </row>
    <row r="14" spans="3:26">
      <c r="C14" s="923" t="s">
        <v>400</v>
      </c>
      <c r="D14" s="924" t="s">
        <v>392</v>
      </c>
      <c r="E14" s="889">
        <v>28273</v>
      </c>
      <c r="F14" s="943"/>
      <c r="G14" s="932">
        <v>0.5</v>
      </c>
      <c r="H14" s="927">
        <f t="shared" si="0"/>
        <v>0.5</v>
      </c>
      <c r="I14" s="889">
        <v>0.87</v>
      </c>
      <c r="J14" s="928">
        <f t="shared" si="1"/>
        <v>60.526484789578774</v>
      </c>
      <c r="K14" s="928">
        <f t="shared" si="2"/>
        <v>0.50424180730390011</v>
      </c>
      <c r="L14" s="929">
        <f t="shared" si="3"/>
        <v>55.150298908844334</v>
      </c>
      <c r="M14" s="941">
        <v>26</v>
      </c>
      <c r="O14" s="911"/>
      <c r="P14" s="911"/>
      <c r="Q14" s="911"/>
      <c r="R14" s="911"/>
      <c r="S14" s="911"/>
      <c r="T14" s="911"/>
      <c r="U14" s="911"/>
      <c r="V14" s="911"/>
      <c r="W14" s="911"/>
      <c r="X14" s="911"/>
      <c r="Y14" s="911"/>
      <c r="Z14" s="911"/>
    </row>
    <row r="15" spans="3:26">
      <c r="C15" s="923" t="s">
        <v>401</v>
      </c>
      <c r="D15" s="924" t="s">
        <v>392</v>
      </c>
      <c r="E15" s="889">
        <v>28305</v>
      </c>
      <c r="F15" s="944"/>
      <c r="G15" s="932">
        <v>0.45</v>
      </c>
      <c r="H15" s="927">
        <f t="shared" si="0"/>
        <v>0.55000000000000004</v>
      </c>
      <c r="I15" s="889">
        <v>0.87</v>
      </c>
      <c r="J15" s="928">
        <f t="shared" si="1"/>
        <v>63.06609980042964</v>
      </c>
      <c r="K15" s="928">
        <f t="shared" si="2"/>
        <v>0.55734560570142966</v>
      </c>
      <c r="L15" s="929">
        <f t="shared" si="3"/>
        <v>48.188371103202691</v>
      </c>
      <c r="M15" s="941">
        <v>26</v>
      </c>
      <c r="O15" s="911"/>
      <c r="P15" s="911"/>
      <c r="Q15" s="911"/>
      <c r="R15" s="911"/>
      <c r="S15" s="911"/>
      <c r="T15" s="911"/>
      <c r="U15" s="911"/>
      <c r="V15" s="911"/>
      <c r="W15" s="911"/>
      <c r="X15" s="911"/>
      <c r="Y15" s="911"/>
      <c r="Z15" s="911"/>
    </row>
    <row r="16" spans="3:26">
      <c r="C16" s="923" t="s">
        <v>442</v>
      </c>
      <c r="D16" s="924" t="s">
        <v>1708</v>
      </c>
      <c r="E16" s="889" t="s">
        <v>443</v>
      </c>
      <c r="F16" s="945"/>
      <c r="G16" s="926">
        <v>0.46</v>
      </c>
      <c r="H16" s="927">
        <f t="shared" si="0"/>
        <v>0.54</v>
      </c>
      <c r="I16" s="946">
        <v>0.81</v>
      </c>
      <c r="J16" s="928">
        <f t="shared" si="1"/>
        <v>63.422144167614476</v>
      </c>
      <c r="K16" s="928">
        <f t="shared" si="2"/>
        <v>0.58920788473994712</v>
      </c>
      <c r="L16" s="929">
        <f t="shared" si="3"/>
        <v>44.037352560058999</v>
      </c>
      <c r="M16" s="936">
        <v>22</v>
      </c>
      <c r="O16" s="911"/>
      <c r="P16" s="911"/>
      <c r="Q16" s="911"/>
      <c r="R16" s="911"/>
      <c r="S16" s="911"/>
      <c r="T16" s="911"/>
      <c r="U16" s="911"/>
      <c r="V16" s="911"/>
      <c r="W16" s="911"/>
      <c r="X16" s="911"/>
      <c r="Y16" s="911"/>
      <c r="Z16" s="911"/>
    </row>
    <row r="17" spans="3:26">
      <c r="C17" s="934" t="s">
        <v>422</v>
      </c>
      <c r="D17" s="924" t="s">
        <v>404</v>
      </c>
      <c r="E17" s="905">
        <v>10557</v>
      </c>
      <c r="F17" s="947"/>
      <c r="G17" s="948">
        <v>0.44</v>
      </c>
      <c r="H17" s="927">
        <f t="shared" si="0"/>
        <v>0.56000000000000005</v>
      </c>
      <c r="I17" s="905">
        <v>0.87</v>
      </c>
      <c r="J17" s="928">
        <f t="shared" si="1"/>
        <v>63.572354166699597</v>
      </c>
      <c r="K17" s="928">
        <f t="shared" si="2"/>
        <v>0.56796636538093548</v>
      </c>
      <c r="L17" s="929">
        <f t="shared" si="3"/>
        <v>46.80252007713468</v>
      </c>
      <c r="M17" s="936">
        <v>22</v>
      </c>
      <c r="O17" s="911"/>
      <c r="P17" s="911"/>
      <c r="Q17" s="911"/>
      <c r="R17" s="911"/>
      <c r="S17" s="911"/>
      <c r="T17" s="911"/>
      <c r="U17" s="911"/>
      <c r="V17" s="911"/>
      <c r="W17" s="911"/>
      <c r="X17" s="911"/>
      <c r="Y17" s="911"/>
      <c r="Z17" s="911"/>
    </row>
    <row r="18" spans="3:26">
      <c r="C18" s="923" t="s">
        <v>446</v>
      </c>
      <c r="D18" s="924" t="s">
        <v>1708</v>
      </c>
      <c r="E18" s="889">
        <v>10437</v>
      </c>
      <c r="F18" s="949"/>
      <c r="G18" s="926">
        <v>0.4</v>
      </c>
      <c r="H18" s="927">
        <f t="shared" si="0"/>
        <v>0.6</v>
      </c>
      <c r="I18" s="29">
        <v>0.81</v>
      </c>
      <c r="J18" s="928">
        <f t="shared" si="1"/>
        <v>66.537654513875623</v>
      </c>
      <c r="K18" s="928">
        <f t="shared" si="2"/>
        <v>0.65765278045231823</v>
      </c>
      <c r="L18" s="929">
        <f t="shared" si="3"/>
        <v>35.186636302456826</v>
      </c>
      <c r="M18" s="936">
        <v>22</v>
      </c>
      <c r="O18" s="911"/>
      <c r="P18" s="911"/>
      <c r="Q18" s="911"/>
      <c r="R18" s="911"/>
      <c r="S18" s="911"/>
      <c r="T18" s="911"/>
      <c r="U18" s="911"/>
      <c r="V18" s="911"/>
      <c r="W18" s="911"/>
      <c r="X18" s="911"/>
      <c r="Y18" s="911"/>
      <c r="Z18" s="911"/>
    </row>
    <row r="19" spans="3:26">
      <c r="C19" s="934" t="s">
        <v>429</v>
      </c>
      <c r="D19" s="937" t="s">
        <v>423</v>
      </c>
      <c r="E19" s="905" t="s">
        <v>430</v>
      </c>
      <c r="F19" s="950"/>
      <c r="G19" s="939">
        <v>0.38</v>
      </c>
      <c r="H19" s="927">
        <f t="shared" si="0"/>
        <v>0.62</v>
      </c>
      <c r="I19" s="905">
        <v>0.87</v>
      </c>
      <c r="J19" s="928">
        <f t="shared" si="1"/>
        <v>66.598199913018846</v>
      </c>
      <c r="K19" s="928">
        <f t="shared" si="2"/>
        <v>0.63169092345797062</v>
      </c>
      <c r="L19" s="929">
        <f t="shared" si="3"/>
        <v>38.533155666148879</v>
      </c>
      <c r="M19" s="936">
        <v>22</v>
      </c>
      <c r="O19" s="911"/>
      <c r="P19" s="911"/>
      <c r="Q19" s="911"/>
      <c r="R19" s="911"/>
      <c r="S19" s="911"/>
      <c r="T19" s="911"/>
      <c r="U19" s="911"/>
      <c r="V19" s="911"/>
      <c r="W19" s="911"/>
      <c r="X19" s="911"/>
      <c r="Y19" s="911"/>
      <c r="Z19" s="911"/>
    </row>
    <row r="20" spans="3:26">
      <c r="C20" s="934" t="s">
        <v>415</v>
      </c>
      <c r="D20" s="924" t="s">
        <v>404</v>
      </c>
      <c r="E20" s="905" t="s">
        <v>416</v>
      </c>
      <c r="F20" s="951"/>
      <c r="G20" s="939">
        <v>0.35</v>
      </c>
      <c r="H20" s="927">
        <f t="shared" si="0"/>
        <v>0.65</v>
      </c>
      <c r="I20" s="905">
        <v>0.87</v>
      </c>
      <c r="J20" s="928">
        <f t="shared" si="1"/>
        <v>68.10361392462795</v>
      </c>
      <c r="K20" s="928">
        <f t="shared" si="2"/>
        <v>0.6635532024964883</v>
      </c>
      <c r="L20" s="929">
        <f t="shared" si="3"/>
        <v>34.427878868427385</v>
      </c>
      <c r="M20" s="936">
        <v>22</v>
      </c>
      <c r="O20" s="911"/>
      <c r="P20" s="911"/>
      <c r="Q20" s="911"/>
      <c r="R20" s="911"/>
      <c r="S20" s="911"/>
      <c r="T20" s="911"/>
      <c r="U20" s="911"/>
      <c r="V20" s="911"/>
      <c r="W20" s="911"/>
      <c r="X20" s="911"/>
      <c r="Y20" s="911"/>
      <c r="Z20" s="911"/>
    </row>
    <row r="21" spans="3:26">
      <c r="C21" s="934" t="s">
        <v>1710</v>
      </c>
      <c r="D21" s="924" t="s">
        <v>392</v>
      </c>
      <c r="E21" s="905">
        <v>28315</v>
      </c>
      <c r="F21" s="952"/>
      <c r="G21" s="948">
        <v>0.34</v>
      </c>
      <c r="H21" s="927">
        <f t="shared" si="0"/>
        <v>0.65999999999999992</v>
      </c>
      <c r="I21" s="905">
        <v>0.87</v>
      </c>
      <c r="J21" s="928">
        <f t="shared" si="1"/>
        <v>68.604306171230803</v>
      </c>
      <c r="K21" s="928">
        <f t="shared" si="2"/>
        <v>0.67417396217599401</v>
      </c>
      <c r="L21" s="929">
        <f t="shared" si="3"/>
        <v>33.063809625893782</v>
      </c>
      <c r="M21" s="941">
        <v>24</v>
      </c>
      <c r="O21" s="911"/>
      <c r="P21" s="911"/>
      <c r="Q21" s="911"/>
      <c r="R21" s="911"/>
      <c r="S21" s="911"/>
      <c r="T21" s="911"/>
      <c r="U21" s="911"/>
      <c r="V21" s="911"/>
      <c r="W21" s="911"/>
      <c r="X21" s="911"/>
      <c r="Y21" s="911"/>
      <c r="Z21" s="911"/>
    </row>
    <row r="22" spans="3:26">
      <c r="C22" s="934" t="s">
        <v>427</v>
      </c>
      <c r="D22" s="937" t="s">
        <v>423</v>
      </c>
      <c r="E22" s="905">
        <v>28258</v>
      </c>
      <c r="F22" s="953"/>
      <c r="G22" s="939">
        <v>0.28000000000000003</v>
      </c>
      <c r="H22" s="927">
        <f t="shared" si="0"/>
        <v>0.72</v>
      </c>
      <c r="I22" s="905">
        <v>0.9</v>
      </c>
      <c r="J22" s="928">
        <f t="shared" si="1"/>
        <v>71.063733383987255</v>
      </c>
      <c r="K22" s="928">
        <f t="shared" si="2"/>
        <v>0.71240869702221521</v>
      </c>
      <c r="L22" s="929">
        <f t="shared" si="3"/>
        <v>28.171195669539241</v>
      </c>
      <c r="M22" s="936">
        <v>22</v>
      </c>
      <c r="O22" s="911"/>
      <c r="P22" s="911"/>
      <c r="Q22" s="911"/>
      <c r="R22" s="911"/>
      <c r="S22" s="911"/>
      <c r="T22" s="911"/>
      <c r="U22" s="911"/>
      <c r="V22" s="911"/>
      <c r="W22" s="911"/>
      <c r="X22" s="911"/>
      <c r="Y22" s="911"/>
      <c r="Z22" s="911"/>
    </row>
    <row r="23" spans="3:26">
      <c r="C23" s="923" t="s">
        <v>424</v>
      </c>
      <c r="D23" s="937" t="s">
        <v>423</v>
      </c>
      <c r="E23" s="889">
        <v>28260</v>
      </c>
      <c r="F23" s="954"/>
      <c r="G23" s="926">
        <v>0.28999999999999998</v>
      </c>
      <c r="H23" s="927">
        <f t="shared" si="0"/>
        <v>0.71</v>
      </c>
      <c r="I23" s="889">
        <v>0.87</v>
      </c>
      <c r="J23" s="928">
        <f t="shared" si="1"/>
        <v>71.09942422474478</v>
      </c>
      <c r="K23" s="928">
        <f t="shared" si="2"/>
        <v>0.72727776057352334</v>
      </c>
      <c r="L23" s="929">
        <f t="shared" si="3"/>
        <v>26.276136088527299</v>
      </c>
      <c r="M23" s="936">
        <v>24</v>
      </c>
      <c r="O23" s="911"/>
      <c r="P23" s="911"/>
      <c r="Q23" s="911"/>
      <c r="R23" s="911"/>
      <c r="S23" s="911"/>
      <c r="T23" s="911"/>
      <c r="U23" s="911"/>
      <c r="V23" s="911"/>
      <c r="W23" s="911"/>
      <c r="X23" s="911"/>
      <c r="Y23" s="911"/>
      <c r="Z23" s="911"/>
    </row>
    <row r="24" spans="3:26">
      <c r="C24" s="923" t="s">
        <v>439</v>
      </c>
      <c r="D24" s="924" t="s">
        <v>1708</v>
      </c>
      <c r="E24" s="889" t="s">
        <v>440</v>
      </c>
      <c r="F24" s="955"/>
      <c r="G24" s="926">
        <v>0.28999999999999998</v>
      </c>
      <c r="H24" s="927">
        <f t="shared" si="0"/>
        <v>0.71</v>
      </c>
      <c r="I24" s="29">
        <v>0.87</v>
      </c>
      <c r="J24" s="928">
        <f t="shared" si="1"/>
        <v>71.09942422474478</v>
      </c>
      <c r="K24" s="928">
        <f t="shared" si="2"/>
        <v>0.72727776057352334</v>
      </c>
      <c r="L24" s="929">
        <f t="shared" si="3"/>
        <v>26.276136088527299</v>
      </c>
      <c r="M24" s="936">
        <v>22</v>
      </c>
      <c r="O24" s="911"/>
      <c r="P24" s="911"/>
      <c r="Q24" s="911"/>
      <c r="R24" s="911"/>
      <c r="S24" s="911"/>
      <c r="T24" s="911"/>
      <c r="U24" s="911"/>
      <c r="V24" s="911"/>
      <c r="W24" s="911"/>
      <c r="X24" s="911"/>
      <c r="Y24" s="911"/>
      <c r="Z24" s="911"/>
    </row>
    <row r="25" spans="3:26">
      <c r="C25" s="923" t="s">
        <v>435</v>
      </c>
      <c r="D25" s="924" t="s">
        <v>1709</v>
      </c>
      <c r="E25" s="889">
        <v>9742</v>
      </c>
      <c r="F25" s="956"/>
      <c r="G25" s="926">
        <v>0.28999999999999998</v>
      </c>
      <c r="H25" s="927">
        <f t="shared" si="0"/>
        <v>0.71</v>
      </c>
      <c r="I25" s="889">
        <v>0.86</v>
      </c>
      <c r="J25" s="928">
        <f t="shared" si="1"/>
        <v>71.27802258515743</v>
      </c>
      <c r="K25" s="928">
        <f t="shared" si="2"/>
        <v>0.73604606216939461</v>
      </c>
      <c r="L25" s="929">
        <f t="shared" si="3"/>
        <v>25.160618655762704</v>
      </c>
      <c r="M25" s="936">
        <v>22</v>
      </c>
      <c r="O25" s="911"/>
      <c r="P25" s="911"/>
      <c r="Q25" s="911"/>
      <c r="R25" s="911"/>
      <c r="S25" s="911"/>
      <c r="T25" s="911"/>
      <c r="U25" s="911"/>
      <c r="V25" s="911"/>
      <c r="W25" s="911"/>
      <c r="X25" s="911"/>
      <c r="Y25" s="911"/>
      <c r="Z25" s="911"/>
    </row>
    <row r="26" spans="3:26">
      <c r="C26" s="923" t="s">
        <v>1711</v>
      </c>
      <c r="D26" s="924" t="s">
        <v>1708</v>
      </c>
      <c r="E26" s="889">
        <v>10321</v>
      </c>
      <c r="F26" s="957"/>
      <c r="G26" s="926">
        <v>0.35</v>
      </c>
      <c r="H26" s="927">
        <f t="shared" si="0"/>
        <v>0.65</v>
      </c>
      <c r="I26" s="29">
        <v>0.68600000000000005</v>
      </c>
      <c r="J26" s="928">
        <f t="shared" si="1"/>
        <v>71.396523939113308</v>
      </c>
      <c r="K26" s="928">
        <f t="shared" si="2"/>
        <v>0.84871979982431656</v>
      </c>
      <c r="L26" s="929">
        <f t="shared" si="3"/>
        <v>10.958197052949366</v>
      </c>
      <c r="M26" s="936">
        <v>22</v>
      </c>
      <c r="O26" s="911"/>
      <c r="P26" s="911"/>
      <c r="Q26" s="911"/>
      <c r="R26" s="911"/>
      <c r="S26" s="911"/>
      <c r="T26" s="911"/>
      <c r="U26" s="911"/>
      <c r="V26" s="911"/>
      <c r="W26" s="911"/>
      <c r="X26" s="911"/>
      <c r="Y26" s="911"/>
      <c r="Z26" s="911"/>
    </row>
    <row r="27" spans="3:26" ht="28.9">
      <c r="C27" s="923" t="s">
        <v>405</v>
      </c>
      <c r="D27" s="924" t="s">
        <v>404</v>
      </c>
      <c r="E27" s="889" t="s">
        <v>406</v>
      </c>
      <c r="F27" s="958"/>
      <c r="G27" s="926">
        <v>0.28000000000000003</v>
      </c>
      <c r="H27" s="927">
        <f t="shared" si="0"/>
        <v>0.72</v>
      </c>
      <c r="I27" s="889">
        <v>0.87</v>
      </c>
      <c r="J27" s="928">
        <f t="shared" si="1"/>
        <v>71.596779199547427</v>
      </c>
      <c r="K27" s="928">
        <f t="shared" si="2"/>
        <v>0.73789852025302927</v>
      </c>
      <c r="L27" s="929">
        <f t="shared" si="3"/>
        <v>24.925135916114307</v>
      </c>
      <c r="M27" s="930" t="s">
        <v>1705</v>
      </c>
      <c r="O27" s="911"/>
      <c r="P27" s="911"/>
      <c r="Q27" s="911"/>
      <c r="R27" s="911"/>
      <c r="S27" s="911"/>
      <c r="T27" s="911"/>
      <c r="U27" s="911"/>
      <c r="V27" s="911"/>
      <c r="W27" s="911"/>
      <c r="X27" s="911"/>
      <c r="Y27" s="911"/>
      <c r="Z27" s="911"/>
    </row>
    <row r="28" spans="3:26">
      <c r="C28" s="923" t="s">
        <v>434</v>
      </c>
      <c r="D28" s="924" t="s">
        <v>1709</v>
      </c>
      <c r="E28" s="889">
        <v>10032</v>
      </c>
      <c r="F28" s="959"/>
      <c r="G28" s="926">
        <v>0.28000000000000003</v>
      </c>
      <c r="H28" s="927">
        <f t="shared" si="0"/>
        <v>0.72</v>
      </c>
      <c r="I28" s="889">
        <v>0.84</v>
      </c>
      <c r="J28" s="928">
        <f t="shared" si="1"/>
        <v>72.143941265090348</v>
      </c>
      <c r="K28" s="928">
        <f t="shared" si="2"/>
        <v>0.76520904514318733</v>
      </c>
      <c r="L28" s="929">
        <f t="shared" si="3"/>
        <v>21.461137312144665</v>
      </c>
      <c r="M28" s="936">
        <v>22</v>
      </c>
      <c r="O28" s="911"/>
      <c r="P28" s="911"/>
      <c r="Q28" s="911"/>
      <c r="R28" s="911"/>
      <c r="S28" s="911"/>
      <c r="T28" s="911"/>
      <c r="U28" s="911"/>
      <c r="V28" s="911"/>
      <c r="W28" s="911"/>
      <c r="X28" s="911"/>
      <c r="Y28" s="911"/>
      <c r="Z28" s="911"/>
    </row>
    <row r="29" spans="3:26" ht="28.9">
      <c r="C29" s="923" t="s">
        <v>407</v>
      </c>
      <c r="D29" s="924" t="s">
        <v>404</v>
      </c>
      <c r="E29" s="889">
        <v>7602</v>
      </c>
      <c r="F29" s="960"/>
      <c r="G29" s="932">
        <v>0.26</v>
      </c>
      <c r="H29" s="927">
        <f t="shared" si="0"/>
        <v>0.74</v>
      </c>
      <c r="I29" s="889">
        <v>0.88</v>
      </c>
      <c r="J29" s="928">
        <f t="shared" si="1"/>
        <v>72.406259977471279</v>
      </c>
      <c r="K29" s="928">
        <f t="shared" si="2"/>
        <v>0.75020894624518386</v>
      </c>
      <c r="L29" s="929">
        <f t="shared" si="3"/>
        <v>23.361929433762285</v>
      </c>
      <c r="M29" s="930" t="s">
        <v>1705</v>
      </c>
      <c r="O29" s="911"/>
      <c r="P29" s="911"/>
      <c r="Q29" s="911"/>
      <c r="R29" s="911"/>
      <c r="S29" s="911"/>
      <c r="T29" s="911"/>
      <c r="U29" s="911"/>
      <c r="V29" s="911"/>
      <c r="W29" s="911"/>
      <c r="X29" s="911"/>
      <c r="Y29" s="911"/>
      <c r="Z29" s="911"/>
    </row>
    <row r="30" spans="3:26">
      <c r="C30" s="934" t="s">
        <v>1712</v>
      </c>
      <c r="D30" s="937" t="s">
        <v>1709</v>
      </c>
      <c r="E30" s="905">
        <v>9935</v>
      </c>
      <c r="F30" s="961"/>
      <c r="G30" s="939">
        <v>0.25</v>
      </c>
      <c r="H30" s="927">
        <f t="shared" si="0"/>
        <v>0.75</v>
      </c>
      <c r="I30" s="905">
        <v>0.86</v>
      </c>
      <c r="J30" s="928">
        <f t="shared" si="1"/>
        <v>73.272853961107671</v>
      </c>
      <c r="K30" s="928">
        <f t="shared" si="2"/>
        <v>0.77902308970972067</v>
      </c>
      <c r="L30" s="929">
        <f t="shared" si="3"/>
        <v>19.714483456405979</v>
      </c>
      <c r="M30" s="936">
        <v>22</v>
      </c>
      <c r="O30" s="911"/>
      <c r="P30" s="911"/>
      <c r="Q30" s="911"/>
      <c r="R30" s="911"/>
      <c r="S30" s="911"/>
      <c r="T30" s="911"/>
      <c r="U30" s="911"/>
      <c r="V30" s="911" t="s">
        <v>1713</v>
      </c>
      <c r="W30" s="911" t="s">
        <v>1714</v>
      </c>
      <c r="X30" s="911"/>
      <c r="Y30" s="911"/>
      <c r="Z30" s="911">
        <v>12</v>
      </c>
    </row>
    <row r="31" spans="3:26">
      <c r="C31" s="923" t="s">
        <v>441</v>
      </c>
      <c r="D31" s="924" t="s">
        <v>1708</v>
      </c>
      <c r="E31" s="889">
        <v>9789</v>
      </c>
      <c r="F31" s="962"/>
      <c r="G31" s="926">
        <v>0.24</v>
      </c>
      <c r="H31" s="927">
        <f t="shared" si="0"/>
        <v>0.76</v>
      </c>
      <c r="I31" s="29">
        <v>0.85</v>
      </c>
      <c r="J31" s="928">
        <f t="shared" si="1"/>
        <v>73.961348707585103</v>
      </c>
      <c r="K31" s="928">
        <f t="shared" si="2"/>
        <v>0.79937397628028684</v>
      </c>
      <c r="L31" s="929">
        <f t="shared" si="3"/>
        <v>17.148021422208846</v>
      </c>
      <c r="M31" s="936">
        <v>22</v>
      </c>
      <c r="O31" s="911"/>
      <c r="P31" s="911"/>
      <c r="Q31" s="911"/>
      <c r="R31" s="911"/>
      <c r="S31" s="911"/>
      <c r="T31" s="911"/>
      <c r="U31" s="911"/>
      <c r="V31" s="911" t="s">
        <v>1715</v>
      </c>
      <c r="W31" s="911" t="s">
        <v>1716</v>
      </c>
      <c r="X31" s="911"/>
      <c r="Y31" s="911"/>
      <c r="Z31" s="911"/>
    </row>
    <row r="32" spans="3:26">
      <c r="C32" s="923" t="s">
        <v>425</v>
      </c>
      <c r="D32" s="937" t="s">
        <v>423</v>
      </c>
      <c r="E32" s="889">
        <v>28330</v>
      </c>
      <c r="F32" s="963"/>
      <c r="G32" s="926">
        <v>0.23</v>
      </c>
      <c r="H32" s="927">
        <f t="shared" si="0"/>
        <v>0.77</v>
      </c>
      <c r="I32" s="889">
        <v>0.87</v>
      </c>
      <c r="J32" s="928">
        <f t="shared" si="1"/>
        <v>74.075210894060092</v>
      </c>
      <c r="K32" s="928">
        <f t="shared" si="2"/>
        <v>0.7910023186505587</v>
      </c>
      <c r="L32" s="929">
        <f t="shared" si="3"/>
        <v>18.202807729350983</v>
      </c>
      <c r="M32" s="936">
        <v>22</v>
      </c>
      <c r="O32" s="911"/>
      <c r="P32" s="911"/>
      <c r="Q32" s="911"/>
      <c r="R32" s="911"/>
      <c r="S32" s="911"/>
      <c r="T32" s="911"/>
      <c r="U32" s="911"/>
      <c r="V32" s="911" t="s">
        <v>1717</v>
      </c>
      <c r="W32" s="911" t="s">
        <v>1718</v>
      </c>
      <c r="X32" s="911"/>
      <c r="Y32" s="911"/>
      <c r="Z32" s="911"/>
    </row>
    <row r="33" spans="3:26">
      <c r="C33" s="923" t="s">
        <v>432</v>
      </c>
      <c r="D33" s="924" t="s">
        <v>1709</v>
      </c>
      <c r="E33" s="889">
        <v>5636</v>
      </c>
      <c r="F33" s="964"/>
      <c r="G33" s="926">
        <v>0.2</v>
      </c>
      <c r="H33" s="927">
        <f t="shared" si="0"/>
        <v>0.8</v>
      </c>
      <c r="I33" s="889">
        <v>0.86</v>
      </c>
      <c r="J33" s="928">
        <f t="shared" si="1"/>
        <v>75.753783058301622</v>
      </c>
      <c r="K33" s="928">
        <f t="shared" si="2"/>
        <v>0.83274437413512836</v>
      </c>
      <c r="L33" s="929">
        <f t="shared" si="3"/>
        <v>12.956969841071146</v>
      </c>
      <c r="M33" s="936">
        <v>22</v>
      </c>
      <c r="O33" s="911"/>
      <c r="P33" s="911"/>
      <c r="Q33" s="911"/>
      <c r="R33" s="911"/>
      <c r="S33" s="911"/>
      <c r="T33" s="911"/>
      <c r="U33" s="911"/>
      <c r="V33" s="911"/>
      <c r="W33" s="911"/>
      <c r="X33" s="911"/>
      <c r="Y33" s="911"/>
      <c r="Z33" s="911"/>
    </row>
    <row r="34" spans="3:26">
      <c r="C34" s="923" t="s">
        <v>426</v>
      </c>
      <c r="D34" s="937" t="s">
        <v>423</v>
      </c>
      <c r="E34" s="889">
        <v>28229</v>
      </c>
      <c r="F34" s="965"/>
      <c r="G34" s="926">
        <v>0.16</v>
      </c>
      <c r="H34" s="927">
        <f t="shared" si="0"/>
        <v>0.84</v>
      </c>
      <c r="I34" s="889">
        <v>0.87</v>
      </c>
      <c r="J34" s="928">
        <f t="shared" si="1"/>
        <v>77.521654363776008</v>
      </c>
      <c r="K34" s="928">
        <f t="shared" si="2"/>
        <v>0.86534763640709977</v>
      </c>
      <c r="L34" s="929">
        <f t="shared" si="3"/>
        <v>8.8830317587267942</v>
      </c>
      <c r="M34" s="936">
        <v>22</v>
      </c>
      <c r="O34" s="911"/>
      <c r="P34" s="911"/>
      <c r="Q34" s="911"/>
      <c r="R34" s="911"/>
      <c r="S34" s="911"/>
      <c r="T34" s="911"/>
      <c r="U34" s="911"/>
      <c r="V34" s="911"/>
      <c r="W34" s="911"/>
      <c r="X34" s="911"/>
      <c r="Y34" s="911"/>
      <c r="Z34" s="911"/>
    </row>
    <row r="35" spans="3:26">
      <c r="C35" s="923" t="s">
        <v>447</v>
      </c>
      <c r="D35" s="924" t="s">
        <v>1708</v>
      </c>
      <c r="E35" s="905">
        <v>28262</v>
      </c>
      <c r="F35" s="966"/>
      <c r="G35" s="926">
        <v>7.0000000000000007E-2</v>
      </c>
      <c r="H35" s="927">
        <f t="shared" si="0"/>
        <v>0.92999999999999994</v>
      </c>
      <c r="I35" s="29">
        <v>0.84</v>
      </c>
      <c r="J35" s="928">
        <f t="shared" si="1"/>
        <v>82.596339388573085</v>
      </c>
      <c r="K35" s="928">
        <f t="shared" si="2"/>
        <v>0.99621056817243991</v>
      </c>
      <c r="L35" s="929">
        <f t="shared" si="3"/>
        <v>-1</v>
      </c>
      <c r="M35" s="936">
        <v>22</v>
      </c>
      <c r="O35" s="911"/>
      <c r="P35" s="911"/>
      <c r="Q35" s="911"/>
      <c r="R35" s="911"/>
      <c r="S35" s="911"/>
      <c r="T35" s="911"/>
      <c r="U35" s="911"/>
      <c r="V35" s="911"/>
      <c r="W35" s="911"/>
      <c r="X35" s="911"/>
      <c r="Y35" s="911"/>
      <c r="Z35" s="911"/>
    </row>
    <row r="36" spans="3:26" ht="15" thickBot="1">
      <c r="C36" s="967" t="s">
        <v>51</v>
      </c>
      <c r="D36" s="968"/>
      <c r="E36" s="969" t="s">
        <v>389</v>
      </c>
      <c r="F36" s="970" t="s">
        <v>390</v>
      </c>
      <c r="G36" s="971">
        <v>0.05</v>
      </c>
      <c r="H36" s="972">
        <f t="shared" si="0"/>
        <v>0.95</v>
      </c>
      <c r="I36" s="969">
        <v>0.81</v>
      </c>
      <c r="J36" s="973">
        <f t="shared" si="1"/>
        <v>84.293604335226291</v>
      </c>
      <c r="K36" s="974">
        <f t="shared" si="2"/>
        <v>1.0569146721078166</v>
      </c>
      <c r="L36" s="975">
        <f t="shared" si="3"/>
        <v>-1</v>
      </c>
      <c r="M36" s="976"/>
      <c r="O36" s="911"/>
      <c r="P36" s="911"/>
      <c r="Q36" s="911"/>
      <c r="R36" s="911"/>
      <c r="S36" s="911"/>
      <c r="T36" s="911"/>
      <c r="U36" s="911"/>
      <c r="V36" s="911"/>
      <c r="W36" s="911"/>
      <c r="X36" s="911"/>
      <c r="Y36" s="911"/>
      <c r="Z36" s="911"/>
    </row>
    <row r="37" spans="3:26">
      <c r="O37" s="911"/>
      <c r="P37" s="911"/>
      <c r="Q37" s="911"/>
      <c r="R37" s="911"/>
      <c r="S37" s="911"/>
      <c r="T37" s="911"/>
      <c r="U37" s="911"/>
      <c r="V37" s="911"/>
      <c r="W37" s="911"/>
      <c r="X37" s="911"/>
      <c r="Y37" s="911"/>
      <c r="Z37" s="911"/>
    </row>
    <row r="38" spans="3:26">
      <c r="O38" s="911"/>
      <c r="P38" s="911"/>
      <c r="Q38" s="911"/>
      <c r="R38" s="911"/>
      <c r="S38" s="911"/>
      <c r="T38" s="911"/>
      <c r="U38" s="911"/>
      <c r="V38" s="911"/>
      <c r="W38" s="911"/>
      <c r="X38" s="911"/>
      <c r="Y38" s="911"/>
      <c r="Z38" s="911"/>
    </row>
    <row r="39" spans="3:26">
      <c r="O39" s="911"/>
      <c r="P39" s="911"/>
      <c r="Q39" s="911"/>
      <c r="R39" s="911"/>
      <c r="S39" s="911"/>
      <c r="T39" s="911"/>
      <c r="U39" s="911"/>
      <c r="V39" s="911"/>
      <c r="W39" s="911"/>
      <c r="X39" s="911"/>
      <c r="Y39" s="911"/>
      <c r="Z39" s="911"/>
    </row>
    <row r="40" spans="3:26">
      <c r="O40" s="911"/>
      <c r="P40" s="911"/>
      <c r="Q40" s="911"/>
      <c r="R40" s="911"/>
      <c r="S40" s="911"/>
      <c r="T40" s="911"/>
      <c r="U40" s="911"/>
      <c r="V40" s="911"/>
      <c r="W40" s="911"/>
      <c r="X40" s="911"/>
      <c r="Y40" s="911"/>
      <c r="Z40" s="911"/>
    </row>
    <row r="41" spans="3:26">
      <c r="O41" s="911"/>
      <c r="P41" s="911"/>
      <c r="Q41" s="911"/>
      <c r="R41" s="911"/>
      <c r="S41" s="911"/>
      <c r="T41" s="911"/>
      <c r="U41" s="911"/>
      <c r="V41" s="911"/>
      <c r="W41" s="911"/>
      <c r="X41" s="911"/>
      <c r="Y41" s="911"/>
      <c r="Z41" s="911"/>
    </row>
    <row r="42" spans="3:26">
      <c r="O42" s="911"/>
      <c r="P42" s="911"/>
      <c r="Q42" s="911"/>
      <c r="R42" s="911"/>
      <c r="S42" s="911"/>
      <c r="T42" s="911"/>
      <c r="U42" s="911"/>
      <c r="V42" s="911"/>
      <c r="W42" s="911"/>
      <c r="X42" s="911"/>
      <c r="Y42" s="911"/>
      <c r="Z42" s="911"/>
    </row>
    <row r="43" spans="3:26">
      <c r="O43" s="911"/>
      <c r="P43" s="911"/>
      <c r="Q43" s="911"/>
      <c r="R43" s="911"/>
      <c r="S43" s="911"/>
      <c r="T43" s="911"/>
      <c r="U43" s="911"/>
      <c r="V43" s="911"/>
      <c r="W43" s="911"/>
      <c r="X43" s="911"/>
      <c r="Y43" s="911"/>
      <c r="Z43" s="911"/>
    </row>
    <row r="44" spans="3:26">
      <c r="O44" s="911"/>
      <c r="P44" s="911"/>
      <c r="Q44" s="911"/>
      <c r="R44" s="911"/>
      <c r="S44" s="911"/>
      <c r="T44" s="911"/>
      <c r="U44" s="911"/>
      <c r="V44" s="911"/>
      <c r="W44" s="911"/>
      <c r="X44" s="911"/>
      <c r="Y44" s="911"/>
      <c r="Z44" s="911"/>
    </row>
    <row r="45" spans="3:26">
      <c r="O45" s="911"/>
      <c r="P45" s="911"/>
      <c r="Q45" s="911"/>
      <c r="R45" s="911"/>
      <c r="S45" s="911"/>
      <c r="T45" s="911"/>
      <c r="U45" s="911"/>
      <c r="V45" s="911"/>
      <c r="W45" s="911"/>
      <c r="X45" s="911"/>
      <c r="Y45" s="911"/>
      <c r="Z45" s="911"/>
    </row>
    <row r="46" spans="3:26">
      <c r="O46" s="911"/>
      <c r="P46" s="911"/>
      <c r="Q46" s="911"/>
      <c r="R46" s="911"/>
      <c r="S46" s="911"/>
      <c r="T46" s="911"/>
      <c r="U46" s="911"/>
      <c r="V46" s="911"/>
      <c r="W46" s="911"/>
      <c r="X46" s="911"/>
      <c r="Y46" s="911"/>
      <c r="Z46" s="911"/>
    </row>
    <row r="47" spans="3:26">
      <c r="O47" s="911"/>
      <c r="P47" s="911"/>
      <c r="Q47" s="911"/>
      <c r="R47" s="911"/>
      <c r="S47" s="911"/>
      <c r="T47" s="911"/>
      <c r="U47" s="911"/>
      <c r="V47" s="911"/>
      <c r="W47" s="911"/>
      <c r="X47" s="911"/>
      <c r="Y47" s="911"/>
      <c r="Z47" s="911"/>
    </row>
    <row r="48" spans="3:26">
      <c r="O48" s="911"/>
      <c r="P48" s="911"/>
      <c r="Q48" s="911"/>
      <c r="R48" s="911"/>
      <c r="S48" s="911"/>
      <c r="T48" s="911"/>
      <c r="U48" s="911"/>
      <c r="V48" s="911"/>
      <c r="W48" s="911"/>
      <c r="X48" s="911"/>
      <c r="Y48" s="911"/>
      <c r="Z48" s="911"/>
    </row>
    <row r="49" spans="3:26">
      <c r="O49" s="911"/>
      <c r="P49" s="911"/>
      <c r="Q49" s="911"/>
      <c r="R49" s="911"/>
      <c r="S49" s="911"/>
      <c r="T49" s="911"/>
      <c r="U49" s="911"/>
      <c r="V49" s="911"/>
      <c r="W49" s="911"/>
      <c r="X49" s="911"/>
      <c r="Y49" s="911"/>
      <c r="Z49" s="911"/>
    </row>
    <row r="50" spans="3:26">
      <c r="O50" s="911"/>
      <c r="P50" s="911"/>
      <c r="Q50" s="911"/>
      <c r="R50" s="911"/>
      <c r="S50" s="911"/>
      <c r="T50" s="911"/>
      <c r="U50" s="911"/>
      <c r="V50" s="911"/>
      <c r="W50" s="911"/>
      <c r="X50" s="911"/>
      <c r="Y50" s="911"/>
      <c r="Z50" s="911"/>
    </row>
    <row r="51" spans="3:26">
      <c r="O51" s="911"/>
      <c r="P51" s="911"/>
      <c r="Q51" s="911"/>
      <c r="R51" s="911"/>
      <c r="S51" s="911"/>
      <c r="T51" s="911"/>
      <c r="U51" s="911"/>
      <c r="V51" s="911"/>
      <c r="W51" s="911"/>
      <c r="X51" s="911"/>
      <c r="Y51" s="911"/>
      <c r="Z51" s="911"/>
    </row>
    <row r="52" spans="3:26">
      <c r="O52" s="911"/>
      <c r="P52" s="911"/>
      <c r="Q52" s="911"/>
      <c r="R52" s="911"/>
      <c r="S52" s="911"/>
      <c r="T52" s="911"/>
      <c r="U52" s="911"/>
      <c r="V52" s="911"/>
      <c r="W52" s="911"/>
      <c r="X52" s="911"/>
      <c r="Y52" s="911"/>
      <c r="Z52" s="911"/>
    </row>
    <row r="53" spans="3:26">
      <c r="O53" s="911"/>
      <c r="P53" s="911"/>
      <c r="Q53" s="911"/>
      <c r="R53" s="911"/>
      <c r="S53" s="911"/>
      <c r="T53" s="911"/>
      <c r="U53" s="911"/>
      <c r="V53" s="911"/>
      <c r="W53" s="911"/>
      <c r="X53" s="911"/>
      <c r="Y53" s="911"/>
      <c r="Z53" s="911"/>
    </row>
    <row r="54" spans="3:26">
      <c r="O54" s="911"/>
      <c r="P54" s="911"/>
      <c r="Q54" s="911"/>
      <c r="R54" s="911"/>
      <c r="S54" s="911"/>
      <c r="T54" s="911"/>
      <c r="U54" s="911"/>
      <c r="V54" s="911"/>
      <c r="W54" s="911"/>
      <c r="X54" s="911"/>
      <c r="Y54" s="911"/>
      <c r="Z54" s="911"/>
    </row>
    <row r="55" spans="3:26">
      <c r="O55" s="911"/>
      <c r="P55" s="911"/>
      <c r="Q55" s="911"/>
      <c r="R55" s="911"/>
      <c r="S55" s="911"/>
      <c r="T55" s="911"/>
      <c r="U55" s="911"/>
      <c r="V55" s="911"/>
      <c r="W55" s="911"/>
      <c r="X55" s="911"/>
      <c r="Y55" s="911"/>
      <c r="Z55" s="911"/>
    </row>
    <row r="56" spans="3:26">
      <c r="O56" s="911"/>
      <c r="P56" s="911"/>
      <c r="Q56" s="911"/>
      <c r="R56" s="911"/>
      <c r="S56" s="911"/>
      <c r="T56" s="911"/>
      <c r="U56" s="911"/>
      <c r="V56" s="911"/>
      <c r="W56" s="911"/>
      <c r="X56" s="911"/>
      <c r="Y56" s="911"/>
      <c r="Z56" s="911"/>
    </row>
    <row r="57" spans="3:26">
      <c r="O57" s="911"/>
      <c r="P57" s="911"/>
      <c r="Q57" s="911"/>
      <c r="R57" s="911"/>
      <c r="S57" s="911"/>
      <c r="T57" s="911"/>
      <c r="U57" s="911"/>
      <c r="V57" s="911"/>
      <c r="W57" s="911"/>
      <c r="X57" s="911"/>
      <c r="Y57" s="911"/>
      <c r="Z57" s="911"/>
    </row>
    <row r="62" spans="3:26" ht="21">
      <c r="C62" s="1085" t="s">
        <v>1719</v>
      </c>
      <c r="D62" s="1085"/>
      <c r="E62" s="1085"/>
      <c r="F62" s="1085"/>
      <c r="G62" s="1085"/>
      <c r="H62" s="1085"/>
      <c r="I62" s="1085"/>
    </row>
    <row r="64" spans="3:26">
      <c r="H64" s="1142" t="s">
        <v>1720</v>
      </c>
      <c r="I64" s="1143"/>
      <c r="J64" s="1143"/>
      <c r="K64" s="1143"/>
      <c r="L64" s="1143"/>
      <c r="M64" s="1143"/>
      <c r="N64" s="1143"/>
      <c r="O64" s="1144"/>
    </row>
    <row r="65" spans="3:19">
      <c r="H65" s="1142" t="s">
        <v>1721</v>
      </c>
      <c r="I65" s="1143"/>
      <c r="J65" s="1143"/>
      <c r="K65" s="1143"/>
      <c r="L65" s="1143"/>
      <c r="M65" s="1143"/>
      <c r="N65" s="1143"/>
      <c r="O65" s="1144"/>
    </row>
    <row r="66" spans="3:19" ht="14.45" customHeight="1">
      <c r="C66" s="1139" t="s">
        <v>1693</v>
      </c>
      <c r="D66" s="1133" t="s">
        <v>1694</v>
      </c>
      <c r="E66" s="1130" t="s">
        <v>1722</v>
      </c>
      <c r="F66" s="1136" t="s">
        <v>387</v>
      </c>
      <c r="G66" s="1136" t="s">
        <v>1702</v>
      </c>
      <c r="H66" s="1114" t="s">
        <v>1723</v>
      </c>
      <c r="I66" s="1115"/>
      <c r="J66" s="1114" t="s">
        <v>1724</v>
      </c>
      <c r="K66" s="1115"/>
      <c r="L66" s="1114" t="s">
        <v>1725</v>
      </c>
      <c r="M66" s="1115"/>
      <c r="N66" s="1114" t="s">
        <v>1726</v>
      </c>
      <c r="O66" s="1115"/>
    </row>
    <row r="67" spans="3:19" ht="48.6" customHeight="1">
      <c r="C67" s="1140"/>
      <c r="D67" s="1134"/>
      <c r="E67" s="1131"/>
      <c r="F67" s="1137"/>
      <c r="G67" s="1137"/>
      <c r="H67" s="1116"/>
      <c r="I67" s="1117"/>
      <c r="J67" s="1116"/>
      <c r="K67" s="1117"/>
      <c r="L67" s="1116"/>
      <c r="M67" s="1117"/>
      <c r="N67" s="1116"/>
      <c r="O67" s="1117"/>
    </row>
    <row r="68" spans="3:19">
      <c r="C68" s="1141"/>
      <c r="D68" s="1135"/>
      <c r="E68" s="1132"/>
      <c r="F68" s="1138"/>
      <c r="G68" s="1138"/>
      <c r="H68" s="977" t="s">
        <v>1727</v>
      </c>
      <c r="I68" s="977" t="s">
        <v>1728</v>
      </c>
      <c r="J68" s="977" t="s">
        <v>1727</v>
      </c>
      <c r="K68" s="977" t="s">
        <v>1728</v>
      </c>
      <c r="L68" s="977" t="s">
        <v>1727</v>
      </c>
      <c r="M68" s="977" t="s">
        <v>1728</v>
      </c>
      <c r="N68" s="977" t="s">
        <v>1727</v>
      </c>
      <c r="O68" s="977" t="s">
        <v>1728</v>
      </c>
    </row>
    <row r="69" spans="3:19" ht="15.6">
      <c r="C69" s="1124" t="s">
        <v>408</v>
      </c>
      <c r="D69" s="979" t="s">
        <v>404</v>
      </c>
      <c r="E69" s="1118">
        <f>VLOOKUP(C69,$C$7:$J$36,8,FALSE)</f>
        <v>53.341586567624176</v>
      </c>
      <c r="F69" s="981">
        <v>76.588316007255287</v>
      </c>
      <c r="G69" s="982">
        <v>22</v>
      </c>
      <c r="H69" s="983">
        <f>VLOOKUP($C69,$C$210:$Q$237,9,FALSE)</f>
        <v>52.25</v>
      </c>
      <c r="I69" s="983">
        <f>VLOOKUP($C69,$C$210:$Q$237,6,FALSE)</f>
        <v>52.25</v>
      </c>
      <c r="J69" s="983">
        <f>VLOOKUP($C69,$C$210:$Q$237,9,FALSE)</f>
        <v>52.25</v>
      </c>
      <c r="K69" s="983">
        <f>VLOOKUP($C69,$C$210:$Q$237,6,FALSE)</f>
        <v>52.25</v>
      </c>
      <c r="L69" s="983">
        <f>VLOOKUP($C69,$C$210:$Q$237,15,FALSE)</f>
        <v>52.25</v>
      </c>
      <c r="M69" s="983">
        <f>VLOOKUP($C69,$C$210:$Q$237,12,FALSE)</f>
        <v>52.25</v>
      </c>
      <c r="N69" s="984" t="s">
        <v>1729</v>
      </c>
      <c r="O69" s="984">
        <v>24</v>
      </c>
    </row>
    <row r="70" spans="3:19" ht="15.6">
      <c r="C70" s="1125"/>
      <c r="D70" s="1082"/>
      <c r="E70" s="1119"/>
      <c r="F70" s="981">
        <v>76.588316007255287</v>
      </c>
      <c r="G70" s="994">
        <v>24</v>
      </c>
      <c r="H70" s="995">
        <f>VLOOKUP($C69,$C$361:$Q$388,9,FALSE)</f>
        <v>52.25</v>
      </c>
      <c r="I70" s="995">
        <f>VLOOKUP($C69,$C$361:$Q$388,6,FALSE)</f>
        <v>52.25</v>
      </c>
      <c r="J70" s="995">
        <f>VLOOKUP($C69,$C$361:$Q$388,9,FALSE)</f>
        <v>52.25</v>
      </c>
      <c r="K70" s="995">
        <f>VLOOKUP($C69,$C$361:$Q$388,6,FALSE)</f>
        <v>52.25</v>
      </c>
      <c r="L70" s="995">
        <f>VLOOKUP($C69,$C$361:$Q$388,15,FALSE)</f>
        <v>52.25</v>
      </c>
      <c r="M70" s="995">
        <f>VLOOKUP($C69,$C$361:$Q$388,6,FALSE)</f>
        <v>52.25</v>
      </c>
      <c r="N70" s="996" t="s">
        <v>1730</v>
      </c>
      <c r="O70" s="996" t="s">
        <v>1730</v>
      </c>
    </row>
    <row r="71" spans="3:19" ht="15.6">
      <c r="C71" s="1126"/>
      <c r="D71" s="986"/>
      <c r="E71" s="1120"/>
      <c r="F71" s="981">
        <v>76.588316007255287</v>
      </c>
      <c r="G71" s="987">
        <v>26</v>
      </c>
      <c r="H71" s="988">
        <f>VLOOKUP($C69,$C$280:$Q$307,9,FALSE)</f>
        <v>52.25</v>
      </c>
      <c r="I71" s="988">
        <f>VLOOKUP($C69,$C$280:$Q$307,6,FALSE)</f>
        <v>52.25</v>
      </c>
      <c r="J71" s="988">
        <f>VLOOKUP($C69,$C$280:$Q$307,9,FALSE)</f>
        <v>52.25</v>
      </c>
      <c r="K71" s="988">
        <f>VLOOKUP($C69,$C$280:$Q$307,6,FALSE)</f>
        <v>52.25</v>
      </c>
      <c r="L71" s="988">
        <f>VLOOKUP($C69,$C$280:$Q$307,15,FALSE)</f>
        <v>52.168231992147362</v>
      </c>
      <c r="M71" s="988">
        <f>VLOOKUP($C69,$C$280:$Q$307,12,FALSE)</f>
        <v>52.25</v>
      </c>
      <c r="N71" s="989" t="s">
        <v>1730</v>
      </c>
      <c r="O71" s="989" t="s">
        <v>1730</v>
      </c>
    </row>
    <row r="72" spans="3:19" ht="15.6">
      <c r="C72" s="978" t="s">
        <v>398</v>
      </c>
      <c r="D72" s="990" t="s">
        <v>392</v>
      </c>
      <c r="E72" s="1118">
        <f>VLOOKUP(C72,$C$7:$J$36,8,FALSE)</f>
        <v>53.440740989031156</v>
      </c>
      <c r="F72" s="981">
        <v>76.330015474921325</v>
      </c>
      <c r="G72" s="984">
        <v>22</v>
      </c>
      <c r="H72" s="983">
        <f>VLOOKUP($C72,$C$210:$Q$237,9,FALSE)</f>
        <v>52.25</v>
      </c>
      <c r="I72" s="983">
        <f>VLOOKUP($C72,$C$210:$Q$237,6,FALSE)</f>
        <v>52.25</v>
      </c>
      <c r="J72" s="983">
        <f>VLOOKUP($C72,$C$210:$Q$237,9,FALSE)</f>
        <v>52.25</v>
      </c>
      <c r="K72" s="983">
        <f>VLOOKUP($C72,$C$210:$Q$237,6,FALSE)</f>
        <v>52.25</v>
      </c>
      <c r="L72" s="983">
        <f>VLOOKUP($C72,$C$210:$Q$237,15,FALSE)</f>
        <v>52.25</v>
      </c>
      <c r="M72" s="983">
        <f>VLOOKUP($C72,$C$210:$Q$237,12,FALSE)</f>
        <v>52.25</v>
      </c>
      <c r="N72" s="991" t="s">
        <v>1729</v>
      </c>
      <c r="O72" s="991" t="s">
        <v>1729</v>
      </c>
    </row>
    <row r="73" spans="3:19" ht="15.6">
      <c r="C73" s="992"/>
      <c r="D73" s="993"/>
      <c r="E73" s="1119"/>
      <c r="F73" s="981">
        <v>76.330015474921325</v>
      </c>
      <c r="G73" s="994">
        <v>24</v>
      </c>
      <c r="H73" s="995">
        <f>VLOOKUP($C72,$C$361:$Q$388,9,FALSE)</f>
        <v>52.25</v>
      </c>
      <c r="I73" s="995">
        <f>VLOOKUP($C72,$C$361:$Q$388,6,FALSE)</f>
        <v>52.25</v>
      </c>
      <c r="J73" s="995">
        <f>VLOOKUP($C72,$C$361:$Q$388,9,FALSE)</f>
        <v>52.25</v>
      </c>
      <c r="K73" s="995">
        <f>VLOOKUP($C72,$C$361:$Q$388,6,FALSE)</f>
        <v>52.25</v>
      </c>
      <c r="L73" s="995">
        <f>VLOOKUP($C72,$C$361:$Q$388,15,FALSE)</f>
        <v>52.25</v>
      </c>
      <c r="M73" s="995">
        <f>VLOOKUP($C72,$C$361:$Q$388,6,FALSE)</f>
        <v>52.25</v>
      </c>
      <c r="N73" s="996" t="s">
        <v>1730</v>
      </c>
      <c r="O73" s="996" t="s">
        <v>1730</v>
      </c>
      <c r="Q73" s="132"/>
      <c r="R73" s="132"/>
      <c r="S73" s="132"/>
    </row>
    <row r="74" spans="3:19" ht="15.6">
      <c r="C74" s="997"/>
      <c r="D74" s="998"/>
      <c r="E74" s="1120"/>
      <c r="F74" s="981">
        <v>76.330015474921325</v>
      </c>
      <c r="G74" s="999">
        <v>26</v>
      </c>
      <c r="H74" s="988">
        <f>VLOOKUP($C72,$C$280:$Q$307,9,FALSE)</f>
        <v>52.25</v>
      </c>
      <c r="I74" s="988">
        <f>VLOOKUP($C72,$C$280:$Q$307,6,FALSE)</f>
        <v>52.25</v>
      </c>
      <c r="J74" s="988">
        <f>VLOOKUP($C72,$C$280:$Q$307,9,FALSE)</f>
        <v>52.25</v>
      </c>
      <c r="K74" s="988">
        <f>VLOOKUP($C72,$C$280:$Q$307,6,FALSE)</f>
        <v>52.25</v>
      </c>
      <c r="L74" s="988">
        <f>VLOOKUP($C72,$C$280:$Q$307,15,FALSE)</f>
        <v>52.106554651238433</v>
      </c>
      <c r="M74" s="988">
        <f>VLOOKUP($C72,$C$280:$Q$307,12,FALSE)</f>
        <v>52.25</v>
      </c>
      <c r="N74" s="989" t="s">
        <v>1730</v>
      </c>
      <c r="O74" s="989" t="s">
        <v>1730</v>
      </c>
      <c r="Q74" s="1113" t="s">
        <v>1731</v>
      </c>
      <c r="R74" s="1113"/>
    </row>
    <row r="75" spans="3:19" ht="15.6">
      <c r="C75" s="1145" t="s">
        <v>1707</v>
      </c>
      <c r="D75" s="1148" t="s">
        <v>1708</v>
      </c>
      <c r="E75" s="1118">
        <f>VLOOKUP(C75,$C$7:$J$36,8,FALSE)</f>
        <v>56.54731983250025</v>
      </c>
      <c r="F75" s="981"/>
      <c r="G75" s="982">
        <v>22</v>
      </c>
      <c r="H75" s="983">
        <f>VLOOKUP($C75,$C$210:$Q$237,9,FALSE)</f>
        <v>52.25</v>
      </c>
      <c r="I75" s="983">
        <f>VLOOKUP($C75,$C$210:$Q$237,6,FALSE)</f>
        <v>52.25</v>
      </c>
      <c r="J75" s="983">
        <f>VLOOKUP($C75,$C$210:$Q$237,9,FALSE)</f>
        <v>52.25</v>
      </c>
      <c r="K75" s="983">
        <f>VLOOKUP($C75,$C$210:$Q$237,6,FALSE)</f>
        <v>52.25</v>
      </c>
      <c r="L75" s="983">
        <f>VLOOKUP($C75,$C$210:$Q$237,15,FALSE)</f>
        <v>52.25</v>
      </c>
      <c r="M75" s="983">
        <f>VLOOKUP($C75,$C$210:$Q$237,12,FALSE)</f>
        <v>52.25</v>
      </c>
      <c r="N75" s="984" t="s">
        <v>1729</v>
      </c>
      <c r="O75" s="984">
        <v>24</v>
      </c>
      <c r="Q75" s="28"/>
      <c r="R75" s="28"/>
    </row>
    <row r="76" spans="3:19" ht="15.6">
      <c r="C76" s="1146"/>
      <c r="D76" s="1149"/>
      <c r="E76" s="1119"/>
      <c r="F76" s="981"/>
      <c r="G76" s="994">
        <v>24</v>
      </c>
      <c r="H76" s="995">
        <f>VLOOKUP($C75,$C$361:$Q$388,9,FALSE)</f>
        <v>52.25</v>
      </c>
      <c r="I76" s="995">
        <f>VLOOKUP($C75,$C$361:$Q$388,6,FALSE)</f>
        <v>52.25</v>
      </c>
      <c r="J76" s="995">
        <f>VLOOKUP($C75,$C$361:$Q$388,9,FALSE)</f>
        <v>52.25</v>
      </c>
      <c r="K76" s="995">
        <f>VLOOKUP($C75,$C$361:$Q$388,6,FALSE)</f>
        <v>52.25</v>
      </c>
      <c r="L76" s="995">
        <f>VLOOKUP($C75,$C$361:$Q$388,15,FALSE)</f>
        <v>52.25</v>
      </c>
      <c r="M76" s="995">
        <f>VLOOKUP($C75,$C$361:$Q$388,6,FALSE)</f>
        <v>52.25</v>
      </c>
      <c r="N76" s="996" t="s">
        <v>1730</v>
      </c>
      <c r="O76" s="996" t="s">
        <v>1730</v>
      </c>
      <c r="Q76" s="28"/>
      <c r="R76" s="28"/>
    </row>
    <row r="77" spans="3:19" ht="15.6">
      <c r="C77" s="1147"/>
      <c r="D77" s="1150"/>
      <c r="E77" s="1120"/>
      <c r="F77" s="1001">
        <v>65.71173668121132</v>
      </c>
      <c r="G77" s="1002">
        <v>26</v>
      </c>
      <c r="H77" s="988">
        <f>VLOOKUP($C75,$C$280:$Q$307,9,FALSE)</f>
        <v>52.25</v>
      </c>
      <c r="I77" s="988">
        <f>VLOOKUP($C75,$C$280:$Q$307,6,FALSE)</f>
        <v>52.25</v>
      </c>
      <c r="J77" s="988">
        <f>VLOOKUP($C75,$C$280:$Q$307,9,FALSE)</f>
        <v>52.25</v>
      </c>
      <c r="K77" s="988">
        <f>VLOOKUP($C75,$C$280:$Q$307,6,FALSE)</f>
        <v>52.25</v>
      </c>
      <c r="L77" s="988">
        <f>VLOOKUP($C75,$C$280:$Q$307,15,FALSE)</f>
        <v>49.809665116812134</v>
      </c>
      <c r="M77" s="988">
        <f>VLOOKUP($C75,$C$280:$Q$307,12,FALSE)</f>
        <v>50.098406406870524</v>
      </c>
      <c r="N77" s="989" t="s">
        <v>1730</v>
      </c>
      <c r="O77" s="989" t="s">
        <v>1730</v>
      </c>
      <c r="Q77" s="29">
        <v>50</v>
      </c>
      <c r="R77" s="29">
        <v>52.25</v>
      </c>
    </row>
    <row r="78" spans="3:19" ht="15.6">
      <c r="C78" s="1151" t="s">
        <v>57</v>
      </c>
      <c r="D78" s="1121" t="s">
        <v>1709</v>
      </c>
      <c r="E78" s="1118">
        <f t="shared" ref="E78:E126" si="4">VLOOKUP(C78,$C$7:$J$36,8,FALSE)</f>
        <v>56.71974203572637</v>
      </c>
      <c r="F78" s="1001">
        <v>67.561892847262285</v>
      </c>
      <c r="G78" s="982">
        <v>22</v>
      </c>
      <c r="H78" s="983">
        <f>VLOOKUP($C78,$C$210:$Q$237,9,FALSE)</f>
        <v>52.25</v>
      </c>
      <c r="I78" s="983">
        <f>VLOOKUP($C78,$C$210:$Q$237,6,FALSE)</f>
        <v>52.25</v>
      </c>
      <c r="J78" s="983">
        <f>VLOOKUP($C78,$C$210:$Q$237,9,FALSE)</f>
        <v>52.25</v>
      </c>
      <c r="K78" s="983">
        <f>VLOOKUP($C78,$C$210:$Q$237,6,FALSE)</f>
        <v>52.25</v>
      </c>
      <c r="L78" s="983">
        <f>VLOOKUP($C78,$C$210:$Q$237,15,FALSE)</f>
        <v>52.25</v>
      </c>
      <c r="M78" s="983">
        <f>VLOOKUP($C78,$C$210:$Q$237,12,FALSE)</f>
        <v>52.25</v>
      </c>
      <c r="N78" s="982" t="s">
        <v>1729</v>
      </c>
      <c r="O78" s="982" t="s">
        <v>1729</v>
      </c>
      <c r="Q78" s="29">
        <v>85</v>
      </c>
      <c r="R78" s="29">
        <v>52.25</v>
      </c>
    </row>
    <row r="79" spans="3:19" ht="15.6">
      <c r="C79" s="1152"/>
      <c r="D79" s="1122"/>
      <c r="E79" s="1119"/>
      <c r="F79" s="1001"/>
      <c r="G79" s="994">
        <v>24</v>
      </c>
      <c r="H79" s="995">
        <f>VLOOKUP($C78,$C$361:$Q$388,9,FALSE)</f>
        <v>52.25</v>
      </c>
      <c r="I79" s="995">
        <f>VLOOKUP($C78,$C$361:$Q$388,6,FALSE)</f>
        <v>52.25</v>
      </c>
      <c r="J79" s="995">
        <f>VLOOKUP($C78,$C$361:$Q$388,9,FALSE)</f>
        <v>52.25</v>
      </c>
      <c r="K79" s="995">
        <f>VLOOKUP($C78,$C$361:$Q$388,6,FALSE)</f>
        <v>52.25</v>
      </c>
      <c r="L79" s="995">
        <f>VLOOKUP($C78,$C$361:$Q$388,15,FALSE)</f>
        <v>52.25</v>
      </c>
      <c r="M79" s="995">
        <f>VLOOKUP($C78,$C$361:$Q$388,6,FALSE)</f>
        <v>52.25</v>
      </c>
      <c r="N79" s="996" t="s">
        <v>1730</v>
      </c>
      <c r="O79" s="996" t="s">
        <v>1730</v>
      </c>
      <c r="Q79" s="132"/>
      <c r="R79" s="132"/>
    </row>
    <row r="80" spans="3:19" ht="15.6">
      <c r="C80" s="1153"/>
      <c r="D80" s="1123"/>
      <c r="E80" s="1120"/>
      <c r="F80" s="1001"/>
      <c r="G80" s="999">
        <v>26</v>
      </c>
      <c r="H80" s="988">
        <f>VLOOKUP($C78,$C$280:$Q$307,9,FALSE)</f>
        <v>52.25</v>
      </c>
      <c r="I80" s="988">
        <f>VLOOKUP($C78,$C$280:$Q$307,6,FALSE)</f>
        <v>52.25</v>
      </c>
      <c r="J80" s="988">
        <f>VLOOKUP($C78,$C$280:$Q$307,9,FALSE)</f>
        <v>52.25</v>
      </c>
      <c r="K80" s="988">
        <f>VLOOKUP($C78,$C$280:$Q$307,6,FALSE)</f>
        <v>52.25</v>
      </c>
      <c r="L80" s="988">
        <f>VLOOKUP($C78,$C$280:$Q$307,15,FALSE)</f>
        <v>49.661489878267965</v>
      </c>
      <c r="M80" s="988">
        <f>VLOOKUP($C78,$C$280:$Q$307,12,FALSE)</f>
        <v>49.951847025660285</v>
      </c>
      <c r="N80" s="989" t="s">
        <v>1730</v>
      </c>
      <c r="O80" s="989" t="s">
        <v>1730</v>
      </c>
      <c r="Q80" s="132"/>
      <c r="R80" s="132"/>
    </row>
    <row r="81" spans="3:18" ht="15.6">
      <c r="C81" s="1124" t="s">
        <v>393</v>
      </c>
      <c r="D81" s="1121" t="s">
        <v>392</v>
      </c>
      <c r="E81" s="1118">
        <f>VLOOKUP(C81,$C$7:$J$36,8,FALSE)</f>
        <v>57.578362514458831</v>
      </c>
      <c r="F81" s="1001"/>
      <c r="G81" s="982">
        <v>22</v>
      </c>
      <c r="H81" s="983">
        <f>VLOOKUP($C81,$C$210:$Q$237,9,FALSE)</f>
        <v>52.25</v>
      </c>
      <c r="I81" s="983">
        <f>VLOOKUP($C81,$C$210:$Q$237,6,FALSE)</f>
        <v>52.25</v>
      </c>
      <c r="J81" s="983">
        <f>VLOOKUP($C81,$C$210:$Q$237,9,FALSE)</f>
        <v>52.25</v>
      </c>
      <c r="K81" s="983">
        <f>VLOOKUP($C81,$C$210:$Q$237,6,FALSE)</f>
        <v>52.25</v>
      </c>
      <c r="L81" s="983">
        <f>VLOOKUP($C81,$C$210:$Q$237,15,FALSE)</f>
        <v>52.25</v>
      </c>
      <c r="M81" s="983">
        <f>VLOOKUP($C81,$C$210:$Q$237,12,FALSE)</f>
        <v>52.25</v>
      </c>
      <c r="N81" s="984" t="s">
        <v>1729</v>
      </c>
      <c r="O81" s="984">
        <v>24</v>
      </c>
      <c r="Q81" s="132"/>
      <c r="R81" s="132"/>
    </row>
    <row r="82" spans="3:18" ht="15.6">
      <c r="C82" s="1125"/>
      <c r="D82" s="1122"/>
      <c r="E82" s="1119"/>
      <c r="F82" s="1001"/>
      <c r="G82" s="994">
        <v>24</v>
      </c>
      <c r="H82" s="995">
        <f>VLOOKUP($C81,$C$361:$Q$388,9,FALSE)</f>
        <v>52.25</v>
      </c>
      <c r="I82" s="995">
        <f>VLOOKUP($C81,$C$361:$Q$388,6,FALSE)</f>
        <v>52.25</v>
      </c>
      <c r="J82" s="995">
        <f>VLOOKUP($C81,$C$361:$Q$388,9,FALSE)</f>
        <v>52.25</v>
      </c>
      <c r="K82" s="995">
        <f>VLOOKUP($C81,$C$361:$Q$388,6,FALSE)</f>
        <v>52.25</v>
      </c>
      <c r="L82" s="995">
        <f>VLOOKUP($C81,$C$361:$Q$388,15,FALSE)</f>
        <v>51.800502774242915</v>
      </c>
      <c r="M82" s="995">
        <f>VLOOKUP($C81,$C$361:$Q$388,6,FALSE)</f>
        <v>52.25</v>
      </c>
      <c r="N82" s="996" t="s">
        <v>1730</v>
      </c>
      <c r="O82" s="996" t="s">
        <v>1730</v>
      </c>
      <c r="Q82" s="132"/>
      <c r="R82" s="132"/>
    </row>
    <row r="83" spans="3:18" ht="15.6">
      <c r="C83" s="1126"/>
      <c r="D83" s="1123"/>
      <c r="E83" s="1120"/>
      <c r="F83" s="1001">
        <v>65.295578823316177</v>
      </c>
      <c r="G83" s="987">
        <v>26</v>
      </c>
      <c r="H83" s="988">
        <f>VLOOKUP($C81,$C$280:$Q$307,9,FALSE)</f>
        <v>52.25</v>
      </c>
      <c r="I83" s="988">
        <f>VLOOKUP($C81,$C$280:$Q$307,6,FALSE)</f>
        <v>52.25</v>
      </c>
      <c r="J83" s="988">
        <f>VLOOKUP($C81,$C$280:$Q$307,9,FALSE)</f>
        <v>52.25</v>
      </c>
      <c r="K83" s="988">
        <f>VLOOKUP($C81,$C$280:$Q$307,6,FALSE)</f>
        <v>52.25</v>
      </c>
      <c r="L83" s="988">
        <f>VLOOKUP($C81,$C$280:$Q$307,15,FALSE)</f>
        <v>48.891212322634964</v>
      </c>
      <c r="M83" s="988">
        <f>VLOOKUP($C81,$C$280:$Q$307,12,FALSE)</f>
        <v>49.185543783010345</v>
      </c>
      <c r="N83" s="989" t="s">
        <v>1730</v>
      </c>
      <c r="O83" s="989" t="s">
        <v>1730</v>
      </c>
    </row>
    <row r="84" spans="3:18" ht="15.6">
      <c r="C84" s="1124" t="s">
        <v>411</v>
      </c>
      <c r="D84" s="1121" t="s">
        <v>404</v>
      </c>
      <c r="E84" s="1118">
        <f t="shared" si="4"/>
        <v>58.607163396818464</v>
      </c>
      <c r="F84" s="1001">
        <v>62.557463011707128</v>
      </c>
      <c r="G84" s="982">
        <v>22</v>
      </c>
      <c r="H84" s="983">
        <f>VLOOKUP($C84,$C$210:$Q$237,9,FALSE)</f>
        <v>52.25</v>
      </c>
      <c r="I84" s="983">
        <f>VLOOKUP($C84,$C$210:$Q$237,6,FALSE)</f>
        <v>52.25</v>
      </c>
      <c r="J84" s="983">
        <f>VLOOKUP($C84,$C$210:$Q$237,9,FALSE)</f>
        <v>52.25</v>
      </c>
      <c r="K84" s="983">
        <f>VLOOKUP($C84,$C$210:$Q$237,6,FALSE)</f>
        <v>52.25</v>
      </c>
      <c r="L84" s="983">
        <f>VLOOKUP($C84,$C$210:$Q$237,15,FALSE)</f>
        <v>52.25</v>
      </c>
      <c r="M84" s="983">
        <f>VLOOKUP($C84,$C$210:$Q$237,12,FALSE)</f>
        <v>52.25</v>
      </c>
      <c r="N84" s="982" t="s">
        <v>1729</v>
      </c>
      <c r="O84" s="982" t="s">
        <v>1729</v>
      </c>
    </row>
    <row r="85" spans="3:18" ht="15.6">
      <c r="C85" s="1125"/>
      <c r="D85" s="1122"/>
      <c r="E85" s="1119"/>
      <c r="F85" s="1001"/>
      <c r="G85" s="994">
        <v>24</v>
      </c>
      <c r="H85" s="995">
        <f>VLOOKUP($C84,$C$361:$Q$388,9,FALSE)</f>
        <v>52.25</v>
      </c>
      <c r="I85" s="995">
        <f>VLOOKUP($C84,$C$361:$Q$388,6,FALSE)</f>
        <v>52.25</v>
      </c>
      <c r="J85" s="995">
        <f>VLOOKUP($C84,$C$361:$Q$388,9,FALSE)</f>
        <v>52.25</v>
      </c>
      <c r="K85" s="995">
        <f>VLOOKUP($C84,$C$361:$Q$388,6,FALSE)</f>
        <v>52.25</v>
      </c>
      <c r="L85" s="995">
        <f>VLOOKUP($C84,$C$361:$Q$388,15,FALSE)</f>
        <v>50.323556227527419</v>
      </c>
      <c r="M85" s="995">
        <f>VLOOKUP($C84,$C$361:$Q$388,6,FALSE)</f>
        <v>52.25</v>
      </c>
      <c r="N85" s="996" t="s">
        <v>1730</v>
      </c>
      <c r="O85" s="996" t="s">
        <v>1730</v>
      </c>
    </row>
    <row r="86" spans="3:18" ht="15.6">
      <c r="C86" s="1126"/>
      <c r="D86" s="1123"/>
      <c r="E86" s="1120"/>
      <c r="F86" s="1001"/>
      <c r="G86" s="999">
        <v>26</v>
      </c>
      <c r="H86" s="988">
        <f>VLOOKUP($C84,$C$280:$Q$307,9,FALSE)</f>
        <v>52.080829305604745</v>
      </c>
      <c r="I86" s="988">
        <f>VLOOKUP($C84,$C$280:$Q$307,6,FALSE)</f>
        <v>51.268466756070865</v>
      </c>
      <c r="J86" s="988">
        <f>VLOOKUP($C84,$C$280:$Q$307,9,FALSE)</f>
        <v>52.080829305604745</v>
      </c>
      <c r="K86" s="988">
        <f>VLOOKUP($C84,$C$280:$Q$307,6,FALSE)</f>
        <v>51.268466756070865</v>
      </c>
      <c r="L86" s="988">
        <f>VLOOKUP($C84,$C$280:$Q$307,15,FALSE)</f>
        <v>47.897194942602404</v>
      </c>
      <c r="M86" s="988">
        <f>VLOOKUP($C84,$C$280:$Q$307,12,FALSE)</f>
        <v>48.187356241736566</v>
      </c>
      <c r="N86" s="989" t="s">
        <v>1730</v>
      </c>
      <c r="O86" s="989" t="s">
        <v>1730</v>
      </c>
    </row>
    <row r="87" spans="3:18" ht="15.6">
      <c r="C87" s="1124" t="s">
        <v>400</v>
      </c>
      <c r="D87" s="1121" t="s">
        <v>392</v>
      </c>
      <c r="E87" s="1118">
        <f t="shared" si="4"/>
        <v>60.526484789578774</v>
      </c>
      <c r="F87" s="1001">
        <v>57.448106218089066</v>
      </c>
      <c r="G87" s="982">
        <v>22</v>
      </c>
      <c r="H87" s="983">
        <f>VLOOKUP($C87,$C$210:$Q$237,9,FALSE)</f>
        <v>52.25</v>
      </c>
      <c r="I87" s="983">
        <f>VLOOKUP($C87,$C$210:$Q$237,6,FALSE)</f>
        <v>52.25</v>
      </c>
      <c r="J87" s="983">
        <f>VLOOKUP($C87,$C$210:$Q$237,9,FALSE)</f>
        <v>52.25</v>
      </c>
      <c r="K87" s="983">
        <f>VLOOKUP($C87,$C$210:$Q$237,6,FALSE)</f>
        <v>52.25</v>
      </c>
      <c r="L87" s="983">
        <f>VLOOKUP($C87,$C$210:$Q$237,15,FALSE)</f>
        <v>52.172492588712572</v>
      </c>
      <c r="M87" s="983">
        <f>VLOOKUP($C87,$C$210:$Q$237,12,FALSE)</f>
        <v>51.725629374060361</v>
      </c>
      <c r="N87" s="982" t="s">
        <v>1729</v>
      </c>
      <c r="O87" s="982" t="s">
        <v>1729</v>
      </c>
      <c r="Q87" s="1113" t="s">
        <v>1732</v>
      </c>
      <c r="R87" s="1113"/>
    </row>
    <row r="88" spans="3:18" ht="15.6">
      <c r="C88" s="1125"/>
      <c r="D88" s="1122"/>
      <c r="E88" s="1119"/>
      <c r="F88" s="1001"/>
      <c r="G88" s="994">
        <v>24</v>
      </c>
      <c r="H88" s="995">
        <f>VLOOKUP($C87,$C$361:$Q$388,9,FALSE)</f>
        <v>50.708968805465489</v>
      </c>
      <c r="I88" s="995">
        <f>VLOOKUP($C87,$C$361:$Q$388,6,FALSE)</f>
        <v>50.119289705502354</v>
      </c>
      <c r="J88" s="995">
        <f>VLOOKUP($C87,$C$361:$Q$388,9,FALSE)</f>
        <v>50.708968805465489</v>
      </c>
      <c r="K88" s="995">
        <f>VLOOKUP($C87,$C$361:$Q$388,6,FALSE)</f>
        <v>50.119289705502354</v>
      </c>
      <c r="L88" s="995">
        <f>VLOOKUP($C87,$C$361:$Q$388,15,FALSE)</f>
        <v>47.568178436080714</v>
      </c>
      <c r="M88" s="995">
        <f>VLOOKUP($C87,$C$361:$Q$388,6,FALSE)</f>
        <v>50.119289705502354</v>
      </c>
      <c r="N88" s="996" t="s">
        <v>1730</v>
      </c>
      <c r="O88" s="996" t="s">
        <v>1730</v>
      </c>
    </row>
    <row r="89" spans="3:18" ht="15.6">
      <c r="C89" s="1126"/>
      <c r="D89" s="1123"/>
      <c r="E89" s="1120"/>
      <c r="F89" s="1001"/>
      <c r="G89" s="999">
        <v>26</v>
      </c>
      <c r="H89" s="988">
        <f>VLOOKUP($C87,$C$280:$Q$307,9,FALSE)</f>
        <v>49.443748695079407</v>
      </c>
      <c r="I89" s="988">
        <f>VLOOKUP($C87,$C$280:$Q$307,6,FALSE)</f>
        <v>48.36549133660823</v>
      </c>
      <c r="J89" s="988">
        <f>VLOOKUP($C87,$C$280:$Q$307,9,FALSE)</f>
        <v>49.443748695079407</v>
      </c>
      <c r="K89" s="988">
        <f>VLOOKUP($C87,$C$280:$Q$307,6,FALSE)</f>
        <v>48.36549133660823</v>
      </c>
      <c r="L89" s="988">
        <f>VLOOKUP($C87,$C$280:$Q$307,15,FALSE)</f>
        <v>45.835668103531908</v>
      </c>
      <c r="M89" s="988">
        <f>VLOOKUP($C87,$C$280:$Q$307,12,FALSE)</f>
        <v>46.092020975402207</v>
      </c>
      <c r="N89" s="989" t="s">
        <v>1730</v>
      </c>
      <c r="O89" s="989" t="s">
        <v>1730</v>
      </c>
    </row>
    <row r="90" spans="3:18" ht="15.6">
      <c r="C90" s="1124" t="s">
        <v>401</v>
      </c>
      <c r="D90" s="1121" t="s">
        <v>392</v>
      </c>
      <c r="E90" s="1118">
        <f t="shared" si="4"/>
        <v>63.06609980042964</v>
      </c>
      <c r="F90" s="1001">
        <v>50.708748736227776</v>
      </c>
      <c r="G90" s="982">
        <v>22</v>
      </c>
      <c r="H90" s="983">
        <f>VLOOKUP($C90,$C$210:$Q$237,9,FALSE)</f>
        <v>51.344239390280819</v>
      </c>
      <c r="I90" s="983">
        <f>VLOOKUP($C90,$C$210:$Q$237,6,FALSE)</f>
        <v>50.246995581812115</v>
      </c>
      <c r="J90" s="983">
        <f>VLOOKUP($C90,$C$210:$Q$237,9,FALSE)</f>
        <v>51.344239390280819</v>
      </c>
      <c r="K90" s="983">
        <f>VLOOKUP($C90,$C$210:$Q$237,6,FALSE)</f>
        <v>50.246995581812115</v>
      </c>
      <c r="L90" s="983">
        <f>VLOOKUP($C90,$C$210:$Q$237,15,FALSE)</f>
        <v>48.354472552111787</v>
      </c>
      <c r="M90" s="983">
        <f>VLOOKUP($C90,$C$210:$Q$237,12,FALSE)</f>
        <v>47.804331642060504</v>
      </c>
      <c r="N90" s="982" t="s">
        <v>1729</v>
      </c>
      <c r="O90" s="982" t="s">
        <v>1729</v>
      </c>
      <c r="Q90" s="29">
        <v>50</v>
      </c>
      <c r="R90" s="29">
        <v>82</v>
      </c>
    </row>
    <row r="91" spans="3:18" ht="15.6">
      <c r="C91" s="1125"/>
      <c r="D91" s="1122"/>
      <c r="E91" s="1119"/>
      <c r="F91" s="1001"/>
      <c r="G91" s="994">
        <v>24</v>
      </c>
      <c r="H91" s="995">
        <f>VLOOKUP($C90,$C$361:$Q$388,9,FALSE)</f>
        <v>47.076557455445496</v>
      </c>
      <c r="I91" s="995">
        <f>VLOOKUP($C90,$C$361:$Q$388,6,FALSE)</f>
        <v>46.563676313410483</v>
      </c>
      <c r="J91" s="995">
        <f>VLOOKUP($C90,$C$361:$Q$388,9,FALSE)</f>
        <v>47.076557455445496</v>
      </c>
      <c r="K91" s="995">
        <f>VLOOKUP($C90,$C$361:$Q$388,6,FALSE)</f>
        <v>46.563676313410483</v>
      </c>
      <c r="L91" s="995">
        <f>VLOOKUP($C90,$C$361:$Q$388,15,FALSE)</f>
        <v>43.922307126503213</v>
      </c>
      <c r="M91" s="995">
        <f>VLOOKUP($C90,$C$361:$Q$388,6,FALSE)</f>
        <v>46.563676313410483</v>
      </c>
      <c r="N91" s="996" t="s">
        <v>1730</v>
      </c>
      <c r="O91" s="996" t="s">
        <v>1730</v>
      </c>
      <c r="Q91" s="29"/>
      <c r="R91" s="29"/>
    </row>
    <row r="92" spans="3:18" ht="15.6">
      <c r="C92" s="1126"/>
      <c r="D92" s="1123"/>
      <c r="E92" s="1120"/>
      <c r="F92" s="1001"/>
      <c r="G92" s="999">
        <v>26</v>
      </c>
      <c r="H92" s="988">
        <f>VLOOKUP($C90,$C$280:$Q$307,9,FALSE)</f>
        <v>45.770957795627311</v>
      </c>
      <c r="I92" s="988">
        <f>VLOOKUP($C90,$C$280:$Q$307,6,FALSE)</f>
        <v>44.490349288410485</v>
      </c>
      <c r="J92" s="988">
        <f>VLOOKUP($C90,$C$280:$Q$307,9,FALSE)</f>
        <v>45.770957795627311</v>
      </c>
      <c r="K92" s="988">
        <f>VLOOKUP($C90,$C$280:$Q$307,6,FALSE)</f>
        <v>44.490349288410485</v>
      </c>
      <c r="L92" s="988">
        <f>VLOOKUP($C90,$C$280:$Q$307,15,FALSE)</f>
        <v>42.693431412390176</v>
      </c>
      <c r="M92" s="988">
        <f>VLOOKUP($C90,$C$280:$Q$307,12,FALSE)</f>
        <v>42.852959203964403</v>
      </c>
      <c r="N92" s="989" t="s">
        <v>1730</v>
      </c>
      <c r="O92" s="989" t="s">
        <v>1730</v>
      </c>
      <c r="Q92" s="29"/>
      <c r="R92" s="29"/>
    </row>
    <row r="93" spans="3:18" ht="15.6">
      <c r="C93" s="1154" t="s">
        <v>442</v>
      </c>
      <c r="D93" s="1121" t="s">
        <v>1708</v>
      </c>
      <c r="E93" s="1118">
        <f t="shared" si="4"/>
        <v>63.422144167614476</v>
      </c>
      <c r="F93" s="1001">
        <v>49.808439438890836</v>
      </c>
      <c r="G93" s="982">
        <v>22</v>
      </c>
      <c r="H93" s="983">
        <f>VLOOKUP($C93,$C$210:$Q$237,9,FALSE)</f>
        <v>50.885947896995859</v>
      </c>
      <c r="I93" s="983">
        <f>VLOOKUP($C93,$C$210:$Q$237,6,FALSE)</f>
        <v>49.767315475348539</v>
      </c>
      <c r="J93" s="983">
        <f>VLOOKUP($C93,$C$210:$Q$237,9,FALSE)</f>
        <v>50.885947896995859</v>
      </c>
      <c r="K93" s="983">
        <f>VLOOKUP($C93,$C$210:$Q$237,6,FALSE)</f>
        <v>49.767315475348539</v>
      </c>
      <c r="L93" s="983">
        <f>VLOOKUP($C93,$C$210:$Q$237,15,FALSE)</f>
        <v>47.842191587280269</v>
      </c>
      <c r="M93" s="983">
        <f>VLOOKUP($C93,$C$210:$Q$237,12,FALSE)</f>
        <v>47.27849942195553</v>
      </c>
      <c r="N93" s="982" t="s">
        <v>1729</v>
      </c>
      <c r="O93" s="982" t="s">
        <v>1729</v>
      </c>
      <c r="Q93" s="29">
        <v>85</v>
      </c>
      <c r="R93" s="29">
        <v>82</v>
      </c>
    </row>
    <row r="94" spans="3:18" ht="15.6">
      <c r="C94" s="1155"/>
      <c r="D94" s="1122"/>
      <c r="E94" s="1119"/>
      <c r="F94" s="1001"/>
      <c r="G94" s="994">
        <v>24</v>
      </c>
      <c r="H94" s="995">
        <f>VLOOKUP($C93,$C$361:$Q$388,9,FALSE)</f>
        <v>46.567307197061027</v>
      </c>
      <c r="I94" s="995">
        <f>VLOOKUP($C93,$C$361:$Q$388,6,FALSE)</f>
        <v>46.06519283668969</v>
      </c>
      <c r="J94" s="995">
        <f>VLOOKUP($C93,$C$361:$Q$388,9,FALSE)</f>
        <v>46.567307197061027</v>
      </c>
      <c r="K94" s="995">
        <f>VLOOKUP($C93,$C$361:$Q$388,6,FALSE)</f>
        <v>46.06519283668969</v>
      </c>
      <c r="L94" s="995">
        <f>VLOOKUP($C93,$C$361:$Q$388,15,FALSE)</f>
        <v>43.411169832972661</v>
      </c>
      <c r="M94" s="995">
        <f>VLOOKUP($C93,$C$361:$Q$388,6,FALSE)</f>
        <v>46.06519283668969</v>
      </c>
      <c r="N94" s="996" t="s">
        <v>1730</v>
      </c>
      <c r="O94" s="996" t="s">
        <v>1730</v>
      </c>
      <c r="Q94" s="29"/>
      <c r="R94" s="29"/>
    </row>
    <row r="95" spans="3:18" ht="15.6">
      <c r="C95" s="1156"/>
      <c r="D95" s="1123"/>
      <c r="E95" s="1120"/>
      <c r="F95" s="1001"/>
      <c r="G95" s="999">
        <v>26</v>
      </c>
      <c r="H95" s="988">
        <f>VLOOKUP($C93,$C$280:$Q$307,9,FALSE)</f>
        <v>45.239344549947312</v>
      </c>
      <c r="I95" s="988">
        <f>VLOOKUP($C93,$C$280:$Q$307,6,FALSE)</f>
        <v>43.943976159535509</v>
      </c>
      <c r="J95" s="988">
        <f>VLOOKUP($C93,$C$280:$Q$307,9,FALSE)</f>
        <v>45.239344549947312</v>
      </c>
      <c r="K95" s="988">
        <f>VLOOKUP($C93,$C$280:$Q$307,6,FALSE)</f>
        <v>43.943976159535509</v>
      </c>
      <c r="L95" s="988">
        <f>VLOOKUP($C93,$C$280:$Q$307,15,FALSE)</f>
        <v>42.215167791687783</v>
      </c>
      <c r="M95" s="988">
        <f>VLOOKUP($C93,$C$280:$Q$307,12,FALSE)</f>
        <v>42.356378552429206</v>
      </c>
      <c r="N95" s="989" t="s">
        <v>1730</v>
      </c>
      <c r="O95" s="989" t="s">
        <v>1730</v>
      </c>
      <c r="Q95" s="29"/>
      <c r="R95" s="29"/>
    </row>
    <row r="96" spans="3:18" ht="15.6">
      <c r="C96" s="1151" t="s">
        <v>422</v>
      </c>
      <c r="D96" s="1121" t="s">
        <v>404</v>
      </c>
      <c r="E96" s="1118">
        <f t="shared" si="4"/>
        <v>63.572354166699597</v>
      </c>
      <c r="F96" s="1001">
        <v>49.366967664816904</v>
      </c>
      <c r="G96" s="982">
        <v>22</v>
      </c>
      <c r="H96" s="983">
        <f>VLOOKUP($C96,$C$210:$Q$237,9,FALSE)</f>
        <v>46</v>
      </c>
      <c r="I96" s="983">
        <f>VLOOKUP($C96,$C$210:$Q$237,6,FALSE)</f>
        <v>45</v>
      </c>
      <c r="J96" s="983">
        <f>VLOOKUP($C96,$C$210:$Q$237,9,FALSE)</f>
        <v>46</v>
      </c>
      <c r="K96" s="983">
        <f>VLOOKUP($C96,$C$210:$Q$237,6,FALSE)</f>
        <v>45</v>
      </c>
      <c r="L96" s="983">
        <f>VLOOKUP($C96,$C$210:$Q$237,15,FALSE)</f>
        <v>43</v>
      </c>
      <c r="M96" s="983">
        <f>VLOOKUP($C96,$C$210:$Q$237,12,FALSE)</f>
        <v>42</v>
      </c>
      <c r="N96" s="982" t="s">
        <v>1729</v>
      </c>
      <c r="O96" s="982" t="s">
        <v>1729</v>
      </c>
    </row>
    <row r="97" spans="3:18" ht="15.6">
      <c r="C97" s="1152"/>
      <c r="D97" s="1122"/>
      <c r="E97" s="1119"/>
      <c r="F97" s="1001"/>
      <c r="G97" s="994">
        <v>24</v>
      </c>
      <c r="H97" s="995">
        <f>VLOOKUP($C96,$C$361:$Q$388,9,FALSE)</f>
        <v>46.352461835369567</v>
      </c>
      <c r="I97" s="995">
        <f>VLOOKUP($C96,$C$361:$Q$388,6,FALSE)</f>
        <v>45.854889825370577</v>
      </c>
      <c r="J97" s="995">
        <f>VLOOKUP($C96,$C$361:$Q$388,9,FALSE)</f>
        <v>46.352461835369567</v>
      </c>
      <c r="K97" s="995">
        <f>VLOOKUP($C96,$C$361:$Q$388,6,FALSE)</f>
        <v>45.854889825370577</v>
      </c>
      <c r="L97" s="995">
        <f>VLOOKUP($C96,$C$361:$Q$388,15,FALSE)</f>
        <v>43.195528358286069</v>
      </c>
      <c r="M97" s="995">
        <f>VLOOKUP($C96,$C$361:$Q$388,6,FALSE)</f>
        <v>45.854889825370577</v>
      </c>
      <c r="N97" s="996" t="s">
        <v>1730</v>
      </c>
      <c r="O97" s="996" t="s">
        <v>1730</v>
      </c>
      <c r="Q97" s="29"/>
      <c r="R97" s="29"/>
    </row>
    <row r="98" spans="3:18" ht="15.6">
      <c r="C98" s="1153"/>
      <c r="D98" s="1123"/>
      <c r="E98" s="1120"/>
      <c r="F98" s="1001"/>
      <c r="G98" s="999">
        <v>26</v>
      </c>
      <c r="H98" s="988">
        <f>VLOOKUP($C96,$C$280:$Q$307,9,FALSE)</f>
        <v>45.013832645085117</v>
      </c>
      <c r="I98" s="988">
        <f>VLOOKUP($C96,$C$280:$Q$307,6,FALSE)</f>
        <v>43.713241059156445</v>
      </c>
      <c r="J98" s="988">
        <f>VLOOKUP($C96,$C$280:$Q$307,9,FALSE)</f>
        <v>45.013832645085117</v>
      </c>
      <c r="K98" s="988">
        <f>VLOOKUP($C96,$C$280:$Q$307,6,FALSE)</f>
        <v>43.713241059156445</v>
      </c>
      <c r="L98" s="988">
        <f>VLOOKUP($C96,$C$280:$Q$307,15,FALSE)</f>
        <v>42.010612019364096</v>
      </c>
      <c r="M98" s="988">
        <f>VLOOKUP($C96,$C$280:$Q$307,12,FALSE)</f>
        <v>42.143745283618657</v>
      </c>
      <c r="N98" s="989" t="s">
        <v>1730</v>
      </c>
      <c r="O98" s="989" t="s">
        <v>1730</v>
      </c>
      <c r="Q98" s="29"/>
      <c r="R98" s="29"/>
    </row>
    <row r="99" spans="3:18" ht="15.6">
      <c r="C99" s="1124" t="s">
        <v>446</v>
      </c>
      <c r="D99" s="1121" t="s">
        <v>1708</v>
      </c>
      <c r="E99" s="1118">
        <f t="shared" si="4"/>
        <v>66.537654513875623</v>
      </c>
      <c r="F99" s="1001">
        <v>41.565281297853929</v>
      </c>
      <c r="G99" s="982">
        <v>22</v>
      </c>
      <c r="H99" s="983">
        <f>VLOOKUP($C99,$C$210:$Q$237,9,FALSE)</f>
        <v>46.944960377287401</v>
      </c>
      <c r="I99" s="983">
        <f>VLOOKUP($C99,$C$210:$Q$237,6,FALSE)</f>
        <v>45.706227374111023</v>
      </c>
      <c r="J99" s="983">
        <f>VLOOKUP($C99,$C$210:$Q$237,9,FALSE)</f>
        <v>46.944960377287401</v>
      </c>
      <c r="K99" s="983">
        <f>VLOOKUP($C99,$C$210:$Q$237,6,FALSE)</f>
        <v>45.706227374111023</v>
      </c>
      <c r="L99" s="983">
        <f>VLOOKUP($C99,$C$210:$Q$237,15,FALSE)</f>
        <v>43.60074673918237</v>
      </c>
      <c r="M99" s="983">
        <f>VLOOKUP($C99,$C$210:$Q$237,12,FALSE)</f>
        <v>42.928210539911703</v>
      </c>
      <c r="N99" s="982" t="s">
        <v>1733</v>
      </c>
      <c r="O99" s="982" t="s">
        <v>1734</v>
      </c>
    </row>
    <row r="100" spans="3:18" ht="15.6">
      <c r="C100" s="1125"/>
      <c r="D100" s="1122"/>
      <c r="E100" s="1119"/>
      <c r="F100" s="1001"/>
      <c r="G100" s="994">
        <v>24</v>
      </c>
      <c r="H100" s="995">
        <f>VLOOKUP($C99,$C$361:$Q$388,9,FALSE)</f>
        <v>42.111192748803703</v>
      </c>
      <c r="I100" s="995">
        <f>VLOOKUP($C99,$C$361:$Q$388,6,FALSE)</f>
        <v>41.703291421303305</v>
      </c>
      <c r="J100" s="995">
        <f>VLOOKUP($C99,$C$361:$Q$388,9,FALSE)</f>
        <v>42.111192748803703</v>
      </c>
      <c r="K100" s="995">
        <f>VLOOKUP($C99,$C$361:$Q$388,6,FALSE)</f>
        <v>41.703291421303305</v>
      </c>
      <c r="L100" s="995">
        <f>VLOOKUP($C99,$C$361:$Q$388,15,FALSE)</f>
        <v>38.93854317988017</v>
      </c>
      <c r="M100" s="995">
        <f>VLOOKUP($C99,$C$361:$Q$388,6,FALSE)</f>
        <v>41.703291421303305</v>
      </c>
      <c r="N100" s="996" t="s">
        <v>1730</v>
      </c>
      <c r="O100" s="996" t="s">
        <v>1730</v>
      </c>
      <c r="Q100" s="29"/>
      <c r="R100" s="29"/>
    </row>
    <row r="101" spans="3:18" ht="15.6">
      <c r="C101" s="1126"/>
      <c r="D101" s="1123"/>
      <c r="E101" s="1120"/>
      <c r="F101" s="1001"/>
      <c r="G101" s="999">
        <v>26</v>
      </c>
      <c r="H101" s="988">
        <f>VLOOKUP($C99,$C$280:$Q$307,9,FALSE)</f>
        <v>40.412332524747292</v>
      </c>
      <c r="I101" s="988">
        <f>VLOOKUP($C99,$C$280:$Q$307,6,FALSE)</f>
        <v>39.130576866398656</v>
      </c>
      <c r="J101" s="988">
        <f>VLOOKUP($C99,$C$280:$Q$307,9,FALSE)</f>
        <v>40.412332524747292</v>
      </c>
      <c r="K101" s="988">
        <f>VLOOKUP($C99,$C$280:$Q$307,6,FALSE)</f>
        <v>39.130576866398656</v>
      </c>
      <c r="L101" s="988">
        <f>VLOOKUP($C99,$C$280:$Q$307,15,FALSE)</f>
        <v>37.63434372708992</v>
      </c>
      <c r="M101" s="988">
        <f>VLOOKUP($C99,$C$280:$Q$307,12,FALSE)</f>
        <v>37.56552212749331</v>
      </c>
      <c r="N101" s="989" t="s">
        <v>1730</v>
      </c>
      <c r="O101" s="989" t="s">
        <v>1730</v>
      </c>
      <c r="Q101" s="29"/>
      <c r="R101" s="29"/>
    </row>
    <row r="102" spans="3:18" ht="15.6">
      <c r="C102" s="1151" t="s">
        <v>429</v>
      </c>
      <c r="D102" s="1121" t="s">
        <v>423</v>
      </c>
      <c r="E102" s="1118">
        <f t="shared" si="4"/>
        <v>66.598199913018846</v>
      </c>
      <c r="F102" s="1001">
        <v>41.35891421108137</v>
      </c>
      <c r="G102" s="982">
        <v>22</v>
      </c>
      <c r="H102" s="983">
        <f>VLOOKUP($C102,$C$210:$Q$237,9,FALSE)</f>
        <v>46.869603724961706</v>
      </c>
      <c r="I102" s="983">
        <f>VLOOKUP($C102,$C$210:$Q$237,6,FALSE)</f>
        <v>45.629728974657326</v>
      </c>
      <c r="J102" s="983">
        <f>VLOOKUP($C102,$C$210:$Q$237,9,FALSE)</f>
        <v>46.869603724961706</v>
      </c>
      <c r="K102" s="983">
        <f>VLOOKUP($C102,$C$210:$Q$237,6,FALSE)</f>
        <v>45.629728974657326</v>
      </c>
      <c r="L102" s="983">
        <f>VLOOKUP($C102,$C$210:$Q$237,15,FALSE)</f>
        <v>43.522608636389862</v>
      </c>
      <c r="M102" s="983">
        <f>VLOOKUP($C102,$C$210:$Q$237,12,FALSE)</f>
        <v>42.848130278091247</v>
      </c>
      <c r="N102" s="982" t="s">
        <v>1733</v>
      </c>
      <c r="O102" s="982" t="s">
        <v>1734</v>
      </c>
    </row>
    <row r="103" spans="3:18" ht="15.6">
      <c r="C103" s="1152"/>
      <c r="D103" s="1122"/>
      <c r="E103" s="1119"/>
      <c r="F103" s="1001"/>
      <c r="G103" s="994">
        <v>24</v>
      </c>
      <c r="H103" s="995">
        <f>VLOOKUP($C102,$C$361:$Q$388,9,FALSE)</f>
        <v>42.02459466440915</v>
      </c>
      <c r="I103" s="995">
        <f>VLOOKUP($C102,$C$361:$Q$388,6,FALSE)</f>
        <v>41.618524229778842</v>
      </c>
      <c r="J103" s="995">
        <f>VLOOKUP($C102,$C$361:$Q$388,9,FALSE)</f>
        <v>42.02459466440915</v>
      </c>
      <c r="K103" s="995">
        <f>VLOOKUP($C102,$C$361:$Q$388,6,FALSE)</f>
        <v>41.618524229778842</v>
      </c>
      <c r="L103" s="995">
        <f>VLOOKUP($C102,$C$361:$Q$388,15,FALSE)</f>
        <v>38.851624204870149</v>
      </c>
      <c r="M103" s="995">
        <f>VLOOKUP($C102,$C$361:$Q$388,6,FALSE)</f>
        <v>41.618524229778842</v>
      </c>
      <c r="N103" s="996" t="s">
        <v>1730</v>
      </c>
      <c r="O103" s="996" t="s">
        <v>1730</v>
      </c>
      <c r="Q103" s="29"/>
      <c r="R103" s="29"/>
    </row>
    <row r="104" spans="3:18" ht="15.6">
      <c r="C104" s="1153"/>
      <c r="D104" s="1123"/>
      <c r="E104" s="1120"/>
      <c r="F104" s="1001"/>
      <c r="G104" s="999">
        <v>26</v>
      </c>
      <c r="H104" s="988">
        <f>VLOOKUP($C102,$C$280:$Q$307,9,FALSE)</f>
        <v>40.315411398836822</v>
      </c>
      <c r="I104" s="988">
        <f>VLOOKUP($C102,$C$280:$Q$307,6,FALSE)</f>
        <v>39.036458585508669</v>
      </c>
      <c r="J104" s="988">
        <f>VLOOKUP($C102,$C$280:$Q$307,9,FALSE)</f>
        <v>40.315411398836822</v>
      </c>
      <c r="K104" s="988">
        <f>VLOOKUP($C102,$C$280:$Q$307,6,FALSE)</f>
        <v>39.036458585508669</v>
      </c>
      <c r="L104" s="988">
        <f>VLOOKUP($C102,$C$280:$Q$307,15,FALSE)</f>
        <v>37.538284075610626</v>
      </c>
      <c r="M104" s="988">
        <f>VLOOKUP($C102,$C$280:$Q$307,12,FALSE)</f>
        <v>37.464496243865526</v>
      </c>
      <c r="N104" s="989" t="s">
        <v>1730</v>
      </c>
      <c r="O104" s="989" t="s">
        <v>1730</v>
      </c>
      <c r="Q104" s="29"/>
      <c r="R104" s="29"/>
    </row>
    <row r="105" spans="3:18" ht="15.6">
      <c r="C105" s="1151" t="s">
        <v>415</v>
      </c>
      <c r="D105" s="1121" t="s">
        <v>404</v>
      </c>
      <c r="E105" s="1118">
        <f t="shared" si="4"/>
        <v>68.10361392462795</v>
      </c>
      <c r="F105" s="1001">
        <v>37.382294396539798</v>
      </c>
      <c r="G105" s="982">
        <v>22</v>
      </c>
      <c r="H105" s="983">
        <f>VLOOKUP($C105,$C$210:$Q$237,9,FALSE)</f>
        <v>45.011006953639182</v>
      </c>
      <c r="I105" s="983">
        <f>VLOOKUP($C105,$C$210:$Q$237,6,FALSE)</f>
        <v>43.757359540563414</v>
      </c>
      <c r="J105" s="983">
        <f>VLOOKUP($C105,$C$210:$Q$237,9,FALSE)</f>
        <v>45.011006953639182</v>
      </c>
      <c r="K105" s="983">
        <f>VLOOKUP($C105,$C$210:$Q$237,6,FALSE)</f>
        <v>43.757359540563414</v>
      </c>
      <c r="L105" s="983">
        <f>VLOOKUP($C105,$C$210:$Q$237,15,FALSE)</f>
        <v>41.632336208010742</v>
      </c>
      <c r="M105" s="983">
        <f>VLOOKUP($C105,$C$210:$Q$237,12,FALSE)</f>
        <v>40.911689259495063</v>
      </c>
      <c r="N105" s="982" t="s">
        <v>1733</v>
      </c>
      <c r="O105" s="982" t="s">
        <v>1734</v>
      </c>
    </row>
    <row r="106" spans="3:18" ht="15.6">
      <c r="C106" s="1152"/>
      <c r="D106" s="1122"/>
      <c r="E106" s="1119"/>
      <c r="F106" s="1001"/>
      <c r="G106" s="994">
        <v>24</v>
      </c>
      <c r="H106" s="995">
        <f>VLOOKUP($C105,$C$361:$Q$388,9,FALSE)</f>
        <v>39.871401003604646</v>
      </c>
      <c r="I106" s="995">
        <f>VLOOKUP($C105,$C$361:$Q$388,6,FALSE)</f>
        <v>39.510854288685394</v>
      </c>
      <c r="J106" s="995">
        <f>VLOOKUP($C105,$C$361:$Q$388,9,FALSE)</f>
        <v>39.871401003604646</v>
      </c>
      <c r="K106" s="995">
        <f>VLOOKUP($C105,$C$361:$Q$388,6,FALSE)</f>
        <v>39.510854288685394</v>
      </c>
      <c r="L106" s="995">
        <f>VLOOKUP($C105,$C$361:$Q$388,15,FALSE)</f>
        <v>36.69045184980412</v>
      </c>
      <c r="M106" s="995">
        <f>VLOOKUP($C105,$C$361:$Q$388,6,FALSE)</f>
        <v>39.510854288685394</v>
      </c>
      <c r="N106" s="996" t="s">
        <v>1730</v>
      </c>
      <c r="O106" s="996" t="s">
        <v>1730</v>
      </c>
      <c r="Q106" s="29"/>
      <c r="R106" s="29"/>
    </row>
    <row r="107" spans="3:18" ht="15.6">
      <c r="C107" s="1153"/>
      <c r="D107" s="1123"/>
      <c r="E107" s="1120"/>
      <c r="F107" s="1001"/>
      <c r="G107" s="999">
        <v>26</v>
      </c>
      <c r="H107" s="988">
        <f>VLOOKUP($C105,$C$280:$Q$307,9,FALSE)</f>
        <v>37.867353222657748</v>
      </c>
      <c r="I107" s="988">
        <f>VLOOKUP($C105,$C$280:$Q$307,6,FALSE)</f>
        <v>36.689208866877934</v>
      </c>
      <c r="J107" s="988">
        <f>VLOOKUP($C105,$C$280:$Q$307,9,FALSE)</f>
        <v>37.867353222657748</v>
      </c>
      <c r="K107" s="988">
        <f>VLOOKUP($C105,$C$280:$Q$307,6,FALSE)</f>
        <v>36.689208866877934</v>
      </c>
      <c r="L107" s="988">
        <f>VLOOKUP($C105,$C$280:$Q$307,15,FALSE)</f>
        <v>35.063554475943512</v>
      </c>
      <c r="M107" s="988">
        <f>VLOOKUP($C105,$C$280:$Q$307,12,FALSE)</f>
        <v>34.855441045430197</v>
      </c>
      <c r="N107" s="989" t="s">
        <v>1730</v>
      </c>
      <c r="O107" s="989" t="s">
        <v>1730</v>
      </c>
      <c r="Q107" s="29"/>
      <c r="R107" s="29"/>
    </row>
    <row r="108" spans="3:18" ht="15.6">
      <c r="C108" s="1151" t="s">
        <v>1710</v>
      </c>
      <c r="D108" s="1121" t="s">
        <v>392</v>
      </c>
      <c r="E108" s="1118">
        <f t="shared" si="4"/>
        <v>68.604306171230803</v>
      </c>
      <c r="F108" s="1001">
        <v>36.060814741666881</v>
      </c>
      <c r="G108" s="982">
        <v>22</v>
      </c>
      <c r="H108" s="983">
        <f>VLOOKUP($C108,$C$210:$Q$237,9,FALSE)</f>
        <v>44.399276532290642</v>
      </c>
      <c r="I108" s="983">
        <f>VLOOKUP($C108,$C$210:$Q$237,6,FALSE)</f>
        <v>43.147275948383538</v>
      </c>
      <c r="J108" s="983">
        <f>VLOOKUP($C108,$C$210:$Q$237,9,FALSE)</f>
        <v>44.399276532290642</v>
      </c>
      <c r="K108" s="983">
        <f>VLOOKUP($C108,$C$210:$Q$237,6,FALSE)</f>
        <v>43.147275948383538</v>
      </c>
      <c r="L108" s="983">
        <f>VLOOKUP($C108,$C$210:$Q$237,15,FALSE)</f>
        <v>41.026041266404661</v>
      </c>
      <c r="M108" s="983">
        <f>VLOOKUP($C108,$C$210:$Q$237,12,FALSE)</f>
        <v>40.290942901707069</v>
      </c>
      <c r="N108" s="982" t="s">
        <v>1733</v>
      </c>
      <c r="O108" s="982" t="s">
        <v>1734</v>
      </c>
    </row>
    <row r="109" spans="3:18" ht="15.6">
      <c r="C109" s="1152"/>
      <c r="D109" s="1122"/>
      <c r="E109" s="1119"/>
      <c r="F109" s="1001"/>
      <c r="G109" s="994">
        <v>24</v>
      </c>
      <c r="H109" s="995">
        <f>VLOOKUP($C108,$C$361:$Q$388,9,FALSE)</f>
        <v>39.155260883288591</v>
      </c>
      <c r="I109" s="995">
        <f>VLOOKUP($C108,$C$361:$Q$388,6,FALSE)</f>
        <v>38.809855101906606</v>
      </c>
      <c r="J109" s="995">
        <f>VLOOKUP($C108,$C$361:$Q$388,9,FALSE)</f>
        <v>39.155260883288591</v>
      </c>
      <c r="K109" s="995">
        <f>VLOOKUP($C108,$C$361:$Q$388,6,FALSE)</f>
        <v>38.809855101906606</v>
      </c>
      <c r="L109" s="995">
        <f>VLOOKUP($C108,$C$361:$Q$388,15,FALSE)</f>
        <v>35.971658060581063</v>
      </c>
      <c r="M109" s="995">
        <f>VLOOKUP($C108,$C$361:$Q$388,6,FALSE)</f>
        <v>38.809855101906606</v>
      </c>
      <c r="N109" s="996" t="s">
        <v>1730</v>
      </c>
      <c r="O109" s="996" t="s">
        <v>1730</v>
      </c>
      <c r="Q109" s="29"/>
      <c r="R109" s="29"/>
    </row>
    <row r="110" spans="3:18" ht="15.6">
      <c r="C110" s="1153"/>
      <c r="D110" s="1123"/>
      <c r="E110" s="1120"/>
      <c r="F110" s="1001"/>
      <c r="G110" s="999">
        <v>26</v>
      </c>
      <c r="H110" s="988">
        <f>VLOOKUP($C108,$C$280:$Q$307,9,FALSE)</f>
        <v>37.036870862381505</v>
      </c>
      <c r="I110" s="988">
        <f>VLOOKUP($C108,$C$280:$Q$307,6,FALSE)</f>
        <v>35.905513465903368</v>
      </c>
      <c r="J110" s="988">
        <f>VLOOKUP($C108,$C$280:$Q$307,9,FALSE)</f>
        <v>37.036870862381505</v>
      </c>
      <c r="K110" s="988">
        <f>VLOOKUP($C108,$C$280:$Q$307,6,FALSE)</f>
        <v>35.905513465903368</v>
      </c>
      <c r="L110" s="988">
        <f>VLOOKUP($C108,$C$280:$Q$307,15,FALSE)</f>
        <v>34.203710736261918</v>
      </c>
      <c r="M110" s="988">
        <f>VLOOKUP($C108,$C$280:$Q$307,12,FALSE)</f>
        <v>33.946300933397268</v>
      </c>
      <c r="N110" s="989" t="s">
        <v>1730</v>
      </c>
      <c r="O110" s="989" t="s">
        <v>1730</v>
      </c>
      <c r="Q110" s="29"/>
      <c r="R110" s="29"/>
    </row>
    <row r="111" spans="3:18" ht="15.6">
      <c r="C111" s="1151" t="s">
        <v>427</v>
      </c>
      <c r="D111" s="1121" t="s">
        <v>423</v>
      </c>
      <c r="E111" s="1118">
        <f t="shared" si="4"/>
        <v>71.063733383987255</v>
      </c>
      <c r="F111" s="1001">
        <v>29.550113595398031</v>
      </c>
      <c r="G111" s="982">
        <v>22</v>
      </c>
      <c r="H111" s="983">
        <f>VLOOKUP($C111,$C$210:$Q$237,9,FALSE)</f>
        <v>41.441017109604672</v>
      </c>
      <c r="I111" s="983">
        <f>VLOOKUP($C111,$C$210:$Q$237,6,FALSE)</f>
        <v>40.242243068820841</v>
      </c>
      <c r="J111" s="983">
        <f>VLOOKUP($C111,$C$210:$Q$237,9,FALSE)</f>
        <v>41.441017109604672</v>
      </c>
      <c r="K111" s="983">
        <f>VLOOKUP($C111,$C$210:$Q$237,6,FALSE)</f>
        <v>40.242243068820841</v>
      </c>
      <c r="L111" s="983">
        <f>VLOOKUP($C111,$C$210:$Q$237,15,FALSE)</f>
        <v>38.210236365996735</v>
      </c>
      <c r="M111" s="983">
        <f>VLOOKUP($C111,$C$210:$Q$237,12,FALSE)</f>
        <v>37.410704047192439</v>
      </c>
      <c r="N111" s="982" t="s">
        <v>1733</v>
      </c>
      <c r="O111" s="982" t="s">
        <v>1734</v>
      </c>
    </row>
    <row r="112" spans="3:18" ht="15.6">
      <c r="C112" s="1152"/>
      <c r="D112" s="1122"/>
      <c r="E112" s="1119"/>
      <c r="F112" s="1001"/>
      <c r="G112" s="994">
        <v>24</v>
      </c>
      <c r="H112" s="995">
        <f>VLOOKUP($C111,$C$361:$Q$388,9,FALSE)</f>
        <v>35.637542140883042</v>
      </c>
      <c r="I112" s="995">
        <f>VLOOKUP($C111,$C$361:$Q$388,6,FALSE)</f>
        <v>35.366509438414809</v>
      </c>
      <c r="J112" s="995">
        <f>VLOOKUP($C111,$C$361:$Q$388,9,FALSE)</f>
        <v>35.637542140883042</v>
      </c>
      <c r="K112" s="995">
        <f>VLOOKUP($C111,$C$361:$Q$388,6,FALSE)</f>
        <v>35.366509438414809</v>
      </c>
      <c r="L112" s="995">
        <f>VLOOKUP($C111,$C$361:$Q$388,15,FALSE)</f>
        <v>32.4409043539479</v>
      </c>
      <c r="M112" s="995">
        <f>VLOOKUP($C111,$C$361:$Q$388,6,FALSE)</f>
        <v>35.366509438414809</v>
      </c>
      <c r="N112" s="996" t="s">
        <v>1730</v>
      </c>
      <c r="O112" s="996" t="s">
        <v>1730</v>
      </c>
      <c r="Q112" s="29"/>
      <c r="R112" s="29"/>
    </row>
    <row r="113" spans="3:18" ht="15.6">
      <c r="C113" s="1153"/>
      <c r="D113" s="1123"/>
      <c r="E113" s="1120"/>
      <c r="F113" s="1001"/>
      <c r="G113" s="999">
        <v>26</v>
      </c>
      <c r="H113" s="988">
        <f>VLOOKUP($C111,$C$280:$Q$307,9,FALSE)</f>
        <v>32.839557681476045</v>
      </c>
      <c r="I113" s="988">
        <f>VLOOKUP($C111,$C$280:$Q$307,6,FALSE)</f>
        <v>32.034118960745062</v>
      </c>
      <c r="J113" s="988">
        <f>VLOOKUP($C111,$C$280:$Q$307,9,FALSE)</f>
        <v>32.839557681476045</v>
      </c>
      <c r="K113" s="988">
        <f>VLOOKUP($C111,$C$280:$Q$307,6,FALSE)</f>
        <v>32.034118960745062</v>
      </c>
      <c r="L113" s="988">
        <f>VLOOKUP($C111,$C$280:$Q$307,15,FALSE)</f>
        <v>29.713656836041373</v>
      </c>
      <c r="M113" s="988">
        <f>VLOOKUP($C111,$C$280:$Q$307,12,FALSE)</f>
        <v>29.180611691544257</v>
      </c>
      <c r="N113" s="989" t="s">
        <v>1730</v>
      </c>
      <c r="O113" s="989" t="s">
        <v>1730</v>
      </c>
      <c r="Q113" s="29"/>
      <c r="R113" s="29"/>
    </row>
    <row r="114" spans="3:18" ht="15.6">
      <c r="C114" s="1124" t="s">
        <v>424</v>
      </c>
      <c r="D114" s="1121" t="s">
        <v>423</v>
      </c>
      <c r="E114" s="1118">
        <f t="shared" si="4"/>
        <v>71.09942422474478</v>
      </c>
      <c r="F114" s="1001">
        <v>29.48386859210915</v>
      </c>
      <c r="G114" s="982">
        <v>22</v>
      </c>
      <c r="H114" s="983">
        <f>VLOOKUP($C114,$C$210:$Q$237,9,FALSE)</f>
        <v>41.398657228555081</v>
      </c>
      <c r="I114" s="983">
        <f>VLOOKUP($C114,$C$210:$Q$237,6,FALSE)</f>
        <v>40.201207731162441</v>
      </c>
      <c r="J114" s="983">
        <f>VLOOKUP($C114,$C$210:$Q$237,9,FALSE)</f>
        <v>41.398657228555081</v>
      </c>
      <c r="K114" s="983">
        <f>VLOOKUP($C114,$C$210:$Q$237,6,FALSE)</f>
        <v>40.201207731162441</v>
      </c>
      <c r="L114" s="983">
        <f>VLOOKUP($C114,$C$210:$Q$237,15,FALSE)</f>
        <v>38.171359704211653</v>
      </c>
      <c r="M114" s="983">
        <f>VLOOKUP($C114,$C$210:$Q$237,12,FALSE)</f>
        <v>37.370972477054067</v>
      </c>
      <c r="N114" s="982" t="s">
        <v>1733</v>
      </c>
      <c r="O114" s="982" t="s">
        <v>1734</v>
      </c>
    </row>
    <row r="115" spans="3:18" ht="15.6">
      <c r="C115" s="1125"/>
      <c r="D115" s="1122"/>
      <c r="E115" s="1119"/>
      <c r="F115" s="1001"/>
      <c r="G115" s="994">
        <v>24</v>
      </c>
      <c r="H115" s="995">
        <f>VLOOKUP($C114,$C$361:$Q$388,9,FALSE)</f>
        <v>35.586493531347543</v>
      </c>
      <c r="I115" s="995">
        <f>VLOOKUP($C114,$C$361:$Q$388,6,FALSE)</f>
        <v>35.316540119903834</v>
      </c>
      <c r="J115" s="995">
        <f>VLOOKUP($C114,$C$361:$Q$388,9,FALSE)</f>
        <v>35.586493531347543</v>
      </c>
      <c r="K115" s="995">
        <f>VLOOKUP($C114,$C$361:$Q$388,6,FALSE)</f>
        <v>35.316540119903834</v>
      </c>
      <c r="L115" s="995">
        <f>VLOOKUP($C114,$C$361:$Q$388,15,FALSE)</f>
        <v>32.389666582956409</v>
      </c>
      <c r="M115" s="995">
        <f>VLOOKUP($C114,$C$361:$Q$388,6,FALSE)</f>
        <v>35.316540119903834</v>
      </c>
      <c r="N115" s="996" t="s">
        <v>1730</v>
      </c>
      <c r="O115" s="996" t="s">
        <v>1730</v>
      </c>
      <c r="Q115" s="29"/>
      <c r="R115" s="29"/>
    </row>
    <row r="116" spans="3:18" ht="15.6">
      <c r="C116" s="1126"/>
      <c r="D116" s="1123"/>
      <c r="E116" s="1120"/>
      <c r="F116" s="1001"/>
      <c r="G116" s="999">
        <v>26</v>
      </c>
      <c r="H116" s="988">
        <f>VLOOKUP($C114,$C$280:$Q$307,9,FALSE)</f>
        <v>32.77720424249646</v>
      </c>
      <c r="I116" s="988">
        <f>VLOOKUP($C114,$C$280:$Q$307,6,FALSE)</f>
        <v>31.977670702726641</v>
      </c>
      <c r="J116" s="988">
        <f>VLOOKUP($C114,$C$280:$Q$307,9,FALSE)</f>
        <v>32.77720424249646</v>
      </c>
      <c r="K116" s="988">
        <f>VLOOKUP($C114,$C$280:$Q$307,6,FALSE)</f>
        <v>31.977670702726641</v>
      </c>
      <c r="L116" s="988">
        <f>VLOOKUP($C114,$C$280:$Q$307,15,FALSE)</f>
        <v>29.64523850905406</v>
      </c>
      <c r="M116" s="988">
        <f>VLOOKUP($C114,$C$280:$Q$307,12,FALSE)</f>
        <v>29.107783742443658</v>
      </c>
      <c r="N116" s="989" t="s">
        <v>1730</v>
      </c>
      <c r="O116" s="989" t="s">
        <v>1730</v>
      </c>
      <c r="Q116" s="29"/>
      <c r="R116" s="29"/>
    </row>
    <row r="117" spans="3:18" ht="15.6">
      <c r="C117" s="1124" t="s">
        <v>439</v>
      </c>
      <c r="D117" s="1121" t="s">
        <v>1708</v>
      </c>
      <c r="E117" s="1118">
        <f t="shared" si="4"/>
        <v>71.09942422474478</v>
      </c>
      <c r="F117" s="1001">
        <v>29.48386859210915</v>
      </c>
      <c r="G117" s="982">
        <v>22</v>
      </c>
      <c r="H117" s="983">
        <f>VLOOKUP($C117,$C$210:$Q$237,9,FALSE)</f>
        <v>41.398657228555081</v>
      </c>
      <c r="I117" s="983">
        <f>VLOOKUP($C117,$C$210:$Q$237,6,FALSE)</f>
        <v>40.201207731162441</v>
      </c>
      <c r="J117" s="983">
        <f>VLOOKUP($C117,$C$210:$Q$237,9,FALSE)</f>
        <v>41.398657228555081</v>
      </c>
      <c r="K117" s="983">
        <f>VLOOKUP($C117,$C$210:$Q$237,6,FALSE)</f>
        <v>40.201207731162441</v>
      </c>
      <c r="L117" s="983">
        <f>VLOOKUP($C117,$C$210:$Q$237,15,FALSE)</f>
        <v>38.171359704211653</v>
      </c>
      <c r="M117" s="983">
        <f>VLOOKUP($C117,$C$210:$Q$237,12,FALSE)</f>
        <v>37.370972477054067</v>
      </c>
      <c r="N117" s="982" t="s">
        <v>1733</v>
      </c>
      <c r="O117" s="982" t="s">
        <v>1734</v>
      </c>
    </row>
    <row r="118" spans="3:18" ht="15.6">
      <c r="C118" s="1125"/>
      <c r="D118" s="1122"/>
      <c r="E118" s="1119"/>
      <c r="F118" s="1001"/>
      <c r="G118" s="994">
        <v>24</v>
      </c>
      <c r="H118" s="995">
        <f>VLOOKUP($C117,$C$361:$Q$388,9,FALSE)</f>
        <v>35.586493531347543</v>
      </c>
      <c r="I118" s="995">
        <f>VLOOKUP($C117,$C$361:$Q$388,6,FALSE)</f>
        <v>35.316540119903834</v>
      </c>
      <c r="J118" s="995">
        <f>VLOOKUP($C117,$C$361:$Q$388,9,FALSE)</f>
        <v>35.586493531347543</v>
      </c>
      <c r="K118" s="995">
        <f>VLOOKUP($C117,$C$361:$Q$388,6,FALSE)</f>
        <v>35.316540119903834</v>
      </c>
      <c r="L118" s="995">
        <f>VLOOKUP($C117,$C$361:$Q$388,15,FALSE)</f>
        <v>32.389666582956409</v>
      </c>
      <c r="M118" s="995">
        <f>VLOOKUP($C117,$C$361:$Q$388,6,FALSE)</f>
        <v>35.316540119903834</v>
      </c>
      <c r="N118" s="996" t="s">
        <v>1730</v>
      </c>
      <c r="O118" s="996" t="s">
        <v>1730</v>
      </c>
      <c r="Q118" s="29"/>
      <c r="R118" s="29"/>
    </row>
    <row r="119" spans="3:18" ht="15.6">
      <c r="C119" s="1126"/>
      <c r="D119" s="1123"/>
      <c r="E119" s="1120"/>
      <c r="F119" s="1001"/>
      <c r="G119" s="999">
        <v>26</v>
      </c>
      <c r="H119" s="988">
        <f>VLOOKUP($C117,$C$280:$Q$307,9,FALSE)</f>
        <v>32.77720424249646</v>
      </c>
      <c r="I119" s="988">
        <f>VLOOKUP($C117,$C$280:$Q$307,6,FALSE)</f>
        <v>31.977670702726641</v>
      </c>
      <c r="J119" s="988">
        <f>VLOOKUP($C117,$C$280:$Q$307,9,FALSE)</f>
        <v>32.77720424249646</v>
      </c>
      <c r="K119" s="988">
        <f>VLOOKUP($C117,$C$280:$Q$307,6,FALSE)</f>
        <v>31.977670702726641</v>
      </c>
      <c r="L119" s="988">
        <f>VLOOKUP($C117,$C$280:$Q$307,15,FALSE)</f>
        <v>29.64523850905406</v>
      </c>
      <c r="M119" s="988">
        <f>VLOOKUP($C117,$C$280:$Q$307,12,FALSE)</f>
        <v>29.107783742443658</v>
      </c>
      <c r="N119" s="989" t="s">
        <v>1730</v>
      </c>
      <c r="O119" s="989" t="s">
        <v>1730</v>
      </c>
      <c r="Q119" s="29"/>
      <c r="R119" s="29"/>
    </row>
    <row r="120" spans="3:18" ht="15.6">
      <c r="C120" s="1124" t="s">
        <v>435</v>
      </c>
      <c r="D120" s="1121" t="s">
        <v>1709</v>
      </c>
      <c r="E120" s="1118">
        <f t="shared" si="4"/>
        <v>71.27802258515743</v>
      </c>
      <c r="F120" s="1001">
        <v>29.022665972706776</v>
      </c>
      <c r="G120" s="982">
        <v>22</v>
      </c>
      <c r="H120" s="983">
        <f>VLOOKUP($C120,$C$210:$Q$237,9,FALSE)</f>
        <v>41.186931669061792</v>
      </c>
      <c r="I120" s="983">
        <f>VLOOKUP($C120,$C$210:$Q$237,6,FALSE)</f>
        <v>39.996347523044705</v>
      </c>
      <c r="J120" s="983">
        <f>VLOOKUP($C120,$C$210:$Q$237,9,FALSE)</f>
        <v>41.186931669061792</v>
      </c>
      <c r="K120" s="983">
        <f>VLOOKUP($C120,$C$210:$Q$237,6,FALSE)</f>
        <v>39.996347523044705</v>
      </c>
      <c r="L120" s="983">
        <f>VLOOKUP($C120,$C$210:$Q$237,15,FALSE)</f>
        <v>37.977672829921715</v>
      </c>
      <c r="M120" s="983">
        <f>VLOOKUP($C120,$C$210:$Q$237,12,FALSE)</f>
        <v>37.173042052521424</v>
      </c>
      <c r="N120" s="982" t="s">
        <v>1733</v>
      </c>
      <c r="O120" s="982" t="s">
        <v>1734</v>
      </c>
    </row>
    <row r="121" spans="3:18" ht="15.6">
      <c r="C121" s="1125"/>
      <c r="D121" s="1122"/>
      <c r="E121" s="1119"/>
      <c r="F121" s="1001"/>
      <c r="G121" s="994">
        <v>24</v>
      </c>
      <c r="H121" s="995">
        <f>VLOOKUP($C120,$C$361:$Q$388,9,FALSE)</f>
        <v>35.331044296449335</v>
      </c>
      <c r="I121" s="995">
        <f>VLOOKUP($C120,$C$361:$Q$388,6,FALSE)</f>
        <v>35.066491699424503</v>
      </c>
      <c r="J121" s="995">
        <f>VLOOKUP($C120,$C$361:$Q$388,9,FALSE)</f>
        <v>35.331044296449335</v>
      </c>
      <c r="K121" s="995">
        <f>VLOOKUP($C120,$C$361:$Q$388,6,FALSE)</f>
        <v>35.066491699424503</v>
      </c>
      <c r="L121" s="995">
        <f>VLOOKUP($C120,$C$361:$Q$388,15,FALSE)</f>
        <v>32.133270776748006</v>
      </c>
      <c r="M121" s="995">
        <f>VLOOKUP($C120,$C$361:$Q$388,6,FALSE)</f>
        <v>35.066491699424503</v>
      </c>
      <c r="N121" s="996" t="s">
        <v>1730</v>
      </c>
      <c r="O121" s="996" t="s">
        <v>1730</v>
      </c>
      <c r="Q121" s="29"/>
      <c r="R121" s="29"/>
    </row>
    <row r="122" spans="3:18" ht="15.6">
      <c r="C122" s="1126"/>
      <c r="D122" s="1123"/>
      <c r="E122" s="1120"/>
      <c r="F122" s="1001"/>
      <c r="G122" s="999">
        <v>26</v>
      </c>
      <c r="H122" s="988">
        <f>VLOOKUP($C120,$C$280:$Q$307,9,FALSE)</f>
        <v>32.464565198214082</v>
      </c>
      <c r="I122" s="988">
        <f>VLOOKUP($C120,$C$280:$Q$307,6,FALSE)</f>
        <v>31.695086600934019</v>
      </c>
      <c r="J122" s="988">
        <f>VLOOKUP($C120,$C$280:$Q$307,9,FALSE)</f>
        <v>32.464565198214082</v>
      </c>
      <c r="K122" s="988">
        <f>VLOOKUP($C120,$C$280:$Q$307,6,FALSE)</f>
        <v>31.695086600934019</v>
      </c>
      <c r="L122" s="988">
        <f>VLOOKUP($C120,$C$280:$Q$307,15,FALSE)</f>
        <v>29.301469785746555</v>
      </c>
      <c r="M122" s="988">
        <f>VLOOKUP($C120,$C$280:$Q$307,12,FALSE)</f>
        <v>28.741773048123108</v>
      </c>
      <c r="N122" s="989" t="s">
        <v>1730</v>
      </c>
      <c r="O122" s="989" t="s">
        <v>1730</v>
      </c>
      <c r="Q122" s="29"/>
      <c r="R122" s="29"/>
    </row>
    <row r="123" spans="3:18" ht="15.6">
      <c r="C123" s="1124" t="s">
        <v>1711</v>
      </c>
      <c r="D123" s="1121" t="s">
        <v>1708</v>
      </c>
      <c r="E123" s="1118">
        <f t="shared" si="4"/>
        <v>71.396523939113308</v>
      </c>
      <c r="F123" s="1001">
        <v>28.841932665094735</v>
      </c>
      <c r="G123" s="982">
        <v>22</v>
      </c>
      <c r="H123" s="983">
        <f>VLOOKUP($C123,$C$210:$Q$237,9,FALSE)</f>
        <v>41.046675492626775</v>
      </c>
      <c r="I123" s="983">
        <f>VLOOKUP($C123,$C$210:$Q$237,6,FALSE)</f>
        <v>39.860864840481355</v>
      </c>
      <c r="J123" s="983">
        <f>VLOOKUP($C123,$C$210:$Q$237,9,FALSE)</f>
        <v>41.046675492626775</v>
      </c>
      <c r="K123" s="983">
        <f>VLOOKUP($C123,$C$210:$Q$237,6,FALSE)</f>
        <v>39.860864840481355</v>
      </c>
      <c r="L123" s="983">
        <f>VLOOKUP($C123,$C$210:$Q$237,15,FALSE)</f>
        <v>37.849945243467715</v>
      </c>
      <c r="M123" s="983">
        <f>VLOOKUP($C123,$C$210:$Q$237,12,FALSE)</f>
        <v>37.04253052464594</v>
      </c>
      <c r="N123" s="982" t="s">
        <v>1733</v>
      </c>
      <c r="O123" s="982" t="s">
        <v>1734</v>
      </c>
    </row>
    <row r="124" spans="3:18" ht="15.6">
      <c r="C124" s="1125"/>
      <c r="D124" s="1122"/>
      <c r="E124" s="1119"/>
      <c r="F124" s="1001"/>
      <c r="G124" s="994">
        <v>24</v>
      </c>
      <c r="H124" s="995">
        <f>VLOOKUP($C123,$C$361:$Q$388,9,FALSE)</f>
        <v>35.161551809886248</v>
      </c>
      <c r="I124" s="995">
        <f>VLOOKUP($C123,$C$361:$Q$388,6,FALSE)</f>
        <v>34.900582693805035</v>
      </c>
      <c r="J124" s="995">
        <f>VLOOKUP($C123,$C$361:$Q$388,9,FALSE)</f>
        <v>35.161551809886248</v>
      </c>
      <c r="K124" s="995">
        <f>VLOOKUP($C123,$C$361:$Q$388,6,FALSE)</f>
        <v>34.900582693805035</v>
      </c>
      <c r="L124" s="995">
        <f>VLOOKUP($C123,$C$361:$Q$388,15,FALSE)</f>
        <v>31.963150233008946</v>
      </c>
      <c r="M124" s="995">
        <f>VLOOKUP($C123,$C$361:$Q$388,6,FALSE)</f>
        <v>34.900582693805035</v>
      </c>
      <c r="N124" s="996" t="s">
        <v>1730</v>
      </c>
      <c r="O124" s="996" t="s">
        <v>1730</v>
      </c>
      <c r="Q124" s="29"/>
      <c r="R124" s="29"/>
    </row>
    <row r="125" spans="3:18" ht="15.6">
      <c r="C125" s="1126"/>
      <c r="D125" s="1123"/>
      <c r="E125" s="1120"/>
      <c r="F125" s="1001"/>
      <c r="G125" s="999">
        <v>26</v>
      </c>
      <c r="H125" s="988">
        <f>VLOOKUP($C123,$C$280:$Q$307,9,FALSE)</f>
        <v>32.256556494615253</v>
      </c>
      <c r="I125" s="988">
        <f>VLOOKUP($C123,$C$280:$Q$307,6,FALSE)</f>
        <v>31.507484306165082</v>
      </c>
      <c r="J125" s="988">
        <f>VLOOKUP($C123,$C$280:$Q$307,9,FALSE)</f>
        <v>32.256556494615253</v>
      </c>
      <c r="K125" s="988">
        <f>VLOOKUP($C123,$C$280:$Q$307,6,FALSE)</f>
        <v>31.507484306165082</v>
      </c>
      <c r="L125" s="988">
        <f>VLOOKUP($C123,$C$280:$Q$307,15,FALSE)</f>
        <v>29.072088089179438</v>
      </c>
      <c r="M125" s="988">
        <f>VLOOKUP($C123,$C$280:$Q$307,12,FALSE)</f>
        <v>28.497471685778592</v>
      </c>
      <c r="N125" s="989" t="s">
        <v>1730</v>
      </c>
      <c r="O125" s="989" t="s">
        <v>1730</v>
      </c>
      <c r="Q125" s="29"/>
      <c r="R125" s="29"/>
    </row>
    <row r="126" spans="3:18" ht="15.6">
      <c r="C126" s="1014" t="s">
        <v>405</v>
      </c>
      <c r="D126" s="1015" t="s">
        <v>1735</v>
      </c>
      <c r="E126" s="1118">
        <f t="shared" si="4"/>
        <v>71.596779199547427</v>
      </c>
      <c r="F126" s="981">
        <v>28</v>
      </c>
      <c r="G126" s="982">
        <v>22</v>
      </c>
      <c r="H126" s="983">
        <f>VLOOKUP($C126,$C$210:$Q$237,9,FALSE)</f>
        <v>42</v>
      </c>
      <c r="I126" s="983">
        <f>VLOOKUP($C126,$C$210:$Q$237,6,FALSE)</f>
        <v>40</v>
      </c>
      <c r="J126" s="983">
        <f>VLOOKUP($C126,$C$210:$Q$237,9,FALSE)</f>
        <v>42</v>
      </c>
      <c r="K126" s="983">
        <f>VLOOKUP($C126,$C$210:$Q$237,6,FALSE)</f>
        <v>40</v>
      </c>
      <c r="L126" s="983">
        <f>VLOOKUP($C126,$C$210:$Q$237,15,FALSE)</f>
        <v>37.635522055524831</v>
      </c>
      <c r="M126" s="983">
        <f>VLOOKUP($C126,$C$210:$Q$237,12,FALSE)</f>
        <v>38</v>
      </c>
      <c r="N126" s="982" t="s">
        <v>1733</v>
      </c>
      <c r="O126" s="982" t="s">
        <v>1734</v>
      </c>
    </row>
    <row r="127" spans="3:18" ht="15.6">
      <c r="C127" s="1083"/>
      <c r="D127" s="986"/>
      <c r="E127" s="1119"/>
      <c r="F127" s="981"/>
      <c r="G127" s="994">
        <v>24</v>
      </c>
      <c r="H127" s="995">
        <f>VLOOKUP($C126,$C$361:$Q$388,9,FALSE)</f>
        <v>34.875126710887329</v>
      </c>
      <c r="I127" s="995">
        <f>VLOOKUP($C126,$C$361:$Q$388,6,FALSE)</f>
        <v>34.620213313881635</v>
      </c>
      <c r="J127" s="995">
        <f>VLOOKUP($C126,$C$361:$Q$388,9,FALSE)</f>
        <v>34.875126710887329</v>
      </c>
      <c r="K127" s="995">
        <f>VLOOKUP($C126,$C$361:$Q$388,6,FALSE)</f>
        <v>34.620213313881635</v>
      </c>
      <c r="L127" s="995">
        <f>VLOOKUP($C126,$C$361:$Q$388,15,FALSE)</f>
        <v>31.675663781129728</v>
      </c>
      <c r="M127" s="995">
        <f>VLOOKUP($C126,$C$361:$Q$388,6,FALSE)</f>
        <v>34.620213313881635</v>
      </c>
      <c r="N127" s="996" t="s">
        <v>1730</v>
      </c>
      <c r="O127" s="996" t="s">
        <v>1730</v>
      </c>
    </row>
    <row r="128" spans="3:18" ht="15.6">
      <c r="C128" s="1016"/>
      <c r="D128" s="1017"/>
      <c r="E128" s="1120"/>
      <c r="F128" s="981">
        <v>28</v>
      </c>
      <c r="G128" s="999">
        <v>26</v>
      </c>
      <c r="H128" s="988">
        <f>VLOOKUP($C126,$C$280:$Q$307,9,FALSE)</f>
        <v>31.904008808618663</v>
      </c>
      <c r="I128" s="988">
        <f>VLOOKUP($C126,$C$280:$Q$307,6,FALSE)</f>
        <v>31.190263971356543</v>
      </c>
      <c r="J128" s="988">
        <f>VLOOKUP($C126,$C$280:$Q$307,9,FALSE)</f>
        <v>31.904008808618663</v>
      </c>
      <c r="K128" s="988">
        <f>VLOOKUP($C126,$C$280:$Q$307,6,FALSE)</f>
        <v>31.190263971356543</v>
      </c>
      <c r="L128" s="988">
        <f>VLOOKUP($C126,$C$280:$Q$307,15,FALSE)</f>
        <v>28.682120027548599</v>
      </c>
      <c r="M128" s="988">
        <f>VLOOKUP($C126,$C$280:$Q$307,12,FALSE)</f>
        <v>28.081997272944321</v>
      </c>
      <c r="N128" s="989" t="s">
        <v>1730</v>
      </c>
      <c r="O128" s="989" t="s">
        <v>1730</v>
      </c>
    </row>
    <row r="129" spans="3:15" ht="15.6">
      <c r="C129" s="1018" t="s">
        <v>434</v>
      </c>
      <c r="D129" s="986" t="s">
        <v>1709</v>
      </c>
      <c r="E129" s="1118">
        <f>VLOOKUP(C129,$C$7:$J$36,8,FALSE)</f>
        <v>72.143941265090348</v>
      </c>
      <c r="F129" s="1001">
        <v>27</v>
      </c>
      <c r="G129" s="982">
        <v>22</v>
      </c>
      <c r="H129" s="983">
        <f>VLOOKUP($C129,$C$210:$Q$237,9,FALSE)</f>
        <v>41</v>
      </c>
      <c r="I129" s="983">
        <f>VLOOKUP($C129,$C$210:$Q$237,6,FALSE)</f>
        <v>40</v>
      </c>
      <c r="J129" s="983">
        <f>VLOOKUP($C129,$C$210:$Q$237,9,FALSE)</f>
        <v>41</v>
      </c>
      <c r="K129" s="983">
        <f>VLOOKUP($C129,$C$210:$Q$237,6,FALSE)</f>
        <v>40</v>
      </c>
      <c r="L129" s="983">
        <f>VLOOKUP($C129,$C$210:$Q$237,15,FALSE)</f>
        <v>39</v>
      </c>
      <c r="M129" s="983">
        <f>VLOOKUP($C129,$C$210:$Q$237,12,FALSE)</f>
        <v>38</v>
      </c>
      <c r="N129" s="982" t="s">
        <v>1733</v>
      </c>
      <c r="O129" s="982" t="s">
        <v>1734</v>
      </c>
    </row>
    <row r="130" spans="3:15" ht="15.6">
      <c r="C130" s="1083"/>
      <c r="D130" s="986"/>
      <c r="E130" s="1119"/>
      <c r="F130" s="981"/>
      <c r="G130" s="994">
        <v>24</v>
      </c>
      <c r="H130" s="995">
        <f>VLOOKUP($C129,$C$361:$Q$388,9,FALSE)</f>
        <v>34.092520808541281</v>
      </c>
      <c r="I130" s="995">
        <f>VLOOKUP($C129,$C$361:$Q$388,6,FALSE)</f>
        <v>33.854153592397608</v>
      </c>
      <c r="J130" s="995">
        <f>VLOOKUP($C129,$C$361:$Q$388,9,FALSE)</f>
        <v>34.092520808541281</v>
      </c>
      <c r="K130" s="995">
        <f>VLOOKUP($C129,$C$361:$Q$388,6,FALSE)</f>
        <v>33.854153592397608</v>
      </c>
      <c r="L130" s="995">
        <f>VLOOKUP($C129,$C$361:$Q$388,15,FALSE)</f>
        <v>30.890157919836312</v>
      </c>
      <c r="M130" s="995">
        <f>VLOOKUP($C129,$C$361:$Q$388,6,FALSE)</f>
        <v>33.854153592397608</v>
      </c>
      <c r="N130" s="996" t="s">
        <v>1730</v>
      </c>
      <c r="O130" s="996" t="s">
        <v>1730</v>
      </c>
    </row>
    <row r="131" spans="3:15" ht="15.6">
      <c r="C131" s="1016"/>
      <c r="D131" s="1017"/>
      <c r="E131" s="1120"/>
      <c r="F131" s="981">
        <v>28</v>
      </c>
      <c r="G131" s="999">
        <v>26</v>
      </c>
      <c r="H131" s="988">
        <f>VLOOKUP($C129,$C$280:$Q$307,9,FALSE)</f>
        <v>30.934109510965193</v>
      </c>
      <c r="I131" s="988">
        <f>VLOOKUP($C129,$C$280:$Q$307,6,FALSE)</f>
        <v>30.322288660911738</v>
      </c>
      <c r="J131" s="988">
        <f>VLOOKUP($C129,$C$280:$Q$307,9,FALSE)</f>
        <v>30.934109510965193</v>
      </c>
      <c r="K131" s="988">
        <f>VLOOKUP($C129,$C$280:$Q$307,6,FALSE)</f>
        <v>30.322288660911738</v>
      </c>
      <c r="L131" s="988">
        <f>VLOOKUP($C129,$C$280:$Q$307,15,FALSE)</f>
        <v>27.601633423194421</v>
      </c>
      <c r="M131" s="988">
        <f>VLOOKUP($C129,$C$280:$Q$307,12,FALSE)</f>
        <v>26.929937868398625</v>
      </c>
      <c r="N131" s="989" t="s">
        <v>1730</v>
      </c>
      <c r="O131" s="989" t="s">
        <v>1730</v>
      </c>
    </row>
    <row r="132" spans="3:15" ht="15.6">
      <c r="C132" s="978" t="s">
        <v>407</v>
      </c>
      <c r="D132" s="979" t="s">
        <v>404</v>
      </c>
      <c r="E132" s="1118">
        <f>VLOOKUP(C132,$C$7:$J$36,8,FALSE)</f>
        <v>72.406259977471279</v>
      </c>
      <c r="F132" s="981">
        <v>26</v>
      </c>
      <c r="G132" s="982">
        <v>22</v>
      </c>
      <c r="H132" s="983">
        <f>VLOOKUP($C132,$C$210:$Q$237,9,FALSE)</f>
        <v>41</v>
      </c>
      <c r="I132" s="983">
        <f>VLOOKUP($C132,$C$210:$Q$237,6,FALSE)</f>
        <v>40</v>
      </c>
      <c r="J132" s="983">
        <f>VLOOKUP($C132,$C$210:$Q$237,9,FALSE)</f>
        <v>41</v>
      </c>
      <c r="K132" s="983">
        <f>VLOOKUP($C132,$C$210:$Q$237,6,FALSE)</f>
        <v>40</v>
      </c>
      <c r="L132" s="983">
        <f>VLOOKUP($C132,$C$210:$Q$237,15,FALSE)</f>
        <v>39</v>
      </c>
      <c r="M132" s="983">
        <f>VLOOKUP($C132,$C$210:$Q$237,12,FALSE)</f>
        <v>38</v>
      </c>
      <c r="N132" s="982" t="s">
        <v>1733</v>
      </c>
      <c r="O132" s="982" t="s">
        <v>1734</v>
      </c>
    </row>
    <row r="133" spans="3:15" ht="15.6">
      <c r="C133" s="1018"/>
      <c r="D133" s="1082"/>
      <c r="E133" s="1119"/>
      <c r="F133" s="981"/>
      <c r="G133" s="994">
        <v>24</v>
      </c>
      <c r="H133" s="995">
        <f>VLOOKUP($C132,$C$361:$Q$388,9,FALSE)</f>
        <v>33.717326354222834</v>
      </c>
      <c r="I133" s="995">
        <f>VLOOKUP($C132,$C$361:$Q$388,6,FALSE)</f>
        <v>33.486891655941562</v>
      </c>
      <c r="J133" s="995">
        <f>VLOOKUP($C132,$C$361:$Q$388,9,FALSE)</f>
        <v>33.717326354222834</v>
      </c>
      <c r="K133" s="995">
        <f>VLOOKUP($C132,$C$361:$Q$388,6,FALSE)</f>
        <v>33.486891655941562</v>
      </c>
      <c r="L133" s="995">
        <f>VLOOKUP($C132,$C$361:$Q$388,15,FALSE)</f>
        <v>30.513573176342234</v>
      </c>
      <c r="M133" s="995">
        <f>VLOOKUP($C132,$C$361:$Q$388,6,FALSE)</f>
        <v>33.486891655941562</v>
      </c>
      <c r="N133" s="996" t="s">
        <v>1730</v>
      </c>
      <c r="O133" s="996" t="s">
        <v>1730</v>
      </c>
    </row>
    <row r="134" spans="3:15" ht="15.6">
      <c r="C134" s="985"/>
      <c r="D134" s="1019"/>
      <c r="E134" s="1120"/>
      <c r="F134" s="981">
        <v>26</v>
      </c>
      <c r="G134" s="999">
        <v>26</v>
      </c>
      <c r="H134" s="988">
        <f>VLOOKUP($C132,$C$280:$Q$307,9,FALSE)</f>
        <v>30.46568350788646</v>
      </c>
      <c r="I134" s="988">
        <f>VLOOKUP($C132,$C$280:$Q$307,6,FALSE)</f>
        <v>29.905529648247466</v>
      </c>
      <c r="J134" s="988">
        <f>VLOOKUP($C132,$C$280:$Q$307,9,FALSE)</f>
        <v>30.46568350788646</v>
      </c>
      <c r="K134" s="988">
        <f>VLOOKUP($C132,$C$280:$Q$307,6,FALSE)</f>
        <v>29.905529648247466</v>
      </c>
      <c r="L134" s="988">
        <f>VLOOKUP($C132,$C$280:$Q$307,15,FALSE)</f>
        <v>27.075858226305293</v>
      </c>
      <c r="M134" s="988">
        <f>VLOOKUP($C132,$C$280:$Q$307,12,FALSE)</f>
        <v>26.368872692300371</v>
      </c>
      <c r="N134" s="989" t="s">
        <v>1730</v>
      </c>
      <c r="O134" s="989" t="s">
        <v>1730</v>
      </c>
    </row>
    <row r="135" spans="3:15" ht="15.6">
      <c r="C135" s="1151" t="s">
        <v>1712</v>
      </c>
      <c r="D135" s="1121" t="s">
        <v>1709</v>
      </c>
      <c r="E135" s="1118">
        <f>VLOOKUP(C135,$C$7:$J$36,8,FALSE)</f>
        <v>73.272853961107671</v>
      </c>
      <c r="F135" s="1001">
        <v>23.775959883961661</v>
      </c>
      <c r="G135" s="982">
        <v>22</v>
      </c>
      <c r="H135" s="983">
        <f>VLOOKUP($C135,$C$210:$Q$237,9,FALSE)</f>
        <v>38.849838316422762</v>
      </c>
      <c r="I135" s="983">
        <f>VLOOKUP($C135,$C$210:$Q$237,6,FALSE)</f>
        <v>37.76281670821561</v>
      </c>
      <c r="J135" s="983">
        <f>VLOOKUP($C135,$C$210:$Q$237,9,FALSE)</f>
        <v>38.849838316422762</v>
      </c>
      <c r="K135" s="983">
        <f>VLOOKUP($C135,$C$210:$Q$237,6,FALSE)</f>
        <v>37.76281670821561</v>
      </c>
      <c r="L135" s="983">
        <f>VLOOKUP($C135,$C$210:$Q$237,15,FALSE)</f>
        <v>35.910996698271475</v>
      </c>
      <c r="M135" s="983">
        <f>VLOOKUP($C135,$C$210:$Q$237,12,FALSE)</f>
        <v>35.062870196424399</v>
      </c>
      <c r="N135" s="982" t="s">
        <v>1733</v>
      </c>
      <c r="O135" s="982" t="s">
        <v>1734</v>
      </c>
    </row>
    <row r="136" spans="3:15" ht="15.6">
      <c r="C136" s="1152"/>
      <c r="D136" s="1122"/>
      <c r="E136" s="1119"/>
      <c r="F136" s="981"/>
      <c r="G136" s="994">
        <v>24</v>
      </c>
      <c r="H136" s="995">
        <f>VLOOKUP($C135,$C$361:$Q$388,9,FALSE)</f>
        <v>32.477836979427707</v>
      </c>
      <c r="I136" s="995">
        <f>VLOOKUP($C135,$C$361:$Q$388,6,FALSE)</f>
        <v>32.273608083211599</v>
      </c>
      <c r="J136" s="995">
        <f>VLOOKUP($C135,$C$361:$Q$388,9,FALSE)</f>
        <v>32.477836979427707</v>
      </c>
      <c r="K136" s="995">
        <f>VLOOKUP($C135,$C$361:$Q$388,6,FALSE)</f>
        <v>32.273608083211599</v>
      </c>
      <c r="L136" s="995">
        <f>VLOOKUP($C135,$C$361:$Q$388,15,FALSE)</f>
        <v>29.269490853433837</v>
      </c>
      <c r="M136" s="995">
        <f>VLOOKUP($C135,$C$361:$Q$388,6,FALSE)</f>
        <v>32.273608083211599</v>
      </c>
      <c r="N136" s="996" t="s">
        <v>1730</v>
      </c>
      <c r="O136" s="996" t="s">
        <v>1730</v>
      </c>
    </row>
    <row r="137" spans="3:15" ht="15.6">
      <c r="C137" s="1153"/>
      <c r="D137" s="1123"/>
      <c r="E137" s="1120"/>
      <c r="F137" s="981">
        <v>28</v>
      </c>
      <c r="G137" s="999">
        <v>26</v>
      </c>
      <c r="H137" s="988">
        <f>VLOOKUP($C135,$C$280:$Q$307,9,FALSE)</f>
        <v>28.902346535161719</v>
      </c>
      <c r="I137" s="988">
        <f>VLOOKUP($C135,$C$280:$Q$307,6,FALSE)</f>
        <v>28.525793006707104</v>
      </c>
      <c r="J137" s="988">
        <f>VLOOKUP($C135,$C$280:$Q$307,9,FALSE)</f>
        <v>28.902346535161719</v>
      </c>
      <c r="K137" s="988">
        <f>VLOOKUP($C135,$C$280:$Q$307,6,FALSE)</f>
        <v>28.525793006707104</v>
      </c>
      <c r="L137" s="988">
        <f>VLOOKUP($C135,$C$280:$Q$307,15,FALSE)</f>
        <v>25.30310541661931</v>
      </c>
      <c r="M137" s="988">
        <f>VLOOKUP($C135,$C$280:$Q$307,12,FALSE)</f>
        <v>24.475035970604111</v>
      </c>
      <c r="N137" s="989" t="s">
        <v>1730</v>
      </c>
      <c r="O137" s="989" t="s">
        <v>1730</v>
      </c>
    </row>
    <row r="138" spans="3:15" ht="15.6">
      <c r="C138" s="1124" t="s">
        <v>441</v>
      </c>
      <c r="D138" s="1121" t="s">
        <v>1708</v>
      </c>
      <c r="E138" s="1118">
        <f>VLOOKUP(C138,$C$7:$J$36,8,FALSE)</f>
        <v>73.961348707585103</v>
      </c>
      <c r="F138" s="1127">
        <v>21.976800802777156</v>
      </c>
      <c r="G138" s="982">
        <v>22</v>
      </c>
      <c r="H138" s="983">
        <f>VLOOKUP($C138,$C$210:$Q$237,9,FALSE)</f>
        <v>41</v>
      </c>
      <c r="I138" s="983">
        <f>VLOOKUP($C138,$C$210:$Q$237,6,FALSE)</f>
        <v>40</v>
      </c>
      <c r="J138" s="983">
        <f>VLOOKUP($C138,$C$210:$Q$237,9,FALSE)</f>
        <v>41</v>
      </c>
      <c r="K138" s="983">
        <f>VLOOKUP($C138,$C$210:$Q$237,6,FALSE)</f>
        <v>40</v>
      </c>
      <c r="L138" s="983">
        <f>VLOOKUP($C138,$C$210:$Q$237,15,FALSE)</f>
        <v>38</v>
      </c>
      <c r="M138" s="983">
        <f>VLOOKUP($C138,$C$210:$Q$237,12,FALSE)</f>
        <v>37</v>
      </c>
      <c r="N138" s="982" t="s">
        <v>1733</v>
      </c>
      <c r="O138" s="982" t="s">
        <v>1734</v>
      </c>
    </row>
    <row r="139" spans="3:15" ht="15.6">
      <c r="C139" s="1125"/>
      <c r="D139" s="1122"/>
      <c r="E139" s="1119"/>
      <c r="F139" s="1128"/>
      <c r="G139" s="994">
        <v>24</v>
      </c>
      <c r="H139" s="995">
        <f>VLOOKUP($C138,$C$361:$Q$388,9,FALSE)</f>
        <v>31.49308294354104</v>
      </c>
      <c r="I139" s="995">
        <f>VLOOKUP($C138,$C$361:$Q$388,6,FALSE)</f>
        <v>31.309674128458411</v>
      </c>
      <c r="J139" s="995">
        <f>VLOOKUP($C138,$C$361:$Q$388,9,FALSE)</f>
        <v>31.49308294354104</v>
      </c>
      <c r="K139" s="995">
        <f>VLOOKUP($C138,$C$361:$Q$388,6,FALSE)</f>
        <v>31.309674128458411</v>
      </c>
      <c r="L139" s="995">
        <f>VLOOKUP($C138,$C$361:$Q$388,15,FALSE)</f>
        <v>28.281087795390832</v>
      </c>
      <c r="M139" s="995">
        <f>VLOOKUP($C138,$C$361:$Q$388,6,FALSE)</f>
        <v>31.309674128458411</v>
      </c>
      <c r="N139" s="996" t="s">
        <v>1730</v>
      </c>
      <c r="O139" s="996" t="s">
        <v>1730</v>
      </c>
    </row>
    <row r="140" spans="3:15" ht="15.6">
      <c r="C140" s="1126"/>
      <c r="D140" s="1123"/>
      <c r="E140" s="1120"/>
      <c r="F140" s="1129"/>
      <c r="G140" s="999">
        <v>26</v>
      </c>
      <c r="H140" s="988">
        <f>VLOOKUP($C138,$C$280:$Q$307,9,FALSE)</f>
        <v>27.642956018568306</v>
      </c>
      <c r="I140" s="988">
        <f>VLOOKUP($C138,$C$280:$Q$307,6,FALSE)</f>
        <v>27.426402799933442</v>
      </c>
      <c r="J140" s="988">
        <f>VLOOKUP($C138,$C$280:$Q$307,9,FALSE)</f>
        <v>27.642956018568306</v>
      </c>
      <c r="K140" s="988">
        <f>VLOOKUP($C138,$C$280:$Q$307,6,FALSE)</f>
        <v>27.426402799933442</v>
      </c>
      <c r="L140" s="988">
        <f>VLOOKUP($C138,$C$280:$Q$307,15,FALSE)</f>
        <v>23.855495766059143</v>
      </c>
      <c r="M140" s="988">
        <f>VLOOKUP($C138,$C$280:$Q$307,12,FALSE)</f>
        <v>22.9263020483953</v>
      </c>
      <c r="N140" s="989" t="s">
        <v>1730</v>
      </c>
      <c r="O140" s="989" t="s">
        <v>1730</v>
      </c>
    </row>
    <row r="141" spans="3:15" ht="15.6">
      <c r="C141" s="1124" t="s">
        <v>425</v>
      </c>
      <c r="D141" s="1121" t="s">
        <v>423</v>
      </c>
      <c r="E141" s="1118">
        <f>VLOOKUP(C141,$C$7:$J$36,8,FALSE)</f>
        <v>74.075210894060092</v>
      </c>
      <c r="F141" s="1001">
        <v>21.658527887215072</v>
      </c>
      <c r="G141" s="982">
        <v>22</v>
      </c>
      <c r="H141" s="983">
        <f>VLOOKUP($C141,$C$210:$Q$237,9,FALSE)</f>
        <v>37.924181280020889</v>
      </c>
      <c r="I141" s="983">
        <f>VLOOKUP($C141,$C$210:$Q$237,6,FALSE)</f>
        <v>36.892729309962732</v>
      </c>
      <c r="J141" s="983">
        <f>VLOOKUP($C141,$C$210:$Q$237,9,FALSE)</f>
        <v>37.924181280020889</v>
      </c>
      <c r="K141" s="983">
        <f>VLOOKUP($C141,$C$210:$Q$237,6,FALSE)</f>
        <v>36.892729309962732</v>
      </c>
      <c r="L141" s="983">
        <f>VLOOKUP($C141,$C$210:$Q$237,15,FALSE)</f>
        <v>35.129791375439396</v>
      </c>
      <c r="M141" s="983">
        <f>VLOOKUP($C141,$C$210:$Q$237,12,FALSE)</f>
        <v>34.266190022731195</v>
      </c>
      <c r="N141" s="982" t="s">
        <v>1733</v>
      </c>
      <c r="O141" s="982" t="s">
        <v>1736</v>
      </c>
    </row>
    <row r="142" spans="3:15" ht="15.6">
      <c r="C142" s="1125"/>
      <c r="D142" s="1122"/>
      <c r="E142" s="1119"/>
      <c r="F142" s="981"/>
      <c r="G142" s="994">
        <v>24</v>
      </c>
      <c r="H142" s="995">
        <f>VLOOKUP($C141,$C$361:$Q$388,9,FALSE)</f>
        <v>31.330225858225859</v>
      </c>
      <c r="I142" s="995">
        <f>VLOOKUP($C141,$C$361:$Q$388,6,FALSE)</f>
        <v>31.15026023566223</v>
      </c>
      <c r="J142" s="995">
        <f>VLOOKUP($C141,$C$361:$Q$388,9,FALSE)</f>
        <v>31.330225858225859</v>
      </c>
      <c r="K142" s="995">
        <f>VLOOKUP($C141,$C$361:$Q$388,6,FALSE)</f>
        <v>31.15026023566223</v>
      </c>
      <c r="L142" s="995">
        <f>VLOOKUP($C141,$C$361:$Q$388,15,FALSE)</f>
        <v>28.117627240487337</v>
      </c>
      <c r="M142" s="995">
        <f>VLOOKUP($C141,$C$361:$Q$388,6,FALSE)</f>
        <v>31.15026023566223</v>
      </c>
      <c r="N142" s="996" t="s">
        <v>1730</v>
      </c>
      <c r="O142" s="996" t="s">
        <v>1730</v>
      </c>
    </row>
    <row r="143" spans="3:15" ht="15.6">
      <c r="C143" s="1126"/>
      <c r="D143" s="1123"/>
      <c r="E143" s="1120"/>
      <c r="F143" s="981">
        <v>26</v>
      </c>
      <c r="G143" s="999">
        <v>26</v>
      </c>
      <c r="H143" s="988">
        <f>VLOOKUP($C141,$C$280:$Q$307,9,FALSE)</f>
        <v>27.433199979305854</v>
      </c>
      <c r="I143" s="988">
        <f>VLOOKUP($C141,$C$280:$Q$307,6,FALSE)</f>
        <v>27.244313289272753</v>
      </c>
      <c r="J143" s="988">
        <f>VLOOKUP($C141,$C$280:$Q$307,9,FALSE)</f>
        <v>27.433199979305854</v>
      </c>
      <c r="K143" s="988">
        <f>VLOOKUP($C141,$C$280:$Q$307,6,FALSE)</f>
        <v>27.244313289272753</v>
      </c>
      <c r="L143" s="988">
        <f>VLOOKUP($C141,$C$280:$Q$307,15,FALSE)</f>
        <v>23.612748634679328</v>
      </c>
      <c r="M143" s="988">
        <f>VLOOKUP($C141,$C$280:$Q$307,12,FALSE)</f>
        <v>22.666410895491211</v>
      </c>
      <c r="N143" s="989" t="s">
        <v>1730</v>
      </c>
      <c r="O143" s="989" t="s">
        <v>1730</v>
      </c>
    </row>
    <row r="144" spans="3:15" ht="15.6">
      <c r="C144" s="1124" t="s">
        <v>432</v>
      </c>
      <c r="D144" s="1121" t="s">
        <v>1709</v>
      </c>
      <c r="E144" s="1118">
        <f>VLOOKUP(C144,$C$7:$J$36,8,FALSE)</f>
        <v>75.753783058301622</v>
      </c>
      <c r="F144" s="1001">
        <v>17.263687313437785</v>
      </c>
      <c r="G144" s="982">
        <v>22</v>
      </c>
      <c r="H144" s="983">
        <f>VLOOKUP($C144,$C$210:$Q$237,9,FALSE)</f>
        <v>36.01431120658205</v>
      </c>
      <c r="I144" s="983">
        <f>VLOOKUP($C144,$C$210:$Q$237,6,FALSE)</f>
        <v>35.1249331858522</v>
      </c>
      <c r="J144" s="983">
        <f>VLOOKUP($C144,$C$210:$Q$237,9,FALSE)</f>
        <v>36.01431120658205</v>
      </c>
      <c r="K144" s="983">
        <f>VLOOKUP($C144,$C$210:$Q$237,6,FALSE)</f>
        <v>35.1249331858522</v>
      </c>
      <c r="L144" s="983">
        <f>VLOOKUP($C144,$C$210:$Q$237,15,FALSE)</f>
        <v>33.588336005630453</v>
      </c>
      <c r="M144" s="983">
        <f>VLOOKUP($C144,$C$210:$Q$237,12,FALSE)</f>
        <v>32.696108441954209</v>
      </c>
      <c r="N144" s="982" t="s">
        <v>1733</v>
      </c>
      <c r="O144" s="982" t="s">
        <v>1736</v>
      </c>
    </row>
    <row r="145" spans="1:18" ht="15.6">
      <c r="C145" s="1125"/>
      <c r="D145" s="1122"/>
      <c r="E145" s="1119"/>
      <c r="F145" s="981"/>
      <c r="G145" s="994">
        <v>24</v>
      </c>
      <c r="H145" s="995">
        <f>VLOOKUP($C144,$C$361:$Q$388,9,FALSE)</f>
        <v>28.929364091711193</v>
      </c>
      <c r="I145" s="995">
        <f>VLOOKUP($C144,$C$361:$Q$388,6,FALSE)</f>
        <v>28.800158491394242</v>
      </c>
      <c r="J145" s="995">
        <f>VLOOKUP($C144,$C$361:$Q$388,9,FALSE)</f>
        <v>28.929364091711193</v>
      </c>
      <c r="K145" s="995">
        <f>VLOOKUP($C144,$C$361:$Q$388,6,FALSE)</f>
        <v>28.800158491394242</v>
      </c>
      <c r="L145" s="995">
        <f>VLOOKUP($C144,$C$361:$Q$388,15,FALSE)</f>
        <v>25.707869041502207</v>
      </c>
      <c r="M145" s="995">
        <f>VLOOKUP($C144,$C$361:$Q$388,6,FALSE)</f>
        <v>28.800158491394242</v>
      </c>
      <c r="N145" s="996" t="s">
        <v>1730</v>
      </c>
      <c r="O145" s="996" t="s">
        <v>1730</v>
      </c>
    </row>
    <row r="146" spans="1:18" ht="15.6">
      <c r="C146" s="1126"/>
      <c r="D146" s="1123"/>
      <c r="E146" s="1120"/>
      <c r="F146" s="981">
        <v>26</v>
      </c>
      <c r="G146" s="999">
        <v>26</v>
      </c>
      <c r="H146" s="988">
        <f>VLOOKUP($C144,$C$280:$Q$307,9,FALSE)</f>
        <v>24.292205888579247</v>
      </c>
      <c r="I146" s="988">
        <f>VLOOKUP($C144,$C$280:$Q$307,6,FALSE)</f>
        <v>24.550898246423131</v>
      </c>
      <c r="J146" s="988">
        <f>VLOOKUP($C144,$C$280:$Q$307,9,FALSE)</f>
        <v>24.292205888579247</v>
      </c>
      <c r="K146" s="988">
        <f>VLOOKUP($C144,$C$280:$Q$307,6,FALSE)</f>
        <v>24.550898246423131</v>
      </c>
      <c r="L146" s="988">
        <f>VLOOKUP($C144,$C$280:$Q$307,15,FALSE)</f>
        <v>19.924017182412094</v>
      </c>
      <c r="M146" s="988">
        <f>VLOOKUP($C144,$C$280:$Q$307,12,FALSE)</f>
        <v>18.711099737371896</v>
      </c>
      <c r="N146" s="989" t="s">
        <v>1730</v>
      </c>
      <c r="O146" s="989" t="s">
        <v>1730</v>
      </c>
    </row>
    <row r="147" spans="1:18" ht="15.6">
      <c r="C147" s="1124" t="s">
        <v>426</v>
      </c>
      <c r="D147" s="1121" t="s">
        <v>423</v>
      </c>
      <c r="E147" s="1118">
        <f>VLOOKUP(C147,$C$7:$J$36,8,FALSE)</f>
        <v>77.521654363776008</v>
      </c>
      <c r="F147" s="1001">
        <v>11.338428213302135</v>
      </c>
      <c r="G147" s="982">
        <v>22</v>
      </c>
      <c r="H147" s="983">
        <f>VLOOKUP($C147,$C$210:$Q$237,9,FALSE)</f>
        <v>31</v>
      </c>
      <c r="I147" s="983">
        <f>VLOOKUP($C147,$C$210:$Q$237,6,FALSE)</f>
        <v>30</v>
      </c>
      <c r="J147" s="983">
        <f>VLOOKUP($C147,$C$210:$Q$237,9,FALSE)</f>
        <v>31</v>
      </c>
      <c r="K147" s="983">
        <f>VLOOKUP($C147,$C$210:$Q$237,6,FALSE)</f>
        <v>30</v>
      </c>
      <c r="L147" s="983">
        <f>VLOOKUP($C147,$C$210:$Q$237,15,FALSE)</f>
        <v>28</v>
      </c>
      <c r="M147" s="983">
        <f>VLOOKUP($C147,$C$210:$Q$237,12,FALSE)</f>
        <v>27</v>
      </c>
      <c r="N147" s="1084" t="s">
        <v>1730</v>
      </c>
      <c r="O147" s="1084" t="s">
        <v>1730</v>
      </c>
    </row>
    <row r="148" spans="1:18" ht="15.6">
      <c r="C148" s="1125"/>
      <c r="D148" s="1122"/>
      <c r="E148" s="1119"/>
      <c r="F148" s="981"/>
      <c r="G148" s="994">
        <v>24</v>
      </c>
      <c r="H148" s="995">
        <f>VLOOKUP($C147,$C$361:$Q$388,9,FALSE)</f>
        <v>26.400777763491178</v>
      </c>
      <c r="I148" s="995">
        <f>VLOOKUP($C147,$C$361:$Q$388,6,FALSE)</f>
        <v>26.325032591451773</v>
      </c>
      <c r="J148" s="995">
        <f>VLOOKUP($C147,$C$361:$Q$388,9,FALSE)</f>
        <v>26.400777763491178</v>
      </c>
      <c r="K148" s="995">
        <f>VLOOKUP($C147,$C$361:$Q$388,6,FALSE)</f>
        <v>26.325032591451773</v>
      </c>
      <c r="L148" s="995">
        <f>VLOOKUP($C147,$C$361:$Q$388,15,FALSE)</f>
        <v>23.169912995363177</v>
      </c>
      <c r="M148" s="995">
        <f>VLOOKUP($C147,$C$361:$Q$388,6,FALSE)</f>
        <v>26.325032591451773</v>
      </c>
      <c r="N148" s="996" t="s">
        <v>1730</v>
      </c>
      <c r="O148" s="996" t="s">
        <v>1730</v>
      </c>
    </row>
    <row r="149" spans="1:18" ht="15.6">
      <c r="C149" s="1126"/>
      <c r="D149" s="1123"/>
      <c r="E149" s="1120"/>
      <c r="F149" s="981">
        <v>26</v>
      </c>
      <c r="G149" s="999">
        <v>26</v>
      </c>
      <c r="H149" s="988">
        <f>VLOOKUP($C147,$C$280:$Q$307,9,FALSE)</f>
        <v>20.885408122452084</v>
      </c>
      <c r="I149" s="988">
        <f>VLOOKUP($C147,$C$280:$Q$307,6,FALSE)</f>
        <v>21.695916358512093</v>
      </c>
      <c r="J149" s="988">
        <f>VLOOKUP($C147,$C$280:$Q$307,9,FALSE)</f>
        <v>20.885408122452084</v>
      </c>
      <c r="K149" s="988">
        <f>VLOOKUP($C147,$C$280:$Q$307,6,FALSE)</f>
        <v>21.695916358512093</v>
      </c>
      <c r="L149" s="988">
        <f>VLOOKUP($C147,$C$280:$Q$307,15,FALSE)</f>
        <v>15.816048202379598</v>
      </c>
      <c r="M149" s="988">
        <f>VLOOKUP($C147,$C$280:$Q$307,12,FALSE)</f>
        <v>14.29434195856139</v>
      </c>
      <c r="N149" s="989" t="s">
        <v>1730</v>
      </c>
      <c r="O149" s="989" t="s">
        <v>1730</v>
      </c>
    </row>
    <row r="150" spans="1:18" ht="15.6">
      <c r="C150" s="1124" t="s">
        <v>447</v>
      </c>
      <c r="D150" s="1121" t="s">
        <v>1708</v>
      </c>
      <c r="E150" s="1118">
        <f>VLOOKUP(C150,$C$7:$J$36,8,FALSE)</f>
        <v>82.596339388573085</v>
      </c>
      <c r="F150" s="1001">
        <v>-1</v>
      </c>
      <c r="G150" s="982">
        <v>22</v>
      </c>
      <c r="H150" s="983">
        <f>VLOOKUP($C150,$C$210:$Q$237,9,FALSE)</f>
        <v>28</v>
      </c>
      <c r="I150" s="983">
        <f>VLOOKUP($C150,$C$210:$Q$237,6,FALSE)</f>
        <v>28</v>
      </c>
      <c r="J150" s="983">
        <f>VLOOKUP($C150,$C$210:$Q$237,9,FALSE)</f>
        <v>28</v>
      </c>
      <c r="K150" s="983">
        <f>VLOOKUP($C150,$C$210:$Q$237,6,FALSE)</f>
        <v>28</v>
      </c>
      <c r="L150" s="983">
        <f>VLOOKUP($C150,$C$210:$Q$237,15,FALSE)</f>
        <v>28.604955127122338</v>
      </c>
      <c r="M150" s="983">
        <f>VLOOKUP($C150,$C$210:$Q$237,12,FALSE)</f>
        <v>27.64851092635115</v>
      </c>
      <c r="N150" s="1084" t="s">
        <v>1730</v>
      </c>
      <c r="O150" s="1084" t="s">
        <v>1730</v>
      </c>
    </row>
    <row r="151" spans="1:18" ht="15.6">
      <c r="C151" s="1125"/>
      <c r="D151" s="1122"/>
      <c r="E151" s="1119"/>
      <c r="F151" s="981"/>
      <c r="G151" s="994">
        <v>24</v>
      </c>
      <c r="H151" s="996" t="s">
        <v>1730</v>
      </c>
      <c r="I151" s="996" t="s">
        <v>1730</v>
      </c>
      <c r="J151" s="996" t="s">
        <v>1730</v>
      </c>
      <c r="K151" s="996" t="s">
        <v>1730</v>
      </c>
      <c r="L151" s="996" t="s">
        <v>1730</v>
      </c>
      <c r="M151" s="996" t="s">
        <v>1730</v>
      </c>
      <c r="N151" s="996" t="s">
        <v>1730</v>
      </c>
      <c r="O151" s="996" t="s">
        <v>1730</v>
      </c>
    </row>
    <row r="152" spans="1:18" ht="15.6">
      <c r="C152" s="1126"/>
      <c r="D152" s="1123"/>
      <c r="E152" s="1120"/>
      <c r="F152" s="981"/>
      <c r="G152" s="999">
        <v>26</v>
      </c>
      <c r="H152" s="989" t="s">
        <v>1730</v>
      </c>
      <c r="I152" s="989" t="s">
        <v>1730</v>
      </c>
      <c r="J152" s="989" t="s">
        <v>1730</v>
      </c>
      <c r="K152" s="989" t="s">
        <v>1730</v>
      </c>
      <c r="L152" s="989" t="s">
        <v>1730</v>
      </c>
      <c r="M152" s="989" t="s">
        <v>1730</v>
      </c>
      <c r="N152" s="989" t="s">
        <v>1730</v>
      </c>
      <c r="O152" s="989" t="s">
        <v>1730</v>
      </c>
    </row>
    <row r="155" spans="1:18" ht="21">
      <c r="C155" s="1085" t="s">
        <v>1737</v>
      </c>
      <c r="D155" s="1085"/>
    </row>
    <row r="157" spans="1:18">
      <c r="A157" s="911"/>
      <c r="B157" s="911"/>
      <c r="C157" s="911"/>
      <c r="D157" s="911"/>
      <c r="E157" s="911"/>
      <c r="F157" s="911"/>
      <c r="G157" s="911"/>
      <c r="H157" s="911"/>
      <c r="I157" s="911"/>
      <c r="J157" s="911"/>
      <c r="K157" s="911"/>
      <c r="L157" s="911"/>
      <c r="M157" s="911"/>
      <c r="N157" s="911"/>
    </row>
    <row r="158" spans="1:18">
      <c r="A158" s="911"/>
      <c r="B158" s="911"/>
      <c r="C158" s="911"/>
      <c r="D158" s="911"/>
      <c r="E158" s="911"/>
      <c r="F158" s="911"/>
      <c r="G158" s="911"/>
      <c r="H158" s="911"/>
      <c r="I158" s="911"/>
      <c r="J158" s="911"/>
      <c r="K158" s="911"/>
      <c r="L158" s="911"/>
      <c r="M158" s="911"/>
      <c r="N158" s="911"/>
    </row>
    <row r="159" spans="1:18">
      <c r="A159" s="911"/>
      <c r="B159" s="911"/>
      <c r="C159" s="911"/>
      <c r="D159" s="911"/>
      <c r="E159" s="911"/>
      <c r="F159" s="911"/>
      <c r="G159" s="911"/>
      <c r="H159" s="911"/>
      <c r="I159" s="911"/>
      <c r="J159" s="911"/>
      <c r="K159" s="911"/>
      <c r="L159" s="911"/>
      <c r="M159" s="911"/>
      <c r="N159" s="911"/>
    </row>
    <row r="160" spans="1:18">
      <c r="A160" s="911"/>
      <c r="B160" s="911"/>
      <c r="C160" s="911"/>
      <c r="D160" s="911"/>
      <c r="E160" s="911"/>
      <c r="F160" s="911"/>
      <c r="G160" s="911"/>
      <c r="H160" s="911"/>
      <c r="I160" s="911"/>
      <c r="J160" s="911"/>
      <c r="K160" s="911"/>
      <c r="L160" s="911"/>
      <c r="M160" s="911"/>
      <c r="N160" s="911"/>
      <c r="P160" s="792"/>
      <c r="Q160" s="1022"/>
      <c r="R160" s="1022"/>
    </row>
    <row r="161" spans="1:18">
      <c r="A161" s="911"/>
      <c r="B161" s="911"/>
      <c r="C161" s="911"/>
      <c r="D161" s="911"/>
      <c r="E161" s="911"/>
      <c r="F161" s="911"/>
      <c r="G161" s="911"/>
      <c r="H161" s="911"/>
      <c r="I161" s="911"/>
      <c r="J161" s="911"/>
      <c r="K161" s="911"/>
      <c r="L161" s="911"/>
      <c r="M161" s="911"/>
      <c r="N161" s="911"/>
      <c r="Q161" s="1023"/>
      <c r="R161" s="1024"/>
    </row>
    <row r="162" spans="1:18">
      <c r="A162" s="911"/>
      <c r="B162" s="911"/>
      <c r="C162" s="911"/>
      <c r="D162" s="911"/>
      <c r="E162" s="911"/>
      <c r="F162" s="911"/>
      <c r="G162" s="911"/>
      <c r="H162" s="911"/>
      <c r="I162" s="911"/>
      <c r="J162" s="911"/>
      <c r="K162" s="911"/>
      <c r="L162" s="911"/>
      <c r="M162" s="911"/>
      <c r="N162" s="911"/>
      <c r="Q162" s="1023"/>
      <c r="R162" s="1024"/>
    </row>
    <row r="163" spans="1:18">
      <c r="A163" s="911"/>
      <c r="B163" s="911"/>
      <c r="C163" s="911"/>
      <c r="D163" s="911"/>
      <c r="E163" s="911"/>
      <c r="F163" s="911"/>
      <c r="G163" s="911"/>
      <c r="H163" s="911"/>
      <c r="I163" s="911"/>
      <c r="J163" s="911"/>
      <c r="K163" s="911"/>
      <c r="L163" s="911"/>
      <c r="M163" s="911"/>
      <c r="N163" s="911"/>
      <c r="Q163" s="1023"/>
      <c r="R163" s="1024"/>
    </row>
    <row r="164" spans="1:18">
      <c r="A164" s="911"/>
      <c r="B164" s="911"/>
      <c r="C164" s="911"/>
      <c r="D164" s="911"/>
      <c r="E164" s="911"/>
      <c r="F164" s="911"/>
      <c r="G164" s="911"/>
      <c r="H164" s="911"/>
      <c r="I164" s="911"/>
      <c r="J164" s="911"/>
      <c r="K164" s="911"/>
      <c r="L164" s="911"/>
      <c r="M164" s="911"/>
      <c r="N164" s="911"/>
      <c r="Q164" s="1023"/>
      <c r="R164" s="1024"/>
    </row>
    <row r="165" spans="1:18">
      <c r="A165" s="911"/>
      <c r="B165" s="911"/>
      <c r="C165" s="911"/>
      <c r="D165" s="911"/>
      <c r="E165" s="911"/>
      <c r="F165" s="911"/>
      <c r="G165" s="911"/>
      <c r="H165" s="911"/>
      <c r="I165" s="911"/>
      <c r="J165" s="911"/>
      <c r="K165" s="911"/>
      <c r="L165" s="911"/>
      <c r="M165" s="911"/>
      <c r="N165" s="911"/>
      <c r="Q165" s="1023"/>
      <c r="R165" s="1024"/>
    </row>
    <row r="166" spans="1:18">
      <c r="A166" s="911"/>
      <c r="B166" s="911"/>
      <c r="C166" s="911"/>
      <c r="D166" s="911"/>
      <c r="E166" s="911"/>
      <c r="F166" s="911"/>
      <c r="G166" s="911"/>
      <c r="H166" s="911"/>
      <c r="I166" s="911"/>
      <c r="J166" s="911"/>
      <c r="K166" s="911"/>
      <c r="L166" s="911"/>
      <c r="M166" s="911"/>
      <c r="N166" s="911"/>
      <c r="Q166" s="1023"/>
      <c r="R166" s="1024"/>
    </row>
    <row r="167" spans="1:18">
      <c r="A167" s="911"/>
      <c r="B167" s="911"/>
      <c r="C167" s="911"/>
      <c r="D167" s="911"/>
      <c r="E167" s="911"/>
      <c r="F167" s="911"/>
      <c r="G167" s="911"/>
      <c r="H167" s="911"/>
      <c r="I167" s="911"/>
      <c r="J167" s="911"/>
      <c r="K167" s="911"/>
      <c r="L167" s="911"/>
      <c r="M167" s="911"/>
      <c r="N167" s="911"/>
      <c r="Q167" s="1023"/>
      <c r="R167" s="1024"/>
    </row>
    <row r="168" spans="1:18">
      <c r="A168" s="911"/>
      <c r="B168" s="911"/>
      <c r="C168" s="911"/>
      <c r="D168" s="911"/>
      <c r="E168" s="911"/>
      <c r="F168" s="911"/>
      <c r="G168" s="911"/>
      <c r="H168" s="911"/>
      <c r="I168" s="911"/>
      <c r="J168" s="911"/>
      <c r="K168" s="911"/>
      <c r="L168" s="911"/>
      <c r="M168" s="911"/>
      <c r="N168" s="911"/>
      <c r="Q168" s="1025"/>
      <c r="R168" s="1024"/>
    </row>
    <row r="169" spans="1:18">
      <c r="A169" s="911"/>
      <c r="B169" s="911"/>
      <c r="C169" s="911"/>
      <c r="D169" s="911"/>
      <c r="E169" s="911"/>
      <c r="F169" s="911"/>
      <c r="G169" s="911"/>
      <c r="H169" s="911"/>
      <c r="I169" s="911"/>
      <c r="J169" s="911"/>
      <c r="K169" s="911"/>
      <c r="L169" s="911"/>
      <c r="M169" s="911"/>
      <c r="N169" s="911"/>
      <c r="Q169" s="1025"/>
      <c r="R169" s="1024"/>
    </row>
    <row r="170" spans="1:18">
      <c r="A170" s="911"/>
      <c r="B170" s="911"/>
      <c r="C170" s="911"/>
      <c r="D170" s="911"/>
      <c r="E170" s="911"/>
      <c r="F170" s="911"/>
      <c r="G170" s="911"/>
      <c r="H170" s="911"/>
      <c r="I170" s="911"/>
      <c r="J170" s="911"/>
      <c r="K170" s="911"/>
      <c r="L170" s="911"/>
      <c r="M170" s="911"/>
      <c r="N170" s="911"/>
      <c r="Q170" s="1025"/>
      <c r="R170" s="1024"/>
    </row>
    <row r="171" spans="1:18">
      <c r="A171" s="911"/>
      <c r="B171" s="911"/>
      <c r="C171" s="911"/>
      <c r="D171" s="911"/>
      <c r="E171" s="911"/>
      <c r="F171" s="911"/>
      <c r="G171" s="911"/>
      <c r="H171" s="911"/>
      <c r="I171" s="911"/>
      <c r="J171" s="911"/>
      <c r="K171" s="911"/>
      <c r="L171" s="911"/>
      <c r="M171" s="911"/>
      <c r="N171" s="911"/>
      <c r="Q171" s="1025"/>
      <c r="R171" s="1024"/>
    </row>
    <row r="172" spans="1:18">
      <c r="A172" s="911"/>
      <c r="B172" s="911"/>
      <c r="C172" s="911"/>
      <c r="D172" s="911"/>
      <c r="E172" s="911"/>
      <c r="F172" s="911"/>
      <c r="G172" s="911"/>
      <c r="H172" s="911"/>
      <c r="I172" s="911"/>
      <c r="J172" s="911"/>
      <c r="K172" s="911"/>
      <c r="L172" s="911"/>
      <c r="M172" s="911"/>
      <c r="N172" s="911"/>
      <c r="Q172" s="1025"/>
      <c r="R172" s="1024"/>
    </row>
    <row r="173" spans="1:18">
      <c r="A173" s="911"/>
      <c r="B173" s="911"/>
      <c r="C173" s="911"/>
      <c r="D173" s="911"/>
      <c r="E173" s="911"/>
      <c r="F173" s="911"/>
      <c r="G173" s="911"/>
      <c r="H173" s="911"/>
      <c r="I173" s="911"/>
      <c r="J173" s="911"/>
      <c r="K173" s="911"/>
      <c r="L173" s="911"/>
      <c r="M173" s="911"/>
      <c r="N173" s="911"/>
      <c r="Q173" s="1025"/>
      <c r="R173" s="1024"/>
    </row>
    <row r="174" spans="1:18">
      <c r="A174" s="911"/>
      <c r="B174" s="911"/>
      <c r="C174" s="911"/>
      <c r="D174" s="911"/>
      <c r="E174" s="911"/>
      <c r="F174" s="911"/>
      <c r="G174" s="911"/>
      <c r="H174" s="911"/>
      <c r="I174" s="911"/>
      <c r="J174" s="911"/>
      <c r="K174" s="911"/>
      <c r="L174" s="911"/>
      <c r="M174" s="911"/>
      <c r="N174" s="911"/>
      <c r="Q174" s="1025"/>
      <c r="R174" s="1024"/>
    </row>
    <row r="175" spans="1:18">
      <c r="A175" s="911"/>
      <c r="B175" s="911"/>
      <c r="C175" s="911"/>
      <c r="D175" s="911"/>
      <c r="E175" s="911"/>
      <c r="F175" s="911"/>
      <c r="G175" s="911"/>
      <c r="H175" s="911"/>
      <c r="I175" s="911"/>
      <c r="J175" s="911"/>
      <c r="K175" s="911"/>
      <c r="L175" s="911"/>
      <c r="M175" s="911"/>
      <c r="N175" s="911"/>
      <c r="Q175" s="1025"/>
      <c r="R175" s="1024"/>
    </row>
    <row r="176" spans="1:18">
      <c r="A176" s="911"/>
      <c r="B176" s="911"/>
      <c r="C176" s="911"/>
      <c r="D176" s="911"/>
      <c r="E176" s="911"/>
      <c r="F176" s="911"/>
      <c r="G176" s="911"/>
      <c r="H176" s="911"/>
      <c r="I176" s="911"/>
      <c r="J176" s="911"/>
      <c r="K176" s="911"/>
      <c r="L176" s="911"/>
      <c r="M176" s="911"/>
      <c r="N176" s="911"/>
      <c r="Q176" s="1025"/>
      <c r="R176" s="1024"/>
    </row>
    <row r="177" spans="1:18">
      <c r="A177" s="911"/>
      <c r="B177" s="911"/>
      <c r="C177" s="911"/>
      <c r="D177" s="911"/>
      <c r="E177" s="911"/>
      <c r="F177" s="911"/>
      <c r="G177" s="911"/>
      <c r="H177" s="911"/>
      <c r="I177" s="911"/>
      <c r="J177" s="911"/>
      <c r="K177" s="911"/>
      <c r="L177" s="911"/>
      <c r="M177" s="911"/>
      <c r="N177" s="911"/>
      <c r="Q177" s="1025"/>
      <c r="R177" s="1024"/>
    </row>
    <row r="178" spans="1:18">
      <c r="A178" s="911"/>
      <c r="B178" s="911"/>
      <c r="C178" s="911"/>
      <c r="D178" s="911"/>
      <c r="E178" s="911"/>
      <c r="F178" s="911"/>
      <c r="G178" s="911"/>
      <c r="H178" s="911"/>
      <c r="I178" s="911"/>
      <c r="J178" s="911"/>
      <c r="K178" s="911"/>
      <c r="L178" s="911"/>
      <c r="M178" s="911"/>
      <c r="N178" s="911"/>
      <c r="Q178" s="1025"/>
      <c r="R178" s="1024"/>
    </row>
    <row r="179" spans="1:18">
      <c r="A179" s="911"/>
      <c r="B179" s="911"/>
      <c r="C179" s="911"/>
      <c r="D179" s="911"/>
      <c r="E179" s="911"/>
      <c r="F179" s="911"/>
      <c r="G179" s="911"/>
      <c r="H179" s="911"/>
      <c r="I179" s="911"/>
      <c r="J179" s="911"/>
      <c r="K179" s="911"/>
      <c r="L179" s="911"/>
      <c r="M179" s="911"/>
      <c r="N179" s="911"/>
      <c r="Q179" s="1025"/>
      <c r="R179" s="1024"/>
    </row>
    <row r="180" spans="1:18">
      <c r="A180" s="911"/>
      <c r="B180" s="911"/>
      <c r="C180" s="911"/>
      <c r="D180" s="911"/>
      <c r="E180" s="911"/>
      <c r="F180" s="911"/>
      <c r="G180" s="911"/>
      <c r="H180" s="911"/>
      <c r="I180" s="911"/>
      <c r="J180" s="911"/>
      <c r="K180" s="911"/>
      <c r="L180" s="911"/>
      <c r="M180" s="911"/>
      <c r="N180" s="911"/>
      <c r="Q180" s="1025"/>
      <c r="R180" s="1024"/>
    </row>
    <row r="181" spans="1:18">
      <c r="A181" s="911"/>
      <c r="B181" s="911"/>
      <c r="C181" s="911"/>
      <c r="D181" s="911"/>
      <c r="E181" s="911"/>
      <c r="F181" s="911"/>
      <c r="G181" s="911"/>
      <c r="H181" s="911"/>
      <c r="I181" s="911"/>
      <c r="J181" s="911"/>
      <c r="K181" s="911"/>
      <c r="L181" s="911"/>
      <c r="M181" s="911"/>
      <c r="N181" s="911"/>
      <c r="Q181" s="1025"/>
      <c r="R181" s="1024"/>
    </row>
    <row r="182" spans="1:18">
      <c r="A182" s="911"/>
      <c r="B182" s="911"/>
      <c r="C182" s="911"/>
      <c r="D182" s="911"/>
      <c r="E182" s="911"/>
      <c r="F182" s="911"/>
      <c r="G182" s="911"/>
      <c r="H182" s="911"/>
      <c r="I182" s="911"/>
      <c r="J182" s="911"/>
      <c r="K182" s="911"/>
      <c r="L182" s="911"/>
      <c r="M182" s="911"/>
      <c r="N182" s="911"/>
      <c r="Q182" s="1025"/>
      <c r="R182" s="1024"/>
    </row>
    <row r="183" spans="1:18">
      <c r="A183" s="911"/>
      <c r="B183" s="911"/>
      <c r="C183" s="911"/>
      <c r="D183" s="911"/>
      <c r="E183" s="911"/>
      <c r="F183" s="911"/>
      <c r="G183" s="911"/>
      <c r="H183" s="911"/>
      <c r="I183" s="911"/>
      <c r="J183" s="911"/>
      <c r="K183" s="911"/>
      <c r="L183" s="911"/>
      <c r="M183" s="911"/>
      <c r="N183" s="911"/>
      <c r="Q183" s="1026"/>
      <c r="R183" s="1024"/>
    </row>
    <row r="184" spans="1:18">
      <c r="A184" s="911"/>
      <c r="B184" s="911"/>
      <c r="C184" s="911"/>
      <c r="D184" s="911"/>
      <c r="E184" s="911"/>
      <c r="F184" s="911"/>
      <c r="G184" s="911"/>
      <c r="H184" s="911"/>
      <c r="I184" s="911"/>
      <c r="J184" s="911"/>
      <c r="K184" s="911"/>
      <c r="L184" s="911"/>
      <c r="M184" s="911"/>
      <c r="N184" s="911"/>
      <c r="Q184" s="1025"/>
      <c r="R184" s="1024"/>
    </row>
    <row r="185" spans="1:18">
      <c r="A185" s="911"/>
      <c r="B185" s="911"/>
      <c r="C185" s="911"/>
      <c r="D185" s="911"/>
      <c r="E185" s="911"/>
      <c r="F185" s="911"/>
      <c r="G185" s="911"/>
      <c r="H185" s="911"/>
      <c r="I185" s="911"/>
      <c r="J185" s="911"/>
      <c r="K185" s="911"/>
      <c r="L185" s="911"/>
      <c r="M185" s="911"/>
      <c r="N185" s="911"/>
      <c r="Q185" s="1025"/>
      <c r="R185" s="1024"/>
    </row>
    <row r="186" spans="1:18">
      <c r="A186" s="911"/>
      <c r="B186" s="911"/>
      <c r="C186" s="911"/>
      <c r="D186" s="911"/>
      <c r="E186" s="911"/>
      <c r="F186" s="911"/>
      <c r="G186" s="911"/>
      <c r="H186" s="911"/>
      <c r="I186" s="911"/>
      <c r="J186" s="911"/>
      <c r="K186" s="911"/>
      <c r="L186" s="911"/>
      <c r="M186" s="911"/>
      <c r="N186" s="911"/>
      <c r="Q186" s="1025"/>
      <c r="R186" s="1024"/>
    </row>
    <row r="187" spans="1:18">
      <c r="A187" s="911"/>
      <c r="B187" s="911"/>
      <c r="C187" s="911"/>
      <c r="D187" s="911"/>
      <c r="E187" s="911"/>
      <c r="F187" s="911"/>
      <c r="G187" s="911"/>
      <c r="H187" s="911"/>
      <c r="I187" s="911"/>
      <c r="J187" s="911"/>
      <c r="K187" s="911"/>
      <c r="L187" s="911"/>
      <c r="M187" s="911"/>
      <c r="N187" s="911"/>
      <c r="Q187" s="1025"/>
      <c r="R187" s="1024"/>
    </row>
    <row r="188" spans="1:18">
      <c r="A188" s="911"/>
      <c r="B188" s="911"/>
      <c r="C188" s="911"/>
      <c r="D188" s="911"/>
      <c r="E188" s="911"/>
      <c r="F188" s="911"/>
      <c r="G188" s="911"/>
      <c r="H188" s="911"/>
      <c r="I188" s="911"/>
      <c r="J188" s="911"/>
      <c r="K188" s="911"/>
      <c r="L188" s="911"/>
      <c r="M188" s="911"/>
      <c r="N188" s="911"/>
      <c r="Q188" s="1025"/>
      <c r="R188" s="1024"/>
    </row>
    <row r="189" spans="1:18">
      <c r="A189" s="911"/>
      <c r="B189" s="911"/>
      <c r="C189" s="911"/>
      <c r="D189" s="911"/>
      <c r="E189" s="911"/>
      <c r="F189" s="911"/>
      <c r="G189" s="911"/>
      <c r="H189" s="911"/>
      <c r="I189" s="911"/>
      <c r="J189" s="911"/>
      <c r="K189" s="911"/>
      <c r="L189" s="911"/>
      <c r="M189" s="911"/>
      <c r="N189" s="911"/>
    </row>
    <row r="190" spans="1:18">
      <c r="A190" s="911"/>
      <c r="B190" s="911"/>
      <c r="C190" s="911"/>
      <c r="D190" s="911"/>
      <c r="E190" s="911"/>
      <c r="F190" s="911"/>
      <c r="G190" s="911"/>
      <c r="H190" s="911"/>
      <c r="I190" s="911"/>
      <c r="J190" s="911"/>
      <c r="K190" s="911"/>
      <c r="L190" s="911"/>
      <c r="M190" s="911"/>
      <c r="N190" s="911"/>
    </row>
    <row r="191" spans="1:18">
      <c r="A191" s="911"/>
      <c r="B191" s="911"/>
      <c r="C191" s="911"/>
      <c r="D191" s="911"/>
      <c r="E191" s="911"/>
      <c r="F191" s="911"/>
      <c r="G191" s="911"/>
      <c r="H191" s="911"/>
      <c r="I191" s="911"/>
      <c r="J191" s="911"/>
      <c r="K191" s="911"/>
      <c r="L191" s="911"/>
      <c r="M191" s="911"/>
      <c r="N191" s="911"/>
    </row>
    <row r="192" spans="1:18">
      <c r="A192" s="911"/>
      <c r="B192" s="911"/>
      <c r="C192" s="911"/>
      <c r="D192" s="911"/>
      <c r="E192" s="911"/>
      <c r="F192" s="911"/>
      <c r="G192" s="911"/>
      <c r="H192" s="911"/>
      <c r="I192" s="911"/>
      <c r="J192" s="911"/>
      <c r="K192" s="911"/>
      <c r="L192" s="911"/>
      <c r="M192" s="911"/>
      <c r="N192" s="911"/>
    </row>
    <row r="193" spans="1:17">
      <c r="A193" s="911"/>
      <c r="B193" s="911"/>
      <c r="C193" s="911"/>
      <c r="D193" s="911"/>
      <c r="E193" s="911"/>
      <c r="F193" s="911"/>
      <c r="G193" s="911"/>
      <c r="H193" s="911"/>
      <c r="I193" s="911"/>
      <c r="J193" s="911"/>
      <c r="K193" s="911"/>
      <c r="L193" s="911"/>
      <c r="M193" s="911"/>
      <c r="N193" s="911"/>
    </row>
    <row r="194" spans="1:17">
      <c r="A194" s="911"/>
      <c r="B194" s="911"/>
      <c r="C194" s="911"/>
      <c r="D194" s="911"/>
      <c r="E194" s="911"/>
      <c r="F194" s="911"/>
      <c r="G194" s="911"/>
      <c r="H194" s="911"/>
      <c r="I194" s="911"/>
      <c r="J194" s="911"/>
      <c r="K194" s="911"/>
      <c r="L194" s="911"/>
      <c r="M194" s="911"/>
      <c r="N194" s="911"/>
    </row>
    <row r="195" spans="1:17">
      <c r="A195" s="911"/>
      <c r="B195" s="911"/>
      <c r="C195" s="911"/>
      <c r="D195" s="911"/>
      <c r="E195" s="911"/>
      <c r="F195" s="911"/>
      <c r="G195" s="911"/>
      <c r="H195" s="911"/>
      <c r="I195" s="911"/>
      <c r="J195" s="911"/>
      <c r="K195" s="911"/>
      <c r="L195" s="911"/>
      <c r="M195" s="911"/>
      <c r="N195" s="911"/>
    </row>
    <row r="196" spans="1:17">
      <c r="A196" s="911"/>
      <c r="B196" s="911"/>
      <c r="C196" s="911"/>
      <c r="D196" s="911"/>
      <c r="E196" s="911"/>
      <c r="F196" s="911"/>
      <c r="G196" s="911"/>
      <c r="H196" s="911"/>
      <c r="I196" s="911"/>
      <c r="J196" s="911"/>
      <c r="K196" s="911"/>
      <c r="L196" s="911"/>
      <c r="M196" s="911"/>
      <c r="N196" s="911"/>
    </row>
    <row r="197" spans="1:17">
      <c r="A197" s="911"/>
      <c r="B197" s="911"/>
      <c r="C197" s="911"/>
      <c r="D197" s="911"/>
      <c r="E197" s="911"/>
      <c r="F197" s="911"/>
      <c r="G197" s="911"/>
      <c r="H197" s="911"/>
      <c r="I197" s="911"/>
      <c r="J197" s="911"/>
      <c r="K197" s="911"/>
      <c r="L197" s="911"/>
      <c r="M197" s="911"/>
      <c r="N197" s="911"/>
    </row>
    <row r="198" spans="1:17">
      <c r="A198" s="911"/>
      <c r="B198" s="911"/>
      <c r="C198" s="911"/>
      <c r="D198" s="911"/>
      <c r="E198" s="911"/>
      <c r="F198" s="911"/>
      <c r="G198" s="911"/>
      <c r="H198" s="911"/>
      <c r="I198" s="911"/>
      <c r="J198" s="911"/>
      <c r="K198" s="911"/>
      <c r="L198" s="911"/>
      <c r="M198" s="911"/>
      <c r="N198" s="911"/>
    </row>
    <row r="199" spans="1:17">
      <c r="A199" s="911"/>
      <c r="B199" s="911"/>
      <c r="C199" s="911"/>
      <c r="D199" s="911"/>
      <c r="E199" s="911"/>
      <c r="F199" s="911"/>
      <c r="G199" s="911"/>
      <c r="H199" s="911"/>
      <c r="I199" s="911"/>
      <c r="J199" s="911"/>
      <c r="K199" s="911"/>
      <c r="L199" s="911"/>
      <c r="M199" s="911"/>
      <c r="N199" s="911"/>
    </row>
    <row r="200" spans="1:17">
      <c r="A200" s="911"/>
      <c r="B200" s="911"/>
      <c r="C200" s="911"/>
      <c r="D200" s="911"/>
      <c r="E200" s="911"/>
      <c r="F200" s="911"/>
      <c r="G200" s="911"/>
      <c r="H200" s="911"/>
      <c r="I200" s="911"/>
      <c r="J200" s="911"/>
      <c r="K200" s="911"/>
      <c r="L200" s="911"/>
      <c r="M200" s="911"/>
      <c r="N200" s="911"/>
    </row>
    <row r="201" spans="1:17">
      <c r="A201" s="911"/>
      <c r="B201" s="911"/>
      <c r="C201" s="911"/>
      <c r="D201" s="911"/>
      <c r="E201" s="911"/>
      <c r="F201" s="911"/>
      <c r="G201" s="911"/>
      <c r="H201" s="911"/>
      <c r="I201" s="911"/>
      <c r="J201" s="911"/>
      <c r="K201" s="911"/>
      <c r="L201" s="911"/>
      <c r="M201" s="911"/>
      <c r="N201" s="911"/>
    </row>
    <row r="202" spans="1:17">
      <c r="A202" s="911"/>
      <c r="B202" s="911"/>
      <c r="C202" s="911"/>
      <c r="D202" s="911"/>
      <c r="E202" s="911"/>
      <c r="F202" s="911"/>
      <c r="G202" s="911"/>
      <c r="H202" s="911"/>
      <c r="I202" s="911"/>
      <c r="J202" s="911"/>
      <c r="K202" s="911"/>
      <c r="L202" s="911"/>
      <c r="M202" s="911"/>
      <c r="N202" s="911"/>
    </row>
    <row r="203" spans="1:17">
      <c r="A203" s="911"/>
      <c r="B203" s="911"/>
      <c r="C203" s="911"/>
      <c r="D203" s="911"/>
      <c r="E203" s="911"/>
      <c r="F203" s="911"/>
      <c r="G203" s="911"/>
      <c r="H203" s="911"/>
      <c r="I203" s="911"/>
      <c r="J203" s="911"/>
      <c r="K203" s="911"/>
      <c r="L203" s="911"/>
      <c r="M203" s="911"/>
      <c r="N203" s="911"/>
    </row>
    <row r="204" spans="1:17">
      <c r="A204" s="911"/>
      <c r="B204" s="911"/>
      <c r="C204" s="911"/>
      <c r="D204" s="911"/>
      <c r="E204" s="911"/>
      <c r="F204" s="911"/>
      <c r="G204" s="911"/>
      <c r="H204" s="911"/>
      <c r="I204" s="911"/>
      <c r="J204" s="911"/>
      <c r="K204" s="911"/>
      <c r="L204" s="911"/>
      <c r="M204" s="911"/>
      <c r="N204" s="911"/>
    </row>
    <row r="206" spans="1:17" ht="21">
      <c r="C206" s="1085" t="s">
        <v>1738</v>
      </c>
      <c r="D206" s="1085"/>
    </row>
    <row r="207" spans="1:17" ht="15" thickBot="1"/>
    <row r="208" spans="1:17" ht="34.15" customHeight="1">
      <c r="F208" s="1107" t="s">
        <v>1739</v>
      </c>
      <c r="G208" s="1108"/>
      <c r="H208" s="1109"/>
      <c r="I208" s="1107" t="s">
        <v>1740</v>
      </c>
      <c r="J208" s="1108"/>
      <c r="K208" s="1109"/>
      <c r="L208" s="1110" t="s">
        <v>1741</v>
      </c>
      <c r="M208" s="1111"/>
      <c r="N208" s="1112"/>
      <c r="O208" s="1110" t="s">
        <v>1742</v>
      </c>
      <c r="P208" s="1111"/>
      <c r="Q208" s="1112"/>
    </row>
    <row r="209" spans="2:17" s="132" customFormat="1" ht="57.6">
      <c r="B209" s="792"/>
      <c r="C209" s="1027" t="s">
        <v>1743</v>
      </c>
      <c r="D209" s="1027" t="s">
        <v>1702</v>
      </c>
      <c r="E209" s="1028" t="s">
        <v>1744</v>
      </c>
      <c r="F209" s="1029" t="s">
        <v>1745</v>
      </c>
      <c r="G209" s="1027" t="s">
        <v>1746</v>
      </c>
      <c r="H209" s="1030" t="s">
        <v>1747</v>
      </c>
      <c r="I209" s="1029" t="s">
        <v>1745</v>
      </c>
      <c r="J209" s="1029" t="s">
        <v>1746</v>
      </c>
      <c r="K209" s="1031" t="s">
        <v>1747</v>
      </c>
      <c r="L209" s="1029" t="s">
        <v>1745</v>
      </c>
      <c r="M209" s="1029" t="s">
        <v>1746</v>
      </c>
      <c r="N209" s="1031" t="s">
        <v>1747</v>
      </c>
      <c r="O209" s="1029" t="s">
        <v>1745</v>
      </c>
      <c r="P209" s="1029" t="s">
        <v>1746</v>
      </c>
      <c r="Q209" s="1031" t="s">
        <v>1747</v>
      </c>
    </row>
    <row r="210" spans="2:17">
      <c r="B210" s="776">
        <v>1</v>
      </c>
      <c r="C210" s="1032" t="s">
        <v>408</v>
      </c>
      <c r="D210" s="1033">
        <v>22</v>
      </c>
      <c r="E210" s="980">
        <f>VLOOKUP(C210,$C$7:$J$36,8,FALSE)</f>
        <v>53.341586567624176</v>
      </c>
      <c r="F210" s="1034">
        <v>65</v>
      </c>
      <c r="G210" s="43">
        <f>$C$271*$E210^2+$F$271*$E210+$I$271</f>
        <v>64.583487109764235</v>
      </c>
      <c r="H210" s="1035" cm="1">
        <f t="array" ref="H210">IF(F210=0,IF(G210&gt;=52.25,52.25,G210),_xlfn.IFS(F210&gt;=52.25,52.25,F210&lt;52.25,F210))</f>
        <v>52.25</v>
      </c>
      <c r="I210" s="1034">
        <v>65</v>
      </c>
      <c r="J210" s="43">
        <f>$M$271*$E210^2+$P$271*$E210+$S$271</f>
        <v>64.488774531990998</v>
      </c>
      <c r="K210" s="1035" cm="1">
        <f t="array" ref="K210">IF(I210=0,IF(J210&gt;=52.25,52.25,J210),_xlfn.IFS(I210&gt;=52.25,52.25,I210&lt;52.25,I210))</f>
        <v>52.25</v>
      </c>
      <c r="L210" s="1034">
        <v>65</v>
      </c>
      <c r="M210" s="43">
        <f>$X$271*$E210^2+$AA$271*$E210+$AD$271</f>
        <v>64.440461710773889</v>
      </c>
      <c r="N210" s="1035" cm="1">
        <f t="array" ref="N210">IF(L210=0,IF(M210&gt;=52.25,52.25,M210),_xlfn.IFS(L210&gt;=52.25,52.25,L210&lt;52.25,L210))</f>
        <v>52.25</v>
      </c>
      <c r="O210" s="1036">
        <v>65</v>
      </c>
      <c r="P210" s="43">
        <f>$AJ$271*$E210^2+$AM$271*$E210+$AP$271</f>
        <v>64.532256338599808</v>
      </c>
      <c r="Q210" s="1035" cm="1">
        <f t="array" ref="Q210">IF(O210=0,IF(P210&gt;=52.25,52.25,P210),_xlfn.IFS(O210&gt;=52.25,52.25,O210&lt;52.25,O210))</f>
        <v>52.25</v>
      </c>
    </row>
    <row r="211" spans="2:17">
      <c r="B211" s="776">
        <v>2</v>
      </c>
      <c r="C211" s="1032" t="s">
        <v>398</v>
      </c>
      <c r="D211" s="1033">
        <v>22</v>
      </c>
      <c r="E211" s="980">
        <f>VLOOKUP(C211,C8:J36,8,FALSE)</f>
        <v>53.440740989031156</v>
      </c>
      <c r="F211" s="1034">
        <v>65</v>
      </c>
      <c r="G211" s="43">
        <f t="shared" ref="G211:G237" si="5">$C$271*$E211^2+$F$271*$E211+$I$271</f>
        <v>64.425281999213979</v>
      </c>
      <c r="H211" s="1035" cm="1">
        <f t="array" ref="H211">IF(F211=0,IF(G211&gt;=52.25,52.25,G211),_xlfn.IFS(F211&gt;=52.25,52.25,F211&lt;52.25,F211))</f>
        <v>52.25</v>
      </c>
      <c r="I211" s="1034">
        <v>65</v>
      </c>
      <c r="J211" s="43">
        <f t="shared" ref="J211:J237" si="6">$M$271*$E211^2+$P$271*$E211+$S$271</f>
        <v>64.34864027202137</v>
      </c>
      <c r="K211" s="1035" cm="1">
        <f t="array" ref="K211">IF(I211=0,IF(J211&gt;=52.25,52.25,J211),_xlfn.IFS(I211&gt;=52.25,52.25,I211&lt;52.25,I211))</f>
        <v>52.25</v>
      </c>
      <c r="L211" s="1034">
        <v>65</v>
      </c>
      <c r="M211" s="43">
        <f t="shared" ref="M211:M237" si="7">$X$271*$E211^2+$AA$271*$E211+$AD$271</f>
        <v>64.248692101983721</v>
      </c>
      <c r="N211" s="1035" cm="1">
        <f t="array" ref="N211">IF(L211=0,IF(M211&gt;=52.25,52.25,M211),_xlfn.IFS(L211&gt;=52.25,52.25,L211&lt;52.25,L211))</f>
        <v>52.25</v>
      </c>
      <c r="O211" s="1036">
        <v>65</v>
      </c>
      <c r="P211" s="43">
        <f t="shared" ref="P211:P237" si="8">$AJ$271*$E211^2+$AM$271*$E211+$AP$271</f>
        <v>64.346019140506513</v>
      </c>
      <c r="Q211" s="1035" cm="1">
        <f t="array" ref="Q211">IF(O211=0,IF(P211&gt;=52.25,52.25,P211),_xlfn.IFS(O211&gt;=52.25,52.25,O211&lt;52.25,O211))</f>
        <v>52.25</v>
      </c>
    </row>
    <row r="212" spans="2:17">
      <c r="B212" s="776">
        <v>3</v>
      </c>
      <c r="C212" s="1037" t="s">
        <v>1707</v>
      </c>
      <c r="D212" s="1038" t="s">
        <v>1748</v>
      </c>
      <c r="E212" s="980">
        <f>VLOOKUP(C212,C9:J37,8,FALSE)</f>
        <v>56.54731983250025</v>
      </c>
      <c r="F212" s="1039"/>
      <c r="G212" s="43">
        <f t="shared" si="5"/>
        <v>59.594084563629139</v>
      </c>
      <c r="H212" s="1035" cm="1">
        <f t="array" ref="H212">IF(F212=0,IF(G212&gt;=52.25,52.25,G212),_xlfn.IFS(F212&gt;=52.25,52.25,F212&lt;52.25,F212))</f>
        <v>52.25</v>
      </c>
      <c r="I212" s="1039"/>
      <c r="J212" s="43">
        <f t="shared" si="6"/>
        <v>60.021870540726823</v>
      </c>
      <c r="K212" s="1035" cm="1">
        <f t="array" ref="K212">IF(I212=0,IF(J212&gt;=52.25,52.25,J212),_xlfn.IFS(I212&gt;=52.25,52.25,I212&lt;52.25,I212))</f>
        <v>52.25</v>
      </c>
      <c r="L212" s="1039"/>
      <c r="M212" s="43">
        <f t="shared" si="7"/>
        <v>58.471458912454949</v>
      </c>
      <c r="N212" s="1035" cm="1">
        <f t="array" ref="N212">IF(L212=0,IF(M212&gt;=52.25,52.25,M212),_xlfn.IFS(L212&gt;=52.25,52.25,L212&lt;52.25,L212))</f>
        <v>52.25</v>
      </c>
      <c r="O212" s="1039"/>
      <c r="P212" s="43">
        <f t="shared" si="8"/>
        <v>58.733157352796582</v>
      </c>
      <c r="Q212" s="1035" cm="1">
        <f t="array" ref="Q212">IF(O212=0,IF(P212&gt;=52.25,52.25,P212),_xlfn.IFS(O212&gt;=52.25,52.25,O212&lt;52.25,O212))</f>
        <v>52.25</v>
      </c>
    </row>
    <row r="213" spans="2:17">
      <c r="B213" s="776">
        <v>4</v>
      </c>
      <c r="C213" s="1032" t="s">
        <v>57</v>
      </c>
      <c r="D213" s="1033">
        <v>22</v>
      </c>
      <c r="E213" s="980">
        <f>VLOOKUP(C213,C9:J37,8,FALSE)</f>
        <v>56.71974203572637</v>
      </c>
      <c r="F213" s="1041"/>
      <c r="G213" s="43">
        <f t="shared" si="5"/>
        <v>59.333065794080511</v>
      </c>
      <c r="H213" s="1035" cm="1">
        <f t="array" ref="H213">IF(F213=0,IF(G213&gt;=52.25,52.25,G213),_xlfn.IFS(F213&gt;=52.25,52.25,F213&lt;52.25,F213))</f>
        <v>52.25</v>
      </c>
      <c r="I213" s="514"/>
      <c r="J213" s="43">
        <f t="shared" si="6"/>
        <v>59.785343347928347</v>
      </c>
      <c r="K213" s="1035" cm="1">
        <f t="array" ref="K213">IF(I213=0,IF(J213&gt;=52.25,52.25,J213),_xlfn.IFS(I213&gt;=52.25,52.25,I213&lt;52.25,I213))</f>
        <v>52.25</v>
      </c>
      <c r="L213" s="1041"/>
      <c r="M213" s="43">
        <f t="shared" si="7"/>
        <v>58.163925952701447</v>
      </c>
      <c r="N213" s="1035" cm="1">
        <f t="array" ref="N213">IF(L213=0,IF(M213&gt;=52.25,52.25,M213),_xlfn.IFS(L213&gt;=52.25,52.25,L213&lt;52.25,L213))</f>
        <v>52.25</v>
      </c>
      <c r="O213" s="1041"/>
      <c r="P213" s="43">
        <f t="shared" si="8"/>
        <v>58.434238544988915</v>
      </c>
      <c r="Q213" s="1035" cm="1">
        <f t="array" ref="Q213">IF(O213=0,IF(P213&gt;=52.25,52.25,P213),_xlfn.IFS(O213&gt;=52.25,52.25,O213&lt;52.25,O213))</f>
        <v>52.25</v>
      </c>
    </row>
    <row r="214" spans="2:17">
      <c r="B214" s="776">
        <v>5</v>
      </c>
      <c r="C214" s="1032" t="s">
        <v>393</v>
      </c>
      <c r="D214" s="1038" t="s">
        <v>1748</v>
      </c>
      <c r="E214" s="1042">
        <f t="shared" ref="E214:E237" si="9">VLOOKUP(C214,C11:J38,8,FALSE)</f>
        <v>57.578362514458831</v>
      </c>
      <c r="F214" s="1039"/>
      <c r="G214" s="43">
        <f t="shared" si="5"/>
        <v>58.044410501041739</v>
      </c>
      <c r="H214" s="1035" cm="1">
        <f t="array" ref="H214">IF(F214=0,IF(G214&gt;=52.25,52.25,G214),_xlfn.IFS(F214&gt;=52.25,52.25,F214&lt;52.25,F214))</f>
        <v>52.25</v>
      </c>
      <c r="I214" s="1039"/>
      <c r="J214" s="43">
        <f t="shared" si="6"/>
        <v>58.613161426951393</v>
      </c>
      <c r="K214" s="1035" cm="1">
        <f t="array" ref="K214">IF(I214=0,IF(J214&gt;=52.25,52.25,J214),_xlfn.IFS(I214&gt;=52.25,52.25,I214&lt;52.25,I214))</f>
        <v>52.25</v>
      </c>
      <c r="L214" s="1039"/>
      <c r="M214" s="43">
        <f t="shared" si="7"/>
        <v>56.653025256153654</v>
      </c>
      <c r="N214" s="1035" cm="1">
        <f t="array" ref="N214">IF(L214=0,IF(M214&gt;=52.25,52.25,M214),_xlfn.IFS(L214&gt;=52.25,52.25,L214&lt;52.25,L214))</f>
        <v>52.25</v>
      </c>
      <c r="O214" s="1039"/>
      <c r="P214" s="43">
        <f t="shared" si="8"/>
        <v>56.965437475238161</v>
      </c>
      <c r="Q214" s="1035" cm="1">
        <f t="array" ref="Q214">IF(O214=0,IF(P214&gt;=52.25,52.25,P214),_xlfn.IFS(O214&gt;=52.25,52.25,O214&lt;52.25,O214))</f>
        <v>52.25</v>
      </c>
    </row>
    <row r="215" spans="2:17">
      <c r="B215" s="776">
        <v>6</v>
      </c>
      <c r="C215" s="1032" t="s">
        <v>411</v>
      </c>
      <c r="D215" s="1033">
        <v>22</v>
      </c>
      <c r="E215" s="980">
        <f t="shared" si="9"/>
        <v>58.607163396818464</v>
      </c>
      <c r="F215" s="1041"/>
      <c r="G215" s="43">
        <f t="shared" si="5"/>
        <v>56.524807427866278</v>
      </c>
      <c r="H215" s="1035" cm="1">
        <f t="array" ref="H215">IF(F215=0,IF(G215&gt;=52.25,52.25,G215),_xlfn.IFS(F215&gt;=52.25,52.25,F215&lt;52.25,F215))</f>
        <v>52.25</v>
      </c>
      <c r="I215" s="514"/>
      <c r="J215" s="43">
        <f t="shared" si="6"/>
        <v>57.221077954987564</v>
      </c>
      <c r="K215" s="1035" cm="1">
        <f t="array" ref="K215">IF(I215=0,IF(J215&gt;=52.25,52.25,J215),_xlfn.IFS(I215&gt;=52.25,52.25,I215&lt;52.25,I215))</f>
        <v>52.25</v>
      </c>
      <c r="L215" s="1041"/>
      <c r="M215" s="43">
        <f t="shared" si="7"/>
        <v>54.887710144251002</v>
      </c>
      <c r="N215" s="1035" cm="1">
        <f t="array" ref="N215">IF(L215=0,IF(M215&gt;=52.25,52.25,M215),_xlfn.IFS(L215&gt;=52.25,52.25,L215&lt;52.25,L215))</f>
        <v>52.25</v>
      </c>
      <c r="O215" s="1041"/>
      <c r="P215" s="43">
        <f t="shared" si="8"/>
        <v>55.248818622948477</v>
      </c>
      <c r="Q215" s="1035" cm="1">
        <f t="array" ref="Q215">IF(O215=0,IF(P215&gt;=52.25,52.25,P215),_xlfn.IFS(O215&gt;=52.25,52.25,O215&lt;52.25,O215))</f>
        <v>52.25</v>
      </c>
    </row>
    <row r="216" spans="2:17">
      <c r="B216" s="776">
        <v>7</v>
      </c>
      <c r="C216" s="1032" t="s">
        <v>400</v>
      </c>
      <c r="D216" s="1038" t="s">
        <v>1748</v>
      </c>
      <c r="E216" s="1042">
        <f t="shared" si="9"/>
        <v>60.526484789578774</v>
      </c>
      <c r="F216" s="1039"/>
      <c r="G216" s="43">
        <f t="shared" si="5"/>
        <v>53.761145782236042</v>
      </c>
      <c r="H216" s="1035" cm="1">
        <f t="array" ref="H216">IF(F216=0,IF(G216&gt;=52.25,52.25,G216),_xlfn.IFS(F216&gt;=52.25,52.25,F216&lt;52.25,F216))</f>
        <v>52.25</v>
      </c>
      <c r="I216" s="1039"/>
      <c r="J216" s="43">
        <f t="shared" si="6"/>
        <v>54.660233651982111</v>
      </c>
      <c r="K216" s="1035" cm="1">
        <f t="array" ref="K216">IF(I216=0,IF(J216&gt;=52.25,52.25,J216),_xlfn.IFS(I216&gt;=52.25,52.25,I216&lt;52.25,I216))</f>
        <v>52.25</v>
      </c>
      <c r="L216" s="1039"/>
      <c r="M216" s="43">
        <f t="shared" si="7"/>
        <v>51.725629374060361</v>
      </c>
      <c r="N216" s="1035" cm="1">
        <f t="array" ref="N216">IF(L216=0,IF(M216&gt;=52.25,52.25,M216),_xlfn.IFS(L216&gt;=52.25,52.25,L216&lt;52.25,L216))</f>
        <v>51.725629374060361</v>
      </c>
      <c r="O216" s="1039"/>
      <c r="P216" s="43">
        <f t="shared" si="8"/>
        <v>52.172492588712572</v>
      </c>
      <c r="Q216" s="1035" cm="1">
        <f t="array" ref="Q216">IF(O216=0,IF(P216&gt;=52.25,52.25,P216),_xlfn.IFS(O216&gt;=52.25,52.25,O216&lt;52.25,O216))</f>
        <v>52.172492588712572</v>
      </c>
    </row>
    <row r="217" spans="2:17">
      <c r="B217" s="776">
        <v>8</v>
      </c>
      <c r="C217" s="1032" t="s">
        <v>401</v>
      </c>
      <c r="D217" s="1038" t="s">
        <v>1748</v>
      </c>
      <c r="E217" s="1042">
        <f t="shared" si="9"/>
        <v>63.06609980042964</v>
      </c>
      <c r="F217" s="1039"/>
      <c r="G217" s="43">
        <f t="shared" si="5"/>
        <v>50.246995581812115</v>
      </c>
      <c r="H217" s="1035" cm="1">
        <f t="array" ref="H217">IF(F217=0,IF(G217&gt;=52.25,52.25,G217),_xlfn.IFS(F217&gt;=52.25,52.25,F217&lt;52.25,F217))</f>
        <v>50.246995581812115</v>
      </c>
      <c r="I217" s="1039"/>
      <c r="J217" s="43">
        <f t="shared" si="6"/>
        <v>51.344239390280819</v>
      </c>
      <c r="K217" s="1035" cm="1">
        <f t="array" ref="K217">IF(I217=0,IF(J217&gt;=52.25,52.25,J217),_xlfn.IFS(I217&gt;=52.25,52.25,I217&lt;52.25,I217))</f>
        <v>51.344239390280819</v>
      </c>
      <c r="L217" s="1039"/>
      <c r="M217" s="43">
        <f t="shared" si="7"/>
        <v>47.804331642060504</v>
      </c>
      <c r="N217" s="1035" cm="1">
        <f t="array" ref="N217">IF(L217=0,IF(M217&gt;=52.25,52.25,M217),_xlfn.IFS(L217&gt;=52.25,52.25,L217&lt;52.25,L217))</f>
        <v>47.804331642060504</v>
      </c>
      <c r="O217" s="1039"/>
      <c r="P217" s="43">
        <f t="shared" si="8"/>
        <v>48.354472552111787</v>
      </c>
      <c r="Q217" s="1035" cm="1">
        <f t="array" ref="Q217">IF(O217=0,IF(P217&gt;=52.25,52.25,P217),_xlfn.IFS(O217&gt;=52.25,52.25,O217&lt;52.25,O217))</f>
        <v>48.354472552111787</v>
      </c>
    </row>
    <row r="218" spans="2:17">
      <c r="B218" s="776">
        <v>9</v>
      </c>
      <c r="C218" s="1032" t="s">
        <v>442</v>
      </c>
      <c r="D218" s="1033">
        <v>22</v>
      </c>
      <c r="E218" s="980">
        <f t="shared" si="9"/>
        <v>63.422144167614476</v>
      </c>
      <c r="F218" s="1041"/>
      <c r="G218" s="43">
        <f t="shared" si="5"/>
        <v>49.767315475348539</v>
      </c>
      <c r="H218" s="1035" cm="1">
        <f t="array" ref="H218">IF(F218=0,IF(G218&gt;=52.25,52.25,G218),_xlfn.IFS(F218&gt;=52.25,52.25,F218&lt;52.25,F218))</f>
        <v>49.767315475348539</v>
      </c>
      <c r="I218" s="514"/>
      <c r="J218" s="43">
        <f t="shared" si="6"/>
        <v>50.885947896995859</v>
      </c>
      <c r="K218" s="1035" cm="1">
        <f t="array" ref="K218">IF(I218=0,IF(J218&gt;=52.25,52.25,J218),_xlfn.IFS(I218&gt;=52.25,52.25,I218&lt;52.25,I218))</f>
        <v>50.885947896995859</v>
      </c>
      <c r="L218" s="514"/>
      <c r="M218" s="43">
        <f t="shared" si="7"/>
        <v>47.27849942195553</v>
      </c>
      <c r="N218" s="1035" cm="1">
        <f t="array" ref="N218">IF(L218=0,IF(M218&gt;=52.25,52.25,M218),_xlfn.IFS(L218&gt;=52.25,52.25,L218&lt;52.25,L218))</f>
        <v>47.27849942195553</v>
      </c>
      <c r="O218" s="514"/>
      <c r="P218" s="43">
        <f t="shared" si="8"/>
        <v>47.842191587280269</v>
      </c>
      <c r="Q218" s="1035" cm="1">
        <f t="array" ref="Q218">IF(O218=0,IF(P218&gt;=52.25,52.25,P218),_xlfn.IFS(O218&gt;=52.25,52.25,O218&lt;52.25,O218))</f>
        <v>47.842191587280269</v>
      </c>
    </row>
    <row r="219" spans="2:17">
      <c r="B219" s="776">
        <v>10</v>
      </c>
      <c r="C219" s="1032" t="s">
        <v>422</v>
      </c>
      <c r="D219" s="1033">
        <v>22</v>
      </c>
      <c r="E219" s="980">
        <f t="shared" si="9"/>
        <v>63.572354166699597</v>
      </c>
      <c r="F219" s="1043">
        <v>45</v>
      </c>
      <c r="G219" s="43">
        <f t="shared" si="5"/>
        <v>49.565903495869719</v>
      </c>
      <c r="H219" s="1035" cm="1">
        <f t="array" ref="H219">IF(F219=0,IF(G219&gt;=52.25,52.25,G219),_xlfn.IFS(F219&gt;=52.25,52.25,F219&lt;52.25,F219))</f>
        <v>45</v>
      </c>
      <c r="I219" s="1034">
        <v>46</v>
      </c>
      <c r="J219" s="43">
        <f t="shared" si="6"/>
        <v>50.693087990177204</v>
      </c>
      <c r="K219" s="1035" cm="1">
        <f t="array" ref="K219">IF(I219=0,IF(J219&gt;=52.25,52.25,J219),_xlfn.IFS(I219&gt;=52.25,52.25,I219&lt;52.25,I219))</f>
        <v>46</v>
      </c>
      <c r="L219" s="1043">
        <v>42</v>
      </c>
      <c r="M219" s="43">
        <f t="shared" si="7"/>
        <v>47.058422600695224</v>
      </c>
      <c r="N219" s="1035" cm="1">
        <f t="array" ref="N219">IF(L219=0,IF(M219&gt;=52.25,52.25,M219),_xlfn.IFS(L219&gt;=52.25,52.25,L219&lt;52.25,L219))</f>
        <v>42</v>
      </c>
      <c r="O219" s="1036">
        <v>43</v>
      </c>
      <c r="P219" s="43">
        <f t="shared" si="8"/>
        <v>47.627763405750244</v>
      </c>
      <c r="Q219" s="1035" cm="1">
        <f t="array" ref="Q219">IF(O219=0,IF(P219&gt;=52.25,52.25,P219),_xlfn.IFS(O219&gt;=52.25,52.25,O219&lt;52.25,O219))</f>
        <v>43</v>
      </c>
    </row>
    <row r="220" spans="2:17">
      <c r="B220" s="776">
        <v>11</v>
      </c>
      <c r="C220" s="1032" t="s">
        <v>446</v>
      </c>
      <c r="D220" s="1033">
        <v>22</v>
      </c>
      <c r="E220" s="980">
        <f t="shared" si="9"/>
        <v>66.537654513875623</v>
      </c>
      <c r="F220" s="1041"/>
      <c r="G220" s="43">
        <f t="shared" si="5"/>
        <v>45.706227374111023</v>
      </c>
      <c r="H220" s="1035" cm="1">
        <f t="array" ref="H220">IF(F220=0,IF(G220&gt;=52.25,52.25,G220),_xlfn.IFS(F220&gt;=52.25,52.25,F220&lt;52.25,F220))</f>
        <v>45.706227374111023</v>
      </c>
      <c r="I220" s="514"/>
      <c r="J220" s="43">
        <f t="shared" si="6"/>
        <v>46.944960377287401</v>
      </c>
      <c r="K220" s="1035" cm="1">
        <f t="array" ref="K220">IF(I220=0,IF(J220&gt;=52.25,52.25,J220),_xlfn.IFS(I220&gt;=52.25,52.25,I220&lt;52.25,I220))</f>
        <v>46.944960377287401</v>
      </c>
      <c r="L220" s="1041"/>
      <c r="M220" s="43">
        <f t="shared" si="7"/>
        <v>42.928210539911703</v>
      </c>
      <c r="N220" s="1035" cm="1">
        <f t="array" ref="N220">IF(L220=0,IF(M220&gt;=52.25,52.25,M220),_xlfn.IFS(L220&gt;=52.25,52.25,L220&lt;52.25,L220))</f>
        <v>42.928210539911703</v>
      </c>
      <c r="O220" s="1041"/>
      <c r="P220" s="43">
        <f t="shared" si="8"/>
        <v>43.60074673918237</v>
      </c>
      <c r="Q220" s="1035" cm="1">
        <f t="array" ref="Q220">IF(O220=0,IF(P220&gt;=52.25,52.25,P220),_xlfn.IFS(O220&gt;=52.25,52.25,O220&lt;52.25,O220))</f>
        <v>43.60074673918237</v>
      </c>
    </row>
    <row r="221" spans="2:17">
      <c r="B221" s="776">
        <v>12</v>
      </c>
      <c r="C221" s="1032" t="s">
        <v>429</v>
      </c>
      <c r="D221" s="1033">
        <v>22</v>
      </c>
      <c r="E221" s="980">
        <f t="shared" si="9"/>
        <v>66.598199913018846</v>
      </c>
      <c r="F221" s="1041"/>
      <c r="G221" s="43">
        <f t="shared" si="5"/>
        <v>45.629728974657326</v>
      </c>
      <c r="H221" s="1035" cm="1">
        <f t="array" ref="H221">IF(F221=0,IF(G221&gt;=52.25,52.25,G221),_xlfn.IFS(F221&gt;=52.25,52.25,F221&lt;52.25,F221))</f>
        <v>45.629728974657326</v>
      </c>
      <c r="I221" s="514"/>
      <c r="J221" s="43">
        <f t="shared" si="6"/>
        <v>46.869603724961706</v>
      </c>
      <c r="K221" s="1035" cm="1">
        <f t="array" ref="K221">IF(I221=0,IF(J221&gt;=52.25,52.25,J221),_xlfn.IFS(I221&gt;=52.25,52.25,I221&lt;52.25,I221))</f>
        <v>46.869603724961706</v>
      </c>
      <c r="L221" s="1041"/>
      <c r="M221" s="43">
        <f t="shared" si="7"/>
        <v>42.848130278091247</v>
      </c>
      <c r="N221" s="1035" cm="1">
        <f t="array" ref="N221">IF(L221=0,IF(M221&gt;=52.25,52.25,M221),_xlfn.IFS(L221&gt;=52.25,52.25,L221&lt;52.25,L221))</f>
        <v>42.848130278091247</v>
      </c>
      <c r="O221" s="1041"/>
      <c r="P221" s="43">
        <f t="shared" si="8"/>
        <v>43.522608636389862</v>
      </c>
      <c r="Q221" s="1035" cm="1">
        <f t="array" ref="Q221">IF(O221=0,IF(P221&gt;=52.25,52.25,P221),_xlfn.IFS(O221&gt;=52.25,52.25,O221&lt;52.25,O221))</f>
        <v>43.522608636389862</v>
      </c>
    </row>
    <row r="222" spans="2:17">
      <c r="B222" s="776">
        <v>13</v>
      </c>
      <c r="C222" s="1032" t="s">
        <v>415</v>
      </c>
      <c r="D222" s="1033">
        <v>22</v>
      </c>
      <c r="E222" s="980">
        <f t="shared" si="9"/>
        <v>68.10361392462795</v>
      </c>
      <c r="F222" s="1041"/>
      <c r="G222" s="43">
        <f t="shared" si="5"/>
        <v>43.757359540563414</v>
      </c>
      <c r="H222" s="1035" cm="1">
        <f t="array" ref="H222">IF(F222=0,IF(G222&gt;=52.25,52.25,G222),_xlfn.IFS(F222&gt;=52.25,52.25,F222&lt;52.25,F222))</f>
        <v>43.757359540563414</v>
      </c>
      <c r="I222" s="514"/>
      <c r="J222" s="43">
        <f t="shared" si="6"/>
        <v>45.011006953639182</v>
      </c>
      <c r="K222" s="1035" cm="1">
        <f t="array" ref="K222">IF(I222=0,IF(J222&gt;=52.25,52.25,J222),_xlfn.IFS(I222&gt;=52.25,52.25,I222&lt;52.25,I222))</f>
        <v>45.011006953639182</v>
      </c>
      <c r="L222" s="1041"/>
      <c r="M222" s="43">
        <f t="shared" si="7"/>
        <v>40.911689259495063</v>
      </c>
      <c r="N222" s="1035" cm="1">
        <f t="array" ref="N222">IF(L222=0,IF(M222&gt;=52.25,52.25,M222),_xlfn.IFS(L222&gt;=52.25,52.25,L222&lt;52.25,L222))</f>
        <v>40.911689259495063</v>
      </c>
      <c r="O222" s="1041"/>
      <c r="P222" s="43">
        <f t="shared" si="8"/>
        <v>41.632336208010742</v>
      </c>
      <c r="Q222" s="1035" cm="1">
        <f t="array" ref="Q222">IF(O222=0,IF(P222&gt;=52.25,52.25,P222),_xlfn.IFS(O222&gt;=52.25,52.25,O222&lt;52.25,O222))</f>
        <v>41.632336208010742</v>
      </c>
    </row>
    <row r="223" spans="2:17">
      <c r="B223" s="776">
        <v>14</v>
      </c>
      <c r="C223" s="1032" t="s">
        <v>1710</v>
      </c>
      <c r="D223" s="1038" t="s">
        <v>1749</v>
      </c>
      <c r="E223" s="1042">
        <f t="shared" si="9"/>
        <v>68.604306171230803</v>
      </c>
      <c r="F223" s="1039"/>
      <c r="G223" s="43">
        <f t="shared" si="5"/>
        <v>43.147275948383538</v>
      </c>
      <c r="H223" s="1035" cm="1">
        <f t="array" ref="H223">IF(F223=0,IF(G223&gt;=52.25,52.25,G223),_xlfn.IFS(F223&gt;=52.25,52.25,F223&lt;52.25,F223))</f>
        <v>43.147275948383538</v>
      </c>
      <c r="I223" s="1039"/>
      <c r="J223" s="43">
        <f t="shared" si="6"/>
        <v>44.399276532290642</v>
      </c>
      <c r="K223" s="1035" cm="1">
        <f t="array" ref="K223">IF(I223=0,IF(J223&gt;=52.25,52.25,J223),_xlfn.IFS(I223&gt;=52.25,52.25,I223&lt;52.25,I223))</f>
        <v>44.399276532290642</v>
      </c>
      <c r="L223" s="1039"/>
      <c r="M223" s="43">
        <f t="shared" si="7"/>
        <v>40.290942901707069</v>
      </c>
      <c r="N223" s="1035" cm="1">
        <f t="array" ref="N223">IF(L223=0,IF(M223&gt;=52.25,52.25,M223),_xlfn.IFS(L223&gt;=52.25,52.25,L223&lt;52.25,L223))</f>
        <v>40.290942901707069</v>
      </c>
      <c r="O223" s="1039"/>
      <c r="P223" s="43">
        <f t="shared" si="8"/>
        <v>41.026041266404661</v>
      </c>
      <c r="Q223" s="1035" cm="1">
        <f t="array" ref="Q223">IF(O223=0,IF(P223&gt;=52.25,52.25,P223),_xlfn.IFS(O223&gt;=52.25,52.25,O223&lt;52.25,O223))</f>
        <v>41.026041266404661</v>
      </c>
    </row>
    <row r="224" spans="2:17">
      <c r="B224" s="776">
        <v>15</v>
      </c>
      <c r="C224" s="1032" t="s">
        <v>427</v>
      </c>
      <c r="D224" s="1033">
        <v>22</v>
      </c>
      <c r="E224" s="980">
        <f t="shared" si="9"/>
        <v>71.063733383987255</v>
      </c>
      <c r="F224" s="1041"/>
      <c r="G224" s="43">
        <f t="shared" si="5"/>
        <v>40.242243068820841</v>
      </c>
      <c r="H224" s="1035" cm="1">
        <f t="array" ref="H224">IF(F224=0,IF(G224&gt;=52.25,52.25,G224),_xlfn.IFS(F224&gt;=52.25,52.25,F224&lt;52.25,F224))</f>
        <v>40.242243068820841</v>
      </c>
      <c r="I224" s="514"/>
      <c r="J224" s="43">
        <f t="shared" si="6"/>
        <v>41.441017109604672</v>
      </c>
      <c r="K224" s="1035" cm="1">
        <f t="array" ref="K224">IF(I224=0,IF(J224&gt;=52.25,52.25,J224),_xlfn.IFS(I224&gt;=52.25,52.25,I224&lt;52.25,I224))</f>
        <v>41.441017109604672</v>
      </c>
      <c r="L224" s="1041"/>
      <c r="M224" s="43">
        <f t="shared" si="7"/>
        <v>37.410704047192439</v>
      </c>
      <c r="N224" s="1035" cm="1">
        <f t="array" ref="N224">IF(L224=0,IF(M224&gt;=52.25,52.25,M224),_xlfn.IFS(L224&gt;=52.25,52.25,L224&lt;52.25,L224))</f>
        <v>37.410704047192439</v>
      </c>
      <c r="O224" s="1041"/>
      <c r="P224" s="43">
        <f t="shared" si="8"/>
        <v>38.210236365996735</v>
      </c>
      <c r="Q224" s="1035" cm="1">
        <f t="array" ref="Q224">IF(O224=0,IF(P224&gt;=52.25,52.25,P224),_xlfn.IFS(O224&gt;=52.25,52.25,O224&lt;52.25,O224))</f>
        <v>38.210236365996735</v>
      </c>
    </row>
    <row r="225" spans="2:17">
      <c r="B225" s="776">
        <v>16</v>
      </c>
      <c r="C225" s="1032" t="s">
        <v>424</v>
      </c>
      <c r="D225" s="1038" t="s">
        <v>1749</v>
      </c>
      <c r="E225" s="1042">
        <f t="shared" si="9"/>
        <v>71.09942422474478</v>
      </c>
      <c r="F225" s="1039"/>
      <c r="G225" s="43">
        <f t="shared" si="5"/>
        <v>40.201207731162441</v>
      </c>
      <c r="H225" s="1035" cm="1">
        <f t="array" ref="H225">IF(F225=0,IF(G225&gt;=52.25,52.25,G225),_xlfn.IFS(F225&gt;=52.25,52.25,F225&lt;52.25,F225))</f>
        <v>40.201207731162441</v>
      </c>
      <c r="I225" s="1039"/>
      <c r="J225" s="43">
        <f t="shared" si="6"/>
        <v>41.398657228555081</v>
      </c>
      <c r="K225" s="1035" cm="1">
        <f t="array" ref="K225">IF(I225=0,IF(J225&gt;=52.25,52.25,J225),_xlfn.IFS(I225&gt;=52.25,52.25,I225&lt;52.25,I225))</f>
        <v>41.398657228555081</v>
      </c>
      <c r="L225" s="1039"/>
      <c r="M225" s="43">
        <f t="shared" si="7"/>
        <v>37.370972477054067</v>
      </c>
      <c r="N225" s="1035" cm="1">
        <f t="array" ref="N225">IF(L225=0,IF(M225&gt;=52.25,52.25,M225),_xlfn.IFS(L225&gt;=52.25,52.25,L225&lt;52.25,L225))</f>
        <v>37.370972477054067</v>
      </c>
      <c r="O225" s="1039"/>
      <c r="P225" s="43">
        <f t="shared" si="8"/>
        <v>38.171359704211653</v>
      </c>
      <c r="Q225" s="1035" cm="1">
        <f t="array" ref="Q225">IF(O225=0,IF(P225&gt;=52.25,52.25,P225),_xlfn.IFS(O225&gt;=52.25,52.25,O225&lt;52.25,O225))</f>
        <v>38.171359704211653</v>
      </c>
    </row>
    <row r="226" spans="2:17">
      <c r="B226" s="776">
        <v>17</v>
      </c>
      <c r="C226" s="1032" t="s">
        <v>439</v>
      </c>
      <c r="D226" s="1033">
        <v>22</v>
      </c>
      <c r="E226" s="980">
        <f t="shared" si="9"/>
        <v>71.09942422474478</v>
      </c>
      <c r="F226" s="1041"/>
      <c r="G226" s="43">
        <f t="shared" si="5"/>
        <v>40.201207731162441</v>
      </c>
      <c r="H226" s="1035" cm="1">
        <f t="array" ref="H226">IF(F226=0,IF(G226&gt;=52.25,52.25,G226),_xlfn.IFS(F226&gt;=52.25,52.25,F226&lt;52.25,F226))</f>
        <v>40.201207731162441</v>
      </c>
      <c r="I226" s="514"/>
      <c r="J226" s="43">
        <f t="shared" si="6"/>
        <v>41.398657228555081</v>
      </c>
      <c r="K226" s="1035" cm="1">
        <f t="array" ref="K226">IF(I226=0,IF(J226&gt;=52.25,52.25,J226),_xlfn.IFS(I226&gt;=52.25,52.25,I226&lt;52.25,I226))</f>
        <v>41.398657228555081</v>
      </c>
      <c r="L226" s="1041"/>
      <c r="M226" s="43">
        <f t="shared" si="7"/>
        <v>37.370972477054067</v>
      </c>
      <c r="N226" s="1035" cm="1">
        <f t="array" ref="N226">IF(L226=0,IF(M226&gt;=52.25,52.25,M226),_xlfn.IFS(L226&gt;=52.25,52.25,L226&lt;52.25,L226))</f>
        <v>37.370972477054067</v>
      </c>
      <c r="O226" s="1041"/>
      <c r="P226" s="43">
        <f t="shared" si="8"/>
        <v>38.171359704211653</v>
      </c>
      <c r="Q226" s="1035" cm="1">
        <f t="array" ref="Q226">IF(O226=0,IF(P226&gt;=52.25,52.25,P226),_xlfn.IFS(O226&gt;=52.25,52.25,O226&lt;52.25,O226))</f>
        <v>38.171359704211653</v>
      </c>
    </row>
    <row r="227" spans="2:17">
      <c r="B227" s="776">
        <v>18</v>
      </c>
      <c r="C227" s="1032" t="s">
        <v>435</v>
      </c>
      <c r="D227" s="1033">
        <v>22</v>
      </c>
      <c r="E227" s="980">
        <f t="shared" si="9"/>
        <v>71.27802258515743</v>
      </c>
      <c r="F227" s="1044"/>
      <c r="G227" s="43">
        <f t="shared" si="5"/>
        <v>39.996347523044705</v>
      </c>
      <c r="H227" s="1035" cm="1">
        <f t="array" ref="H227">IF(F227=0,IF(G227&gt;=52.25,52.25,G227),_xlfn.IFS(F227&gt;=52.25,52.25,F227&lt;52.25,F227))</f>
        <v>39.996347523044705</v>
      </c>
      <c r="I227" s="514"/>
      <c r="J227" s="43">
        <f t="shared" si="6"/>
        <v>41.186931669061792</v>
      </c>
      <c r="K227" s="1035" cm="1">
        <f t="array" ref="K227">IF(I227=0,IF(J227&gt;=52.25,52.25,J227),_xlfn.IFS(I227&gt;=52.25,52.25,I227&lt;52.25,I227))</f>
        <v>41.186931669061792</v>
      </c>
      <c r="L227" s="1041"/>
      <c r="M227" s="43">
        <f t="shared" si="7"/>
        <v>37.173042052521424</v>
      </c>
      <c r="N227" s="1035" cm="1">
        <f t="array" ref="N227">IF(L227=0,IF(M227&gt;=52.25,52.25,M227),_xlfn.IFS(L227&gt;=52.25,52.25,L227&lt;52.25,L227))</f>
        <v>37.173042052521424</v>
      </c>
      <c r="O227" s="1041"/>
      <c r="P227" s="43">
        <f t="shared" si="8"/>
        <v>37.977672829921715</v>
      </c>
      <c r="Q227" s="1035" cm="1">
        <f t="array" ref="Q227">IF(O227=0,IF(P227&gt;=52.25,52.25,P227),_xlfn.IFS(O227&gt;=52.25,52.25,O227&lt;52.25,O227))</f>
        <v>37.977672829921715</v>
      </c>
    </row>
    <row r="228" spans="2:17">
      <c r="B228" s="776">
        <v>19</v>
      </c>
      <c r="C228" s="1032" t="s">
        <v>1711</v>
      </c>
      <c r="D228" s="1033">
        <v>22</v>
      </c>
      <c r="E228" s="980">
        <f t="shared" si="9"/>
        <v>71.396523939113308</v>
      </c>
      <c r="F228" s="1041"/>
      <c r="G228" s="43">
        <f t="shared" si="5"/>
        <v>39.860864840481355</v>
      </c>
      <c r="H228" s="1035" cm="1">
        <f t="array" ref="H228">IF(F228=0,IF(G228&gt;=52.25,52.25,G228),_xlfn.IFS(F228&gt;=52.25,52.25,F228&lt;52.25,F228))</f>
        <v>39.860864840481355</v>
      </c>
      <c r="I228" s="514"/>
      <c r="J228" s="43">
        <f t="shared" si="6"/>
        <v>41.046675492626775</v>
      </c>
      <c r="K228" s="1035" cm="1">
        <f t="array" ref="K228">IF(I228=0,IF(J228&gt;=52.25,52.25,J228),_xlfn.IFS(I228&gt;=52.25,52.25,I228&lt;52.25,I228))</f>
        <v>41.046675492626775</v>
      </c>
      <c r="L228" s="1041"/>
      <c r="M228" s="43">
        <f t="shared" si="7"/>
        <v>37.04253052464594</v>
      </c>
      <c r="N228" s="1035" cm="1">
        <f t="array" ref="N228">IF(L228=0,IF(M228&gt;=52.25,52.25,M228),_xlfn.IFS(L228&gt;=52.25,52.25,L228&lt;52.25,L228))</f>
        <v>37.04253052464594</v>
      </c>
      <c r="O228" s="1041"/>
      <c r="P228" s="43">
        <f t="shared" si="8"/>
        <v>37.849945243467715</v>
      </c>
      <c r="Q228" s="1035" cm="1">
        <f t="array" ref="Q228">IF(O228=0,IF(P228&gt;=52.25,52.25,P228),_xlfn.IFS(O228&gt;=52.25,52.25,O228&lt;52.25,O228))</f>
        <v>37.849945243467715</v>
      </c>
    </row>
    <row r="229" spans="2:17">
      <c r="B229" s="776">
        <v>20</v>
      </c>
      <c r="C229" s="1032" t="s">
        <v>405</v>
      </c>
      <c r="D229" s="1033">
        <v>22</v>
      </c>
      <c r="E229" s="980">
        <f t="shared" si="9"/>
        <v>71.596779199547427</v>
      </c>
      <c r="F229" s="1036">
        <v>40</v>
      </c>
      <c r="G229" s="43">
        <f t="shared" si="5"/>
        <v>39.632717150165263</v>
      </c>
      <c r="H229" s="1035" cm="1">
        <f t="array" ref="H229">IF(F229=0,IF(G229&gt;=52.25,52.25,G229),_xlfn.IFS(F229&gt;=52.25,52.25,F229&lt;52.25,F229))</f>
        <v>40</v>
      </c>
      <c r="I229" s="1034">
        <v>42</v>
      </c>
      <c r="J229" s="43">
        <f t="shared" si="6"/>
        <v>40.810065319500907</v>
      </c>
      <c r="K229" s="1035" cm="1">
        <f t="array" ref="K229">IF(I229=0,IF(J229&gt;=52.25,52.25,J229),_xlfn.IFS(I229&gt;=52.25,52.25,I229&lt;52.25,I229))</f>
        <v>42</v>
      </c>
      <c r="L229" s="1043">
        <v>38</v>
      </c>
      <c r="M229" s="43">
        <f t="shared" si="7"/>
        <v>36.823460207687361</v>
      </c>
      <c r="N229" s="1035" cm="1">
        <f t="array" ref="N229">IF(L229=0,IF(M229&gt;=52.25,52.25,M229),_xlfn.IFS(L229&gt;=52.25,52.25,L229&lt;52.25,L229))</f>
        <v>38</v>
      </c>
      <c r="O229" s="1041"/>
      <c r="P229" s="43">
        <f t="shared" si="8"/>
        <v>37.635522055524831</v>
      </c>
      <c r="Q229" s="1035" cm="1">
        <f t="array" ref="Q229">IF(O229=0,IF(P229&gt;=52.25,52.25,P229),_xlfn.IFS(O229&gt;=52.25,52.25,O229&lt;52.25,O229))</f>
        <v>37.635522055524831</v>
      </c>
    </row>
    <row r="230" spans="2:17">
      <c r="B230" s="776">
        <v>21</v>
      </c>
      <c r="C230" s="1032" t="s">
        <v>434</v>
      </c>
      <c r="D230" s="1033">
        <v>22</v>
      </c>
      <c r="E230" s="980">
        <f t="shared" si="9"/>
        <v>72.143941265090348</v>
      </c>
      <c r="F230" s="1036">
        <v>40</v>
      </c>
      <c r="G230" s="43">
        <f t="shared" si="5"/>
        <v>39.014496831255457</v>
      </c>
      <c r="H230" s="1035" cm="1">
        <f t="array" ref="H230">IF(F230=0,IF(G230&gt;=52.25,52.25,G230),_xlfn.IFS(F230&gt;=52.25,52.25,F230&lt;52.25,F230))</f>
        <v>40</v>
      </c>
      <c r="I230" s="1034">
        <v>41</v>
      </c>
      <c r="J230" s="43">
        <f t="shared" si="6"/>
        <v>40.166187221554253</v>
      </c>
      <c r="K230" s="1035" cm="1">
        <f t="array" ref="K230">IF(I230=0,IF(J230&gt;=52.25,52.25,J230),_xlfn.IFS(I230&gt;=52.25,52.25,I230&lt;52.25,I230))</f>
        <v>41</v>
      </c>
      <c r="L230" s="1036">
        <v>38</v>
      </c>
      <c r="M230" s="43">
        <f t="shared" si="7"/>
        <v>36.234377164431123</v>
      </c>
      <c r="N230" s="1035" cm="1">
        <f t="array" ref="N230">IF(L230=0,IF(M230&gt;=52.25,52.25,M230),_xlfn.IFS(L230&gt;=52.25,52.25,L230&lt;52.25,L230))</f>
        <v>38</v>
      </c>
      <c r="O230" s="1036">
        <v>39</v>
      </c>
      <c r="P230" s="43">
        <f t="shared" si="8"/>
        <v>37.058768407463617</v>
      </c>
      <c r="Q230" s="1035" cm="1">
        <f t="array" ref="Q230">IF(O230=0,IF(P230&gt;=52.25,52.25,P230),_xlfn.IFS(O230&gt;=52.25,52.25,O230&lt;52.25,O230))</f>
        <v>39</v>
      </c>
    </row>
    <row r="231" spans="2:17">
      <c r="B231" s="776">
        <v>22</v>
      </c>
      <c r="C231" s="1032" t="s">
        <v>407</v>
      </c>
      <c r="D231" s="1033">
        <v>22</v>
      </c>
      <c r="E231" s="980">
        <f t="shared" si="9"/>
        <v>72.406259977471279</v>
      </c>
      <c r="F231" s="1036">
        <v>40</v>
      </c>
      <c r="G231" s="43">
        <f t="shared" si="5"/>
        <v>38.720787103714002</v>
      </c>
      <c r="H231" s="1035" cm="1">
        <f t="array" ref="H231">IF(F231=0,IF(G231&gt;=52.25,52.25,G231),_xlfn.IFS(F231&gt;=52.25,52.25,F231&lt;52.25,F231))</f>
        <v>40</v>
      </c>
      <c r="I231" s="1034">
        <v>41</v>
      </c>
      <c r="J231" s="43">
        <f t="shared" si="6"/>
        <v>39.858860202357022</v>
      </c>
      <c r="K231" s="1035" cm="1">
        <f t="array" ref="K231">IF(I231=0,IF(J231&gt;=52.25,52.25,J231),_xlfn.IFS(I231&gt;=52.25,52.25,I231&lt;52.25,I231))</f>
        <v>41</v>
      </c>
      <c r="L231" s="1043">
        <v>38</v>
      </c>
      <c r="M231" s="43">
        <f t="shared" si="7"/>
        <v>35.95688716244689</v>
      </c>
      <c r="N231" s="1035" cm="1">
        <f t="array" ref="N231">IF(L231=0,IF(M231&gt;=52.25,52.25,M231),_xlfn.IFS(L231&gt;=52.25,52.25,L231&lt;52.25,L231))</f>
        <v>38</v>
      </c>
      <c r="O231" s="1036">
        <v>39</v>
      </c>
      <c r="P231" s="43">
        <f t="shared" si="8"/>
        <v>36.78699821749214</v>
      </c>
      <c r="Q231" s="1035" cm="1">
        <f t="array" ref="Q231">IF(O231=0,IF(P231&gt;=52.25,52.25,P231),_xlfn.IFS(O231&gt;=52.25,52.25,O231&lt;52.25,O231))</f>
        <v>39</v>
      </c>
    </row>
    <row r="232" spans="2:17">
      <c r="B232" s="776">
        <v>23</v>
      </c>
      <c r="C232" s="1045" t="s">
        <v>1712</v>
      </c>
      <c r="D232" s="1033">
        <v>22</v>
      </c>
      <c r="E232" s="980">
        <f t="shared" si="9"/>
        <v>73.272853961107671</v>
      </c>
      <c r="F232" s="1044"/>
      <c r="G232" s="43">
        <f t="shared" si="5"/>
        <v>37.76281670821561</v>
      </c>
      <c r="H232" s="1035" cm="1">
        <f t="array" ref="H232">IF(F232=0,IF(G232&gt;=52.25,52.25,G232),_xlfn.IFS(F232&gt;=52.25,52.25,F232&lt;52.25,F232))</f>
        <v>37.76281670821561</v>
      </c>
      <c r="I232" s="514"/>
      <c r="J232" s="43">
        <f t="shared" si="6"/>
        <v>38.849838316422762</v>
      </c>
      <c r="K232" s="1035" cm="1">
        <f t="array" ref="K232">IF(I232=0,IF(J232&gt;=52.25,52.25,J232),_xlfn.IFS(I232&gt;=52.25,52.25,I232&lt;52.25,I232))</f>
        <v>38.849838316422762</v>
      </c>
      <c r="L232" s="1044"/>
      <c r="M232" s="43">
        <f t="shared" si="7"/>
        <v>35.062870196424399</v>
      </c>
      <c r="N232" s="1035" cm="1">
        <f t="array" ref="N232">IF(L232=0,IF(M232&gt;=52.25,52.25,M232),_xlfn.IFS(L232&gt;=52.25,52.25,L232&lt;52.25,L232))</f>
        <v>35.062870196424399</v>
      </c>
      <c r="O232" s="1044"/>
      <c r="P232" s="43">
        <f t="shared" si="8"/>
        <v>35.910996698271475</v>
      </c>
      <c r="Q232" s="1035" cm="1">
        <f t="array" ref="Q232">IF(O232=0,IF(P232&gt;=52.25,52.25,P232),_xlfn.IFS(O232&gt;=52.25,52.25,O232&lt;52.25,O232))</f>
        <v>35.910996698271475</v>
      </c>
    </row>
    <row r="233" spans="2:17">
      <c r="B233" s="776">
        <v>24</v>
      </c>
      <c r="C233" s="1032" t="s">
        <v>441</v>
      </c>
      <c r="D233" s="1033">
        <v>22</v>
      </c>
      <c r="E233" s="980">
        <f t="shared" si="9"/>
        <v>73.961348707585103</v>
      </c>
      <c r="F233" s="1036">
        <f>40</f>
        <v>40</v>
      </c>
      <c r="G233" s="43">
        <f t="shared" si="5"/>
        <v>37.015215344319245</v>
      </c>
      <c r="H233" s="1035" cm="1">
        <f t="array" ref="H233">IF(F233=0,IF(G233&gt;=52.25,52.25,G233),_xlfn.IFS(F233&gt;=52.25,52.25,F233&lt;52.25,F233))</f>
        <v>40</v>
      </c>
      <c r="I233" s="1034">
        <v>41</v>
      </c>
      <c r="J233" s="43">
        <f t="shared" si="6"/>
        <v>38.055039221734347</v>
      </c>
      <c r="K233" s="1035" cm="1">
        <f t="array" ref="K233">IF(I233=0,IF(J233&gt;=52.25,52.25,J233),_xlfn.IFS(I233&gt;=52.25,52.25,I233&lt;52.25,I233))</f>
        <v>41</v>
      </c>
      <c r="L233" s="1036">
        <v>37</v>
      </c>
      <c r="M233" s="43">
        <f t="shared" si="7"/>
        <v>34.377427892723091</v>
      </c>
      <c r="N233" s="1035" cm="1">
        <f t="array" ref="N233">IF(L233=0,IF(M233&gt;=52.25,52.25,M233),_xlfn.IFS(L233&gt;=52.25,52.25,L233&lt;52.25,L233))</f>
        <v>37</v>
      </c>
      <c r="O233" s="1036">
        <v>38</v>
      </c>
      <c r="P233" s="43">
        <f t="shared" si="8"/>
        <v>35.238903769024745</v>
      </c>
      <c r="Q233" s="1035" cm="1">
        <f t="array" ref="Q233">IF(O233=0,IF(P233&gt;=52.25,52.25,P233),_xlfn.IFS(O233&gt;=52.25,52.25,O233&lt;52.25,O233))</f>
        <v>38</v>
      </c>
    </row>
    <row r="234" spans="2:17">
      <c r="B234" s="776">
        <v>25</v>
      </c>
      <c r="C234" s="1032" t="s">
        <v>425</v>
      </c>
      <c r="D234" s="1033">
        <v>22</v>
      </c>
      <c r="E234" s="980">
        <f t="shared" si="9"/>
        <v>74.075210894060092</v>
      </c>
      <c r="F234" s="1044"/>
      <c r="G234" s="43">
        <f t="shared" si="5"/>
        <v>36.892729309962732</v>
      </c>
      <c r="H234" s="1035" cm="1">
        <f t="array" ref="H234">IF(F234=0,IF(G234&gt;=52.25,52.25,G234),_xlfn.IFS(F234&gt;=52.25,52.25,F234&lt;52.25,F234))</f>
        <v>36.892729309962732</v>
      </c>
      <c r="I234" s="514"/>
      <c r="J234" s="43">
        <f t="shared" si="6"/>
        <v>37.924181280020889</v>
      </c>
      <c r="K234" s="1035" cm="1">
        <f t="array" ref="K234">IF(I234=0,IF(J234&gt;=52.25,52.25,J234),_xlfn.IFS(I234&gt;=52.25,52.25,I234&lt;52.25,I234))</f>
        <v>37.924181280020889</v>
      </c>
      <c r="L234" s="1044"/>
      <c r="M234" s="43">
        <f t="shared" si="7"/>
        <v>34.266190022731195</v>
      </c>
      <c r="N234" s="1035" cm="1">
        <f t="array" ref="N234">IF(L234=0,IF(M234&gt;=52.25,52.25,M234),_xlfn.IFS(L234&gt;=52.25,52.25,L234&lt;52.25,L234))</f>
        <v>34.266190022731195</v>
      </c>
      <c r="O234" s="1044"/>
      <c r="P234" s="43">
        <f t="shared" si="8"/>
        <v>35.129791375439396</v>
      </c>
      <c r="Q234" s="1035" cm="1">
        <f t="array" ref="Q234">IF(O234=0,IF(P234&gt;=52.25,52.25,P234),_xlfn.IFS(O234&gt;=52.25,52.25,O234&lt;52.25,O234))</f>
        <v>35.129791375439396</v>
      </c>
    </row>
    <row r="235" spans="2:17">
      <c r="B235" s="776">
        <v>26</v>
      </c>
      <c r="C235" s="1032" t="s">
        <v>432</v>
      </c>
      <c r="D235" s="1033">
        <v>22</v>
      </c>
      <c r="E235" s="980">
        <f t="shared" si="9"/>
        <v>75.753783058301622</v>
      </c>
      <c r="F235" s="1044"/>
      <c r="G235" s="43">
        <f t="shared" si="5"/>
        <v>35.1249331858522</v>
      </c>
      <c r="H235" s="1035" cm="1">
        <f t="array" ref="H235">IF(F235=0,IF(G235&gt;=52.25,52.25,G235),_xlfn.IFS(F235&gt;=52.25,52.25,F235&lt;52.25,F235))</f>
        <v>35.1249331858522</v>
      </c>
      <c r="I235" s="514"/>
      <c r="J235" s="43">
        <f t="shared" si="6"/>
        <v>36.01431120658205</v>
      </c>
      <c r="K235" s="1035" cm="1">
        <f t="array" ref="K235">IF(I235=0,IF(J235&gt;=52.25,52.25,J235),_xlfn.IFS(I235&gt;=52.25,52.25,I235&lt;52.25,I235))</f>
        <v>36.01431120658205</v>
      </c>
      <c r="L235" s="1044"/>
      <c r="M235" s="43">
        <f t="shared" si="7"/>
        <v>32.696108441954209</v>
      </c>
      <c r="N235" s="1035" cm="1">
        <f t="array" ref="N235">IF(L235=0,IF(M235&gt;=52.25,52.25,M235),_xlfn.IFS(L235&gt;=52.25,52.25,L235&lt;52.25,L235))</f>
        <v>32.696108441954209</v>
      </c>
      <c r="O235" s="1044"/>
      <c r="P235" s="43">
        <f t="shared" si="8"/>
        <v>33.588336005630453</v>
      </c>
      <c r="Q235" s="1035" cm="1">
        <f t="array" ref="Q235">IF(O235=0,IF(P235&gt;=52.25,52.25,P235),_xlfn.IFS(O235&gt;=52.25,52.25,O235&lt;52.25,O235))</f>
        <v>33.588336005630453</v>
      </c>
    </row>
    <row r="236" spans="2:17">
      <c r="B236" s="776">
        <v>27</v>
      </c>
      <c r="C236" s="1032" t="s">
        <v>426</v>
      </c>
      <c r="D236" s="1033">
        <v>22</v>
      </c>
      <c r="E236" s="980">
        <f t="shared" si="9"/>
        <v>77.521654363776008</v>
      </c>
      <c r="F236" s="1036">
        <v>30</v>
      </c>
      <c r="G236" s="43">
        <f t="shared" si="5"/>
        <v>33.339861396873857</v>
      </c>
      <c r="H236" s="1035" cm="1">
        <f t="array" ref="H236">IF(F236=0,IF(G236&gt;=52.25,52.25,G236),_xlfn.IFS(F236&gt;=52.25,52.25,F236&lt;52.25,F236))</f>
        <v>30</v>
      </c>
      <c r="I236" s="1034">
        <v>31</v>
      </c>
      <c r="J236" s="43">
        <f t="shared" si="6"/>
        <v>34.041831425370077</v>
      </c>
      <c r="K236" s="1035" cm="1">
        <f t="array" ref="K236">IF(I236=0,IF(J236&gt;=52.25,52.25,J236),_xlfn.IFS(I236&gt;=52.25,52.25,I236&lt;52.25,I236))</f>
        <v>31</v>
      </c>
      <c r="L236" s="1036">
        <v>27</v>
      </c>
      <c r="M236" s="43">
        <f t="shared" si="7"/>
        <v>31.18385391052314</v>
      </c>
      <c r="N236" s="1035" cm="1">
        <f t="array" ref="N236">IF(L236=0,IF(M236&gt;=52.25,52.25,M236),_xlfn.IFS(L236&gt;=52.25,52.25,L236&lt;52.25,L236))</f>
        <v>27</v>
      </c>
      <c r="O236" s="1036">
        <v>28</v>
      </c>
      <c r="P236" s="43">
        <f t="shared" si="8"/>
        <v>32.100747002613616</v>
      </c>
      <c r="Q236" s="1035" cm="1">
        <f t="array" ref="Q236">IF(O236=0,IF(P236&gt;=52.25,52.25,P236),_xlfn.IFS(O236&gt;=52.25,52.25,O236&lt;52.25,O236))</f>
        <v>28</v>
      </c>
    </row>
    <row r="237" spans="2:17" ht="15" thickBot="1">
      <c r="B237" s="776">
        <v>28</v>
      </c>
      <c r="C237" s="1032" t="s">
        <v>447</v>
      </c>
      <c r="D237" s="1033">
        <v>22</v>
      </c>
      <c r="E237" s="980">
        <f t="shared" si="9"/>
        <v>82.596339388573085</v>
      </c>
      <c r="F237" s="1046">
        <v>28</v>
      </c>
      <c r="G237" s="43">
        <f t="shared" si="5"/>
        <v>28.653322391150198</v>
      </c>
      <c r="H237" s="1035" cm="1">
        <f t="array" ref="H237">IF(F237=0,IF(G237&gt;=52.25,52.25,G237),_xlfn.IFS(F237&gt;=52.25,52.25,F237&lt;52.25,F237))</f>
        <v>28</v>
      </c>
      <c r="I237" s="1048">
        <v>28</v>
      </c>
      <c r="J237" s="43">
        <f t="shared" si="6"/>
        <v>28.602048998489863</v>
      </c>
      <c r="K237" s="1035" cm="1">
        <f t="array" ref="K237">IF(I237=0,IF(J237&gt;=52.25,52.25,J237),_xlfn.IFS(I237&gt;=52.25,52.25,I237&lt;52.25,I237))</f>
        <v>28</v>
      </c>
      <c r="L237" s="49"/>
      <c r="M237" s="43">
        <f t="shared" si="7"/>
        <v>27.64851092635115</v>
      </c>
      <c r="N237" s="1035" cm="1">
        <f t="array" ref="N237">IF(L237=0,IF(M237&gt;=52.25,52.25,M237),_xlfn.IFS(L237&gt;=52.25,52.25,L237&lt;52.25,L237))</f>
        <v>27.64851092635115</v>
      </c>
      <c r="O237" s="1049"/>
      <c r="P237" s="43">
        <f t="shared" si="8"/>
        <v>28.604955127122338</v>
      </c>
      <c r="Q237" s="1035" cm="1">
        <f t="array" ref="Q237">IF(O237=0,IF(P237&gt;=52.25,52.25,P237),_xlfn.IFS(O237&gt;=52.25,52.25,O237&lt;52.25,O237))</f>
        <v>28.604955127122338</v>
      </c>
    </row>
    <row r="239" spans="2:17" s="911" customFormat="1"/>
    <row r="240" spans="2:17" s="911" customFormat="1"/>
    <row r="241" s="911" customFormat="1"/>
    <row r="242" s="911" customFormat="1"/>
    <row r="243" s="911" customFormat="1"/>
    <row r="244" s="911" customFormat="1"/>
    <row r="245" s="911" customFormat="1"/>
    <row r="246" s="911" customFormat="1"/>
    <row r="247" s="911" customFormat="1"/>
    <row r="248" s="911" customFormat="1"/>
    <row r="249" s="911" customFormat="1"/>
    <row r="250" s="911" customFormat="1"/>
    <row r="251" s="911" customFormat="1"/>
    <row r="252" s="911" customFormat="1"/>
    <row r="253" s="911" customFormat="1"/>
    <row r="254" s="911" customFormat="1"/>
    <row r="255" s="911" customFormat="1"/>
    <row r="256" s="911" customFormat="1"/>
    <row r="257" spans="2:42" s="911" customFormat="1"/>
    <row r="258" spans="2:42" s="911" customFormat="1"/>
    <row r="259" spans="2:42" s="911" customFormat="1"/>
    <row r="260" spans="2:42" s="911" customFormat="1"/>
    <row r="261" spans="2:42" s="911" customFormat="1"/>
    <row r="262" spans="2:42" s="911" customFormat="1"/>
    <row r="263" spans="2:42" s="911" customFormat="1"/>
    <row r="264" spans="2:42" s="911" customFormat="1"/>
    <row r="265" spans="2:42" s="911" customFormat="1"/>
    <row r="266" spans="2:42" s="911" customFormat="1"/>
    <row r="267" spans="2:42" s="911" customFormat="1"/>
    <row r="268" spans="2:42" s="911" customFormat="1"/>
    <row r="269" spans="2:42" s="911" customFormat="1"/>
    <row r="270" spans="2:42" s="911" customFormat="1"/>
    <row r="271" spans="2:42" s="911" customFormat="1" ht="16.149999999999999">
      <c r="B271" s="1050" t="s">
        <v>1750</v>
      </c>
      <c r="C271" s="1051">
        <v>1.26E-2</v>
      </c>
      <c r="D271" s="1051" t="s">
        <v>1751</v>
      </c>
      <c r="E271" s="1052" t="str">
        <f>"+"</f>
        <v>+</v>
      </c>
      <c r="F271" s="1051">
        <v>-2.9409999999999998</v>
      </c>
      <c r="G271" s="1051" t="s">
        <v>403</v>
      </c>
      <c r="H271" s="1052" t="s">
        <v>1752</v>
      </c>
      <c r="I271" s="1053">
        <v>185.61</v>
      </c>
      <c r="L271" s="1050" t="s">
        <v>1750</v>
      </c>
      <c r="M271" s="1051">
        <v>6.4000000000000003E-3</v>
      </c>
      <c r="N271" s="1051" t="s">
        <v>1751</v>
      </c>
      <c r="O271" s="1052" t="str">
        <f>"+"</f>
        <v>+</v>
      </c>
      <c r="P271" s="1051">
        <v>-2.0966999999999998</v>
      </c>
      <c r="Q271" s="1051" t="s">
        <v>403</v>
      </c>
      <c r="R271" s="1052" t="s">
        <v>1752</v>
      </c>
      <c r="S271" s="1053">
        <v>158.12</v>
      </c>
      <c r="W271" s="1050" t="s">
        <v>1750</v>
      </c>
      <c r="X271" s="1051">
        <v>2.3199999999999998E-2</v>
      </c>
      <c r="Y271" s="1051" t="s">
        <v>1751</v>
      </c>
      <c r="Z271" s="1052" t="str">
        <f>"+"</f>
        <v>+</v>
      </c>
      <c r="AA271" s="1051">
        <v>-4.4114000000000004</v>
      </c>
      <c r="AB271" s="1051" t="s">
        <v>403</v>
      </c>
      <c r="AC271" s="1052" t="s">
        <v>1752</v>
      </c>
      <c r="AD271" s="1053">
        <v>233.74</v>
      </c>
      <c r="AI271" s="1050" t="s">
        <v>1750</v>
      </c>
      <c r="AJ271" s="1051">
        <v>2.23E-2</v>
      </c>
      <c r="AK271" s="1051" t="s">
        <v>1751</v>
      </c>
      <c r="AL271" s="1052" t="str">
        <f>"+"</f>
        <v>+</v>
      </c>
      <c r="AM271" s="1051">
        <v>-4.2595000000000001</v>
      </c>
      <c r="AN271" s="1051" t="s">
        <v>403</v>
      </c>
      <c r="AO271" s="1052" t="s">
        <v>1752</v>
      </c>
      <c r="AP271" s="1053">
        <v>228.29</v>
      </c>
    </row>
    <row r="272" spans="2:42" s="911" customFormat="1"/>
    <row r="273" spans="2:20" s="911" customFormat="1"/>
    <row r="276" spans="2:20" ht="21">
      <c r="C276" s="1085" t="s">
        <v>1753</v>
      </c>
      <c r="D276" s="1085"/>
    </row>
    <row r="277" spans="2:20" ht="21.6" thickBot="1">
      <c r="C277" s="1054"/>
      <c r="D277" s="1054"/>
    </row>
    <row r="278" spans="2:20">
      <c r="F278" s="1107" t="s">
        <v>1739</v>
      </c>
      <c r="G278" s="1108"/>
      <c r="H278" s="1109"/>
      <c r="I278" s="1107" t="s">
        <v>1740</v>
      </c>
      <c r="J278" s="1108"/>
      <c r="K278" s="1109"/>
      <c r="L278" s="1110" t="s">
        <v>1741</v>
      </c>
      <c r="M278" s="1111"/>
      <c r="N278" s="1112"/>
      <c r="O278" s="1110" t="s">
        <v>1742</v>
      </c>
      <c r="P278" s="1111"/>
      <c r="Q278" s="1112"/>
    </row>
    <row r="279" spans="2:20" ht="57.6">
      <c r="B279" s="792"/>
      <c r="C279" s="1027" t="s">
        <v>1743</v>
      </c>
      <c r="D279" s="1027" t="s">
        <v>1702</v>
      </c>
      <c r="E279" s="1028" t="s">
        <v>1744</v>
      </c>
      <c r="F279" s="1029" t="s">
        <v>1745</v>
      </c>
      <c r="G279" s="1027" t="s">
        <v>1746</v>
      </c>
      <c r="H279" s="1030" t="s">
        <v>1747</v>
      </c>
      <c r="I279" s="1029" t="s">
        <v>1745</v>
      </c>
      <c r="J279" s="1027" t="s">
        <v>1746</v>
      </c>
      <c r="K279" s="1031" t="s">
        <v>1747</v>
      </c>
      <c r="L279" s="1029" t="s">
        <v>1745</v>
      </c>
      <c r="M279" s="1027" t="s">
        <v>1746</v>
      </c>
      <c r="N279" s="1031" t="s">
        <v>1747</v>
      </c>
      <c r="O279" s="1029" t="s">
        <v>1745</v>
      </c>
      <c r="P279" s="1027" t="s">
        <v>1746</v>
      </c>
      <c r="Q279" s="1031" t="s">
        <v>1747</v>
      </c>
    </row>
    <row r="280" spans="2:20">
      <c r="B280" s="776">
        <v>1</v>
      </c>
      <c r="C280" s="1032" t="s">
        <v>408</v>
      </c>
      <c r="D280" s="28">
        <v>26</v>
      </c>
      <c r="E280" s="980">
        <f t="shared" ref="E280:E307" si="10">VLOOKUP(C280,$C$7:$J$36,8,FALSE)</f>
        <v>53.341586567624176</v>
      </c>
      <c r="F280" s="1034">
        <v>60</v>
      </c>
      <c r="G280" s="342">
        <f>($C$350*($E280^2))+($F$350*$E280)+$I$350</f>
        <v>59.119158783083293</v>
      </c>
      <c r="H280" s="1035" cm="1">
        <f t="array" ref="H280">IF(G280=0,IF(F280&gt;=52.25,52.25,F280),_xlfn.IFS(G280&gt;=52.25,52.25,G280&lt;52.25,G280))</f>
        <v>52.25</v>
      </c>
      <c r="I280" s="1034">
        <v>60</v>
      </c>
      <c r="J280" s="342">
        <f>($M$350*($E280^2))+($P$350*$E280)+$S$350</f>
        <v>58.702659439267272</v>
      </c>
      <c r="K280" s="1035" cm="1">
        <f t="array" ref="K280">IF(J280=0,IF(I280&gt;=52.25,52.25,I280),_xlfn.IFS(J280&gt;=52.25,52.25,J280&lt;52.25,J280))</f>
        <v>52.25</v>
      </c>
      <c r="M280" s="342">
        <f>($Z$350*($E280^2))+($AC$350*$E280)+$AF$350</f>
        <v>52.377115162879065</v>
      </c>
      <c r="N280" s="1035" cm="1">
        <f t="array" ref="N280">IF(M280=0,IF(L281&gt;=52.25,52.25,L281),_xlfn.IFS(M280&gt;=52.25,52.25,M280&lt;52.25,M280))</f>
        <v>52.25</v>
      </c>
      <c r="P280" s="342">
        <f>($AM$350*($E280^2))+($AP$350*$E280)+$AS$350</f>
        <v>52.168231992147362</v>
      </c>
      <c r="Q280" s="1035" cm="1">
        <f t="array" ref="Q280">IF(P280=0,IF(O281&gt;=52.25,52.25,O281),_xlfn.IFS(P280&gt;=52.25,52.25,P280&lt;52.25,P280))</f>
        <v>52.168231992147362</v>
      </c>
    </row>
    <row r="281" spans="2:20">
      <c r="B281" s="776">
        <v>2</v>
      </c>
      <c r="C281" s="1032" t="s">
        <v>398</v>
      </c>
      <c r="D281" s="28">
        <v>26</v>
      </c>
      <c r="E281" s="980">
        <f t="shared" si="10"/>
        <v>53.440740989031156</v>
      </c>
      <c r="F281" s="1034">
        <v>60</v>
      </c>
      <c r="G281" s="342">
        <f t="shared" ref="G281:G307" si="11">($C$350*($E281^2))+($F$350*$E281)+$I$350</f>
        <v>58.972861691199981</v>
      </c>
      <c r="H281" s="1035" cm="1">
        <f t="array" ref="H281">IF(G281=0,IF(F281&gt;=52.25,52.25,F281),_xlfn.IFS(G281&gt;=52.25,52.25,G281&lt;52.25,G281))</f>
        <v>52.25</v>
      </c>
      <c r="I281" s="1034">
        <v>60</v>
      </c>
      <c r="J281" s="342">
        <f t="shared" ref="J281:J307" si="12">($M$350*($E281^2))+($P$350*$E281)+$S$350</f>
        <v>58.586264671102548</v>
      </c>
      <c r="K281" s="1035" cm="1">
        <f t="array" ref="K281">IF(J281=0,IF(I281&gt;=52.25,52.25,I281),_xlfn.IFS(J281&gt;=52.25,52.25,J281&lt;52.25,J281))</f>
        <v>52.25</v>
      </c>
      <c r="L281" s="514">
        <v>52.25</v>
      </c>
      <c r="M281" s="342">
        <f t="shared" ref="M281:M307" si="13">($Z$350*($E281^2))+($AC$350*$E281)+$AF$350</f>
        <v>52.319324803519677</v>
      </c>
      <c r="N281" s="1035" cm="1">
        <f t="array" ref="N281">IF(M281=0,IF(L282&gt;=52.25,52.25,L282),_xlfn.IFS(M281&gt;=52.25,52.25,M281&lt;52.25,M281))</f>
        <v>52.25</v>
      </c>
      <c r="O281" s="514">
        <v>52.25</v>
      </c>
      <c r="P281" s="342">
        <f t="shared" ref="P281:P305" si="14">($AM$350*($E281^2))+($AP$350*$E281)+$AS$350</f>
        <v>52.106554651238433</v>
      </c>
      <c r="Q281" s="1035" cm="1">
        <f t="array" ref="Q281">IF(P281=0,IF(O282&gt;=52.25,52.25,O282),_xlfn.IFS(P281&gt;=52.25,52.25,P281&lt;52.25,P281))</f>
        <v>52.106554651238433</v>
      </c>
      <c r="S281" s="132"/>
      <c r="T281" s="132"/>
    </row>
    <row r="282" spans="2:20">
      <c r="B282" s="776">
        <v>3</v>
      </c>
      <c r="C282" s="1055" t="s">
        <v>1707</v>
      </c>
      <c r="D282" s="28">
        <v>26</v>
      </c>
      <c r="E282" s="980">
        <f t="shared" si="10"/>
        <v>56.54731983250025</v>
      </c>
      <c r="F282" s="514"/>
      <c r="G282" s="342">
        <f t="shared" si="11"/>
        <v>54.359392720761747</v>
      </c>
      <c r="H282" s="1035" cm="1">
        <f t="array" ref="H282">IF(G282=0,IF(F282&gt;=52.25,52.25,F282),_xlfn.IFS(G282&gt;=52.25,52.25,G282&lt;52.25,G282))</f>
        <v>52.25</v>
      </c>
      <c r="I282" s="514"/>
      <c r="J282" s="342">
        <f t="shared" si="12"/>
        <v>54.778199866997106</v>
      </c>
      <c r="K282" s="1035" cm="1">
        <f t="array" ref="K282">IF(J282=0,IF(I282&gt;=52.25,52.25,I282),_xlfn.IFS(J282&gt;=52.25,52.25,J282&lt;52.25,J282))</f>
        <v>52.25</v>
      </c>
      <c r="L282" s="514"/>
      <c r="M282" s="342">
        <f t="shared" si="13"/>
        <v>50.098406406870524</v>
      </c>
      <c r="N282" s="1035" cm="1">
        <f t="array" ref="N282">IF(M282=0,IF(L283&gt;=52.25,52.25,L283),_xlfn.IFS(M282&gt;=52.25,52.25,M282&lt;52.25,M282))</f>
        <v>50.098406406870524</v>
      </c>
      <c r="O282" s="514"/>
      <c r="P282" s="342">
        <f t="shared" si="14"/>
        <v>49.809665116812134</v>
      </c>
      <c r="Q282" s="1035" cm="1">
        <f t="array" ref="Q282">IF(P282=0,IF(O283&gt;=52.25,52.25,O283),_xlfn.IFS(P282&gt;=52.25,52.25,P282&lt;52.25,P282))</f>
        <v>49.809665116812134</v>
      </c>
      <c r="S282" s="132"/>
      <c r="T282" s="132"/>
    </row>
    <row r="283" spans="2:20">
      <c r="B283" s="776">
        <v>4</v>
      </c>
      <c r="C283" s="1032" t="s">
        <v>57</v>
      </c>
      <c r="D283" s="1038" t="s">
        <v>1754</v>
      </c>
      <c r="E283" s="1056">
        <f t="shared" si="10"/>
        <v>56.71974203572637</v>
      </c>
      <c r="F283" s="1039"/>
      <c r="G283" s="342">
        <f t="shared" si="11"/>
        <v>54.101638564734444</v>
      </c>
      <c r="H283" s="1035" cm="1">
        <f t="array" ref="H283">IF(G283=0,IF(F283&gt;=52.25,52.25,F283),_xlfn.IFS(G283&gt;=52.25,52.25,G283&lt;52.25,G283))</f>
        <v>52.25</v>
      </c>
      <c r="I283" s="1039"/>
      <c r="J283" s="342">
        <f t="shared" si="12"/>
        <v>54.557684558954477</v>
      </c>
      <c r="K283" s="1035" cm="1">
        <f t="array" ref="K283">IF(J283=0,IF(I283&gt;=52.25,52.25,I283),_xlfn.IFS(J283&gt;=52.25,52.25,J283&lt;52.25,J283))</f>
        <v>52.25</v>
      </c>
      <c r="L283" s="1039"/>
      <c r="M283" s="342">
        <f t="shared" si="13"/>
        <v>49.951847025660285</v>
      </c>
      <c r="N283" s="1035" cm="1">
        <f t="array" ref="N283">IF(M283=0,IF(L284&gt;=52.25,52.25,L284),_xlfn.IFS(M283&gt;=52.25,52.25,M283&lt;52.25,M283))</f>
        <v>49.951847025660285</v>
      </c>
      <c r="O283" s="1039"/>
      <c r="P283" s="342">
        <f t="shared" si="14"/>
        <v>49.661489878267965</v>
      </c>
      <c r="Q283" s="1035" cm="1">
        <f t="array" ref="Q283">IF(P283=0,IF(O284&gt;=52.25,52.25,O284),_xlfn.IFS(P283&gt;=52.25,52.25,P283&lt;52.25,P283))</f>
        <v>49.661489878267965</v>
      </c>
      <c r="S283" s="132"/>
      <c r="T283" s="132"/>
    </row>
    <row r="284" spans="2:20">
      <c r="B284" s="776">
        <v>5</v>
      </c>
      <c r="C284" s="1032" t="s">
        <v>393</v>
      </c>
      <c r="D284" s="28">
        <v>26</v>
      </c>
      <c r="E284" s="980">
        <f t="shared" si="10"/>
        <v>57.578362514458831</v>
      </c>
      <c r="F284" s="1034">
        <v>48</v>
      </c>
      <c r="G284" s="342">
        <f t="shared" si="11"/>
        <v>52.815429970009305</v>
      </c>
      <c r="H284" s="1035" cm="1">
        <f t="array" ref="H284">IF(G284=0,IF(F284&gt;=52.25,52.25,F284),_xlfn.IFS(G284&gt;=52.25,52.25,G284&lt;52.25,G284))</f>
        <v>52.25</v>
      </c>
      <c r="I284" s="1034">
        <v>48</v>
      </c>
      <c r="J284" s="342">
        <f t="shared" si="12"/>
        <v>53.445230714526822</v>
      </c>
      <c r="K284" s="1035" cm="1">
        <f t="array" ref="K284">IF(J284=0,IF(I284&gt;=52.25,52.25,I284),_xlfn.IFS(J284&gt;=52.25,52.25,J284&lt;52.25,J284))</f>
        <v>52.25</v>
      </c>
      <c r="L284" s="514"/>
      <c r="M284" s="342">
        <f t="shared" si="13"/>
        <v>49.185543783010345</v>
      </c>
      <c r="N284" s="1035" cm="1">
        <f t="array" ref="N284">IF(M284=0,IF(L285&gt;=52.25,52.25,L285),_xlfn.IFS(M284&gt;=52.25,52.25,M284&lt;52.25,M284))</f>
        <v>49.185543783010345</v>
      </c>
      <c r="O284" s="514"/>
      <c r="P284" s="342">
        <f t="shared" si="14"/>
        <v>48.891212322634964</v>
      </c>
      <c r="Q284" s="1035" cm="1">
        <f t="array" ref="Q284">IF(P284=0,IF(O285&gt;=52.25,52.25,O285),_xlfn.IFS(P284&gt;=52.25,52.25,P284&lt;52.25,P284))</f>
        <v>48.891212322634964</v>
      </c>
    </row>
    <row r="285" spans="2:20">
      <c r="B285" s="776">
        <v>6</v>
      </c>
      <c r="C285" s="1032" t="s">
        <v>411</v>
      </c>
      <c r="D285" s="1038" t="s">
        <v>1754</v>
      </c>
      <c r="E285" s="1056">
        <f t="shared" si="10"/>
        <v>58.607163396818464</v>
      </c>
      <c r="F285" s="1039"/>
      <c r="G285" s="342">
        <f t="shared" si="11"/>
        <v>51.268466756070865</v>
      </c>
      <c r="H285" s="1035" cm="1">
        <f t="array" ref="H285">IF(G285=0,IF(F285&gt;=52.25,52.25,F285),_xlfn.IFS(G285&gt;=52.25,52.25,G285&lt;52.25,G285))</f>
        <v>51.268466756070865</v>
      </c>
      <c r="I285" s="1039"/>
      <c r="J285" s="342">
        <f t="shared" si="12"/>
        <v>52.080829305604745</v>
      </c>
      <c r="K285" s="1035" cm="1">
        <f t="array" ref="K285">IF(J285=0,IF(I285&gt;=52.25,52.25,I285),_xlfn.IFS(J285&gt;=52.25,52.25,J285&lt;52.25,J285))</f>
        <v>52.080829305604745</v>
      </c>
      <c r="L285" s="1039"/>
      <c r="M285" s="342">
        <f t="shared" si="13"/>
        <v>48.187356241736566</v>
      </c>
      <c r="N285" s="1035" cm="1">
        <f t="array" ref="N285">IF(M285=0,IF(L286&gt;=52.25,52.25,L286),_xlfn.IFS(M285&gt;=52.25,52.25,M285&lt;52.25,M285))</f>
        <v>48.187356241736566</v>
      </c>
      <c r="O285" s="1039"/>
      <c r="P285" s="342">
        <f t="shared" si="14"/>
        <v>47.897194942602404</v>
      </c>
      <c r="Q285" s="1035" cm="1">
        <f t="array" ref="Q285">IF(P285=0,IF(O286&gt;=52.25,52.25,O286),_xlfn.IFS(P285&gt;=52.25,52.25,P285&lt;52.25,P285))</f>
        <v>47.897194942602404</v>
      </c>
    </row>
    <row r="286" spans="2:20">
      <c r="B286" s="776">
        <v>7</v>
      </c>
      <c r="C286" s="1032" t="s">
        <v>400</v>
      </c>
      <c r="D286" s="28">
        <v>26</v>
      </c>
      <c r="E286" s="980">
        <f t="shared" si="10"/>
        <v>60.526484789578774</v>
      </c>
      <c r="F286" s="1034">
        <v>48</v>
      </c>
      <c r="G286" s="342">
        <f t="shared" si="11"/>
        <v>48.36549133660823</v>
      </c>
      <c r="H286" s="1035" cm="1">
        <f t="array" ref="H286">IF(G286=0,IF(F286&gt;=52.25,52.25,F286),_xlfn.IFS(G286&gt;=52.25,52.25,G286&lt;52.25,G286))</f>
        <v>48.36549133660823</v>
      </c>
      <c r="I286" s="514"/>
      <c r="J286" s="342">
        <f t="shared" si="12"/>
        <v>49.443748695079407</v>
      </c>
      <c r="K286" s="1035" cm="1">
        <f t="array" ref="K286">IF(J286=0,IF(I286&gt;=52.25,52.25,I286),_xlfn.IFS(J286&gt;=52.25,52.25,J286&lt;52.25,J286))</f>
        <v>49.443748695079407</v>
      </c>
      <c r="L286" s="514"/>
      <c r="M286" s="342">
        <f t="shared" si="13"/>
        <v>46.092020975402207</v>
      </c>
      <c r="N286" s="1035" cm="1">
        <f t="array" ref="N286">IF(M286=0,IF(L287&gt;=52.25,52.25,L287),_xlfn.IFS(M286&gt;=52.25,52.25,M286&lt;52.25,M286))</f>
        <v>46.092020975402207</v>
      </c>
      <c r="O286" s="514"/>
      <c r="P286" s="342">
        <f t="shared" si="14"/>
        <v>45.835668103531908</v>
      </c>
      <c r="Q286" s="1035" cm="1">
        <f t="array" ref="Q286">IF(P286=0,IF(O287&gt;=52.25,52.25,O287),_xlfn.IFS(P286&gt;=52.25,52.25,P286&lt;52.25,P286))</f>
        <v>45.835668103531908</v>
      </c>
      <c r="S286" s="132"/>
      <c r="T286" s="132"/>
    </row>
    <row r="287" spans="2:20" ht="15.6">
      <c r="B287" s="776">
        <v>8</v>
      </c>
      <c r="C287" s="1032" t="s">
        <v>401</v>
      </c>
      <c r="D287" s="28">
        <v>26</v>
      </c>
      <c r="E287" s="980">
        <f t="shared" si="10"/>
        <v>63.06609980042964</v>
      </c>
      <c r="F287" s="1057">
        <v>48</v>
      </c>
      <c r="G287" s="342">
        <f t="shared" si="11"/>
        <v>44.490349288410485</v>
      </c>
      <c r="H287" s="1035" cm="1">
        <f t="array" ref="H287">IF(G287=0,IF(F287&gt;=52.25,52.25,F287),_xlfn.IFS(G287&gt;=52.25,52.25,G287&lt;52.25,G287))</f>
        <v>44.490349288410485</v>
      </c>
      <c r="I287" s="1057">
        <v>50</v>
      </c>
      <c r="J287" s="342">
        <f t="shared" si="12"/>
        <v>45.770957795627311</v>
      </c>
      <c r="K287" s="1035" cm="1">
        <f t="array" ref="K287">IF(J287=0,IF(I287&gt;=52.25,52.25,I287),_xlfn.IFS(J287&gt;=52.25,52.25,J287&lt;52.25,J287))</f>
        <v>45.770957795627311</v>
      </c>
      <c r="L287" s="1057">
        <v>46</v>
      </c>
      <c r="M287" s="342">
        <f t="shared" si="13"/>
        <v>42.852959203964403</v>
      </c>
      <c r="N287" s="1035" cm="1">
        <f t="array" ref="N287">IF(M287=0,IF(L288&gt;=52.25,52.25,L288),_xlfn.IFS(M287&gt;=52.25,52.25,M287&lt;52.25,M287))</f>
        <v>42.852959203964403</v>
      </c>
      <c r="O287" s="1058">
        <v>46</v>
      </c>
      <c r="P287" s="342">
        <f t="shared" si="14"/>
        <v>42.693431412390176</v>
      </c>
      <c r="Q287" s="1035" cm="1">
        <f t="array" ref="Q287">IF(P287=0,IF(O288&gt;=52.25,52.25,O288),_xlfn.IFS(P287&gt;=52.25,52.25,P287&lt;52.25,P287))</f>
        <v>42.693431412390176</v>
      </c>
      <c r="S287" s="132"/>
      <c r="T287" s="132"/>
    </row>
    <row r="288" spans="2:20">
      <c r="B288" s="776">
        <v>9</v>
      </c>
      <c r="C288" s="1032" t="s">
        <v>442</v>
      </c>
      <c r="D288" s="1038" t="s">
        <v>1754</v>
      </c>
      <c r="E288" s="1056">
        <f t="shared" si="10"/>
        <v>63.422144167614476</v>
      </c>
      <c r="F288" s="1039"/>
      <c r="G288" s="342">
        <f t="shared" si="11"/>
        <v>43.943976159535509</v>
      </c>
      <c r="H288" s="1035" cm="1">
        <f t="array" ref="H288">IF(G288=0,IF(F288&gt;=52.25,52.25,F288),_xlfn.IFS(G288&gt;=52.25,52.25,G288&lt;52.25,G288))</f>
        <v>43.943976159535509</v>
      </c>
      <c r="I288" s="1039"/>
      <c r="J288" s="342">
        <f t="shared" si="12"/>
        <v>45.239344549947312</v>
      </c>
      <c r="K288" s="1035" cm="1">
        <f t="array" ref="K288">IF(J288=0,IF(I288&gt;=52.25,52.25,I288),_xlfn.IFS(J288&gt;=52.25,52.25,J288&lt;52.25,J288))</f>
        <v>45.239344549947312</v>
      </c>
      <c r="L288" s="1039"/>
      <c r="M288" s="342">
        <f t="shared" si="13"/>
        <v>42.356378552429206</v>
      </c>
      <c r="N288" s="1035" cm="1">
        <f t="array" ref="N288">IF(M288=0,IF(L289&gt;=52.25,52.25,L289),_xlfn.IFS(M288&gt;=52.25,52.25,M288&lt;52.25,M288))</f>
        <v>42.356378552429206</v>
      </c>
      <c r="O288" s="1039"/>
      <c r="P288" s="342">
        <f t="shared" si="14"/>
        <v>42.215167791687783</v>
      </c>
      <c r="Q288" s="1035" cm="1">
        <f t="array" ref="Q288">IF(P288=0,IF(O289&gt;=52.25,52.25,O289),_xlfn.IFS(P288&gt;=52.25,52.25,P288&lt;52.25,P288))</f>
        <v>42.215167791687783</v>
      </c>
    </row>
    <row r="289" spans="2:17">
      <c r="B289" s="776">
        <v>10</v>
      </c>
      <c r="C289" s="1032" t="s">
        <v>422</v>
      </c>
      <c r="D289" s="1038" t="s">
        <v>1754</v>
      </c>
      <c r="E289" s="1056">
        <f t="shared" si="10"/>
        <v>63.572354166699597</v>
      </c>
      <c r="F289" s="1039"/>
      <c r="G289" s="342">
        <f t="shared" si="11"/>
        <v>43.713241059156445</v>
      </c>
      <c r="H289" s="1035" cm="1">
        <f t="array" ref="H289">IF(G289=0,IF(F289&gt;=52.25,52.25,F289),_xlfn.IFS(G289&gt;=52.25,52.25,G289&lt;52.25,G289))</f>
        <v>43.713241059156445</v>
      </c>
      <c r="I289" s="1039"/>
      <c r="J289" s="342">
        <f t="shared" si="12"/>
        <v>45.013832645085117</v>
      </c>
      <c r="K289" s="1035" cm="1">
        <f t="array" ref="K289">IF(J289=0,IF(I289&gt;=52.25,52.25,I289),_xlfn.IFS(J289&gt;=52.25,52.25,J289&lt;52.25,J289))</f>
        <v>45.013832645085117</v>
      </c>
      <c r="L289" s="1039"/>
      <c r="M289" s="342">
        <f t="shared" si="13"/>
        <v>42.143745283618657</v>
      </c>
      <c r="N289" s="1035" cm="1">
        <f t="array" ref="N289">IF(M289=0,IF(L290&gt;=52.25,52.25,L290),_xlfn.IFS(M289&gt;=52.25,52.25,M289&lt;52.25,M289))</f>
        <v>42.143745283618657</v>
      </c>
      <c r="O289" s="1039"/>
      <c r="P289" s="342">
        <f t="shared" si="14"/>
        <v>42.010612019364096</v>
      </c>
      <c r="Q289" s="1035" cm="1">
        <f t="array" ref="Q289">IF(P289=0,IF(O290&gt;=52.25,52.25,O290),_xlfn.IFS(P289&gt;=52.25,52.25,P289&lt;52.25,P289))</f>
        <v>42.010612019364096</v>
      </c>
    </row>
    <row r="290" spans="2:17">
      <c r="B290" s="776">
        <v>11</v>
      </c>
      <c r="C290" s="1032" t="s">
        <v>446</v>
      </c>
      <c r="D290" s="1038" t="s">
        <v>1754</v>
      </c>
      <c r="E290" s="1056">
        <f t="shared" si="10"/>
        <v>66.537654513875623</v>
      </c>
      <c r="F290" s="1039"/>
      <c r="G290" s="342">
        <f t="shared" si="11"/>
        <v>39.130576866398656</v>
      </c>
      <c r="H290" s="1035" cm="1">
        <f t="array" ref="H290">IF(G290=0,IF(F290&gt;=52.25,52.25,F290),_xlfn.IFS(G290&gt;=52.25,52.25,G290&lt;52.25,G290))</f>
        <v>39.130576866398656</v>
      </c>
      <c r="I290" s="1039"/>
      <c r="J290" s="342">
        <f t="shared" si="12"/>
        <v>40.412332524747292</v>
      </c>
      <c r="K290" s="1035" cm="1">
        <f t="array" ref="K290">IF(J290=0,IF(I290&gt;=52.25,52.25,I290),_xlfn.IFS(J290&gt;=52.25,52.25,J290&lt;52.25,J290))</f>
        <v>40.412332524747292</v>
      </c>
      <c r="L290" s="1039"/>
      <c r="M290" s="342">
        <f t="shared" si="13"/>
        <v>37.56552212749331</v>
      </c>
      <c r="N290" s="1035" cm="1">
        <f t="array" ref="N290">IF(M290=0,IF(L291&gt;=52.25,52.25,L291),_xlfn.IFS(M290&gt;=52.25,52.25,M290&lt;52.25,M290))</f>
        <v>37.56552212749331</v>
      </c>
      <c r="O290" s="1039"/>
      <c r="P290" s="342">
        <f t="shared" si="14"/>
        <v>37.63434372708992</v>
      </c>
      <c r="Q290" s="1035" cm="1">
        <f t="array" ref="Q290">IF(P290=0,IF(O291&gt;=52.25,52.25,O291),_xlfn.IFS(P290&gt;=52.25,52.25,P290&lt;52.25,P290))</f>
        <v>37.63434372708992</v>
      </c>
    </row>
    <row r="291" spans="2:17">
      <c r="B291" s="776">
        <v>12</v>
      </c>
      <c r="C291" s="1032" t="s">
        <v>429</v>
      </c>
      <c r="D291" s="1038" t="s">
        <v>1754</v>
      </c>
      <c r="E291" s="1056">
        <f t="shared" si="10"/>
        <v>66.598199913018846</v>
      </c>
      <c r="F291" s="1039"/>
      <c r="G291" s="342">
        <f t="shared" si="11"/>
        <v>39.036458585508669</v>
      </c>
      <c r="H291" s="1035" cm="1">
        <f t="array" ref="H291">IF(G291=0,IF(F291&gt;=52.25,52.25,F291),_xlfn.IFS(G291&gt;=52.25,52.25,G291&lt;52.25,G291))</f>
        <v>39.036458585508669</v>
      </c>
      <c r="I291" s="1039"/>
      <c r="J291" s="342">
        <f t="shared" si="12"/>
        <v>40.315411398836822</v>
      </c>
      <c r="K291" s="1035" cm="1">
        <f t="array" ref="K291">IF(J291=0,IF(I291&gt;=52.25,52.25,I291),_xlfn.IFS(J291&gt;=52.25,52.25,J291&lt;52.25,J291))</f>
        <v>40.315411398836822</v>
      </c>
      <c r="L291" s="1039"/>
      <c r="M291" s="342">
        <f t="shared" si="13"/>
        <v>37.464496243865526</v>
      </c>
      <c r="N291" s="1035" cm="1">
        <f t="array" ref="N291">IF(M291=0,IF(L292&gt;=52.25,52.25,L292),_xlfn.IFS(M291&gt;=52.25,52.25,M291&lt;52.25,M291))</f>
        <v>37.464496243865526</v>
      </c>
      <c r="O291" s="1039"/>
      <c r="P291" s="342">
        <f t="shared" si="14"/>
        <v>37.538284075610626</v>
      </c>
      <c r="Q291" s="1035" cm="1">
        <f t="array" ref="Q291">IF(P291=0,IF(O292&gt;=52.25,52.25,O292),_xlfn.IFS(P291&gt;=52.25,52.25,P291&lt;52.25,P291))</f>
        <v>37.538284075610626</v>
      </c>
    </row>
    <row r="292" spans="2:17">
      <c r="B292" s="776">
        <v>13</v>
      </c>
      <c r="C292" s="1032" t="s">
        <v>415</v>
      </c>
      <c r="D292" s="1038" t="s">
        <v>1754</v>
      </c>
      <c r="E292" s="1056">
        <f t="shared" si="10"/>
        <v>68.10361392462795</v>
      </c>
      <c r="F292" s="1039"/>
      <c r="G292" s="342">
        <f t="shared" si="11"/>
        <v>36.689208866877934</v>
      </c>
      <c r="H292" s="1035" cm="1">
        <f t="array" ref="H292">IF(G292=0,IF(F292&gt;=52.25,52.25,F292),_xlfn.IFS(G292&gt;=52.25,52.25,G292&lt;52.25,G292))</f>
        <v>36.689208866877934</v>
      </c>
      <c r="I292" s="1039"/>
      <c r="J292" s="342">
        <f t="shared" si="12"/>
        <v>37.867353222657748</v>
      </c>
      <c r="K292" s="1035" cm="1">
        <f t="array" ref="K292">IF(J292=0,IF(I292&gt;=52.25,52.25,I292),_xlfn.IFS(J292&gt;=52.25,52.25,J292&lt;52.25,J292))</f>
        <v>37.867353222657748</v>
      </c>
      <c r="L292" s="1039"/>
      <c r="M292" s="342">
        <f t="shared" si="13"/>
        <v>34.855441045430197</v>
      </c>
      <c r="N292" s="1035" cm="1">
        <f t="array" ref="N292">IF(M292=0,IF(L293&gt;=52.25,52.25,L293),_xlfn.IFS(M292&gt;=52.25,52.25,M292&lt;52.25,M292))</f>
        <v>34.855441045430197</v>
      </c>
      <c r="O292" s="1039"/>
      <c r="P292" s="342">
        <f t="shared" si="14"/>
        <v>35.063554475943512</v>
      </c>
      <c r="Q292" s="1035" cm="1">
        <f t="array" ref="Q292">IF(P292=0,IF(O293&gt;=52.25,52.25,O293),_xlfn.IFS(P292&gt;=52.25,52.25,P292&lt;52.25,P292))</f>
        <v>35.063554475943512</v>
      </c>
    </row>
    <row r="293" spans="2:17">
      <c r="B293" s="776">
        <v>14</v>
      </c>
      <c r="C293" s="1032" t="s">
        <v>1710</v>
      </c>
      <c r="D293" s="1038" t="s">
        <v>1749</v>
      </c>
      <c r="E293" s="1056">
        <f t="shared" si="10"/>
        <v>68.604306171230803</v>
      </c>
      <c r="F293" s="1039"/>
      <c r="G293" s="342">
        <f t="shared" si="11"/>
        <v>35.905513465903368</v>
      </c>
      <c r="H293" s="1035" cm="1">
        <f t="array" ref="H293">IF(G293=0,IF(F293&gt;=52.25,52.25,F293),_xlfn.IFS(G293&gt;=52.25,52.25,G293&lt;52.25,G293))</f>
        <v>35.905513465903368</v>
      </c>
      <c r="I293" s="1039"/>
      <c r="J293" s="342">
        <f t="shared" si="12"/>
        <v>37.036870862381505</v>
      </c>
      <c r="K293" s="1035" cm="1">
        <f t="array" ref="K293">IF(J293=0,IF(I293&gt;=52.25,52.25,I293),_xlfn.IFS(J293&gt;=52.25,52.25,J293&lt;52.25,J293))</f>
        <v>37.036870862381505</v>
      </c>
      <c r="L293" s="1039"/>
      <c r="M293" s="342">
        <f t="shared" si="13"/>
        <v>33.946300933397268</v>
      </c>
      <c r="N293" s="1035" cm="1">
        <f t="array" ref="N293">IF(M293=0,IF(L294&gt;=52.25,52.25,L294),_xlfn.IFS(M293&gt;=52.25,52.25,M293&lt;52.25,M293))</f>
        <v>33.946300933397268</v>
      </c>
      <c r="O293" s="1039"/>
      <c r="P293" s="342">
        <f t="shared" si="14"/>
        <v>34.203710736261918</v>
      </c>
      <c r="Q293" s="1035" cm="1">
        <f t="array" ref="Q293">IF(P293=0,IF(O294&gt;=52.25,52.25,O294),_xlfn.IFS(P293&gt;=52.25,52.25,P293&lt;52.25,P293))</f>
        <v>34.203710736261918</v>
      </c>
    </row>
    <row r="294" spans="2:17">
      <c r="B294" s="776">
        <v>15</v>
      </c>
      <c r="C294" s="1032" t="s">
        <v>427</v>
      </c>
      <c r="D294" s="1038" t="s">
        <v>1754</v>
      </c>
      <c r="E294" s="1056">
        <f t="shared" si="10"/>
        <v>71.063733383987255</v>
      </c>
      <c r="F294" s="1039"/>
      <c r="G294" s="342">
        <f t="shared" si="11"/>
        <v>32.034118960745062</v>
      </c>
      <c r="H294" s="1035" cm="1">
        <f t="array" ref="H294">IF(G294=0,IF(F294&gt;=52.25,52.25,F294),_xlfn.IFS(G294&gt;=52.25,52.25,G294&lt;52.25,G294))</f>
        <v>32.034118960745062</v>
      </c>
      <c r="I294" s="1039"/>
      <c r="J294" s="342">
        <f t="shared" si="12"/>
        <v>32.839557681476045</v>
      </c>
      <c r="K294" s="1035" cm="1">
        <f t="array" ref="K294">IF(J294=0,IF(I294&gt;=52.25,52.25,I294),_xlfn.IFS(J294&gt;=52.25,52.25,J294&lt;52.25,J294))</f>
        <v>32.839557681476045</v>
      </c>
      <c r="L294" s="1039"/>
      <c r="M294" s="342">
        <f t="shared" si="13"/>
        <v>29.180611691544257</v>
      </c>
      <c r="N294" s="1035" cm="1">
        <f t="array" ref="N294">IF(M294=0,IF(L295&gt;=52.25,52.25,L295),_xlfn.IFS(M294&gt;=52.25,52.25,M294&lt;52.25,M294))</f>
        <v>29.180611691544257</v>
      </c>
      <c r="O294" s="1039"/>
      <c r="P294" s="342">
        <f t="shared" si="14"/>
        <v>29.713656836041373</v>
      </c>
      <c r="Q294" s="1035" cm="1">
        <f t="array" ref="Q294">IF(P294=0,IF(O295&gt;=52.25,52.25,O295),_xlfn.IFS(P294&gt;=52.25,52.25,P294&lt;52.25,P294))</f>
        <v>29.713656836041373</v>
      </c>
    </row>
    <row r="295" spans="2:17">
      <c r="B295" s="776">
        <v>16</v>
      </c>
      <c r="C295" s="1032" t="s">
        <v>424</v>
      </c>
      <c r="D295" s="1038" t="s">
        <v>1749</v>
      </c>
      <c r="E295" s="1056">
        <f t="shared" si="10"/>
        <v>71.09942422474478</v>
      </c>
      <c r="F295" s="1039"/>
      <c r="G295" s="342">
        <f t="shared" si="11"/>
        <v>31.977670702726641</v>
      </c>
      <c r="H295" s="1035" cm="1">
        <f t="array" ref="H295">IF(G295=0,IF(F295&gt;=52.25,52.25,F295),_xlfn.IFS(G295&gt;=52.25,52.25,G295&lt;52.25,G295))</f>
        <v>31.977670702726641</v>
      </c>
      <c r="I295" s="1039"/>
      <c r="J295" s="342">
        <f t="shared" si="12"/>
        <v>32.77720424249646</v>
      </c>
      <c r="K295" s="1035" cm="1">
        <f t="array" ref="K295">IF(J295=0,IF(I295&gt;=52.25,52.25,I295),_xlfn.IFS(J295&gt;=52.25,52.25,J295&lt;52.25,J295))</f>
        <v>32.77720424249646</v>
      </c>
      <c r="L295" s="1039"/>
      <c r="M295" s="342">
        <f t="shared" si="13"/>
        <v>29.107783742443658</v>
      </c>
      <c r="N295" s="1035" cm="1">
        <f t="array" ref="N295">IF(M295=0,IF(L296&gt;=52.25,52.25,L296),_xlfn.IFS(M295&gt;=52.25,52.25,M295&lt;52.25,M295))</f>
        <v>29.107783742443658</v>
      </c>
      <c r="O295" s="1039"/>
      <c r="P295" s="342">
        <f t="shared" si="14"/>
        <v>29.64523850905406</v>
      </c>
      <c r="Q295" s="1035" cm="1">
        <f t="array" ref="Q295">IF(P295=0,IF(O296&gt;=52.25,52.25,O296),_xlfn.IFS(P295&gt;=52.25,52.25,P295&lt;52.25,P295))</f>
        <v>29.64523850905406</v>
      </c>
    </row>
    <row r="296" spans="2:17">
      <c r="B296" s="776">
        <v>17</v>
      </c>
      <c r="C296" s="1032" t="s">
        <v>439</v>
      </c>
      <c r="D296" s="1038" t="s">
        <v>1754</v>
      </c>
      <c r="E296" s="1056">
        <f t="shared" si="10"/>
        <v>71.09942422474478</v>
      </c>
      <c r="F296" s="1039"/>
      <c r="G296" s="342">
        <f t="shared" si="11"/>
        <v>31.977670702726641</v>
      </c>
      <c r="H296" s="1035" cm="1">
        <f t="array" ref="H296">IF(G296=0,IF(F296&gt;=52.25,52.25,F296),_xlfn.IFS(G296&gt;=52.25,52.25,G296&lt;52.25,G296))</f>
        <v>31.977670702726641</v>
      </c>
      <c r="I296" s="1039"/>
      <c r="J296" s="342">
        <f t="shared" si="12"/>
        <v>32.77720424249646</v>
      </c>
      <c r="K296" s="1035" cm="1">
        <f t="array" ref="K296">IF(J296=0,IF(I296&gt;=52.25,52.25,I296),_xlfn.IFS(J296&gt;=52.25,52.25,J296&lt;52.25,J296))</f>
        <v>32.77720424249646</v>
      </c>
      <c r="L296" s="1039"/>
      <c r="M296" s="342">
        <f t="shared" si="13"/>
        <v>29.107783742443658</v>
      </c>
      <c r="N296" s="1035" cm="1">
        <f t="array" ref="N296">IF(M296=0,IF(L297&gt;=52.25,52.25,L297),_xlfn.IFS(M296&gt;=52.25,52.25,M296&lt;52.25,M296))</f>
        <v>29.107783742443658</v>
      </c>
      <c r="O296" s="1039"/>
      <c r="P296" s="342">
        <f t="shared" si="14"/>
        <v>29.64523850905406</v>
      </c>
      <c r="Q296" s="1035" cm="1">
        <f t="array" ref="Q296">IF(P296=0,IF(O297&gt;=52.25,52.25,O297),_xlfn.IFS(P296&gt;=52.25,52.25,P296&lt;52.25,P296))</f>
        <v>29.64523850905406</v>
      </c>
    </row>
    <row r="297" spans="2:17">
      <c r="B297" s="776">
        <v>18</v>
      </c>
      <c r="C297" s="1032" t="s">
        <v>435</v>
      </c>
      <c r="D297" s="1038" t="s">
        <v>1754</v>
      </c>
      <c r="E297" s="1056">
        <f t="shared" si="10"/>
        <v>71.27802258515743</v>
      </c>
      <c r="F297" s="1039"/>
      <c r="G297" s="342">
        <f t="shared" si="11"/>
        <v>31.695086600934019</v>
      </c>
      <c r="H297" s="1035" cm="1">
        <f t="array" ref="H297">IF(G297=0,IF(F297&gt;=52.25,52.25,F297),_xlfn.IFS(G297&gt;=52.25,52.25,G297&lt;52.25,G297))</f>
        <v>31.695086600934019</v>
      </c>
      <c r="I297" s="1039"/>
      <c r="J297" s="342">
        <f t="shared" si="12"/>
        <v>32.464565198214082</v>
      </c>
      <c r="K297" s="1035" cm="1">
        <f t="array" ref="K297">IF(J297=0,IF(I297&gt;=52.25,52.25,I297),_xlfn.IFS(J297&gt;=52.25,52.25,J297&lt;52.25,J297))</f>
        <v>32.464565198214082</v>
      </c>
      <c r="L297" s="1039"/>
      <c r="M297" s="342">
        <f t="shared" si="13"/>
        <v>28.741773048123108</v>
      </c>
      <c r="N297" s="1035" cm="1">
        <f t="array" ref="N297">IF(M297=0,IF(L298&gt;=52.25,52.25,L298),_xlfn.IFS(M297&gt;=52.25,52.25,M297&lt;52.25,M297))</f>
        <v>28.741773048123108</v>
      </c>
      <c r="O297" s="1039"/>
      <c r="P297" s="342">
        <f t="shared" si="14"/>
        <v>29.301469785746555</v>
      </c>
      <c r="Q297" s="1035" cm="1">
        <f t="array" ref="Q297">IF(P297=0,IF(O298&gt;=52.25,52.25,O298),_xlfn.IFS(P297&gt;=52.25,52.25,P297&lt;52.25,P297))</f>
        <v>29.301469785746555</v>
      </c>
    </row>
    <row r="298" spans="2:17">
      <c r="B298" s="776">
        <v>19</v>
      </c>
      <c r="C298" s="1032" t="s">
        <v>1711</v>
      </c>
      <c r="D298" s="1038" t="s">
        <v>1754</v>
      </c>
      <c r="E298" s="1056">
        <f t="shared" si="10"/>
        <v>71.396523939113308</v>
      </c>
      <c r="F298" s="1039"/>
      <c r="G298" s="342">
        <f t="shared" si="11"/>
        <v>31.507484306165082</v>
      </c>
      <c r="H298" s="1035" cm="1">
        <f t="array" ref="H298">IF(G298=0,IF(F298&gt;=52.25,52.25,F298),_xlfn.IFS(G298&gt;=52.25,52.25,G298&lt;52.25,G298))</f>
        <v>31.507484306165082</v>
      </c>
      <c r="I298" s="1039"/>
      <c r="J298" s="342">
        <f t="shared" si="12"/>
        <v>32.256556494615253</v>
      </c>
      <c r="K298" s="1035" cm="1">
        <f t="array" ref="K298">IF(J298=0,IF(I298&gt;=52.25,52.25,I298),_xlfn.IFS(J298&gt;=52.25,52.25,J298&lt;52.25,J298))</f>
        <v>32.256556494615253</v>
      </c>
      <c r="L298" s="1039"/>
      <c r="M298" s="342">
        <f t="shared" si="13"/>
        <v>28.497471685778592</v>
      </c>
      <c r="N298" s="1035" cm="1">
        <f t="array" ref="N298">IF(M298=0,IF(L299&gt;=52.25,52.25,L299),_xlfn.IFS(M298&gt;=52.25,52.25,M298&lt;52.25,M298))</f>
        <v>28.497471685778592</v>
      </c>
      <c r="O298" s="1039"/>
      <c r="P298" s="342">
        <f t="shared" si="14"/>
        <v>29.072088089179438</v>
      </c>
      <c r="Q298" s="1035" cm="1">
        <f t="array" ref="Q298">IF(P298=0,IF(O299&gt;=52.25,52.25,O299),_xlfn.IFS(P298&gt;=52.25,52.25,P298&lt;52.25,P298))</f>
        <v>29.072088089179438</v>
      </c>
    </row>
    <row r="299" spans="2:17">
      <c r="B299" s="776">
        <v>20</v>
      </c>
      <c r="C299" s="1032" t="s">
        <v>405</v>
      </c>
      <c r="D299" s="28">
        <v>26</v>
      </c>
      <c r="E299" s="980">
        <f t="shared" si="10"/>
        <v>71.596779199547427</v>
      </c>
      <c r="F299" s="1034">
        <v>30</v>
      </c>
      <c r="G299" s="342">
        <f t="shared" si="11"/>
        <v>31.190263971356543</v>
      </c>
      <c r="H299" s="1035" cm="1">
        <f t="array" ref="H299">IF(G299=0,IF(F299&gt;=52.25,52.25,F299),_xlfn.IFS(G299&gt;=52.25,52.25,G299&lt;52.25,G299))</f>
        <v>31.190263971356543</v>
      </c>
      <c r="I299" s="1034">
        <v>31</v>
      </c>
      <c r="J299" s="342">
        <f t="shared" si="12"/>
        <v>31.904008808618663</v>
      </c>
      <c r="K299" s="1035" cm="1">
        <f t="array" ref="K299">IF(J299=0,IF(I299&gt;=52.25,52.25,I299),_xlfn.IFS(J299&gt;=52.25,52.25,J299&lt;52.25,J299))</f>
        <v>31.904008808618663</v>
      </c>
      <c r="L299" s="1034">
        <v>28</v>
      </c>
      <c r="M299" s="342">
        <f t="shared" si="13"/>
        <v>28.081997272944321</v>
      </c>
      <c r="N299" s="1035" cm="1">
        <f t="array" ref="N299">IF(M299=0,IF(L300&gt;=52.25,52.25,L300),_xlfn.IFS(M299&gt;=52.25,52.25,M299&lt;52.25,M299))</f>
        <v>28.081997272944321</v>
      </c>
      <c r="O299" s="1034">
        <v>29</v>
      </c>
      <c r="P299" s="342">
        <f t="shared" si="14"/>
        <v>28.682120027548599</v>
      </c>
      <c r="Q299" s="1035" cm="1">
        <f t="array" ref="Q299">IF(P299=0,IF(O300&gt;=52.25,52.25,O300),_xlfn.IFS(P299&gt;=52.25,52.25,P299&lt;52.25,P299))</f>
        <v>28.682120027548599</v>
      </c>
    </row>
    <row r="300" spans="2:17">
      <c r="B300" s="776">
        <v>21</v>
      </c>
      <c r="C300" s="1032" t="s">
        <v>434</v>
      </c>
      <c r="D300" s="1038" t="s">
        <v>1754</v>
      </c>
      <c r="E300" s="1056">
        <f t="shared" si="10"/>
        <v>72.143941265090348</v>
      </c>
      <c r="F300" s="1039"/>
      <c r="G300" s="342">
        <f t="shared" si="11"/>
        <v>30.322288660911738</v>
      </c>
      <c r="H300" s="1035" cm="1">
        <f t="array" ref="H300">IF(G300=0,IF(F300&gt;=52.25,52.25,F300),_xlfn.IFS(G300&gt;=52.25,52.25,G300&lt;52.25,G300))</f>
        <v>30.322288660911738</v>
      </c>
      <c r="I300" s="1039"/>
      <c r="J300" s="342">
        <f t="shared" si="12"/>
        <v>30.934109510965193</v>
      </c>
      <c r="K300" s="1035" cm="1">
        <f t="array" ref="K300">IF(J300=0,IF(I300&gt;=52.25,52.25,I300),_xlfn.IFS(J300&gt;=52.25,52.25,J300&lt;52.25,J300))</f>
        <v>30.934109510965193</v>
      </c>
      <c r="L300" s="1039"/>
      <c r="M300" s="342">
        <f t="shared" si="13"/>
        <v>26.929937868398625</v>
      </c>
      <c r="N300" s="1035" cm="1">
        <f t="array" ref="N300">IF(M300=0,IF(L301&gt;=52.25,52.25,L301),_xlfn.IFS(M300&gt;=52.25,52.25,M300&lt;52.25,M300))</f>
        <v>26.929937868398625</v>
      </c>
      <c r="O300" s="1039"/>
      <c r="P300" s="342">
        <f t="shared" si="14"/>
        <v>27.601633423194421</v>
      </c>
      <c r="Q300" s="1035" cm="1">
        <f t="array" ref="Q300">IF(P300=0,IF(O301&gt;=52.25,52.25,O301),_xlfn.IFS(P300&gt;=52.25,52.25,P300&lt;52.25,P300))</f>
        <v>27.601633423194421</v>
      </c>
    </row>
    <row r="301" spans="2:17">
      <c r="B301" s="776">
        <v>22</v>
      </c>
      <c r="C301" s="1032" t="s">
        <v>407</v>
      </c>
      <c r="D301" s="28">
        <v>26</v>
      </c>
      <c r="E301" s="980">
        <f t="shared" si="10"/>
        <v>72.406259977471279</v>
      </c>
      <c r="F301" s="1034">
        <v>30</v>
      </c>
      <c r="G301" s="342">
        <f t="shared" si="11"/>
        <v>29.905529648247466</v>
      </c>
      <c r="H301" s="1035" cm="1">
        <f t="array" ref="H301">IF(G301=0,IF(F301&gt;=52.25,52.25,F301),_xlfn.IFS(G301&gt;=52.25,52.25,G301&lt;52.25,G301))</f>
        <v>29.905529648247466</v>
      </c>
      <c r="I301" s="1034">
        <v>31</v>
      </c>
      <c r="J301" s="342">
        <f t="shared" si="12"/>
        <v>30.46568350788646</v>
      </c>
      <c r="K301" s="1035" cm="1">
        <f t="array" ref="K301">IF(J301=0,IF(I301&gt;=52.25,52.25,I301),_xlfn.IFS(J301&gt;=52.25,52.25,J301&lt;52.25,J301))</f>
        <v>30.46568350788646</v>
      </c>
      <c r="L301" s="1034">
        <v>27</v>
      </c>
      <c r="M301" s="342">
        <f t="shared" si="13"/>
        <v>26.368872692300371</v>
      </c>
      <c r="N301" s="1035" cm="1">
        <f t="array" ref="N301">IF(M301=0,IF(L302&gt;=52.25,52.25,L302),_xlfn.IFS(M301&gt;=52.25,52.25,M301&lt;52.25,M301))</f>
        <v>26.368872692300371</v>
      </c>
      <c r="O301" s="1034">
        <v>28</v>
      </c>
      <c r="P301" s="342">
        <f t="shared" si="14"/>
        <v>27.075858226305293</v>
      </c>
      <c r="Q301" s="1035" cm="1">
        <f t="array" ref="Q301">IF(P301=0,IF(O302&gt;=52.25,52.25,O302),_xlfn.IFS(P301&gt;=52.25,52.25,P301&lt;52.25,P301))</f>
        <v>27.075858226305293</v>
      </c>
    </row>
    <row r="302" spans="2:17">
      <c r="B302" s="776">
        <v>23</v>
      </c>
      <c r="C302" s="1045" t="s">
        <v>1712</v>
      </c>
      <c r="D302" s="1038" t="s">
        <v>1754</v>
      </c>
      <c r="E302" s="1056">
        <f t="shared" si="10"/>
        <v>73.272853961107671</v>
      </c>
      <c r="F302" s="1039"/>
      <c r="G302" s="342">
        <f t="shared" si="11"/>
        <v>28.525793006707104</v>
      </c>
      <c r="H302" s="1035" cm="1">
        <f t="array" ref="H302">IF(G302=0,IF(F302&gt;=52.25,52.25,F302),_xlfn.IFS(G302&gt;=52.25,52.25,G302&lt;52.25,G302))</f>
        <v>28.525793006707104</v>
      </c>
      <c r="I302" s="1038"/>
      <c r="J302" s="342">
        <f t="shared" si="12"/>
        <v>28.902346535161719</v>
      </c>
      <c r="K302" s="1035" cm="1">
        <f t="array" ref="K302">IF(J302=0,IF(I302&gt;=52.25,52.25,I302),_xlfn.IFS(J302&gt;=52.25,52.25,J302&lt;52.25,J302))</f>
        <v>28.902346535161719</v>
      </c>
      <c r="L302" s="1039"/>
      <c r="M302" s="342">
        <f t="shared" si="13"/>
        <v>24.475035970604111</v>
      </c>
      <c r="N302" s="1035" cm="1">
        <f t="array" ref="N302">IF(M302=0,IF(L303&gt;=52.25,52.25,L303),_xlfn.IFS(M302&gt;=52.25,52.25,M302&lt;52.25,M302))</f>
        <v>24.475035970604111</v>
      </c>
      <c r="O302" s="1039"/>
      <c r="P302" s="342">
        <f t="shared" si="14"/>
        <v>25.30310541661931</v>
      </c>
      <c r="Q302" s="1035" cm="1">
        <f t="array" ref="Q302">IF(P302=0,IF(O303&gt;=52.25,52.25,O303),_xlfn.IFS(P302&gt;=52.25,52.25,P302&lt;52.25,P302))</f>
        <v>25.30310541661931</v>
      </c>
    </row>
    <row r="303" spans="2:17">
      <c r="B303" s="776">
        <v>24</v>
      </c>
      <c r="C303" s="1032" t="s">
        <v>441</v>
      </c>
      <c r="D303" s="1038" t="s">
        <v>1754</v>
      </c>
      <c r="E303" s="1056">
        <f t="shared" si="10"/>
        <v>73.961348707585103</v>
      </c>
      <c r="F303" s="1039"/>
      <c r="G303" s="342">
        <f t="shared" si="11"/>
        <v>27.426402799933442</v>
      </c>
      <c r="H303" s="1035" cm="1">
        <f t="array" ref="H303">IF(G303=0,IF(F303&gt;=52.25,52.25,F303),_xlfn.IFS(G303&gt;=52.25,52.25,G303&lt;52.25,G303))</f>
        <v>27.426402799933442</v>
      </c>
      <c r="I303" s="1039"/>
      <c r="J303" s="342">
        <f t="shared" si="12"/>
        <v>27.642956018568306</v>
      </c>
      <c r="K303" s="1035" cm="1">
        <f t="array" ref="K303">IF(J303=0,IF(I303&gt;=52.25,52.25,I303),_xlfn.IFS(J303&gt;=52.25,52.25,J303&lt;52.25,J303))</f>
        <v>27.642956018568306</v>
      </c>
      <c r="L303" s="1039"/>
      <c r="M303" s="342">
        <f t="shared" si="13"/>
        <v>22.9263020483953</v>
      </c>
      <c r="N303" s="1035" cm="1">
        <f t="array" ref="N303">IF(M303=0,IF(L304&gt;=52.25,52.25,L304),_xlfn.IFS(M303&gt;=52.25,52.25,M303&lt;52.25,M303))</f>
        <v>22.9263020483953</v>
      </c>
      <c r="O303" s="1039"/>
      <c r="P303" s="342">
        <f t="shared" si="14"/>
        <v>23.855495766059143</v>
      </c>
      <c r="Q303" s="1035" cm="1">
        <f t="array" ref="Q303">IF(P303=0,IF(O304&gt;=52.25,52.25,O304),_xlfn.IFS(P303&gt;=52.25,52.25,P303&lt;52.25,P303))</f>
        <v>23.855495766059143</v>
      </c>
    </row>
    <row r="304" spans="2:17">
      <c r="B304" s="776">
        <v>25</v>
      </c>
      <c r="C304" s="1032" t="s">
        <v>425</v>
      </c>
      <c r="D304" s="1038" t="s">
        <v>1754</v>
      </c>
      <c r="E304" s="1056">
        <f t="shared" si="10"/>
        <v>74.075210894060092</v>
      </c>
      <c r="F304" s="1039"/>
      <c r="G304" s="342">
        <f t="shared" si="11"/>
        <v>27.244313289272753</v>
      </c>
      <c r="H304" s="1035" cm="1">
        <f t="array" ref="H304">IF(G304=0,IF(F304&gt;=52.25,52.25,F304),_xlfn.IFS(G304&gt;=52.25,52.25,G304&lt;52.25,G304))</f>
        <v>27.244313289272753</v>
      </c>
      <c r="I304" s="1039"/>
      <c r="J304" s="342">
        <f t="shared" si="12"/>
        <v>27.433199979305854</v>
      </c>
      <c r="K304" s="1035" cm="1">
        <f t="array" ref="K304">IF(J304=0,IF(I304&gt;=52.25,52.25,I304),_xlfn.IFS(J304&gt;=52.25,52.25,J304&lt;52.25,J304))</f>
        <v>27.433199979305854</v>
      </c>
      <c r="L304" s="1039"/>
      <c r="M304" s="342">
        <f t="shared" si="13"/>
        <v>22.666410895491211</v>
      </c>
      <c r="N304" s="1035" cm="1">
        <f t="array" ref="N304">IF(M304=0,IF(L305&gt;=52.25,52.25,L305),_xlfn.IFS(M304&gt;=52.25,52.25,M304&lt;52.25,M304))</f>
        <v>22.666410895491211</v>
      </c>
      <c r="O304" s="1039"/>
      <c r="P304" s="342">
        <f t="shared" si="14"/>
        <v>23.612748634679328</v>
      </c>
      <c r="Q304" s="1035" cm="1">
        <f t="array" ref="Q304">IF(P304=0,IF(O305&gt;=52.25,52.25,O305),_xlfn.IFS(P304&gt;=52.25,52.25,P304&lt;52.25,P304))</f>
        <v>23.612748634679328</v>
      </c>
    </row>
    <row r="305" spans="2:17">
      <c r="B305" s="776">
        <v>26</v>
      </c>
      <c r="C305" s="1032" t="s">
        <v>432</v>
      </c>
      <c r="D305" s="1038" t="s">
        <v>1754</v>
      </c>
      <c r="E305" s="1056">
        <f t="shared" si="10"/>
        <v>75.753783058301622</v>
      </c>
      <c r="F305" s="1039"/>
      <c r="G305" s="342">
        <f t="shared" si="11"/>
        <v>24.550898246423131</v>
      </c>
      <c r="H305" s="1035" cm="1">
        <f t="array" ref="H305">IF(G305=0,IF(F305&gt;=52.25,52.25,F305),_xlfn.IFS(G305&gt;=52.25,52.25,G305&lt;52.25,G305))</f>
        <v>24.550898246423131</v>
      </c>
      <c r="I305" s="1039"/>
      <c r="J305" s="342">
        <f t="shared" si="12"/>
        <v>24.292205888579247</v>
      </c>
      <c r="K305" s="1035" cm="1">
        <f t="array" ref="K305">IF(J305=0,IF(I305&gt;=52.25,52.25,I305),_xlfn.IFS(J305&gt;=52.25,52.25,J305&lt;52.25,J305))</f>
        <v>24.292205888579247</v>
      </c>
      <c r="L305" s="1039"/>
      <c r="M305" s="342">
        <f t="shared" si="13"/>
        <v>18.711099737371896</v>
      </c>
      <c r="N305" s="1035" cm="1">
        <f t="array" ref="N305">IF(M305=0,IF(L306&gt;=52.25,52.25,L306),_xlfn.IFS(M305&gt;=52.25,52.25,M305&lt;52.25,M305))</f>
        <v>18.711099737371896</v>
      </c>
      <c r="O305" s="1039"/>
      <c r="P305" s="342">
        <f t="shared" si="14"/>
        <v>19.924017182412094</v>
      </c>
      <c r="Q305" s="1035" cm="1">
        <f t="array" ref="Q305">IF(P305=0,IF(O306&gt;=52.25,52.25,O306),_xlfn.IFS(P305&gt;=52.25,52.25,P305&lt;52.25,P305))</f>
        <v>19.924017182412094</v>
      </c>
    </row>
    <row r="306" spans="2:17">
      <c r="B306" s="776">
        <v>27</v>
      </c>
      <c r="C306" s="1032" t="s">
        <v>426</v>
      </c>
      <c r="D306" s="1038" t="s">
        <v>1754</v>
      </c>
      <c r="E306" s="1056">
        <f t="shared" si="10"/>
        <v>77.521654363776008</v>
      </c>
      <c r="F306" s="1039"/>
      <c r="G306" s="342">
        <f t="shared" si="11"/>
        <v>21.695916358512093</v>
      </c>
      <c r="H306" s="1035" cm="1">
        <f t="array" ref="H306">IF(G306=0,IF(F306&gt;=52.25,52.25,F306),_xlfn.IFS(G306&gt;=52.25,52.25,G306&lt;52.25,G306))</f>
        <v>21.695916358512093</v>
      </c>
      <c r="I306" s="1039"/>
      <c r="J306" s="342">
        <f t="shared" si="12"/>
        <v>20.885408122452084</v>
      </c>
      <c r="K306" s="1035" cm="1">
        <f t="array" ref="K306">IF(J306=0,IF(I306&gt;=52.25,52.25,I306),_xlfn.IFS(J306&gt;=52.25,52.25,J306&lt;52.25,J306))</f>
        <v>20.885408122452084</v>
      </c>
      <c r="L306" s="1039"/>
      <c r="M306" s="342">
        <f t="shared" si="13"/>
        <v>14.29434195856139</v>
      </c>
      <c r="N306" s="1035" cm="1">
        <f t="array" ref="N306">IF(M306=0,IF(L307&gt;=52.25,52.25,L307),_xlfn.IFS(M306&gt;=52.25,52.25,M306&lt;52.25,M306))</f>
        <v>14.29434195856139</v>
      </c>
      <c r="O306" s="1039"/>
      <c r="P306" s="342">
        <f>($AM$350*($E306^2))+($AP$350*$E306)+$AS$350</f>
        <v>15.816048202379598</v>
      </c>
      <c r="Q306" s="1035" cm="1">
        <f t="array" ref="Q306">IF(P306=0,IF(O307&gt;=52.25,52.25,O307),_xlfn.IFS(P306&gt;=52.25,52.25,P306&lt;52.25,P306))</f>
        <v>15.816048202379598</v>
      </c>
    </row>
    <row r="307" spans="2:17" ht="15" thickBot="1">
      <c r="B307" s="776">
        <v>28</v>
      </c>
      <c r="C307" s="1032" t="s">
        <v>447</v>
      </c>
      <c r="D307" s="1038" t="s">
        <v>1754</v>
      </c>
      <c r="E307" s="1056">
        <f t="shared" si="10"/>
        <v>82.596339388573085</v>
      </c>
      <c r="F307" s="1059"/>
      <c r="G307" s="342">
        <f t="shared" si="11"/>
        <v>13.396502531082177</v>
      </c>
      <c r="H307" s="1035" cm="1">
        <f t="array" ref="H307">IF(G307=0,IF(F307&gt;=52.25,52.25,F307),_xlfn.IFS(G307&gt;=52.25,52.25,G307&lt;52.25,G307))</f>
        <v>13.396502531082177</v>
      </c>
      <c r="I307" s="1059"/>
      <c r="J307" s="342">
        <f t="shared" si="12"/>
        <v>10.543649157690581</v>
      </c>
      <c r="K307" s="1035" cm="1">
        <f t="array" ref="K307">IF(J307=0,IF(I307&gt;=52.25,52.25,I307),_xlfn.IFS(J307&gt;=52.25,52.25,J307&lt;52.25,J307))</f>
        <v>10.543649157690581</v>
      </c>
      <c r="L307" s="1059"/>
      <c r="M307" s="342">
        <f t="shared" si="13"/>
        <v>0.18539135826328845</v>
      </c>
      <c r="N307" s="1035" cm="1">
        <f t="array" ref="N307">IF(M307=0,IF(L308&gt;=52.25,52.25,L308),_xlfn.IFS(M307&gt;=52.25,52.25,M307&lt;52.25,M307))</f>
        <v>0.18539135826328845</v>
      </c>
      <c r="O307" s="1059"/>
      <c r="P307" s="342">
        <f>($AM$350*($E307^2))+($AP$350*$E307)+$AS$350</f>
        <v>2.7532072363688727</v>
      </c>
      <c r="Q307" s="1035" cm="1">
        <f t="array" ref="Q307">IF(P307=0,IF(O308&gt;=52.25,52.25,O308),_xlfn.IFS(P307&gt;=52.25,52.25,P307&lt;52.25,P307))</f>
        <v>2.7532072363688727</v>
      </c>
    </row>
    <row r="310" spans="2:17" s="911" customFormat="1"/>
    <row r="311" spans="2:17" s="911" customFormat="1"/>
    <row r="312" spans="2:17" s="911" customFormat="1"/>
    <row r="313" spans="2:17" s="911" customFormat="1"/>
    <row r="314" spans="2:17" s="911" customFormat="1"/>
    <row r="315" spans="2:17" s="911" customFormat="1"/>
    <row r="316" spans="2:17" s="911" customFormat="1"/>
    <row r="317" spans="2:17" s="911" customFormat="1"/>
    <row r="318" spans="2:17" s="911" customFormat="1"/>
    <row r="319" spans="2:17" s="911" customFormat="1"/>
    <row r="320" spans="2:17" s="911" customFormat="1"/>
    <row r="321" s="911" customFormat="1"/>
    <row r="322" s="911" customFormat="1"/>
    <row r="323" s="911" customFormat="1"/>
    <row r="324" s="911" customFormat="1"/>
    <row r="325" s="911" customFormat="1"/>
    <row r="326" s="911" customFormat="1"/>
    <row r="327" s="911" customFormat="1"/>
    <row r="328" s="911" customFormat="1"/>
    <row r="329" s="911" customFormat="1"/>
    <row r="330" s="911" customFormat="1"/>
    <row r="331" s="911" customFormat="1"/>
    <row r="332" s="911" customFormat="1"/>
    <row r="333" s="911" customFormat="1"/>
    <row r="334" s="911" customFormat="1"/>
    <row r="335" s="911" customFormat="1"/>
    <row r="336" s="911" customFormat="1"/>
    <row r="337" spans="2:45" s="911" customFormat="1"/>
    <row r="338" spans="2:45" s="911" customFormat="1"/>
    <row r="339" spans="2:45" s="911" customFormat="1"/>
    <row r="340" spans="2:45" s="911" customFormat="1"/>
    <row r="341" spans="2:45" s="911" customFormat="1"/>
    <row r="342" spans="2:45" s="911" customFormat="1"/>
    <row r="343" spans="2:45" s="911" customFormat="1"/>
    <row r="344" spans="2:45" s="911" customFormat="1"/>
    <row r="345" spans="2:45" s="911" customFormat="1"/>
    <row r="346" spans="2:45" s="911" customFormat="1"/>
    <row r="347" spans="2:45" s="911" customFormat="1"/>
    <row r="348" spans="2:45" s="911" customFormat="1"/>
    <row r="349" spans="2:45" s="911" customFormat="1"/>
    <row r="350" spans="2:45" s="911" customFormat="1" ht="16.149999999999999">
      <c r="B350" s="1050" t="s">
        <v>1750</v>
      </c>
      <c r="C350" s="1062">
        <v>-3.0000000000000001E-3</v>
      </c>
      <c r="D350" s="1051" t="s">
        <v>1751</v>
      </c>
      <c r="E350" s="1052" t="s">
        <v>1752</v>
      </c>
      <c r="F350" s="1051">
        <v>-1.1551</v>
      </c>
      <c r="G350" s="1051" t="s">
        <v>403</v>
      </c>
      <c r="H350" s="1052" t="s">
        <v>1752</v>
      </c>
      <c r="I350" s="1053">
        <v>129.27000000000001</v>
      </c>
      <c r="L350" s="1050" t="s">
        <v>1750</v>
      </c>
      <c r="M350" s="1051">
        <v>-1.6199999999999999E-2</v>
      </c>
      <c r="N350" s="1051" t="s">
        <v>1751</v>
      </c>
      <c r="O350" s="1052" t="s">
        <v>1752</v>
      </c>
      <c r="P350" s="1051">
        <v>0.55600000000000005</v>
      </c>
      <c r="Q350" s="1051" t="s">
        <v>403</v>
      </c>
      <c r="R350" s="1052" t="s">
        <v>1752</v>
      </c>
      <c r="S350" s="1053">
        <v>75.138999999999996</v>
      </c>
      <c r="Y350" s="1050" t="s">
        <v>1750</v>
      </c>
      <c r="Z350" s="1051">
        <v>-4.1200000000000001E-2</v>
      </c>
      <c r="AA350" s="1051" t="s">
        <v>1751</v>
      </c>
      <c r="AB350" s="1052" t="s">
        <v>1752</v>
      </c>
      <c r="AC350" s="1051">
        <v>3.8166000000000002</v>
      </c>
      <c r="AD350" s="1051" t="s">
        <v>403</v>
      </c>
      <c r="AE350" s="1052" t="s">
        <v>1752</v>
      </c>
      <c r="AF350" s="1053">
        <v>-33.978999999999999</v>
      </c>
      <c r="AL350" s="1050" t="s">
        <v>1750</v>
      </c>
      <c r="AM350" s="1051">
        <v>-3.6600000000000001E-2</v>
      </c>
      <c r="AN350" s="1051" t="s">
        <v>1751</v>
      </c>
      <c r="AO350" s="1052" t="s">
        <v>1752</v>
      </c>
      <c r="AP350" s="1051">
        <v>3.2862</v>
      </c>
      <c r="AQ350" s="1051" t="s">
        <v>403</v>
      </c>
      <c r="AR350" s="1052" t="s">
        <v>1752</v>
      </c>
      <c r="AS350" s="1053">
        <v>-18.984000000000002</v>
      </c>
    </row>
    <row r="351" spans="2:45" s="911" customFormat="1"/>
    <row r="352" spans="2:45" s="911" customFormat="1"/>
    <row r="353" spans="2:17" s="911" customFormat="1"/>
    <row r="356" spans="2:17" ht="21">
      <c r="C356" s="1085" t="s">
        <v>1755</v>
      </c>
      <c r="D356" s="1085"/>
    </row>
    <row r="358" spans="2:17" ht="15" thickBot="1"/>
    <row r="359" spans="2:17">
      <c r="F359" s="1107" t="s">
        <v>1739</v>
      </c>
      <c r="G359" s="1108"/>
      <c r="H359" s="1109"/>
      <c r="I359" s="1107" t="s">
        <v>1740</v>
      </c>
      <c r="J359" s="1108"/>
      <c r="K359" s="1109"/>
      <c r="L359" s="1110" t="s">
        <v>1741</v>
      </c>
      <c r="M359" s="1111"/>
      <c r="N359" s="1112"/>
      <c r="O359" s="1110" t="s">
        <v>1742</v>
      </c>
      <c r="P359" s="1111"/>
      <c r="Q359" s="1112"/>
    </row>
    <row r="360" spans="2:17" ht="57.6">
      <c r="B360" s="792"/>
      <c r="C360" s="1027" t="s">
        <v>1743</v>
      </c>
      <c r="D360" s="1027" t="s">
        <v>1702</v>
      </c>
      <c r="E360" s="1028" t="s">
        <v>1744</v>
      </c>
      <c r="F360" s="1029" t="s">
        <v>1745</v>
      </c>
      <c r="G360" s="1027" t="s">
        <v>1746</v>
      </c>
      <c r="H360" s="1030" t="s">
        <v>1747</v>
      </c>
      <c r="I360" s="1029" t="s">
        <v>1745</v>
      </c>
      <c r="J360" s="1027" t="s">
        <v>1746</v>
      </c>
      <c r="K360" s="1030" t="s">
        <v>1747</v>
      </c>
      <c r="L360" s="1029" t="s">
        <v>1745</v>
      </c>
      <c r="M360" s="1027" t="s">
        <v>1746</v>
      </c>
      <c r="N360" s="1030" t="s">
        <v>1747</v>
      </c>
      <c r="O360" s="1029" t="s">
        <v>1745</v>
      </c>
      <c r="P360" s="1027" t="s">
        <v>1746</v>
      </c>
      <c r="Q360" s="1030" t="s">
        <v>1747</v>
      </c>
    </row>
    <row r="361" spans="2:17">
      <c r="B361" s="776">
        <v>1</v>
      </c>
      <c r="C361" s="1032" t="s">
        <v>408</v>
      </c>
      <c r="D361" s="1063"/>
      <c r="E361" s="1056">
        <f t="shared" ref="E361:E388" si="15">VLOOKUP(C361,$C$7:$J$36,8,FALSE)</f>
        <v>53.341586567624176</v>
      </c>
      <c r="F361" s="1064"/>
      <c r="G361" s="946">
        <f>($E$431*$E361)+($H$431)</f>
        <v>60.17857831013211</v>
      </c>
      <c r="H361" s="1035" cm="1">
        <f t="array" ref="H361">IF(G361=0,IF(F361&gt;=52.25,52.25,F361),_xlfn.IFS(G361&gt;=52.25,52.25,G361&lt;52.25,G361))</f>
        <v>52.25</v>
      </c>
      <c r="I361" s="1064"/>
      <c r="J361" s="946">
        <f>($N$431*$E361)+($Q$431)</f>
        <v>60.98552873232714</v>
      </c>
      <c r="K361" s="1035" cm="1">
        <f t="array" ref="K361">IF(J361=0,IF(I361&gt;=52.25,52.25,I361),_xlfn.IFS(J361&gt;=52.25,52.25,J361&lt;52.25,J361))</f>
        <v>52.25</v>
      </c>
      <c r="L361" s="1064"/>
      <c r="M361" s="946">
        <f>($Z$431*$E361)+($AC$431)</f>
        <v>57.898375124837315</v>
      </c>
      <c r="N361" s="1035" cm="1">
        <f t="array" ref="N361">IF(M361=0,IF(L361&gt;=52.25,52.25,L361),_xlfn.IFS(M361&gt;=52.25,52.25,M361&lt;52.25,M361))</f>
        <v>52.25</v>
      </c>
      <c r="O361" s="1064"/>
      <c r="P361" s="946">
        <f>($AL$431*$E361)+($AO$431)</f>
        <v>57.882818323518734</v>
      </c>
      <c r="Q361" s="1035" cm="1">
        <f t="array" ref="Q361">IF(P361=0,IF(O361&gt;=52.25,52.25,O361),_xlfn.IFS(P361&gt;=52.25,52.25,P361&lt;52.25,P361))</f>
        <v>52.25</v>
      </c>
    </row>
    <row r="362" spans="2:17">
      <c r="B362" s="776">
        <v>2</v>
      </c>
      <c r="C362" s="1032" t="s">
        <v>398</v>
      </c>
      <c r="D362" s="29">
        <v>24</v>
      </c>
      <c r="E362" s="980">
        <f t="shared" si="15"/>
        <v>53.440740989031156</v>
      </c>
      <c r="F362" s="1066">
        <f>(F281+F211)/2</f>
        <v>62.5</v>
      </c>
      <c r="G362" s="946">
        <f t="shared" ref="G362:G388" si="16">($E$431*$E362)+($H$431)</f>
        <v>60.03975617089705</v>
      </c>
      <c r="H362" s="1035" cm="1">
        <f t="array" ref="H362">IF(G362=0,IF(F362&gt;=52.25,52.25,F362),_xlfn.IFS(G362&gt;=52.25,52.25,G362&lt;52.25,G362))</f>
        <v>52.25</v>
      </c>
      <c r="I362" s="1066">
        <f>(I281+I211)/2</f>
        <v>62.5</v>
      </c>
      <c r="J362" s="946">
        <f t="shared" ref="J362:J388" si="17">($N$431*$E362)+($Q$431)</f>
        <v>60.84370816338874</v>
      </c>
      <c r="K362" s="1035" cm="1">
        <f t="array" ref="K362">IF(J362=0,IF(I362&gt;=52.25,52.25,I362),_xlfn.IFS(J362&gt;=52.25,52.25,J362&lt;52.25,J362))</f>
        <v>52.25</v>
      </c>
      <c r="L362" s="1066">
        <f>(L281+L211)/2</f>
        <v>58.625</v>
      </c>
      <c r="M362" s="946">
        <f t="shared" ref="M362:M388" si="18">($Z$431*$E362)+($AC$431)</f>
        <v>57.750704445035893</v>
      </c>
      <c r="N362" s="1035" cm="1">
        <f t="array" ref="N362">IF(M362=0,IF(L362&gt;=52.25,52.25,L362),_xlfn.IFS(M362&gt;=52.25,52.25,M362&lt;52.25,M362))</f>
        <v>52.25</v>
      </c>
      <c r="O362" s="1066">
        <f>(O281+O211)/2</f>
        <v>58.625</v>
      </c>
      <c r="P362" s="946">
        <f t="shared" ref="P362:P388" si="19">($AL$431*$E362)+($AO$431)</f>
        <v>57.740472236146886</v>
      </c>
      <c r="Q362" s="1035" cm="1">
        <f t="array" ref="Q362">IF(P362=0,IF(O362&gt;=52.25,52.25,O362),_xlfn.IFS(P362&gt;=52.25,52.25,P362&lt;52.25,P362))</f>
        <v>52.25</v>
      </c>
    </row>
    <row r="363" spans="2:17">
      <c r="B363" s="776">
        <v>3</v>
      </c>
      <c r="C363" s="1055" t="s">
        <v>1707</v>
      </c>
      <c r="D363" s="1038"/>
      <c r="E363" s="1056">
        <f t="shared" si="15"/>
        <v>56.54731983250025</v>
      </c>
      <c r="F363" s="1039"/>
      <c r="G363" s="946">
        <f t="shared" si="16"/>
        <v>55.690359395309713</v>
      </c>
      <c r="H363" s="1035" cm="1">
        <f t="array" ref="H363">IF(G363=0,IF(F363&gt;=52.25,52.25,F363),_xlfn.IFS(G363&gt;=52.25,52.25,G363&lt;52.25,G363))</f>
        <v>52.25</v>
      </c>
      <c r="I363" s="1039"/>
      <c r="J363" s="946">
        <f t="shared" si="17"/>
        <v>56.400368443574905</v>
      </c>
      <c r="K363" s="1035" cm="1">
        <f t="array" ref="K363">IF(J363=0,IF(I363&gt;=52.25,52.25,I363),_xlfn.IFS(J363&gt;=52.25,52.25,J363&lt;52.25,J363))</f>
        <v>52.25</v>
      </c>
      <c r="L363" s="1039"/>
      <c r="M363" s="946">
        <f t="shared" si="18"/>
        <v>53.124076573457373</v>
      </c>
      <c r="N363" s="1035" cm="1">
        <f t="array" ref="N363">IF(M363=0,IF(L363&gt;=52.25,52.25,L363),_xlfn.IFS(M363&gt;=52.25,52.25,M363&lt;52.25,M363))</f>
        <v>52.25</v>
      </c>
      <c r="O363" s="1039"/>
      <c r="P363" s="946">
        <f t="shared" si="19"/>
        <v>53.280667648462654</v>
      </c>
      <c r="Q363" s="1035" cm="1">
        <f t="array" ref="Q363">IF(P363=0,IF(O363&gt;=52.25,52.25,O363),_xlfn.IFS(P363&gt;=52.25,52.25,P363&lt;52.25,P363))</f>
        <v>52.25</v>
      </c>
    </row>
    <row r="364" spans="2:17">
      <c r="B364" s="776">
        <v>4</v>
      </c>
      <c r="C364" s="1032" t="s">
        <v>57</v>
      </c>
      <c r="D364" s="1038"/>
      <c r="E364" s="1056">
        <f t="shared" si="15"/>
        <v>56.71974203572637</v>
      </c>
      <c r="F364" s="1039"/>
      <c r="G364" s="946">
        <f t="shared" si="16"/>
        <v>55.448957965460949</v>
      </c>
      <c r="H364" s="1035" cm="1">
        <f t="array" ref="H364">IF(G364=0,IF(F364&gt;=52.25,52.25,F364),_xlfn.IFS(G364&gt;=52.25,52.25,G364&lt;52.25,G364))</f>
        <v>52.25</v>
      </c>
      <c r="I364" s="1039"/>
      <c r="J364" s="946">
        <f t="shared" si="17"/>
        <v>56.153752966300587</v>
      </c>
      <c r="K364" s="1035" cm="1">
        <f t="array" ref="K364">IF(J364=0,IF(I364&gt;=52.25,52.25,I364),_xlfn.IFS(J364&gt;=52.25,52.25,J364&lt;52.25,J364))</f>
        <v>52.25</v>
      </c>
      <c r="L364" s="1039"/>
      <c r="M364" s="946">
        <f t="shared" si="18"/>
        <v>52.867288186192724</v>
      </c>
      <c r="N364" s="1035" cm="1">
        <f t="array" ref="N364">IF(M364=0,IF(L364&gt;=52.25,52.25,L364),_xlfn.IFS(M364&gt;=52.25,52.25,M364&lt;52.25,M364))</f>
        <v>52.25</v>
      </c>
      <c r="O364" s="1039"/>
      <c r="P364" s="946">
        <f t="shared" si="19"/>
        <v>53.033138333511232</v>
      </c>
      <c r="Q364" s="1035" cm="1">
        <f t="array" ref="Q364">IF(P364=0,IF(O364&gt;=52.25,52.25,O364),_xlfn.IFS(P364&gt;=52.25,52.25,P364&lt;52.25,P364))</f>
        <v>52.25</v>
      </c>
    </row>
    <row r="365" spans="2:17">
      <c r="B365" s="776">
        <v>5</v>
      </c>
      <c r="C365" s="1032" t="s">
        <v>393</v>
      </c>
      <c r="D365" s="1038"/>
      <c r="E365" s="1056">
        <f t="shared" si="15"/>
        <v>57.578362514458831</v>
      </c>
      <c r="F365" s="1039"/>
      <c r="G365" s="946">
        <f t="shared" si="16"/>
        <v>54.246837778006778</v>
      </c>
      <c r="H365" s="1035" cm="1">
        <f t="array" ref="H365">IF(G365=0,IF(F365&gt;=52.25,52.25,F365),_xlfn.IFS(G365&gt;=52.25,52.25,G365&lt;52.25,G365))</f>
        <v>52.25</v>
      </c>
      <c r="I365" s="1039"/>
      <c r="J365" s="946">
        <f t="shared" si="17"/>
        <v>54.925668095569534</v>
      </c>
      <c r="K365" s="1035" cm="1">
        <f t="array" ref="K365">IF(J365=0,IF(I365&gt;=52.25,52.25,I365),_xlfn.IFS(J365&gt;=52.25,52.25,J365&lt;52.25,J365))</f>
        <v>52.25</v>
      </c>
      <c r="L365" s="1039"/>
      <c r="M365" s="946">
        <f t="shared" si="18"/>
        <v>51.588544707216457</v>
      </c>
      <c r="N365" s="1035" cm="1">
        <f t="array" ref="N365">IF(M365=0,IF(L365&gt;=52.25,52.25,L365),_xlfn.IFS(M365&gt;=52.25,52.25,M365&lt;52.25,M365))</f>
        <v>51.588544707216457</v>
      </c>
      <c r="O365" s="1039"/>
      <c r="P365" s="946">
        <f t="shared" si="19"/>
        <v>51.800502774242915</v>
      </c>
      <c r="Q365" s="1035" cm="1">
        <f t="array" ref="Q365">IF(P365=0,IF(O365&gt;=52.25,52.25,O365),_xlfn.IFS(P365&gt;=52.25,52.25,P365&lt;52.25,P365))</f>
        <v>51.800502774242915</v>
      </c>
    </row>
    <row r="366" spans="2:17">
      <c r="B366" s="776">
        <v>6</v>
      </c>
      <c r="C366" s="1032" t="s">
        <v>411</v>
      </c>
      <c r="D366" s="1038"/>
      <c r="E366" s="1056">
        <f t="shared" si="15"/>
        <v>58.607163396818464</v>
      </c>
      <c r="F366" s="1039"/>
      <c r="G366" s="946">
        <f t="shared" si="16"/>
        <v>52.806454814650351</v>
      </c>
      <c r="H366" s="1035" cm="1">
        <f t="array" ref="H366">IF(G366=0,IF(F366&gt;=52.25,52.25,F366),_xlfn.IFS(G366&gt;=52.25,52.25,G366&lt;52.25,G366))</f>
        <v>52.25</v>
      </c>
      <c r="I366" s="1039"/>
      <c r="J366" s="946">
        <f t="shared" si="17"/>
        <v>53.454174193530562</v>
      </c>
      <c r="K366" s="1035" cm="1">
        <f t="array" ref="K366">IF(J366=0,IF(I366&gt;=52.25,52.25,I366),_xlfn.IFS(J366&gt;=52.25,52.25,J366&lt;52.25,J366))</f>
        <v>52.25</v>
      </c>
      <c r="L366" s="1039"/>
      <c r="M366" s="946">
        <f t="shared" si="18"/>
        <v>50.056351553118262</v>
      </c>
      <c r="N366" s="1035" cm="1">
        <f t="array" ref="N366">IF(M366=0,IF(L366&gt;=52.25,52.25,L366),_xlfn.IFS(M366&gt;=52.25,52.25,M366&lt;52.25,M366))</f>
        <v>50.056351553118262</v>
      </c>
      <c r="O366" s="1039"/>
      <c r="P366" s="946">
        <f t="shared" si="19"/>
        <v>50.323556227527419</v>
      </c>
      <c r="Q366" s="1035" cm="1">
        <f t="array" ref="Q366">IF(P366=0,IF(O366&gt;=52.25,52.25,O366),_xlfn.IFS(P366&gt;=52.25,52.25,P366&lt;52.25,P366))</f>
        <v>50.323556227527419</v>
      </c>
    </row>
    <row r="367" spans="2:17">
      <c r="B367" s="776">
        <v>7</v>
      </c>
      <c r="C367" s="1032" t="s">
        <v>400</v>
      </c>
      <c r="D367" s="1038"/>
      <c r="E367" s="1056">
        <f t="shared" si="15"/>
        <v>60.526484789578774</v>
      </c>
      <c r="F367" s="1039"/>
      <c r="G367" s="946">
        <f t="shared" si="16"/>
        <v>50.119289705502354</v>
      </c>
      <c r="H367" s="1035" cm="1">
        <f t="array" ref="H367">IF(G367=0,IF(F367&gt;=52.25,52.25,F367),_xlfn.IFS(G367&gt;=52.25,52.25,G367&lt;52.25,G367))</f>
        <v>50.119289705502354</v>
      </c>
      <c r="I367" s="1039"/>
      <c r="J367" s="946">
        <f t="shared" si="17"/>
        <v>50.708968805465489</v>
      </c>
      <c r="K367" s="1035" cm="1">
        <f t="array" ref="K367">IF(J367=0,IF(I367&gt;=52.25,52.25,I367),_xlfn.IFS(J367&gt;=52.25,52.25,J367&lt;52.25,J367))</f>
        <v>50.708968805465489</v>
      </c>
      <c r="L367" s="1039"/>
      <c r="M367" s="946">
        <f t="shared" si="18"/>
        <v>47.197906202880333</v>
      </c>
      <c r="N367" s="1035" cm="1">
        <f t="array" ref="N367">IF(M367=0,IF(L367&gt;=52.25,52.25,L367),_xlfn.IFS(M367&gt;=52.25,52.25,M367&lt;52.25,M367))</f>
        <v>47.197906202880333</v>
      </c>
      <c r="O367" s="1039"/>
      <c r="P367" s="946">
        <f t="shared" si="19"/>
        <v>47.568178436080714</v>
      </c>
      <c r="Q367" s="1035" cm="1">
        <f t="array" ref="Q367">IF(P367=0,IF(O367&gt;=52.25,52.25,O367),_xlfn.IFS(P367&gt;=52.25,52.25,P367&lt;52.25,P367))</f>
        <v>47.568178436080714</v>
      </c>
    </row>
    <row r="368" spans="2:17">
      <c r="B368" s="776">
        <v>8</v>
      </c>
      <c r="C368" s="1032" t="s">
        <v>401</v>
      </c>
      <c r="D368" s="1038"/>
      <c r="E368" s="1056">
        <f t="shared" si="15"/>
        <v>63.06609980042964</v>
      </c>
      <c r="F368" s="1039"/>
      <c r="G368" s="946">
        <f t="shared" si="16"/>
        <v>46.563676313410483</v>
      </c>
      <c r="H368" s="1035" cm="1">
        <f t="array" ref="H368">IF(G368=0,IF(F368&gt;=52.25,52.25,F368),_xlfn.IFS(G368&gt;=52.25,52.25,G368&lt;52.25,G368))</f>
        <v>46.563676313410483</v>
      </c>
      <c r="I368" s="1039"/>
      <c r="J368" s="946">
        <f t="shared" si="17"/>
        <v>47.076557455445496</v>
      </c>
      <c r="K368" s="1035" cm="1">
        <f t="array" ref="K368">IF(J368=0,IF(I368&gt;=52.25,52.25,I368),_xlfn.IFS(J368&gt;=52.25,52.25,J368&lt;52.25,J368))</f>
        <v>47.076557455445496</v>
      </c>
      <c r="L368" s="1039"/>
      <c r="M368" s="946">
        <f t="shared" si="18"/>
        <v>43.415657567220137</v>
      </c>
      <c r="N368" s="1035" cm="1">
        <f t="array" ref="N368">IF(M368=0,IF(L368&gt;=52.25,52.25,L368),_xlfn.IFS(M368&gt;=52.25,52.25,M368&lt;52.25,M368))</f>
        <v>43.415657567220137</v>
      </c>
      <c r="O368" s="1039"/>
      <c r="P368" s="946">
        <f t="shared" si="19"/>
        <v>43.922307126503213</v>
      </c>
      <c r="Q368" s="1035" cm="1">
        <f t="array" ref="Q368">IF(P368=0,IF(O368&gt;=52.25,52.25,O368),_xlfn.IFS(P368&gt;=52.25,52.25,P368&lt;52.25,P368))</f>
        <v>43.922307126503213</v>
      </c>
    </row>
    <row r="369" spans="2:17">
      <c r="B369" s="776">
        <v>9</v>
      </c>
      <c r="C369" s="1032" t="s">
        <v>442</v>
      </c>
      <c r="D369" s="1038"/>
      <c r="E369" s="1056">
        <f t="shared" si="15"/>
        <v>63.422144167614476</v>
      </c>
      <c r="F369" s="1039"/>
      <c r="G369" s="946">
        <f t="shared" si="16"/>
        <v>46.06519283668969</v>
      </c>
      <c r="H369" s="1035" cm="1">
        <f t="array" ref="H369">IF(G369=0,IF(F369&gt;=52.25,52.25,F369),_xlfn.IFS(G369&gt;=52.25,52.25,G369&lt;52.25,G369))</f>
        <v>46.06519283668969</v>
      </c>
      <c r="I369" s="1039"/>
      <c r="J369" s="946">
        <f t="shared" si="17"/>
        <v>46.567307197061027</v>
      </c>
      <c r="K369" s="1035" cm="1">
        <f t="array" ref="K369">IF(J369=0,IF(I369&gt;=52.25,52.25,I369),_xlfn.IFS(J369&gt;=52.25,52.25,J369&lt;52.25,J369))</f>
        <v>46.567307197061027</v>
      </c>
      <c r="L369" s="1039"/>
      <c r="M369" s="946">
        <f t="shared" si="18"/>
        <v>42.885400691171753</v>
      </c>
      <c r="N369" s="1035" cm="1">
        <f t="array" ref="N369">IF(M369=0,IF(L369&gt;=52.25,52.25,L369),_xlfn.IFS(M369&gt;=52.25,52.25,M369&lt;52.25,M369))</f>
        <v>42.885400691171753</v>
      </c>
      <c r="O369" s="1039"/>
      <c r="P369" s="946">
        <f t="shared" si="19"/>
        <v>43.411169832972661</v>
      </c>
      <c r="Q369" s="1035" cm="1">
        <f t="array" ref="Q369">IF(P369=0,IF(O369&gt;=52.25,52.25,O369),_xlfn.IFS(P369&gt;=52.25,52.25,P369&lt;52.25,P369))</f>
        <v>43.411169832972661</v>
      </c>
    </row>
    <row r="370" spans="2:17">
      <c r="B370" s="776">
        <v>10</v>
      </c>
      <c r="C370" s="1032" t="s">
        <v>422</v>
      </c>
      <c r="D370" s="1038"/>
      <c r="E370" s="1056">
        <f t="shared" si="15"/>
        <v>63.572354166699597</v>
      </c>
      <c r="F370" s="1039"/>
      <c r="G370" s="946">
        <f t="shared" si="16"/>
        <v>45.854889825370577</v>
      </c>
      <c r="H370" s="1035" cm="1">
        <f t="array" ref="H370">IF(G370=0,IF(F370&gt;=52.25,52.25,F370),_xlfn.IFS(G370&gt;=52.25,52.25,G370&lt;52.25,G370))</f>
        <v>45.854889825370577</v>
      </c>
      <c r="I370" s="1039"/>
      <c r="J370" s="946">
        <f t="shared" si="17"/>
        <v>46.352461835369567</v>
      </c>
      <c r="K370" s="1035" cm="1">
        <f t="array" ref="K370">IF(J370=0,IF(I370&gt;=52.25,52.25,I370),_xlfn.IFS(J370&gt;=52.25,52.25,J370&lt;52.25,J370))</f>
        <v>46.352461835369567</v>
      </c>
      <c r="L370" s="1039"/>
      <c r="M370" s="946">
        <f t="shared" si="18"/>
        <v>42.661692939534291</v>
      </c>
      <c r="N370" s="1035" cm="1">
        <f t="array" ref="N370">IF(M370=0,IF(L370&gt;=52.25,52.25,L370),_xlfn.IFS(M370&gt;=52.25,52.25,M370&lt;52.25,M370))</f>
        <v>42.661692939534291</v>
      </c>
      <c r="O370" s="1039"/>
      <c r="P370" s="946">
        <f t="shared" si="19"/>
        <v>43.195528358286069</v>
      </c>
      <c r="Q370" s="1035" cm="1">
        <f t="array" ref="Q370">IF(P370=0,IF(O370&gt;=52.25,52.25,O370),_xlfn.IFS(P370&gt;=52.25,52.25,P370&lt;52.25,P370))</f>
        <v>43.195528358286069</v>
      </c>
    </row>
    <row r="371" spans="2:17">
      <c r="B371" s="776">
        <v>11</v>
      </c>
      <c r="C371" s="1032" t="s">
        <v>446</v>
      </c>
      <c r="D371" s="1038"/>
      <c r="E371" s="1056">
        <f t="shared" si="15"/>
        <v>66.537654513875623</v>
      </c>
      <c r="F371" s="1039"/>
      <c r="G371" s="946">
        <f t="shared" si="16"/>
        <v>41.703291421303305</v>
      </c>
      <c r="H371" s="1035" cm="1">
        <f t="array" ref="H371">IF(G371=0,IF(F371&gt;=52.25,52.25,F371),_xlfn.IFS(G371&gt;=52.25,52.25,G371&lt;52.25,G371))</f>
        <v>41.703291421303305</v>
      </c>
      <c r="I371" s="1039"/>
      <c r="J371" s="946">
        <f t="shared" si="17"/>
        <v>42.111192748803703</v>
      </c>
      <c r="K371" s="1035" cm="1">
        <f t="array" ref="K371">IF(J371=0,IF(I371&gt;=52.25,52.25,I371),_xlfn.IFS(J371&gt;=52.25,52.25,J371&lt;52.25,J371))</f>
        <v>42.111192748803703</v>
      </c>
      <c r="L371" s="1039"/>
      <c r="M371" s="946">
        <f t="shared" si="18"/>
        <v>38.245471132485036</v>
      </c>
      <c r="N371" s="1035" cm="1">
        <f t="array" ref="N371">IF(M371=0,IF(L371&gt;=52.25,52.25,L371),_xlfn.IFS(M371&gt;=52.25,52.25,M371&lt;52.25,M371))</f>
        <v>38.245471132485036</v>
      </c>
      <c r="O371" s="1039"/>
      <c r="P371" s="946">
        <f t="shared" si="19"/>
        <v>38.93854317988017</v>
      </c>
      <c r="Q371" s="1035" cm="1">
        <f t="array" ref="Q371">IF(P371=0,IF(O371&gt;=52.25,52.25,O371),_xlfn.IFS(P371&gt;=52.25,52.25,P371&lt;52.25,P371))</f>
        <v>38.93854317988017</v>
      </c>
    </row>
    <row r="372" spans="2:17">
      <c r="B372" s="776">
        <v>12</v>
      </c>
      <c r="C372" s="1032" t="s">
        <v>429</v>
      </c>
      <c r="D372" s="1038"/>
      <c r="E372" s="1056">
        <f t="shared" si="15"/>
        <v>66.598199913018846</v>
      </c>
      <c r="F372" s="1039"/>
      <c r="G372" s="946">
        <f t="shared" si="16"/>
        <v>41.618524229778842</v>
      </c>
      <c r="H372" s="1035" cm="1">
        <f t="array" ref="H372">IF(G372=0,IF(F372&gt;=52.25,52.25,F372),_xlfn.IFS(G372&gt;=52.25,52.25,G372&lt;52.25,G372))</f>
        <v>41.618524229778842</v>
      </c>
      <c r="I372" s="1039"/>
      <c r="J372" s="946">
        <f t="shared" si="17"/>
        <v>42.02459466440915</v>
      </c>
      <c r="K372" s="1035" cm="1">
        <f t="array" ref="K372">IF(J372=0,IF(I372&gt;=52.25,52.25,I372),_xlfn.IFS(J372&gt;=52.25,52.25,J372&lt;52.25,J372))</f>
        <v>42.02459466440915</v>
      </c>
      <c r="L372" s="1039"/>
      <c r="M372" s="946">
        <f t="shared" si="18"/>
        <v>38.155300869541037</v>
      </c>
      <c r="N372" s="1035" cm="1">
        <f t="array" ref="N372">IF(M372=0,IF(L372&gt;=52.25,52.25,L372),_xlfn.IFS(M372&gt;=52.25,52.25,M372&lt;52.25,M372))</f>
        <v>38.155300869541037</v>
      </c>
      <c r="O372" s="1039"/>
      <c r="P372" s="946">
        <f t="shared" si="19"/>
        <v>38.851624204870149</v>
      </c>
      <c r="Q372" s="1035" cm="1">
        <f t="array" ref="Q372">IF(P372=0,IF(O372&gt;=52.25,52.25,O372),_xlfn.IFS(P372&gt;=52.25,52.25,P372&lt;52.25,P372))</f>
        <v>38.851624204870149</v>
      </c>
    </row>
    <row r="373" spans="2:17">
      <c r="B373" s="776">
        <v>13</v>
      </c>
      <c r="C373" s="1032" t="s">
        <v>415</v>
      </c>
      <c r="D373" s="1038"/>
      <c r="E373" s="1056">
        <f t="shared" si="15"/>
        <v>68.10361392462795</v>
      </c>
      <c r="F373" s="1039"/>
      <c r="G373" s="946">
        <f t="shared" si="16"/>
        <v>39.510854288685394</v>
      </c>
      <c r="H373" s="1035" cm="1">
        <f t="array" ref="H373">IF(G373=0,IF(F373&gt;=52.25,52.25,F373),_xlfn.IFS(G373&gt;=52.25,52.25,G373&lt;52.25,G373))</f>
        <v>39.510854288685394</v>
      </c>
      <c r="I373" s="1039"/>
      <c r="J373" s="946">
        <f t="shared" si="17"/>
        <v>39.871401003604646</v>
      </c>
      <c r="K373" s="1035" cm="1">
        <f t="array" ref="K373">IF(J373=0,IF(I373&gt;=52.25,52.25,I373),_xlfn.IFS(J373&gt;=52.25,52.25,J373&lt;52.25,J373))</f>
        <v>39.871401003604646</v>
      </c>
      <c r="L373" s="1039"/>
      <c r="M373" s="946">
        <f t="shared" si="18"/>
        <v>35.913287782051597</v>
      </c>
      <c r="N373" s="1035" cm="1">
        <f t="array" ref="N373">IF(M373=0,IF(L373&gt;=52.25,52.25,L373),_xlfn.IFS(M373&gt;=52.25,52.25,M373&lt;52.25,M373))</f>
        <v>35.913287782051597</v>
      </c>
      <c r="O373" s="1039"/>
      <c r="P373" s="946">
        <f t="shared" si="19"/>
        <v>36.69045184980412</v>
      </c>
      <c r="Q373" s="1035" cm="1">
        <f t="array" ref="Q373">IF(P373=0,IF(O373&gt;=52.25,52.25,O373),_xlfn.IFS(P373&gt;=52.25,52.25,P373&lt;52.25,P373))</f>
        <v>36.69045184980412</v>
      </c>
    </row>
    <row r="374" spans="2:17">
      <c r="B374" s="776">
        <v>14</v>
      </c>
      <c r="C374" s="1032" t="s">
        <v>1710</v>
      </c>
      <c r="D374" s="29">
        <v>24</v>
      </c>
      <c r="E374" s="1035">
        <f t="shared" si="15"/>
        <v>68.604306171230803</v>
      </c>
      <c r="F374" s="1066">
        <v>33</v>
      </c>
      <c r="G374" s="946">
        <f t="shared" si="16"/>
        <v>38.809855101906606</v>
      </c>
      <c r="H374" s="1035" cm="1">
        <f t="array" ref="H374">IF(G374=0,IF(F374&gt;=52.25,52.25,F374),_xlfn.IFS(G374&gt;=52.25,52.25,G374&lt;52.25,G374))</f>
        <v>38.809855101906606</v>
      </c>
      <c r="I374" s="1066">
        <v>34</v>
      </c>
      <c r="J374" s="946">
        <f t="shared" si="17"/>
        <v>39.155260883288591</v>
      </c>
      <c r="K374" s="1035" cm="1">
        <f t="array" ref="K374">IF(J374=0,IF(I374&gt;=52.25,52.25,I374),_xlfn.IFS(J374&gt;=52.25,52.25,J374&lt;52.25,J374))</f>
        <v>39.155260883288591</v>
      </c>
      <c r="L374" s="1066">
        <v>31</v>
      </c>
      <c r="M374" s="946">
        <f t="shared" si="18"/>
        <v>35.167606819185963</v>
      </c>
      <c r="N374" s="1035" cm="1">
        <f t="array" ref="N374">IF(M374=0,IF(L374&gt;=52.25,52.25,L374),_xlfn.IFS(M374&gt;=52.25,52.25,M374&lt;52.25,M374))</f>
        <v>35.167606819185963</v>
      </c>
      <c r="O374" s="1066">
        <v>32</v>
      </c>
      <c r="P374" s="946">
        <f t="shared" si="19"/>
        <v>35.971658060581063</v>
      </c>
      <c r="Q374" s="1035" cm="1">
        <f t="array" ref="Q374">IF(P374=0,IF(O374&gt;=52.25,52.25,O374),_xlfn.IFS(P374&gt;=52.25,52.25,P374&lt;52.25,P374))</f>
        <v>35.971658060581063</v>
      </c>
    </row>
    <row r="375" spans="2:17">
      <c r="B375" s="776">
        <v>15</v>
      </c>
      <c r="C375" s="1032" t="s">
        <v>427</v>
      </c>
      <c r="D375" s="1038"/>
      <c r="E375" s="1056">
        <f t="shared" si="15"/>
        <v>71.063733383987255</v>
      </c>
      <c r="F375" s="1039"/>
      <c r="G375" s="946">
        <f t="shared" si="16"/>
        <v>35.366509438414809</v>
      </c>
      <c r="H375" s="1035" cm="1">
        <f t="array" ref="H375">IF(G375=0,IF(F375&gt;=52.25,52.25,F375),_xlfn.IFS(G375&gt;=52.25,52.25,G375&lt;52.25,G375))</f>
        <v>35.366509438414809</v>
      </c>
      <c r="I375" s="1039"/>
      <c r="J375" s="946">
        <f t="shared" si="17"/>
        <v>35.637542140883042</v>
      </c>
      <c r="K375" s="1035" cm="1">
        <f t="array" ref="K375">IF(J375=0,IF(I375&gt;=52.25,52.25,I375),_xlfn.IFS(J375&gt;=52.25,52.25,J375&lt;52.25,J375))</f>
        <v>35.637542140883042</v>
      </c>
      <c r="L375" s="1039"/>
      <c r="M375" s="946">
        <f t="shared" si="18"/>
        <v>31.504781871227777</v>
      </c>
      <c r="N375" s="1035" cm="1">
        <f t="array" ref="N375">IF(M375=0,IF(L375&gt;=52.25,52.25,L375),_xlfn.IFS(M375&gt;=52.25,52.25,M375&lt;52.25,M375))</f>
        <v>31.504781871227777</v>
      </c>
      <c r="O375" s="1039"/>
      <c r="P375" s="946">
        <f t="shared" si="19"/>
        <v>32.4409043539479</v>
      </c>
      <c r="Q375" s="1035" cm="1">
        <f t="array" ref="Q375">IF(P375=0,IF(O375&gt;=52.25,52.25,O375),_xlfn.IFS(P375&gt;=52.25,52.25,P375&lt;52.25,P375))</f>
        <v>32.4409043539479</v>
      </c>
    </row>
    <row r="376" spans="2:17">
      <c r="B376" s="776">
        <v>16</v>
      </c>
      <c r="C376" s="1032" t="s">
        <v>424</v>
      </c>
      <c r="D376" s="29">
        <v>24</v>
      </c>
      <c r="E376" s="1035">
        <f t="shared" si="15"/>
        <v>71.09942422474478</v>
      </c>
      <c r="F376" s="1066">
        <v>33</v>
      </c>
      <c r="G376" s="946">
        <f t="shared" si="16"/>
        <v>35.316540119903834</v>
      </c>
      <c r="H376" s="1035" cm="1">
        <f t="array" ref="H376">IF(G376=0,IF(F376&gt;=52.25,52.25,F376),_xlfn.IFS(G376&gt;=52.25,52.25,G376&lt;52.25,G376))</f>
        <v>35.316540119903834</v>
      </c>
      <c r="I376" s="1066">
        <v>34</v>
      </c>
      <c r="J376" s="946">
        <f t="shared" si="17"/>
        <v>35.586493531347543</v>
      </c>
      <c r="K376" s="1035" cm="1">
        <f t="array" ref="K376">IF(J376=0,IF(I376&gt;=52.25,52.25,I376),_xlfn.IFS(J376&gt;=52.25,52.25,J376&lt;52.25,J376))</f>
        <v>35.586493531347543</v>
      </c>
      <c r="L376" s="1066">
        <v>31</v>
      </c>
      <c r="M376" s="946">
        <f t="shared" si="18"/>
        <v>31.451627502087604</v>
      </c>
      <c r="N376" s="1035" cm="1">
        <f t="array" ref="N376">IF(M376=0,IF(L376&gt;=52.25,52.25,L376),_xlfn.IFS(M376&gt;=52.25,52.25,M376&lt;52.25,M376))</f>
        <v>31.451627502087604</v>
      </c>
      <c r="O376" s="1066">
        <v>32</v>
      </c>
      <c r="P376" s="946">
        <f t="shared" si="19"/>
        <v>32.389666582956409</v>
      </c>
      <c r="Q376" s="1035" cm="1">
        <f t="array" ref="Q376">IF(P376=0,IF(O376&gt;=52.25,52.25,O376),_xlfn.IFS(P376&gt;=52.25,52.25,P376&lt;52.25,P376))</f>
        <v>32.389666582956409</v>
      </c>
    </row>
    <row r="377" spans="2:17">
      <c r="B377" s="776">
        <v>17</v>
      </c>
      <c r="C377" s="1032" t="s">
        <v>439</v>
      </c>
      <c r="D377" s="1038"/>
      <c r="E377" s="1056">
        <f t="shared" si="15"/>
        <v>71.09942422474478</v>
      </c>
      <c r="F377" s="1039"/>
      <c r="G377" s="946">
        <f t="shared" si="16"/>
        <v>35.316540119903834</v>
      </c>
      <c r="H377" s="1035" cm="1">
        <f t="array" ref="H377">IF(G377=0,IF(F377&gt;=52.25,52.25,F377),_xlfn.IFS(G377&gt;=52.25,52.25,G377&lt;52.25,G377))</f>
        <v>35.316540119903834</v>
      </c>
      <c r="I377" s="1039"/>
      <c r="J377" s="946">
        <f t="shared" si="17"/>
        <v>35.586493531347543</v>
      </c>
      <c r="K377" s="1035" cm="1">
        <f t="array" ref="K377">IF(J377=0,IF(I377&gt;=52.25,52.25,I377),_xlfn.IFS(J377&gt;=52.25,52.25,J377&lt;52.25,J377))</f>
        <v>35.586493531347543</v>
      </c>
      <c r="L377" s="1039"/>
      <c r="M377" s="946">
        <f t="shared" si="18"/>
        <v>31.451627502087604</v>
      </c>
      <c r="N377" s="1035" cm="1">
        <f t="array" ref="N377">IF(M377=0,IF(L377&gt;=52.25,52.25,L377),_xlfn.IFS(M377&gt;=52.25,52.25,M377&lt;52.25,M377))</f>
        <v>31.451627502087604</v>
      </c>
      <c r="O377" s="1039"/>
      <c r="P377" s="946">
        <f t="shared" si="19"/>
        <v>32.389666582956409</v>
      </c>
      <c r="Q377" s="1035" cm="1">
        <f t="array" ref="Q377">IF(P377=0,IF(O377&gt;=52.25,52.25,O377),_xlfn.IFS(P377&gt;=52.25,52.25,P377&lt;52.25,P377))</f>
        <v>32.389666582956409</v>
      </c>
    </row>
    <row r="378" spans="2:17">
      <c r="B378" s="776">
        <v>18</v>
      </c>
      <c r="C378" s="1032" t="s">
        <v>435</v>
      </c>
      <c r="D378" s="1038"/>
      <c r="E378" s="1056">
        <f t="shared" si="15"/>
        <v>71.27802258515743</v>
      </c>
      <c r="F378" s="1039"/>
      <c r="G378" s="946">
        <f t="shared" si="16"/>
        <v>35.066491699424503</v>
      </c>
      <c r="H378" s="1035" cm="1">
        <f t="array" ref="H378">IF(G378=0,IF(F378&gt;=52.25,52.25,F378),_xlfn.IFS(G378&gt;=52.25,52.25,G378&lt;52.25,G378))</f>
        <v>35.066491699424503</v>
      </c>
      <c r="I378" s="1039"/>
      <c r="J378" s="946">
        <f t="shared" si="17"/>
        <v>35.331044296449335</v>
      </c>
      <c r="K378" s="1035" cm="1">
        <f t="array" ref="K378">IF(J378=0,IF(I378&gt;=52.25,52.25,I378),_xlfn.IFS(J378&gt;=52.25,52.25,J378&lt;52.25,J378))</f>
        <v>35.331044296449335</v>
      </c>
      <c r="L378" s="1039"/>
      <c r="M378" s="946">
        <f t="shared" si="18"/>
        <v>31.185640963925039</v>
      </c>
      <c r="N378" s="1035" cm="1">
        <f t="array" ref="N378">IF(M378=0,IF(L378&gt;=52.25,52.25,L378),_xlfn.IFS(M378&gt;=52.25,52.25,M378&lt;52.25,M378))</f>
        <v>31.185640963925039</v>
      </c>
      <c r="O378" s="1039"/>
      <c r="P378" s="946">
        <f t="shared" si="19"/>
        <v>32.133270776748006</v>
      </c>
      <c r="Q378" s="1035" cm="1">
        <f t="array" ref="Q378">IF(P378=0,IF(O378&gt;=52.25,52.25,O378),_xlfn.IFS(P378&gt;=52.25,52.25,P378&lt;52.25,P378))</f>
        <v>32.133270776748006</v>
      </c>
    </row>
    <row r="379" spans="2:17">
      <c r="B379" s="776">
        <v>19</v>
      </c>
      <c r="C379" s="1032" t="s">
        <v>1711</v>
      </c>
      <c r="D379" s="1038"/>
      <c r="E379" s="1056">
        <f t="shared" si="15"/>
        <v>71.396523939113308</v>
      </c>
      <c r="F379" s="1039"/>
      <c r="G379" s="946">
        <f t="shared" si="16"/>
        <v>34.900582693805035</v>
      </c>
      <c r="H379" s="1035" cm="1">
        <f t="array" ref="H379">IF(G379=0,IF(F379&gt;=52.25,52.25,F379),_xlfn.IFS(G379&gt;=52.25,52.25,G379&lt;52.25,G379))</f>
        <v>34.900582693805035</v>
      </c>
      <c r="I379" s="1039"/>
      <c r="J379" s="946">
        <f t="shared" si="17"/>
        <v>35.161551809886248</v>
      </c>
      <c r="K379" s="1035" cm="1">
        <f t="array" ref="K379">IF(J379=0,IF(I379&gt;=52.25,52.25,I379),_xlfn.IFS(J379&gt;=52.25,52.25,J379&lt;52.25,J379))</f>
        <v>35.161551809886248</v>
      </c>
      <c r="L379" s="1039"/>
      <c r="M379" s="946">
        <f t="shared" si="18"/>
        <v>31.009156897478547</v>
      </c>
      <c r="N379" s="1035" cm="1">
        <f t="array" ref="N379">IF(M379=0,IF(L379&gt;=52.25,52.25,L379),_xlfn.IFS(M379&gt;=52.25,52.25,M379&lt;52.25,M379))</f>
        <v>31.009156897478547</v>
      </c>
      <c r="O379" s="1039"/>
      <c r="P379" s="946">
        <f t="shared" si="19"/>
        <v>31.963150233008946</v>
      </c>
      <c r="Q379" s="1035" cm="1">
        <f t="array" ref="Q379">IF(P379=0,IF(O379&gt;=52.25,52.25,O379),_xlfn.IFS(P379&gt;=52.25,52.25,P379&lt;52.25,P379))</f>
        <v>31.963150233008946</v>
      </c>
    </row>
    <row r="380" spans="2:17">
      <c r="B380" s="776">
        <v>20</v>
      </c>
      <c r="C380" s="1032" t="s">
        <v>405</v>
      </c>
      <c r="D380" s="1038"/>
      <c r="E380" s="1056">
        <f t="shared" si="15"/>
        <v>71.596779199547427</v>
      </c>
      <c r="F380" s="1039"/>
      <c r="G380" s="946">
        <f t="shared" si="16"/>
        <v>34.620213313881635</v>
      </c>
      <c r="H380" s="1035" cm="1">
        <f t="array" ref="H380">IF(G380=0,IF(F380&gt;=52.25,52.25,F380),_xlfn.IFS(G380&gt;=52.25,52.25,G380&lt;52.25,G380))</f>
        <v>34.620213313881635</v>
      </c>
      <c r="I380" s="1039"/>
      <c r="J380" s="946">
        <f t="shared" si="17"/>
        <v>34.875126710887329</v>
      </c>
      <c r="K380" s="1035" cm="1">
        <f t="array" ref="K380">IF(J380=0,IF(I380&gt;=52.25,52.25,I380),_xlfn.IFS(J380&gt;=52.25,52.25,J380&lt;52.25,J380))</f>
        <v>34.875126710887329</v>
      </c>
      <c r="L380" s="1039"/>
      <c r="M380" s="946">
        <f t="shared" si="18"/>
        <v>30.710916738114008</v>
      </c>
      <c r="N380" s="1035" cm="1">
        <f t="array" ref="N380">IF(M380=0,IF(L380&gt;=52.25,52.25,L380),_xlfn.IFS(M380&gt;=52.25,52.25,M380&lt;52.25,M380))</f>
        <v>30.710916738114008</v>
      </c>
      <c r="O380" s="1039"/>
      <c r="P380" s="946">
        <f t="shared" si="19"/>
        <v>31.675663781129728</v>
      </c>
      <c r="Q380" s="1035" cm="1">
        <f t="array" ref="Q380">IF(P380=0,IF(O380&gt;=52.25,52.25,O380),_xlfn.IFS(P380&gt;=52.25,52.25,P380&lt;52.25,P380))</f>
        <v>31.675663781129728</v>
      </c>
    </row>
    <row r="381" spans="2:17">
      <c r="B381" s="776">
        <v>21</v>
      </c>
      <c r="C381" s="1032" t="s">
        <v>434</v>
      </c>
      <c r="D381" s="1038"/>
      <c r="E381" s="1056">
        <f t="shared" si="15"/>
        <v>72.143941265090348</v>
      </c>
      <c r="F381" s="1067"/>
      <c r="G381" s="946">
        <f t="shared" si="16"/>
        <v>33.854153592397608</v>
      </c>
      <c r="H381" s="1035" cm="1">
        <f t="array" ref="H381">IF(G381=0,IF(F381&gt;=52.25,52.25,F381),_xlfn.IFS(G381&gt;=52.25,52.25,G381&lt;52.25,G381))</f>
        <v>33.854153592397608</v>
      </c>
      <c r="I381" s="1067"/>
      <c r="J381" s="946">
        <f t="shared" si="17"/>
        <v>34.092520808541281</v>
      </c>
      <c r="K381" s="1035" cm="1">
        <f t="array" ref="K381">IF(J381=0,IF(I381&gt;=52.25,52.25,I381),_xlfn.IFS(J381&gt;=52.25,52.25,J381&lt;52.25,J381))</f>
        <v>34.092520808541281</v>
      </c>
      <c r="L381" s="1067"/>
      <c r="M381" s="946">
        <f t="shared" si="18"/>
        <v>29.896028273900939</v>
      </c>
      <c r="N381" s="1035" cm="1">
        <f t="array" ref="N381">IF(M381=0,IF(L381&gt;=52.25,52.25,L381),_xlfn.IFS(M381&gt;=52.25,52.25,M381&lt;52.25,M381))</f>
        <v>29.896028273900939</v>
      </c>
      <c r="O381" s="1067"/>
      <c r="P381" s="946">
        <f t="shared" si="19"/>
        <v>30.890157919836312</v>
      </c>
      <c r="Q381" s="1035" cm="1">
        <f t="array" ref="Q381">IF(P381=0,IF(O381&gt;=52.25,52.25,O381),_xlfn.IFS(P381&gt;=52.25,52.25,P381&lt;52.25,P381))</f>
        <v>30.890157919836312</v>
      </c>
    </row>
    <row r="382" spans="2:17">
      <c r="B382" s="776">
        <v>22</v>
      </c>
      <c r="C382" s="1032" t="s">
        <v>407</v>
      </c>
      <c r="D382" s="1038"/>
      <c r="E382" s="1056">
        <f t="shared" si="15"/>
        <v>72.406259977471279</v>
      </c>
      <c r="F382" s="1039"/>
      <c r="G382" s="946">
        <f t="shared" si="16"/>
        <v>33.486891655941562</v>
      </c>
      <c r="H382" s="1035" cm="1">
        <f t="array" ref="H382">IF(G382=0,IF(F382&gt;=52.25,52.25,F382),_xlfn.IFS(G382&gt;=52.25,52.25,G382&lt;52.25,G382))</f>
        <v>33.486891655941562</v>
      </c>
      <c r="I382" s="1039"/>
      <c r="J382" s="946">
        <f t="shared" si="17"/>
        <v>33.717326354222834</v>
      </c>
      <c r="K382" s="1035" cm="1">
        <f t="array" ref="K382">IF(J382=0,IF(I382&gt;=52.25,52.25,I382),_xlfn.IFS(J382&gt;=52.25,52.25,J382&lt;52.25,J382))</f>
        <v>33.717326354222834</v>
      </c>
      <c r="L382" s="1039"/>
      <c r="M382" s="946">
        <f t="shared" si="18"/>
        <v>29.505357015552022</v>
      </c>
      <c r="N382" s="1035" cm="1">
        <f t="array" ref="N382">IF(M382=0,IF(L382&gt;=52.25,52.25,L382),_xlfn.IFS(M382&gt;=52.25,52.25,M382&lt;52.25,M382))</f>
        <v>29.505357015552022</v>
      </c>
      <c r="O382" s="1039"/>
      <c r="P382" s="946">
        <f t="shared" si="19"/>
        <v>30.513573176342234</v>
      </c>
      <c r="Q382" s="1035" cm="1">
        <f t="array" ref="Q382">IF(P382=0,IF(O382&gt;=52.25,52.25,O382),_xlfn.IFS(P382&gt;=52.25,52.25,P382&lt;52.25,P382))</f>
        <v>30.513573176342234</v>
      </c>
    </row>
    <row r="383" spans="2:17">
      <c r="B383" s="776">
        <v>23</v>
      </c>
      <c r="C383" s="1045" t="s">
        <v>1712</v>
      </c>
      <c r="D383" s="1063"/>
      <c r="E383" s="1056">
        <f t="shared" si="15"/>
        <v>73.272853961107671</v>
      </c>
      <c r="F383" s="1064"/>
      <c r="G383" s="946">
        <f t="shared" si="16"/>
        <v>32.273608083211599</v>
      </c>
      <c r="H383" s="1035" cm="1">
        <f t="array" ref="H383">IF(G383=0,IF(F383&gt;=52.25,52.25,F383),_xlfn.IFS(G383&gt;=52.25,52.25,G383&lt;52.25,G383))</f>
        <v>32.273608083211599</v>
      </c>
      <c r="I383" s="1064"/>
      <c r="J383" s="946">
        <f t="shared" si="17"/>
        <v>32.477836979427707</v>
      </c>
      <c r="K383" s="1035" cm="1">
        <f t="array" ref="K383">IF(J383=0,IF(I383&gt;=52.25,52.25,I383),_xlfn.IFS(J383&gt;=52.25,52.25,J383&lt;52.25,J383))</f>
        <v>32.477836979427707</v>
      </c>
      <c r="L383" s="1064"/>
      <c r="M383" s="946">
        <f t="shared" si="18"/>
        <v>28.214738595722338</v>
      </c>
      <c r="N383" s="1035" cm="1">
        <f t="array" ref="N383">IF(M383=0,IF(L383&gt;=52.25,52.25,L383),_xlfn.IFS(M383&gt;=52.25,52.25,M383&lt;52.25,M383))</f>
        <v>28.214738595722338</v>
      </c>
      <c r="O383" s="1064"/>
      <c r="P383" s="946">
        <f t="shared" si="19"/>
        <v>29.269490853433837</v>
      </c>
      <c r="Q383" s="1035" cm="1">
        <f t="array" ref="Q383">IF(P383=0,IF(O383&gt;=52.25,52.25,O383),_xlfn.IFS(P383&gt;=52.25,52.25,P383&lt;52.25,P383))</f>
        <v>29.269490853433837</v>
      </c>
    </row>
    <row r="384" spans="2:17">
      <c r="B384" s="776">
        <v>24</v>
      </c>
      <c r="C384" s="1032" t="s">
        <v>441</v>
      </c>
      <c r="D384" s="1063"/>
      <c r="E384" s="1056">
        <f t="shared" si="15"/>
        <v>73.961348707585103</v>
      </c>
      <c r="F384" s="1064">
        <f>(H233+H303)/2</f>
        <v>33.713201399966721</v>
      </c>
      <c r="G384" s="946">
        <f t="shared" si="16"/>
        <v>31.309674128458411</v>
      </c>
      <c r="H384" s="1035" cm="1">
        <f t="array" ref="H384">IF(G384=0,IF(F384&gt;=52.25,52.25,F384),_xlfn.IFS(G384&gt;=52.25,52.25,G384&lt;52.25,G384))</f>
        <v>31.309674128458411</v>
      </c>
      <c r="I384" s="1064">
        <f>(K233+K303)/2</f>
        <v>34.321478009284149</v>
      </c>
      <c r="J384" s="946">
        <f t="shared" si="17"/>
        <v>31.49308294354104</v>
      </c>
      <c r="K384" s="1035" cm="1">
        <f t="array" ref="K384">IF(J384=0,IF(I384&gt;=52.25,52.25,I384),_xlfn.IFS(J384&gt;=52.25,52.25,J384&lt;52.25,J384))</f>
        <v>31.49308294354104</v>
      </c>
      <c r="L384" s="1064">
        <f>(N233+N303)/2</f>
        <v>29.96315102419765</v>
      </c>
      <c r="M384" s="946">
        <f t="shared" si="18"/>
        <v>27.189363369793512</v>
      </c>
      <c r="N384" s="1035" cm="1">
        <f t="array" ref="N384">IF(M384=0,IF(L384&gt;=52.25,52.25,L384),_xlfn.IFS(M384&gt;=52.25,52.25,M384&lt;52.25,M384))</f>
        <v>27.189363369793512</v>
      </c>
      <c r="O384" s="1064">
        <f>(Q233+Q303)/2</f>
        <v>30.927747883029571</v>
      </c>
      <c r="P384" s="946">
        <f t="shared" si="19"/>
        <v>28.281087795390832</v>
      </c>
      <c r="Q384" s="1035" cm="1">
        <f t="array" ref="Q384">IF(P384=0,IF(O384&gt;=52.25,52.25,O384),_xlfn.IFS(P384&gt;=52.25,52.25,P384&lt;52.25,P384))</f>
        <v>28.281087795390832</v>
      </c>
    </row>
    <row r="385" spans="2:17">
      <c r="B385" s="776">
        <v>25</v>
      </c>
      <c r="C385" s="1032" t="s">
        <v>425</v>
      </c>
      <c r="D385" s="1063"/>
      <c r="E385" s="1056">
        <f t="shared" si="15"/>
        <v>74.075210894060092</v>
      </c>
      <c r="F385" s="1064">
        <f t="shared" ref="F385:F388" si="20">(H234+H304)/2</f>
        <v>32.068521299617743</v>
      </c>
      <c r="G385" s="946">
        <f t="shared" si="16"/>
        <v>31.15026023566223</v>
      </c>
      <c r="H385" s="1035" cm="1">
        <f t="array" ref="H385">IF(G385=0,IF(F385&gt;=52.25,52.25,F385),_xlfn.IFS(G385&gt;=52.25,52.25,G385&lt;52.25,G385))</f>
        <v>31.15026023566223</v>
      </c>
      <c r="I385" s="1064">
        <f t="shared" ref="I385:I388" si="21">(K234+K304)/2</f>
        <v>32.678690629663372</v>
      </c>
      <c r="J385" s="946">
        <f t="shared" si="17"/>
        <v>31.330225858225859</v>
      </c>
      <c r="K385" s="1035" cm="1">
        <f t="array" ref="K385">IF(J385=0,IF(I385&gt;=52.25,52.25,I385),_xlfn.IFS(J385&gt;=52.25,52.25,J385&lt;52.25,J385))</f>
        <v>31.330225858225859</v>
      </c>
      <c r="L385" s="1064">
        <f t="shared" ref="L385:L388" si="22">(N234+N304)/2</f>
        <v>28.466300459111203</v>
      </c>
      <c r="M385" s="946">
        <f t="shared" si="18"/>
        <v>27.019788415476299</v>
      </c>
      <c r="N385" s="1035" cm="1">
        <f t="array" ref="N385">IF(M385=0,IF(L385&gt;=52.25,52.25,L385),_xlfn.IFS(M385&gt;=52.25,52.25,M385&lt;52.25,M385))</f>
        <v>27.019788415476299</v>
      </c>
      <c r="O385" s="1064">
        <f t="shared" ref="O385:O388" si="23">(Q234+Q304)/2</f>
        <v>29.371270005059362</v>
      </c>
      <c r="P385" s="946">
        <f t="shared" si="19"/>
        <v>28.117627240487337</v>
      </c>
      <c r="Q385" s="1035" cm="1">
        <f t="array" ref="Q385">IF(P385=0,IF(O385&gt;=52.25,52.25,O385),_xlfn.IFS(P385&gt;=52.25,52.25,P385&lt;52.25,P385))</f>
        <v>28.117627240487337</v>
      </c>
    </row>
    <row r="386" spans="2:17">
      <c r="B386" s="776">
        <v>26</v>
      </c>
      <c r="C386" s="1032" t="s">
        <v>432</v>
      </c>
      <c r="D386" s="1063"/>
      <c r="E386" s="1056">
        <f t="shared" si="15"/>
        <v>75.753783058301622</v>
      </c>
      <c r="F386" s="1064">
        <f t="shared" si="20"/>
        <v>29.837915716137665</v>
      </c>
      <c r="G386" s="946">
        <f t="shared" si="16"/>
        <v>28.800158491394242</v>
      </c>
      <c r="H386" s="1035" cm="1">
        <f t="array" ref="H386">IF(G386=0,IF(F386&gt;=52.25,52.25,F386),_xlfn.IFS(G386&gt;=52.25,52.25,G386&lt;52.25,G386))</f>
        <v>28.800158491394242</v>
      </c>
      <c r="I386" s="1064">
        <f t="shared" si="21"/>
        <v>30.153258547580648</v>
      </c>
      <c r="J386" s="946">
        <f t="shared" si="17"/>
        <v>28.929364091711193</v>
      </c>
      <c r="K386" s="1035" cm="1">
        <f t="array" ref="K386">IF(J386=0,IF(I386&gt;=52.25,52.25,I386),_xlfn.IFS(J386&gt;=52.25,52.25,J386&lt;52.25,J386))</f>
        <v>28.929364091711193</v>
      </c>
      <c r="L386" s="1064">
        <f t="shared" si="22"/>
        <v>25.703604089663052</v>
      </c>
      <c r="M386" s="946">
        <f t="shared" si="18"/>
        <v>24.519890891271388</v>
      </c>
      <c r="N386" s="1035" cm="1">
        <f t="array" ref="N386">IF(M386=0,IF(L386&gt;=52.25,52.25,L386),_xlfn.IFS(M386&gt;=52.25,52.25,M386&lt;52.25,M386))</f>
        <v>24.519890891271388</v>
      </c>
      <c r="O386" s="1064">
        <f t="shared" si="23"/>
        <v>26.756176594021273</v>
      </c>
      <c r="P386" s="946">
        <f t="shared" si="19"/>
        <v>25.707869041502207</v>
      </c>
      <c r="Q386" s="1035" cm="1">
        <f t="array" ref="Q386">IF(P386=0,IF(O386&gt;=52.25,52.25,O386),_xlfn.IFS(P386&gt;=52.25,52.25,P386&lt;52.25,P386))</f>
        <v>25.707869041502207</v>
      </c>
    </row>
    <row r="387" spans="2:17">
      <c r="B387" s="776">
        <v>27</v>
      </c>
      <c r="C387" s="1032" t="s">
        <v>426</v>
      </c>
      <c r="D387" s="1063"/>
      <c r="E387" s="1056">
        <f t="shared" si="15"/>
        <v>77.521654363776008</v>
      </c>
      <c r="F387" s="1064">
        <f t="shared" si="20"/>
        <v>25.847958179256047</v>
      </c>
      <c r="G387" s="946">
        <f t="shared" si="16"/>
        <v>26.325032591451773</v>
      </c>
      <c r="H387" s="1035" cm="1">
        <f t="array" ref="H387">IF(G387=0,IF(F387&gt;=52.25,52.25,F387),_xlfn.IFS(G387&gt;=52.25,52.25,G387&lt;52.25,G387))</f>
        <v>26.325032591451773</v>
      </c>
      <c r="I387" s="1064">
        <f t="shared" si="21"/>
        <v>25.942704061226042</v>
      </c>
      <c r="J387" s="946">
        <f t="shared" si="17"/>
        <v>26.400777763491178</v>
      </c>
      <c r="K387" s="1035" cm="1">
        <f t="array" ref="K387">IF(J387=0,IF(I387&gt;=52.25,52.25,I387),_xlfn.IFS(J387&gt;=52.25,52.25,J387&lt;52.25,J387))</f>
        <v>26.400777763491178</v>
      </c>
      <c r="L387" s="1064">
        <f t="shared" si="22"/>
        <v>20.647170979280695</v>
      </c>
      <c r="M387" s="946">
        <f t="shared" si="18"/>
        <v>21.887000156028392</v>
      </c>
      <c r="N387" s="1035" cm="1">
        <f t="array" ref="N387">IF(M387=0,IF(L387&gt;=52.25,52.25,L387),_xlfn.IFS(M387&gt;=52.25,52.25,M387&lt;52.25,M387))</f>
        <v>21.887000156028392</v>
      </c>
      <c r="O387" s="1064">
        <f t="shared" si="23"/>
        <v>21.908024101189799</v>
      </c>
      <c r="P387" s="946">
        <f t="shared" si="19"/>
        <v>23.169912995363177</v>
      </c>
      <c r="Q387" s="1035" cm="1">
        <f t="array" ref="Q387">IF(P387=0,IF(O387&gt;=52.25,52.25,O387),_xlfn.IFS(P387&gt;=52.25,52.25,P387&lt;52.25,P387))</f>
        <v>23.169912995363177</v>
      </c>
    </row>
    <row r="388" spans="2:17">
      <c r="B388" s="776">
        <v>28</v>
      </c>
      <c r="C388" s="1032" t="s">
        <v>447</v>
      </c>
      <c r="D388" s="1063"/>
      <c r="E388" s="1056">
        <f t="shared" si="15"/>
        <v>82.596339388573085</v>
      </c>
      <c r="F388" s="1064">
        <f t="shared" si="20"/>
        <v>20.698251265541089</v>
      </c>
      <c r="G388" s="946">
        <f t="shared" si="16"/>
        <v>19.220169075634374</v>
      </c>
      <c r="H388" s="1035" cm="1">
        <f t="array" ref="H388">IF(G388=0,IF(F388&gt;=52.25,52.25,F388),_xlfn.IFS(G388&gt;=52.25,52.25,G388&lt;52.25,G388))</f>
        <v>19.220169075634374</v>
      </c>
      <c r="I388" s="1064">
        <f t="shared" si="21"/>
        <v>19.27182457884529</v>
      </c>
      <c r="J388" s="946">
        <f t="shared" si="17"/>
        <v>19.142455772523931</v>
      </c>
      <c r="K388" s="1035" cm="1">
        <f t="array" ref="K388">IF(J388=0,IF(I388&gt;=52.25,52.25,I388),_xlfn.IFS(J388&gt;=52.25,52.25,J388&lt;52.25,J388))</f>
        <v>19.142455772523931</v>
      </c>
      <c r="L388" s="1064">
        <f t="shared" si="22"/>
        <v>13.916951142307219</v>
      </c>
      <c r="M388" s="946">
        <f t="shared" si="18"/>
        <v>14.329271748598103</v>
      </c>
      <c r="N388" s="1035" cm="1">
        <f t="array" ref="N388">IF(M388=0,IF(L388&gt;=52.25,52.25,L388),_xlfn.IFS(M388&gt;=52.25,52.25,M388&lt;52.25,M388))</f>
        <v>14.329271748598103</v>
      </c>
      <c r="O388" s="1064">
        <f t="shared" si="23"/>
        <v>15.679081181745605</v>
      </c>
      <c r="P388" s="946">
        <f t="shared" si="19"/>
        <v>15.884695173764484</v>
      </c>
      <c r="Q388" s="1035" cm="1">
        <f t="array" ref="Q388">IF(P388=0,IF(O388&gt;=52.25,52.25,O388),_xlfn.IFS(P388&gt;=52.25,52.25,P388&lt;52.25,P388))</f>
        <v>15.884695173764484</v>
      </c>
    </row>
    <row r="391" spans="2:17" s="911" customFormat="1"/>
    <row r="392" spans="2:17" s="911" customFormat="1"/>
    <row r="393" spans="2:17" s="911" customFormat="1"/>
    <row r="394" spans="2:17" s="911" customFormat="1"/>
    <row r="395" spans="2:17" s="911" customFormat="1"/>
    <row r="396" spans="2:17" s="911" customFormat="1"/>
    <row r="397" spans="2:17" s="911" customFormat="1"/>
    <row r="398" spans="2:17" s="911" customFormat="1"/>
    <row r="399" spans="2:17" s="911" customFormat="1"/>
    <row r="400" spans="2:17" s="911" customFormat="1"/>
    <row r="401" s="911" customFormat="1"/>
    <row r="402" s="911" customFormat="1"/>
    <row r="403" s="911" customFormat="1"/>
    <row r="404" s="911" customFormat="1"/>
    <row r="405" s="911" customFormat="1"/>
    <row r="406" s="911" customFormat="1"/>
    <row r="407" s="911" customFormat="1"/>
    <row r="408" s="911" customFormat="1"/>
    <row r="409" s="911" customFormat="1"/>
    <row r="410" s="911" customFormat="1"/>
    <row r="411" s="911" customFormat="1"/>
    <row r="412" s="911" customFormat="1"/>
    <row r="413" s="911" customFormat="1"/>
    <row r="414" s="911" customFormat="1"/>
    <row r="415" s="911" customFormat="1"/>
    <row r="416" s="911" customFormat="1"/>
    <row r="417" spans="4:41" s="911" customFormat="1"/>
    <row r="418" spans="4:41" s="911" customFormat="1"/>
    <row r="419" spans="4:41" s="911" customFormat="1"/>
    <row r="420" spans="4:41" s="911" customFormat="1"/>
    <row r="421" spans="4:41" s="911" customFormat="1"/>
    <row r="422" spans="4:41" s="911" customFormat="1"/>
    <row r="423" spans="4:41" s="911" customFormat="1"/>
    <row r="424" spans="4:41" s="911" customFormat="1"/>
    <row r="425" spans="4:41" s="911" customFormat="1"/>
    <row r="426" spans="4:41" s="911" customFormat="1"/>
    <row r="427" spans="4:41" s="911" customFormat="1"/>
    <row r="428" spans="4:41" s="911" customFormat="1"/>
    <row r="429" spans="4:41" s="911" customFormat="1"/>
    <row r="430" spans="4:41" s="911" customFormat="1"/>
    <row r="431" spans="4:41" s="911" customFormat="1">
      <c r="D431" s="1050" t="s">
        <v>1750</v>
      </c>
      <c r="E431" s="1062">
        <v>-1.4000600000000001</v>
      </c>
      <c r="F431" s="1051" t="s">
        <v>403</v>
      </c>
      <c r="G431" s="1052" t="s">
        <v>1752</v>
      </c>
      <c r="H431" s="1053">
        <v>134.86000000000001</v>
      </c>
      <c r="M431" s="1050" t="s">
        <v>1750</v>
      </c>
      <c r="N431" s="1062">
        <v>-1.4302999999999999</v>
      </c>
      <c r="O431" s="1051" t="s">
        <v>403</v>
      </c>
      <c r="P431" s="1052" t="s">
        <v>1752</v>
      </c>
      <c r="Q431" s="1053">
        <v>137.28</v>
      </c>
      <c r="Y431" s="1050" t="s">
        <v>1750</v>
      </c>
      <c r="Z431" s="1062">
        <v>-1.4893000000000001</v>
      </c>
      <c r="AA431" s="1051" t="s">
        <v>403</v>
      </c>
      <c r="AB431" s="1052" t="s">
        <v>1752</v>
      </c>
      <c r="AC431" s="1053">
        <v>137.34</v>
      </c>
      <c r="AK431" s="1050" t="s">
        <v>1750</v>
      </c>
      <c r="AL431" s="1062">
        <v>-1.4356</v>
      </c>
      <c r="AM431" s="1051" t="s">
        <v>403</v>
      </c>
      <c r="AN431" s="1052" t="s">
        <v>1752</v>
      </c>
      <c r="AO431" s="1053">
        <v>134.46</v>
      </c>
    </row>
    <row r="432" spans="4:41" s="911" customFormat="1"/>
    <row r="433" spans="1:21" s="911" customFormat="1"/>
    <row r="436" spans="1:21">
      <c r="A436" s="776"/>
      <c r="B436" s="1157" t="s">
        <v>1756</v>
      </c>
      <c r="C436" s="1157"/>
    </row>
    <row r="437" spans="1:21">
      <c r="A437" s="1072"/>
      <c r="B437" s="1157" t="s">
        <v>1757</v>
      </c>
      <c r="C437" s="1157"/>
    </row>
    <row r="438" spans="1:21">
      <c r="A438" s="1073"/>
      <c r="B438" s="1157" t="s">
        <v>1758</v>
      </c>
      <c r="C438" s="1157"/>
    </row>
    <row r="440" spans="1:21">
      <c r="A440" s="1074" t="s">
        <v>1759</v>
      </c>
      <c r="B440" s="908" t="s">
        <v>1760</v>
      </c>
      <c r="C440" s="908" t="s">
        <v>1761</v>
      </c>
      <c r="D440" s="908" t="s">
        <v>1762</v>
      </c>
      <c r="E440" s="908" t="s">
        <v>1763</v>
      </c>
      <c r="F440" s="908" t="s">
        <v>1764</v>
      </c>
      <c r="G440" s="908" t="s">
        <v>236</v>
      </c>
      <c r="H440" s="908" t="s">
        <v>248</v>
      </c>
      <c r="I440" s="908" t="s">
        <v>1765</v>
      </c>
      <c r="J440" s="908" t="s">
        <v>1766</v>
      </c>
      <c r="K440" s="908" t="s">
        <v>1767</v>
      </c>
      <c r="L440" s="908" t="s">
        <v>1768</v>
      </c>
      <c r="M440" s="908" t="s">
        <v>1769</v>
      </c>
      <c r="N440" s="908" t="s">
        <v>1770</v>
      </c>
      <c r="O440" s="908" t="s">
        <v>1771</v>
      </c>
      <c r="P440" s="908" t="s">
        <v>1772</v>
      </c>
      <c r="Q440" s="908" t="s">
        <v>1773</v>
      </c>
      <c r="R440" s="908" t="s">
        <v>1774</v>
      </c>
      <c r="S440" s="908" t="s">
        <v>1775</v>
      </c>
      <c r="T440" s="908" t="s">
        <v>1776</v>
      </c>
      <c r="U440" s="908" t="s">
        <v>1777</v>
      </c>
    </row>
    <row r="441" spans="1:21">
      <c r="A441" s="889"/>
      <c r="B441" s="29">
        <v>27195</v>
      </c>
      <c r="C441" s="28"/>
      <c r="D441" s="29" t="s">
        <v>1778</v>
      </c>
      <c r="E441" s="29" t="s">
        <v>17</v>
      </c>
      <c r="F441" s="29" t="s">
        <v>1779</v>
      </c>
      <c r="G441" s="29" t="s">
        <v>1780</v>
      </c>
      <c r="H441" s="29" t="s">
        <v>1781</v>
      </c>
      <c r="I441" s="29">
        <v>18</v>
      </c>
      <c r="J441" s="29" t="s">
        <v>1782</v>
      </c>
      <c r="K441" s="29" t="s">
        <v>1728</v>
      </c>
      <c r="L441" s="29">
        <v>22</v>
      </c>
      <c r="M441" s="29" t="s">
        <v>1783</v>
      </c>
      <c r="N441" s="29">
        <v>6</v>
      </c>
      <c r="O441" s="29" t="s">
        <v>1784</v>
      </c>
      <c r="P441" s="29" t="s">
        <v>1785</v>
      </c>
      <c r="Q441" s="1075" t="s">
        <v>1786</v>
      </c>
      <c r="R441" s="1075" t="s">
        <v>1787</v>
      </c>
      <c r="S441" s="29"/>
      <c r="T441" s="29"/>
      <c r="U441" s="29"/>
    </row>
    <row r="442" spans="1:21">
      <c r="A442" s="1073"/>
      <c r="B442" s="29">
        <v>29168</v>
      </c>
      <c r="C442" s="28"/>
      <c r="D442" s="29" t="s">
        <v>1788</v>
      </c>
      <c r="E442" s="29" t="s">
        <v>1789</v>
      </c>
      <c r="F442" s="29" t="s">
        <v>1479</v>
      </c>
      <c r="G442" s="29" t="s">
        <v>1790</v>
      </c>
      <c r="H442" s="29" t="s">
        <v>1781</v>
      </c>
      <c r="I442" s="29">
        <v>46</v>
      </c>
      <c r="J442" s="29" t="s">
        <v>1724</v>
      </c>
      <c r="K442" s="29" t="s">
        <v>1728</v>
      </c>
      <c r="L442" s="29">
        <v>22</v>
      </c>
      <c r="M442" s="29" t="s">
        <v>1783</v>
      </c>
      <c r="N442" s="29">
        <v>4</v>
      </c>
      <c r="O442" s="29" t="s">
        <v>1791</v>
      </c>
      <c r="P442" s="29" t="s">
        <v>1792</v>
      </c>
      <c r="Q442" s="1075" t="s">
        <v>1786</v>
      </c>
      <c r="R442" s="1075" t="s">
        <v>1793</v>
      </c>
      <c r="S442" s="29"/>
      <c r="T442" s="29"/>
      <c r="U442" s="29"/>
    </row>
    <row r="443" spans="1:21">
      <c r="A443" s="1076"/>
      <c r="B443" s="29">
        <v>29511</v>
      </c>
      <c r="C443" s="28"/>
      <c r="D443" s="29" t="s">
        <v>1794</v>
      </c>
      <c r="E443" s="29" t="s">
        <v>17</v>
      </c>
      <c r="F443" s="29" t="s">
        <v>1502</v>
      </c>
      <c r="G443" s="29" t="s">
        <v>1795</v>
      </c>
      <c r="H443" s="29" t="s">
        <v>1781</v>
      </c>
      <c r="I443" s="29">
        <v>46</v>
      </c>
      <c r="J443" s="29" t="s">
        <v>1724</v>
      </c>
      <c r="K443" s="29" t="s">
        <v>1728</v>
      </c>
      <c r="L443" s="29">
        <v>22</v>
      </c>
      <c r="M443" s="29" t="s">
        <v>1783</v>
      </c>
      <c r="N443" s="29">
        <v>3</v>
      </c>
      <c r="O443" s="29" t="s">
        <v>1796</v>
      </c>
      <c r="P443" s="29" t="s">
        <v>1797</v>
      </c>
      <c r="Q443" s="1075" t="s">
        <v>1786</v>
      </c>
      <c r="R443" s="1075"/>
      <c r="S443" s="1077">
        <v>45231</v>
      </c>
      <c r="T443" s="29" t="s">
        <v>1798</v>
      </c>
      <c r="U443" s="29" t="s">
        <v>371</v>
      </c>
    </row>
    <row r="444" spans="1:21">
      <c r="A444" s="889"/>
      <c r="B444" s="29"/>
      <c r="C444" s="28"/>
      <c r="D444" s="29" t="s">
        <v>1794</v>
      </c>
      <c r="E444" s="29"/>
      <c r="F444" s="29"/>
      <c r="G444" s="29" t="s">
        <v>1799</v>
      </c>
      <c r="H444" s="29" t="s">
        <v>457</v>
      </c>
      <c r="I444" s="29"/>
      <c r="J444" s="29"/>
      <c r="K444" s="29"/>
      <c r="L444" s="29"/>
      <c r="M444" s="29"/>
      <c r="N444" s="29"/>
      <c r="O444" s="29" t="s">
        <v>1800</v>
      </c>
      <c r="P444" s="29"/>
      <c r="Q444" s="1075" t="s">
        <v>1786</v>
      </c>
      <c r="R444" s="1075"/>
      <c r="S444" s="29"/>
      <c r="T444" s="29"/>
      <c r="U444" s="29"/>
    </row>
    <row r="445" spans="1:21">
      <c r="A445" s="889"/>
      <c r="B445" s="29"/>
      <c r="C445" s="28" t="s">
        <v>1801</v>
      </c>
      <c r="D445" s="29" t="s">
        <v>1794</v>
      </c>
      <c r="E445" s="29" t="s">
        <v>17</v>
      </c>
      <c r="F445" s="29" t="s">
        <v>1588</v>
      </c>
      <c r="G445" s="29" t="s">
        <v>1802</v>
      </c>
      <c r="H445" s="29" t="s">
        <v>1781</v>
      </c>
      <c r="I445" s="29" t="s">
        <v>1803</v>
      </c>
      <c r="J445" s="29"/>
      <c r="K445" s="29"/>
      <c r="L445" s="29"/>
      <c r="M445" s="29"/>
      <c r="N445" s="29"/>
      <c r="O445" s="29" t="s">
        <v>1800</v>
      </c>
      <c r="P445" s="29" t="s">
        <v>1804</v>
      </c>
      <c r="Q445" s="1078"/>
      <c r="R445" s="1075"/>
      <c r="S445" s="29"/>
      <c r="T445" s="29"/>
      <c r="U445" s="29"/>
    </row>
    <row r="446" spans="1:21">
      <c r="A446" s="889"/>
      <c r="B446" s="776"/>
      <c r="C446" s="28" t="s">
        <v>1805</v>
      </c>
      <c r="D446" s="29" t="s">
        <v>1794</v>
      </c>
      <c r="E446" s="29" t="s">
        <v>17</v>
      </c>
      <c r="F446" s="776" t="s">
        <v>1514</v>
      </c>
      <c r="G446" s="776"/>
      <c r="H446" s="29" t="s">
        <v>1781</v>
      </c>
      <c r="I446" s="29" t="s">
        <v>1806</v>
      </c>
      <c r="J446" s="776"/>
      <c r="K446" s="776" t="s">
        <v>1727</v>
      </c>
      <c r="L446" s="776"/>
      <c r="M446" s="776"/>
      <c r="N446" s="776"/>
      <c r="O446" s="776"/>
      <c r="P446" s="776"/>
      <c r="Q446" s="1079"/>
      <c r="R446" s="1079"/>
      <c r="S446" s="776"/>
      <c r="T446" s="776"/>
      <c r="U446" s="776"/>
    </row>
    <row r="447" spans="1:21" s="132" customFormat="1">
      <c r="A447" s="889"/>
      <c r="B447" s="29"/>
      <c r="C447" s="29" t="s">
        <v>1807</v>
      </c>
      <c r="D447" s="29" t="s">
        <v>1778</v>
      </c>
      <c r="E447" s="29" t="s">
        <v>17</v>
      </c>
      <c r="F447" s="29" t="s">
        <v>1388</v>
      </c>
      <c r="G447" s="29" t="s">
        <v>1808</v>
      </c>
      <c r="H447" s="29" t="s">
        <v>56</v>
      </c>
      <c r="I447" s="29" t="s">
        <v>1783</v>
      </c>
      <c r="J447" s="29" t="s">
        <v>1724</v>
      </c>
      <c r="K447" s="29" t="s">
        <v>1727</v>
      </c>
      <c r="L447" s="29">
        <v>22</v>
      </c>
      <c r="M447" s="29" t="s">
        <v>1783</v>
      </c>
      <c r="N447" s="29"/>
      <c r="O447" s="29" t="s">
        <v>1809</v>
      </c>
      <c r="P447" s="29"/>
      <c r="Q447" s="1078"/>
      <c r="R447" s="1078"/>
      <c r="S447" s="29"/>
      <c r="T447" s="29"/>
      <c r="U447" s="29"/>
    </row>
    <row r="448" spans="1:21" s="132" customFormat="1">
      <c r="A448" s="1073"/>
      <c r="B448" s="29"/>
      <c r="C448" s="29"/>
      <c r="D448" s="29" t="s">
        <v>1778</v>
      </c>
      <c r="E448" s="29" t="s">
        <v>17</v>
      </c>
      <c r="F448" s="132" t="s">
        <v>1502</v>
      </c>
      <c r="G448" s="29" t="s">
        <v>1810</v>
      </c>
      <c r="H448" s="29" t="s">
        <v>56</v>
      </c>
      <c r="I448" s="132" t="s">
        <v>1811</v>
      </c>
      <c r="J448" s="29" t="s">
        <v>1724</v>
      </c>
      <c r="K448" s="29"/>
      <c r="L448" s="29">
        <v>26</v>
      </c>
      <c r="M448" s="29"/>
      <c r="N448" s="29">
        <v>8</v>
      </c>
      <c r="O448" s="29"/>
      <c r="P448" s="29"/>
      <c r="Q448" s="1078"/>
      <c r="R448" s="1078"/>
      <c r="S448" s="29"/>
      <c r="T448" s="29"/>
      <c r="U448" s="29"/>
    </row>
    <row r="449" spans="1:21" s="132" customFormat="1">
      <c r="A449" s="889"/>
      <c r="B449" s="29"/>
      <c r="C449" s="29"/>
      <c r="D449" s="29" t="s">
        <v>1794</v>
      </c>
      <c r="E449" s="29"/>
      <c r="F449" s="29"/>
      <c r="G449" s="29"/>
      <c r="H449" s="29"/>
      <c r="I449" s="29">
        <v>22</v>
      </c>
      <c r="J449" s="29" t="s">
        <v>1782</v>
      </c>
      <c r="K449" s="29" t="s">
        <v>1782</v>
      </c>
      <c r="L449" s="29">
        <v>26</v>
      </c>
      <c r="M449" s="29"/>
      <c r="N449" s="29"/>
      <c r="O449" s="29"/>
      <c r="P449" s="29"/>
      <c r="Q449" s="1078"/>
      <c r="R449" s="1078"/>
      <c r="S449" s="29"/>
      <c r="T449" s="29"/>
      <c r="U449" s="29"/>
    </row>
    <row r="450" spans="1:21" s="132" customFormat="1">
      <c r="A450" s="889"/>
      <c r="B450" s="29"/>
      <c r="C450" s="29" t="s">
        <v>1812</v>
      </c>
      <c r="D450" s="29" t="s">
        <v>1788</v>
      </c>
      <c r="E450" s="29" t="s">
        <v>1789</v>
      </c>
      <c r="F450" s="29"/>
      <c r="G450" s="29"/>
      <c r="H450" s="29" t="s">
        <v>1781</v>
      </c>
      <c r="I450" s="29">
        <v>35</v>
      </c>
      <c r="J450" s="29" t="s">
        <v>1725</v>
      </c>
      <c r="K450" s="29" t="s">
        <v>1728</v>
      </c>
      <c r="L450" s="29">
        <v>24</v>
      </c>
      <c r="M450" s="29"/>
      <c r="N450" s="29"/>
      <c r="O450" s="29" t="s">
        <v>1809</v>
      </c>
      <c r="P450" s="29" t="s">
        <v>1813</v>
      </c>
      <c r="Q450" s="1078">
        <v>45708</v>
      </c>
      <c r="R450" s="1078"/>
      <c r="S450" s="29"/>
      <c r="T450" s="29"/>
      <c r="U450" s="29"/>
    </row>
    <row r="451" spans="1:21" s="132" customFormat="1" ht="28.9">
      <c r="A451" s="889"/>
      <c r="B451" s="1080" t="s">
        <v>1814</v>
      </c>
      <c r="C451" s="29" t="s">
        <v>1815</v>
      </c>
      <c r="D451" s="29" t="s">
        <v>1816</v>
      </c>
      <c r="E451" s="29" t="s">
        <v>956</v>
      </c>
      <c r="F451" s="29" t="s">
        <v>1817</v>
      </c>
      <c r="G451" s="29" t="s">
        <v>1818</v>
      </c>
      <c r="H451" s="29" t="s">
        <v>1781</v>
      </c>
      <c r="I451" s="29" t="s">
        <v>1819</v>
      </c>
      <c r="J451" s="29" t="s">
        <v>1724</v>
      </c>
      <c r="K451" s="29" t="s">
        <v>1728</v>
      </c>
      <c r="L451" s="29">
        <v>26</v>
      </c>
      <c r="M451" s="29" t="s">
        <v>1783</v>
      </c>
      <c r="N451" s="29">
        <v>3</v>
      </c>
      <c r="O451" s="29" t="s">
        <v>1809</v>
      </c>
      <c r="P451" s="29" t="s">
        <v>1820</v>
      </c>
      <c r="Q451" s="1078"/>
      <c r="R451" s="1078"/>
      <c r="S451" s="29"/>
      <c r="T451" s="29"/>
      <c r="U451" s="29"/>
    </row>
    <row r="452" spans="1:21" s="132" customFormat="1">
      <c r="A452" s="889"/>
      <c r="B452" s="29" t="s">
        <v>1821</v>
      </c>
      <c r="C452" s="29" t="s">
        <v>1822</v>
      </c>
      <c r="D452" s="29" t="s">
        <v>1788</v>
      </c>
      <c r="E452" s="29" t="s">
        <v>956</v>
      </c>
      <c r="F452" s="29" t="s">
        <v>1290</v>
      </c>
      <c r="G452" s="29" t="s">
        <v>1823</v>
      </c>
      <c r="H452" s="29" t="s">
        <v>1781</v>
      </c>
      <c r="I452" s="132">
        <v>29</v>
      </c>
      <c r="J452" s="29" t="s">
        <v>1724</v>
      </c>
      <c r="K452" s="29" t="s">
        <v>1728</v>
      </c>
      <c r="L452" s="29">
        <v>22</v>
      </c>
      <c r="M452" s="29" t="s">
        <v>1783</v>
      </c>
      <c r="N452" s="29">
        <v>4</v>
      </c>
      <c r="O452" s="29" t="s">
        <v>1800</v>
      </c>
      <c r="P452" s="29" t="s">
        <v>1824</v>
      </c>
      <c r="Q452" s="1078"/>
      <c r="R452" s="1078"/>
      <c r="S452" s="29"/>
      <c r="T452" s="29"/>
      <c r="U452" s="29"/>
    </row>
    <row r="453" spans="1:21" s="132" customFormat="1">
      <c r="A453" s="889"/>
      <c r="B453" s="29" t="s">
        <v>1825</v>
      </c>
      <c r="C453" s="29" t="s">
        <v>1826</v>
      </c>
      <c r="D453" s="29" t="s">
        <v>1794</v>
      </c>
      <c r="E453" s="29" t="s">
        <v>17</v>
      </c>
      <c r="F453" s="29" t="s">
        <v>1584</v>
      </c>
      <c r="G453" s="29" t="s">
        <v>1827</v>
      </c>
      <c r="H453" s="29" t="s">
        <v>56</v>
      </c>
      <c r="I453" s="29">
        <v>32</v>
      </c>
      <c r="J453" s="29" t="s">
        <v>1724</v>
      </c>
      <c r="K453" s="29" t="s">
        <v>1728</v>
      </c>
      <c r="L453" s="29">
        <v>26</v>
      </c>
      <c r="M453" s="29" t="s">
        <v>1783</v>
      </c>
      <c r="N453" s="29">
        <v>4</v>
      </c>
      <c r="O453" s="29" t="s">
        <v>1828</v>
      </c>
      <c r="P453" s="29" t="s">
        <v>1829</v>
      </c>
      <c r="Q453" s="1078"/>
      <c r="R453" s="1078"/>
      <c r="S453" s="29"/>
      <c r="T453" s="29"/>
      <c r="U453" s="29"/>
    </row>
    <row r="454" spans="1:21" s="132" customFormat="1" ht="28.9">
      <c r="A454" s="889"/>
      <c r="B454" s="1080" t="s">
        <v>1830</v>
      </c>
      <c r="C454" s="29" t="s">
        <v>1831</v>
      </c>
      <c r="D454" s="29" t="s">
        <v>1794</v>
      </c>
      <c r="E454" s="29" t="s">
        <v>17</v>
      </c>
      <c r="F454" s="29" t="s">
        <v>890</v>
      </c>
      <c r="G454" s="29" t="s">
        <v>1832</v>
      </c>
      <c r="H454" s="29" t="s">
        <v>1781</v>
      </c>
      <c r="I454" s="29" t="s">
        <v>1833</v>
      </c>
      <c r="J454" s="29" t="s">
        <v>1724</v>
      </c>
      <c r="K454" s="29" t="s">
        <v>1727</v>
      </c>
      <c r="L454" s="29">
        <v>22</v>
      </c>
      <c r="M454" s="29" t="s">
        <v>1783</v>
      </c>
      <c r="N454" s="29">
        <v>4</v>
      </c>
      <c r="O454" s="29" t="s">
        <v>1834</v>
      </c>
      <c r="P454" s="29" t="s">
        <v>1835</v>
      </c>
      <c r="Q454" s="1078"/>
      <c r="R454" s="1078"/>
      <c r="S454" s="29"/>
      <c r="T454" s="29"/>
      <c r="U454" s="29"/>
    </row>
    <row r="455" spans="1:21" s="132" customFormat="1">
      <c r="A455" s="889"/>
      <c r="B455" s="29" t="s">
        <v>1836</v>
      </c>
      <c r="C455" s="29" t="s">
        <v>1837</v>
      </c>
      <c r="D455" s="29" t="s">
        <v>1788</v>
      </c>
      <c r="E455" s="29" t="s">
        <v>956</v>
      </c>
      <c r="F455" s="29" t="s">
        <v>1255</v>
      </c>
      <c r="G455" s="29" t="s">
        <v>1838</v>
      </c>
      <c r="H455" s="29" t="s">
        <v>1781</v>
      </c>
      <c r="I455" s="29">
        <v>38</v>
      </c>
      <c r="J455" s="29"/>
      <c r="K455" s="29"/>
      <c r="L455" s="29">
        <v>24</v>
      </c>
      <c r="M455" s="29"/>
      <c r="N455" s="29">
        <v>4</v>
      </c>
      <c r="O455" s="29" t="s">
        <v>1809</v>
      </c>
      <c r="P455" s="29" t="s">
        <v>1839</v>
      </c>
      <c r="Q455" s="1078"/>
      <c r="R455" s="1078"/>
      <c r="S455" s="29"/>
      <c r="T455" s="29"/>
      <c r="U455" s="29"/>
    </row>
    <row r="456" spans="1:21" s="132" customFormat="1">
      <c r="A456" s="889"/>
      <c r="B456" s="29" t="s">
        <v>1840</v>
      </c>
      <c r="C456" s="29" t="s">
        <v>1841</v>
      </c>
      <c r="D456" s="29" t="s">
        <v>1788</v>
      </c>
      <c r="E456" s="29" t="s">
        <v>956</v>
      </c>
      <c r="F456" s="29" t="s">
        <v>1449</v>
      </c>
      <c r="G456" s="29" t="s">
        <v>1842</v>
      </c>
      <c r="H456" s="29" t="s">
        <v>1781</v>
      </c>
      <c r="I456" s="29">
        <v>44</v>
      </c>
      <c r="J456" s="29" t="s">
        <v>1724</v>
      </c>
      <c r="K456" s="29" t="s">
        <v>1728</v>
      </c>
      <c r="L456" s="29">
        <v>22</v>
      </c>
      <c r="M456" s="29" t="s">
        <v>1783</v>
      </c>
      <c r="N456" s="29">
        <v>5</v>
      </c>
      <c r="O456" s="29" t="s">
        <v>1809</v>
      </c>
      <c r="P456" s="29" t="s">
        <v>1843</v>
      </c>
      <c r="Q456" s="1078"/>
      <c r="R456" s="1078"/>
      <c r="S456" s="29"/>
      <c r="T456" s="29"/>
      <c r="U456" s="29"/>
    </row>
    <row r="457" spans="1:21" s="132" customFormat="1" ht="28.9">
      <c r="A457" s="1073"/>
      <c r="B457" s="1080" t="s">
        <v>1844</v>
      </c>
      <c r="C457" s="29" t="s">
        <v>1845</v>
      </c>
      <c r="D457" s="29" t="s">
        <v>1778</v>
      </c>
      <c r="E457" s="29" t="s">
        <v>17</v>
      </c>
      <c r="F457" s="29" t="s">
        <v>1478</v>
      </c>
      <c r="G457" s="29" t="s">
        <v>1846</v>
      </c>
      <c r="H457" s="29" t="s">
        <v>1781</v>
      </c>
      <c r="I457" s="29" t="s">
        <v>1783</v>
      </c>
      <c r="J457" s="29" t="s">
        <v>1724</v>
      </c>
      <c r="K457" s="29" t="s">
        <v>1728</v>
      </c>
      <c r="L457" s="29">
        <v>22</v>
      </c>
      <c r="M457" s="29" t="s">
        <v>1783</v>
      </c>
      <c r="N457" s="29">
        <v>5</v>
      </c>
      <c r="O457" s="29" t="s">
        <v>1828</v>
      </c>
      <c r="P457" s="29" t="s">
        <v>1847</v>
      </c>
      <c r="Q457" s="1078"/>
      <c r="R457" s="1078"/>
      <c r="S457" s="29"/>
      <c r="T457" s="29"/>
      <c r="U457" s="29"/>
    </row>
    <row r="458" spans="1:21" s="132" customFormat="1">
      <c r="A458" s="29"/>
      <c r="B458" s="29"/>
      <c r="C458" s="29" t="s">
        <v>1848</v>
      </c>
      <c r="D458" s="29" t="s">
        <v>1788</v>
      </c>
      <c r="E458" s="29" t="s">
        <v>956</v>
      </c>
      <c r="F458" s="29"/>
      <c r="G458" s="29"/>
      <c r="H458" s="29" t="s">
        <v>1781</v>
      </c>
      <c r="I458" s="29">
        <v>38</v>
      </c>
      <c r="J458" s="29" t="s">
        <v>1725</v>
      </c>
      <c r="K458" s="29" t="s">
        <v>1728</v>
      </c>
      <c r="L458" s="29"/>
      <c r="M458" s="29" t="s">
        <v>1783</v>
      </c>
      <c r="N458" s="29">
        <v>3</v>
      </c>
      <c r="O458" s="29" t="s">
        <v>1849</v>
      </c>
      <c r="P458" s="29"/>
      <c r="Q458" s="29"/>
      <c r="R458" s="29"/>
      <c r="S458" s="29"/>
      <c r="T458" s="29"/>
      <c r="U458" s="29"/>
    </row>
    <row r="459" spans="1:21" s="132" customFormat="1" ht="43.15">
      <c r="A459" s="29"/>
      <c r="B459" s="29" t="s">
        <v>1850</v>
      </c>
      <c r="C459" s="29" t="s">
        <v>1851</v>
      </c>
      <c r="D459" s="29" t="s">
        <v>1778</v>
      </c>
      <c r="E459" s="29" t="s">
        <v>17</v>
      </c>
      <c r="F459" s="29" t="s">
        <v>985</v>
      </c>
      <c r="G459" s="29" t="s">
        <v>1852</v>
      </c>
      <c r="H459" s="1080" t="s">
        <v>1853</v>
      </c>
      <c r="I459" s="29">
        <v>25</v>
      </c>
      <c r="J459" s="29" t="s">
        <v>1854</v>
      </c>
      <c r="K459" s="1080" t="s">
        <v>1855</v>
      </c>
      <c r="L459" s="29">
        <v>22</v>
      </c>
      <c r="M459" s="29" t="s">
        <v>1783</v>
      </c>
      <c r="N459" s="1080" t="s">
        <v>1856</v>
      </c>
      <c r="O459" s="1080" t="s">
        <v>1857</v>
      </c>
      <c r="P459" s="29" t="s">
        <v>1858</v>
      </c>
      <c r="Q459" s="29"/>
      <c r="R459" s="29"/>
      <c r="S459" s="29"/>
      <c r="T459" s="29"/>
      <c r="U459" s="29"/>
    </row>
    <row r="460" spans="1:21" s="132" customFormat="1" ht="43.15">
      <c r="A460" s="29"/>
      <c r="B460" s="29" t="s">
        <v>1859</v>
      </c>
      <c r="C460" s="29" t="s">
        <v>1860</v>
      </c>
      <c r="D460" s="29" t="s">
        <v>1794</v>
      </c>
      <c r="E460" s="29" t="s">
        <v>17</v>
      </c>
      <c r="F460" s="29" t="s">
        <v>1130</v>
      </c>
      <c r="G460" s="29" t="s">
        <v>1861</v>
      </c>
      <c r="H460" s="29" t="s">
        <v>1862</v>
      </c>
      <c r="I460" s="29" t="s">
        <v>1863</v>
      </c>
      <c r="J460" s="29" t="s">
        <v>1723</v>
      </c>
      <c r="K460" s="29" t="s">
        <v>1727</v>
      </c>
      <c r="L460" s="1080" t="s">
        <v>1864</v>
      </c>
      <c r="M460" s="29">
        <v>42</v>
      </c>
      <c r="N460" s="29">
        <v>4</v>
      </c>
      <c r="O460" s="1080" t="s">
        <v>1865</v>
      </c>
      <c r="P460" s="29" t="s">
        <v>1835</v>
      </c>
      <c r="Q460" s="29"/>
      <c r="R460" s="29"/>
      <c r="S460" s="29"/>
      <c r="T460" s="29"/>
      <c r="U460" s="29"/>
    </row>
    <row r="461" spans="1:21" s="132" customFormat="1">
      <c r="A461" s="29"/>
      <c r="B461" s="29"/>
      <c r="C461" s="29" t="s">
        <v>1866</v>
      </c>
      <c r="D461" s="29" t="s">
        <v>1867</v>
      </c>
      <c r="E461" s="29" t="s">
        <v>956</v>
      </c>
      <c r="F461" s="29" t="s">
        <v>1255</v>
      </c>
      <c r="G461" s="29" t="s">
        <v>1868</v>
      </c>
      <c r="H461" s="29" t="s">
        <v>457</v>
      </c>
      <c r="I461" s="29" t="s">
        <v>1869</v>
      </c>
      <c r="J461" s="29" t="s">
        <v>1854</v>
      </c>
      <c r="K461" s="29" t="s">
        <v>1728</v>
      </c>
      <c r="L461" s="29"/>
      <c r="M461" s="29">
        <v>30</v>
      </c>
      <c r="N461" s="29"/>
      <c r="O461" s="29" t="s">
        <v>1849</v>
      </c>
      <c r="P461" s="29"/>
      <c r="Q461" s="29"/>
      <c r="R461" s="29"/>
      <c r="S461" s="29"/>
      <c r="T461" s="29"/>
      <c r="U461" s="29"/>
    </row>
    <row r="462" spans="1:21" s="132" customFormat="1" ht="28.9">
      <c r="A462" s="1081"/>
      <c r="B462" s="1080" t="s">
        <v>1870</v>
      </c>
      <c r="C462" s="29"/>
      <c r="D462" s="29" t="s">
        <v>1794</v>
      </c>
      <c r="E462" s="29" t="s">
        <v>17</v>
      </c>
      <c r="F462" s="29" t="s">
        <v>1138</v>
      </c>
      <c r="G462" s="29" t="s">
        <v>1871</v>
      </c>
      <c r="H462" s="29" t="s">
        <v>1862</v>
      </c>
      <c r="I462" s="29">
        <v>60</v>
      </c>
      <c r="J462" s="29" t="s">
        <v>1723</v>
      </c>
      <c r="K462" s="29" t="s">
        <v>1727</v>
      </c>
      <c r="L462" s="29">
        <v>26</v>
      </c>
      <c r="M462" s="29">
        <v>42</v>
      </c>
      <c r="N462" s="29">
        <v>6</v>
      </c>
      <c r="O462" s="29" t="s">
        <v>1872</v>
      </c>
      <c r="P462" s="29" t="s">
        <v>1873</v>
      </c>
      <c r="Q462" s="29"/>
      <c r="R462" s="29"/>
      <c r="S462" s="29"/>
      <c r="T462" s="29"/>
      <c r="U462" s="29"/>
    </row>
  </sheetData>
  <sheetProtection algorithmName="SHA-512" hashValue="9wqG2E1hpjjFCICaDIXIyJbOJzE7xQF8++GH2Z+5uZjZjk1IQf3k7H+hNw1jCz9bH/NfisbAcPLoQH2NmIzp5w==" saltValue="ahm84OgU8crC+4NaBbzNkw==" spinCount="100000" sheet="1" objects="1" scenarios="1"/>
  <mergeCells count="122">
    <mergeCell ref="E144:E146"/>
    <mergeCell ref="E147:E149"/>
    <mergeCell ref="E150:E152"/>
    <mergeCell ref="D141:D143"/>
    <mergeCell ref="C141:C143"/>
    <mergeCell ref="E117:E119"/>
    <mergeCell ref="E120:E122"/>
    <mergeCell ref="E123:E125"/>
    <mergeCell ref="E126:E128"/>
    <mergeCell ref="E129:E131"/>
    <mergeCell ref="E132:E134"/>
    <mergeCell ref="E135:E137"/>
    <mergeCell ref="E141:E143"/>
    <mergeCell ref="D150:D152"/>
    <mergeCell ref="C150:C152"/>
    <mergeCell ref="D147:D149"/>
    <mergeCell ref="C147:C149"/>
    <mergeCell ref="D144:D146"/>
    <mergeCell ref="C144:C146"/>
    <mergeCell ref="D135:D137"/>
    <mergeCell ref="C135:C137"/>
    <mergeCell ref="D123:D125"/>
    <mergeCell ref="C123:C125"/>
    <mergeCell ref="D120:D122"/>
    <mergeCell ref="D108:D110"/>
    <mergeCell ref="C108:C110"/>
    <mergeCell ref="E105:E107"/>
    <mergeCell ref="D105:D107"/>
    <mergeCell ref="C105:C107"/>
    <mergeCell ref="D117:D119"/>
    <mergeCell ref="C117:C119"/>
    <mergeCell ref="E114:E116"/>
    <mergeCell ref="E111:E113"/>
    <mergeCell ref="D114:D116"/>
    <mergeCell ref="D111:D113"/>
    <mergeCell ref="C114:C116"/>
    <mergeCell ref="C111:C113"/>
    <mergeCell ref="B438:C438"/>
    <mergeCell ref="F359:H359"/>
    <mergeCell ref="B437:C437"/>
    <mergeCell ref="B436:C436"/>
    <mergeCell ref="C120:C122"/>
    <mergeCell ref="C84:C86"/>
    <mergeCell ref="E69:E71"/>
    <mergeCell ref="E72:E74"/>
    <mergeCell ref="E102:E104"/>
    <mergeCell ref="E99:E101"/>
    <mergeCell ref="E96:E98"/>
    <mergeCell ref="E93:E95"/>
    <mergeCell ref="E90:E92"/>
    <mergeCell ref="E87:E89"/>
    <mergeCell ref="E84:E86"/>
    <mergeCell ref="E81:E83"/>
    <mergeCell ref="E78:E80"/>
    <mergeCell ref="E75:E77"/>
    <mergeCell ref="C81:C83"/>
    <mergeCell ref="D78:D80"/>
    <mergeCell ref="D81:D83"/>
    <mergeCell ref="D102:D104"/>
    <mergeCell ref="C102:C104"/>
    <mergeCell ref="D99:D101"/>
    <mergeCell ref="I359:K359"/>
    <mergeCell ref="E138:E140"/>
    <mergeCell ref="D138:D140"/>
    <mergeCell ref="C138:C140"/>
    <mergeCell ref="F138:F140"/>
    <mergeCell ref="C62:I62"/>
    <mergeCell ref="E66:E68"/>
    <mergeCell ref="D66:D68"/>
    <mergeCell ref="G66:G68"/>
    <mergeCell ref="F66:F68"/>
    <mergeCell ref="C66:C68"/>
    <mergeCell ref="C69:C71"/>
    <mergeCell ref="H65:O65"/>
    <mergeCell ref="H64:O64"/>
    <mergeCell ref="C75:C77"/>
    <mergeCell ref="D75:D77"/>
    <mergeCell ref="C78:C80"/>
    <mergeCell ref="L359:N359"/>
    <mergeCell ref="O359:Q359"/>
    <mergeCell ref="C155:D155"/>
    <mergeCell ref="C356:D356"/>
    <mergeCell ref="C276:D276"/>
    <mergeCell ref="F278:H278"/>
    <mergeCell ref="F208:H208"/>
    <mergeCell ref="I208:K208"/>
    <mergeCell ref="L208:N208"/>
    <mergeCell ref="O208:Q208"/>
    <mergeCell ref="C206:D206"/>
    <mergeCell ref="Q74:R74"/>
    <mergeCell ref="I278:K278"/>
    <mergeCell ref="L278:N278"/>
    <mergeCell ref="O278:Q278"/>
    <mergeCell ref="L66:M67"/>
    <mergeCell ref="N66:O67"/>
    <mergeCell ref="J66:K67"/>
    <mergeCell ref="H66:I67"/>
    <mergeCell ref="Q87:R87"/>
    <mergeCell ref="C93:C95"/>
    <mergeCell ref="D90:D92"/>
    <mergeCell ref="C90:C92"/>
    <mergeCell ref="D87:D89"/>
    <mergeCell ref="C87:C89"/>
    <mergeCell ref="D84:D86"/>
    <mergeCell ref="C99:C101"/>
    <mergeCell ref="D96:D98"/>
    <mergeCell ref="C96:C98"/>
    <mergeCell ref="D93:D95"/>
    <mergeCell ref="E108:E110"/>
    <mergeCell ref="C2:D2"/>
    <mergeCell ref="O6:T7"/>
    <mergeCell ref="I5:I6"/>
    <mergeCell ref="J5:J6"/>
    <mergeCell ref="K5:K6"/>
    <mergeCell ref="L5:L6"/>
    <mergeCell ref="M5:M6"/>
    <mergeCell ref="C5:C6"/>
    <mergeCell ref="D5:D6"/>
    <mergeCell ref="E5:E6"/>
    <mergeCell ref="F5:F6"/>
    <mergeCell ref="G5:G6"/>
    <mergeCell ref="H5:H6"/>
  </mergeCells>
  <phoneticPr fontId="33" type="noConversion"/>
  <conditionalFormatting sqref="L14:M36 L7:M7 L8:L13">
    <cfRule type="top10" dxfId="3" priority="1" rank="2"/>
    <cfRule type="top10" dxfId="2" priority="2" bottom="1" rank="2"/>
  </conditionalFormatting>
  <hyperlinks>
    <hyperlink ref="O5" r:id="rId1" display="https://neotechcoatings.com/wp-content/uploads/2022/08/ASTM-E-1980.pdf" xr:uid="{524397E8-92DE-407D-89C4-65C4F7FD0F5A}"/>
  </hyperlinks>
  <pageMargins left="0.7" right="0.7" top="0.75" bottom="0.75" header="0.3" footer="0.3"/>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AEAC5-4141-41AB-9240-96D16AA49391}">
  <dimension ref="A2:AS382"/>
  <sheetViews>
    <sheetView topLeftCell="A61" zoomScale="60" zoomScaleNormal="60" workbookViewId="0">
      <selection activeCell="C92" sqref="C92"/>
    </sheetView>
  </sheetViews>
  <sheetFormatPr defaultColWidth="11.42578125" defaultRowHeight="14.45"/>
  <cols>
    <col min="3" max="3" width="42.85546875" bestFit="1" customWidth="1"/>
    <col min="4" max="4" width="15.7109375" customWidth="1"/>
  </cols>
  <sheetData>
    <row r="2" spans="3:26" ht="21">
      <c r="C2" s="1085" t="s">
        <v>1690</v>
      </c>
      <c r="D2" s="1085"/>
    </row>
    <row r="3" spans="3:26" ht="18">
      <c r="C3" s="909"/>
    </row>
    <row r="4" spans="3:26" ht="18.600000000000001" thickBot="1">
      <c r="C4" s="909" t="s">
        <v>1691</v>
      </c>
      <c r="O4" s="910" t="s">
        <v>1692</v>
      </c>
      <c r="P4" s="911"/>
      <c r="Q4" s="911"/>
      <c r="R4" s="911"/>
      <c r="S4" s="911"/>
      <c r="T4" s="911"/>
      <c r="U4" s="911"/>
      <c r="V4" s="911"/>
      <c r="W4" s="911"/>
      <c r="X4" s="911"/>
      <c r="Y4" s="911"/>
      <c r="Z4" s="911"/>
    </row>
    <row r="5" spans="3:26" ht="14.45" customHeight="1">
      <c r="C5" s="1097" t="s">
        <v>1693</v>
      </c>
      <c r="D5" s="1099" t="s">
        <v>1694</v>
      </c>
      <c r="E5" s="1101" t="s">
        <v>1695</v>
      </c>
      <c r="F5" s="1103" t="s">
        <v>1696</v>
      </c>
      <c r="G5" s="1099" t="s">
        <v>1697</v>
      </c>
      <c r="H5" s="1105" t="s">
        <v>1698</v>
      </c>
      <c r="I5" s="1087" t="s">
        <v>1699</v>
      </c>
      <c r="J5" s="1089" t="s">
        <v>1700</v>
      </c>
      <c r="K5" s="1091" t="s">
        <v>1701</v>
      </c>
      <c r="L5" s="1093" t="s">
        <v>387</v>
      </c>
      <c r="M5" s="1095" t="s">
        <v>1702</v>
      </c>
      <c r="O5" s="912" t="s">
        <v>1703</v>
      </c>
      <c r="P5" s="913"/>
      <c r="Q5" s="913"/>
      <c r="R5" s="913"/>
      <c r="S5" s="913"/>
      <c r="T5" s="913"/>
      <c r="U5" s="911"/>
      <c r="V5" s="911"/>
      <c r="W5" s="911"/>
      <c r="X5" s="911"/>
      <c r="Y5" s="911"/>
      <c r="Z5" s="911"/>
    </row>
    <row r="6" spans="3:26" ht="15" thickBot="1">
      <c r="C6" s="1098"/>
      <c r="D6" s="1100"/>
      <c r="E6" s="1102"/>
      <c r="F6" s="1104"/>
      <c r="G6" s="1100"/>
      <c r="H6" s="1106"/>
      <c r="I6" s="1088"/>
      <c r="J6" s="1090"/>
      <c r="K6" s="1092"/>
      <c r="L6" s="1094"/>
      <c r="M6" s="1096"/>
      <c r="O6" s="1086" t="s">
        <v>1704</v>
      </c>
      <c r="P6" s="1086"/>
      <c r="Q6" s="1086"/>
      <c r="R6" s="1086"/>
      <c r="S6" s="1086"/>
      <c r="T6" s="1086"/>
      <c r="U6" s="911"/>
      <c r="V6" s="911"/>
      <c r="W6" s="911"/>
      <c r="X6" s="911"/>
      <c r="Y6" s="911"/>
      <c r="Z6" s="911"/>
    </row>
    <row r="7" spans="3:26" ht="15" customHeight="1">
      <c r="C7" s="914" t="s">
        <v>448</v>
      </c>
      <c r="D7" s="915"/>
      <c r="E7" s="916">
        <v>10856</v>
      </c>
      <c r="F7" s="917" t="s">
        <v>403</v>
      </c>
      <c r="G7" s="918">
        <v>0.73</v>
      </c>
      <c r="H7" s="918">
        <f t="shared" ref="H7:H36" si="0">1-G7</f>
        <v>0.27</v>
      </c>
      <c r="I7" s="916">
        <v>0.89</v>
      </c>
      <c r="J7" s="919">
        <f t="shared" ref="J7:J36" si="1">(309.07+((1066.07*H7-31.98*I7)/(6.78*I7+$Z$30))-((890.94*(H7^2)+2153.86*H7*I7)/((6.78*I7+$Z$30)^2)))-273.15</f>
        <v>48.511394896125807</v>
      </c>
      <c r="K7" s="920">
        <f t="shared" ref="K7:K36" si="2">(((1-G7)-0.029*I7)*(8.797+$M$53))/(9.5205*I7+$M$53)</f>
        <v>0.25352027824050888</v>
      </c>
      <c r="L7" s="921">
        <f t="shared" ref="L7:L36" si="3">IF((123.97-141.35*K7+9.655*K7^2)&lt;0,-1,123.97-141.35*K7+9.655*K7^2)</f>
        <v>88.75545996213522</v>
      </c>
      <c r="M7" s="922"/>
      <c r="O7" s="1086"/>
      <c r="P7" s="1086"/>
      <c r="Q7" s="1086"/>
      <c r="R7" s="1086"/>
      <c r="S7" s="1086"/>
      <c r="T7" s="1086"/>
      <c r="U7" s="911"/>
      <c r="V7" s="911"/>
      <c r="W7" s="911"/>
      <c r="X7" s="911"/>
      <c r="Y7" s="911"/>
      <c r="Z7" s="911"/>
    </row>
    <row r="8" spans="3:26" ht="28.9">
      <c r="C8" s="923" t="s">
        <v>408</v>
      </c>
      <c r="D8" s="924" t="s">
        <v>404</v>
      </c>
      <c r="E8" s="889" t="s">
        <v>409</v>
      </c>
      <c r="F8" s="925"/>
      <c r="G8" s="926">
        <v>0.64</v>
      </c>
      <c r="H8" s="927">
        <f t="shared" si="0"/>
        <v>0.36</v>
      </c>
      <c r="I8" s="889">
        <v>0.87</v>
      </c>
      <c r="J8" s="928">
        <f t="shared" si="1"/>
        <v>53.341586567624176</v>
      </c>
      <c r="K8" s="928">
        <f t="shared" si="2"/>
        <v>0.35555117179081802</v>
      </c>
      <c r="L8" s="929">
        <f t="shared" si="3"/>
        <v>74.933394485648279</v>
      </c>
      <c r="M8" s="930" t="s">
        <v>1705</v>
      </c>
      <c r="O8" s="911"/>
      <c r="P8" s="911"/>
      <c r="Q8" s="911"/>
      <c r="R8" s="911"/>
      <c r="S8" s="911"/>
      <c r="T8" s="911"/>
      <c r="U8" s="911"/>
      <c r="V8" s="911"/>
      <c r="W8" s="911"/>
      <c r="X8" s="911"/>
      <c r="Y8" s="911"/>
      <c r="Z8" s="911"/>
    </row>
    <row r="9" spans="3:26" ht="43.15">
      <c r="C9" s="923" t="s">
        <v>398</v>
      </c>
      <c r="D9" s="924" t="s">
        <v>392</v>
      </c>
      <c r="E9" s="889">
        <v>28783</v>
      </c>
      <c r="F9" s="931"/>
      <c r="G9" s="932">
        <v>0.64</v>
      </c>
      <c r="H9" s="927">
        <f t="shared" si="0"/>
        <v>0.36</v>
      </c>
      <c r="I9" s="889">
        <v>0.86</v>
      </c>
      <c r="J9" s="928">
        <f t="shared" si="1"/>
        <v>53.440740989031156</v>
      </c>
      <c r="K9" s="928">
        <f t="shared" si="2"/>
        <v>0.3599970711915414</v>
      </c>
      <c r="L9" s="929">
        <f t="shared" si="3"/>
        <v>74.335681627253578</v>
      </c>
      <c r="M9" s="933" t="s">
        <v>1706</v>
      </c>
      <c r="O9" s="911"/>
      <c r="P9" s="911"/>
      <c r="Q9" s="911"/>
      <c r="R9" s="911"/>
      <c r="S9" s="911"/>
      <c r="T9" s="911"/>
      <c r="U9" s="911"/>
      <c r="V9" s="911"/>
      <c r="W9" s="911"/>
      <c r="X9" s="911"/>
      <c r="Y9" s="911"/>
      <c r="Z9" s="911"/>
    </row>
    <row r="10" spans="3:26">
      <c r="C10" s="934" t="s">
        <v>1707</v>
      </c>
      <c r="D10" s="924" t="s">
        <v>1708</v>
      </c>
      <c r="E10" s="776"/>
      <c r="F10" s="935"/>
      <c r="G10" s="29">
        <v>0.57999999999999996</v>
      </c>
      <c r="H10" s="927">
        <f t="shared" si="0"/>
        <v>0.42000000000000004</v>
      </c>
      <c r="I10" s="29">
        <v>0.86</v>
      </c>
      <c r="J10" s="928">
        <f t="shared" si="1"/>
        <v>56.54731983250025</v>
      </c>
      <c r="K10" s="928">
        <f t="shared" si="2"/>
        <v>0.42446261250203049</v>
      </c>
      <c r="L10" s="929">
        <f t="shared" si="3"/>
        <v>65.71173668121132</v>
      </c>
      <c r="M10" s="936">
        <v>26</v>
      </c>
      <c r="O10" s="911"/>
      <c r="P10" s="911"/>
      <c r="Q10" s="911"/>
      <c r="R10" s="911"/>
      <c r="S10" s="911"/>
      <c r="T10" s="911"/>
      <c r="U10" s="911"/>
      <c r="V10" s="911"/>
      <c r="W10" s="911"/>
      <c r="X10" s="911"/>
      <c r="Y10" s="911"/>
      <c r="Z10" s="911"/>
    </row>
    <row r="11" spans="3:26">
      <c r="C11" s="934" t="s">
        <v>57</v>
      </c>
      <c r="D11" s="937" t="s">
        <v>1709</v>
      </c>
      <c r="E11" s="905" t="s">
        <v>436</v>
      </c>
      <c r="F11" s="938"/>
      <c r="G11" s="939">
        <v>0.56999999999999995</v>
      </c>
      <c r="H11" s="927">
        <f t="shared" si="0"/>
        <v>0.43000000000000005</v>
      </c>
      <c r="I11" s="905">
        <v>0.89</v>
      </c>
      <c r="J11" s="928">
        <f t="shared" si="1"/>
        <v>56.71974203572637</v>
      </c>
      <c r="K11" s="928">
        <f t="shared" si="2"/>
        <v>0.41963373300311752</v>
      </c>
      <c r="L11" s="929">
        <f t="shared" si="3"/>
        <v>66.354944636644092</v>
      </c>
      <c r="M11" s="936">
        <v>22</v>
      </c>
      <c r="O11" s="911"/>
      <c r="P11" s="911"/>
      <c r="Q11" s="911"/>
      <c r="R11" s="911"/>
      <c r="S11" s="911"/>
      <c r="T11" s="911"/>
      <c r="U11" s="911"/>
      <c r="V11" s="911"/>
      <c r="W11" s="911"/>
      <c r="X11" s="911"/>
      <c r="Y11" s="911"/>
      <c r="Z11" s="911"/>
    </row>
    <row r="12" spans="3:26">
      <c r="C12" s="923" t="s">
        <v>393</v>
      </c>
      <c r="D12" s="924" t="s">
        <v>392</v>
      </c>
      <c r="E12" s="889">
        <v>28317</v>
      </c>
      <c r="F12" s="940"/>
      <c r="G12" s="926">
        <v>0.56000000000000005</v>
      </c>
      <c r="H12" s="927">
        <f t="shared" si="0"/>
        <v>0.43999999999999995</v>
      </c>
      <c r="I12" s="889">
        <v>0.86</v>
      </c>
      <c r="J12" s="928">
        <f t="shared" si="1"/>
        <v>57.578362514458831</v>
      </c>
      <c r="K12" s="928">
        <f t="shared" si="2"/>
        <v>0.44595112627219347</v>
      </c>
      <c r="L12" s="929">
        <f t="shared" si="3"/>
        <v>62.854921391236751</v>
      </c>
      <c r="M12" s="941">
        <v>26</v>
      </c>
      <c r="O12" s="911"/>
      <c r="P12" s="911"/>
      <c r="Q12" s="911"/>
      <c r="R12" s="911"/>
      <c r="S12" s="911"/>
      <c r="T12" s="911"/>
      <c r="U12" s="911"/>
      <c r="V12" s="911"/>
      <c r="W12" s="911"/>
      <c r="X12" s="911"/>
      <c r="Y12" s="911"/>
      <c r="Z12" s="911"/>
    </row>
    <row r="13" spans="3:26">
      <c r="C13" s="923" t="s">
        <v>411</v>
      </c>
      <c r="D13" s="924" t="s">
        <v>404</v>
      </c>
      <c r="E13" s="889" t="s">
        <v>412</v>
      </c>
      <c r="F13" s="942"/>
      <c r="G13" s="932">
        <v>0.54</v>
      </c>
      <c r="H13" s="927">
        <f t="shared" si="0"/>
        <v>0.45999999999999996</v>
      </c>
      <c r="I13" s="889">
        <v>0.86</v>
      </c>
      <c r="J13" s="928">
        <f t="shared" si="1"/>
        <v>58.607163396818464</v>
      </c>
      <c r="K13" s="928">
        <f t="shared" si="2"/>
        <v>0.46743964004235655</v>
      </c>
      <c r="L13" s="929">
        <f t="shared" si="3"/>
        <v>60.007022613948578</v>
      </c>
      <c r="M13" s="936">
        <v>22</v>
      </c>
      <c r="O13" s="911"/>
      <c r="P13" s="911"/>
      <c r="Q13" s="911"/>
      <c r="R13" s="911"/>
      <c r="S13" s="911"/>
      <c r="T13" s="911"/>
      <c r="U13" s="911"/>
      <c r="V13" s="911"/>
      <c r="W13" s="911"/>
      <c r="X13" s="911"/>
      <c r="Y13" s="911"/>
      <c r="Z13" s="911"/>
    </row>
    <row r="14" spans="3:26">
      <c r="C14" s="923" t="s">
        <v>400</v>
      </c>
      <c r="D14" s="924" t="s">
        <v>392</v>
      </c>
      <c r="E14" s="889">
        <v>28273</v>
      </c>
      <c r="F14" s="943"/>
      <c r="G14" s="932">
        <v>0.5</v>
      </c>
      <c r="H14" s="927">
        <f t="shared" si="0"/>
        <v>0.5</v>
      </c>
      <c r="I14" s="889">
        <v>0.87</v>
      </c>
      <c r="J14" s="928">
        <f t="shared" si="1"/>
        <v>60.526484789578774</v>
      </c>
      <c r="K14" s="928">
        <f t="shared" si="2"/>
        <v>0.50424180730390011</v>
      </c>
      <c r="L14" s="929">
        <f t="shared" si="3"/>
        <v>55.150298908844334</v>
      </c>
      <c r="M14" s="941">
        <v>26</v>
      </c>
      <c r="O14" s="911"/>
      <c r="P14" s="911"/>
      <c r="Q14" s="911"/>
      <c r="R14" s="911"/>
      <c r="S14" s="911"/>
      <c r="T14" s="911"/>
      <c r="U14" s="911"/>
      <c r="V14" s="911"/>
      <c r="W14" s="911"/>
      <c r="X14" s="911"/>
      <c r="Y14" s="911"/>
      <c r="Z14" s="911"/>
    </row>
    <row r="15" spans="3:26">
      <c r="C15" s="923" t="s">
        <v>401</v>
      </c>
      <c r="D15" s="924" t="s">
        <v>392</v>
      </c>
      <c r="E15" s="889">
        <v>28305</v>
      </c>
      <c r="F15" s="944"/>
      <c r="G15" s="932">
        <v>0.45</v>
      </c>
      <c r="H15" s="927">
        <f t="shared" si="0"/>
        <v>0.55000000000000004</v>
      </c>
      <c r="I15" s="889">
        <v>0.87</v>
      </c>
      <c r="J15" s="928">
        <f t="shared" si="1"/>
        <v>63.06609980042964</v>
      </c>
      <c r="K15" s="928">
        <f t="shared" si="2"/>
        <v>0.55734560570142966</v>
      </c>
      <c r="L15" s="929">
        <f t="shared" si="3"/>
        <v>48.188371103202691</v>
      </c>
      <c r="M15" s="941">
        <v>26</v>
      </c>
      <c r="O15" s="911"/>
      <c r="P15" s="911"/>
      <c r="Q15" s="911"/>
      <c r="R15" s="911"/>
      <c r="S15" s="911"/>
      <c r="T15" s="911"/>
      <c r="U15" s="911"/>
      <c r="V15" s="911"/>
      <c r="W15" s="911"/>
      <c r="X15" s="911"/>
      <c r="Y15" s="911"/>
      <c r="Z15" s="911"/>
    </row>
    <row r="16" spans="3:26">
      <c r="C16" s="923" t="s">
        <v>442</v>
      </c>
      <c r="D16" s="924" t="s">
        <v>1708</v>
      </c>
      <c r="E16" s="889" t="s">
        <v>443</v>
      </c>
      <c r="F16" s="945"/>
      <c r="G16" s="926">
        <v>0.46</v>
      </c>
      <c r="H16" s="927">
        <f t="shared" si="0"/>
        <v>0.54</v>
      </c>
      <c r="I16" s="946">
        <v>0.81</v>
      </c>
      <c r="J16" s="928">
        <f t="shared" si="1"/>
        <v>63.422144167614476</v>
      </c>
      <c r="K16" s="928">
        <f t="shared" si="2"/>
        <v>0.58920788473994712</v>
      </c>
      <c r="L16" s="929">
        <f t="shared" si="3"/>
        <v>44.037352560058999</v>
      </c>
      <c r="M16" s="936">
        <v>22</v>
      </c>
      <c r="O16" s="911"/>
      <c r="P16" s="911"/>
      <c r="Q16" s="911"/>
      <c r="R16" s="911"/>
      <c r="S16" s="911"/>
      <c r="T16" s="911"/>
      <c r="U16" s="911"/>
      <c r="V16" s="911"/>
      <c r="W16" s="911"/>
      <c r="X16" s="911"/>
      <c r="Y16" s="911"/>
      <c r="Z16" s="911"/>
    </row>
    <row r="17" spans="3:26">
      <c r="C17" s="934" t="s">
        <v>422</v>
      </c>
      <c r="D17" s="924" t="s">
        <v>404</v>
      </c>
      <c r="E17" s="905">
        <v>10557</v>
      </c>
      <c r="F17" s="947"/>
      <c r="G17" s="948">
        <v>0.44</v>
      </c>
      <c r="H17" s="927">
        <f t="shared" si="0"/>
        <v>0.56000000000000005</v>
      </c>
      <c r="I17" s="905">
        <v>0.87</v>
      </c>
      <c r="J17" s="928">
        <f t="shared" si="1"/>
        <v>63.572354166699597</v>
      </c>
      <c r="K17" s="928">
        <f t="shared" si="2"/>
        <v>0.56796636538093548</v>
      </c>
      <c r="L17" s="929">
        <f t="shared" si="3"/>
        <v>46.80252007713468</v>
      </c>
      <c r="M17" s="936">
        <v>22</v>
      </c>
      <c r="O17" s="911"/>
      <c r="P17" s="911"/>
      <c r="Q17" s="911"/>
      <c r="R17" s="911"/>
      <c r="S17" s="911"/>
      <c r="T17" s="911"/>
      <c r="U17" s="911"/>
      <c r="V17" s="911"/>
      <c r="W17" s="911"/>
      <c r="X17" s="911"/>
      <c r="Y17" s="911"/>
      <c r="Z17" s="911"/>
    </row>
    <row r="18" spans="3:26">
      <c r="C18" s="923" t="s">
        <v>446</v>
      </c>
      <c r="D18" s="924" t="s">
        <v>1708</v>
      </c>
      <c r="E18" s="889">
        <v>10437</v>
      </c>
      <c r="F18" s="949"/>
      <c r="G18" s="926">
        <v>0.4</v>
      </c>
      <c r="H18" s="927">
        <f t="shared" si="0"/>
        <v>0.6</v>
      </c>
      <c r="I18" s="29">
        <v>0.81</v>
      </c>
      <c r="J18" s="928">
        <f t="shared" si="1"/>
        <v>66.537654513875623</v>
      </c>
      <c r="K18" s="928">
        <f t="shared" si="2"/>
        <v>0.65765278045231823</v>
      </c>
      <c r="L18" s="929">
        <f t="shared" si="3"/>
        <v>35.186636302456826</v>
      </c>
      <c r="M18" s="936">
        <v>22</v>
      </c>
      <c r="O18" s="911"/>
      <c r="P18" s="911"/>
      <c r="Q18" s="911"/>
      <c r="R18" s="911"/>
      <c r="S18" s="911"/>
      <c r="T18" s="911"/>
      <c r="U18" s="911"/>
      <c r="V18" s="911"/>
      <c r="W18" s="911"/>
      <c r="X18" s="911"/>
      <c r="Y18" s="911"/>
      <c r="Z18" s="911"/>
    </row>
    <row r="19" spans="3:26">
      <c r="C19" s="934" t="s">
        <v>429</v>
      </c>
      <c r="D19" s="937" t="s">
        <v>423</v>
      </c>
      <c r="E19" s="905" t="s">
        <v>430</v>
      </c>
      <c r="F19" s="950"/>
      <c r="G19" s="939">
        <v>0.38</v>
      </c>
      <c r="H19" s="927">
        <f t="shared" si="0"/>
        <v>0.62</v>
      </c>
      <c r="I19" s="905">
        <v>0.87</v>
      </c>
      <c r="J19" s="928">
        <f t="shared" si="1"/>
        <v>66.598199913018846</v>
      </c>
      <c r="K19" s="928">
        <f t="shared" si="2"/>
        <v>0.63169092345797062</v>
      </c>
      <c r="L19" s="929">
        <f t="shared" si="3"/>
        <v>38.533155666148879</v>
      </c>
      <c r="M19" s="936">
        <v>22</v>
      </c>
      <c r="O19" s="911"/>
      <c r="P19" s="911"/>
      <c r="Q19" s="911"/>
      <c r="R19" s="911"/>
      <c r="S19" s="911"/>
      <c r="T19" s="911"/>
      <c r="U19" s="911"/>
      <c r="V19" s="911"/>
      <c r="W19" s="911"/>
      <c r="X19" s="911"/>
      <c r="Y19" s="911"/>
      <c r="Z19" s="911"/>
    </row>
    <row r="20" spans="3:26">
      <c r="C20" s="934" t="s">
        <v>415</v>
      </c>
      <c r="D20" s="924" t="s">
        <v>404</v>
      </c>
      <c r="E20" s="905" t="s">
        <v>416</v>
      </c>
      <c r="F20" s="951"/>
      <c r="G20" s="939">
        <v>0.35</v>
      </c>
      <c r="H20" s="927">
        <f t="shared" si="0"/>
        <v>0.65</v>
      </c>
      <c r="I20" s="905">
        <v>0.87</v>
      </c>
      <c r="J20" s="928">
        <f t="shared" si="1"/>
        <v>68.10361392462795</v>
      </c>
      <c r="K20" s="928">
        <f t="shared" si="2"/>
        <v>0.6635532024964883</v>
      </c>
      <c r="L20" s="929">
        <f t="shared" si="3"/>
        <v>34.427878868427385</v>
      </c>
      <c r="M20" s="936">
        <v>22</v>
      </c>
      <c r="O20" s="911"/>
      <c r="P20" s="911"/>
      <c r="Q20" s="911"/>
      <c r="R20" s="911"/>
      <c r="S20" s="911"/>
      <c r="T20" s="911"/>
      <c r="U20" s="911"/>
      <c r="V20" s="911"/>
      <c r="W20" s="911"/>
      <c r="X20" s="911"/>
      <c r="Y20" s="911"/>
      <c r="Z20" s="911"/>
    </row>
    <row r="21" spans="3:26">
      <c r="C21" s="934" t="s">
        <v>1710</v>
      </c>
      <c r="D21" s="924" t="s">
        <v>392</v>
      </c>
      <c r="E21" s="905">
        <v>28315</v>
      </c>
      <c r="F21" s="952"/>
      <c r="G21" s="948">
        <v>0.34</v>
      </c>
      <c r="H21" s="927">
        <f t="shared" si="0"/>
        <v>0.65999999999999992</v>
      </c>
      <c r="I21" s="905">
        <v>0.87</v>
      </c>
      <c r="J21" s="928">
        <f t="shared" si="1"/>
        <v>68.604306171230803</v>
      </c>
      <c r="K21" s="928">
        <f t="shared" si="2"/>
        <v>0.67417396217599401</v>
      </c>
      <c r="L21" s="929">
        <f t="shared" si="3"/>
        <v>33.063809625893782</v>
      </c>
      <c r="M21" s="941">
        <v>24</v>
      </c>
      <c r="O21" s="911"/>
      <c r="P21" s="911"/>
      <c r="Q21" s="911"/>
      <c r="R21" s="911"/>
      <c r="S21" s="911"/>
      <c r="T21" s="911"/>
      <c r="U21" s="911"/>
      <c r="V21" s="911"/>
      <c r="W21" s="911"/>
      <c r="X21" s="911"/>
      <c r="Y21" s="911"/>
      <c r="Z21" s="911"/>
    </row>
    <row r="22" spans="3:26">
      <c r="C22" s="934" t="s">
        <v>427</v>
      </c>
      <c r="D22" s="937" t="s">
        <v>423</v>
      </c>
      <c r="E22" s="905">
        <v>28258</v>
      </c>
      <c r="F22" s="953"/>
      <c r="G22" s="939">
        <v>0.28000000000000003</v>
      </c>
      <c r="H22" s="927">
        <f t="shared" si="0"/>
        <v>0.72</v>
      </c>
      <c r="I22" s="905">
        <v>0.9</v>
      </c>
      <c r="J22" s="928">
        <f t="shared" si="1"/>
        <v>71.063733383987255</v>
      </c>
      <c r="K22" s="928">
        <f t="shared" si="2"/>
        <v>0.71240869702221521</v>
      </c>
      <c r="L22" s="929">
        <f t="shared" si="3"/>
        <v>28.171195669539241</v>
      </c>
      <c r="M22" s="936">
        <v>22</v>
      </c>
      <c r="O22" s="911"/>
      <c r="P22" s="911"/>
      <c r="Q22" s="911"/>
      <c r="R22" s="911"/>
      <c r="S22" s="911"/>
      <c r="T22" s="911"/>
      <c r="U22" s="911"/>
      <c r="V22" s="911"/>
      <c r="W22" s="911"/>
      <c r="X22" s="911"/>
      <c r="Y22" s="911"/>
      <c r="Z22" s="911"/>
    </row>
    <row r="23" spans="3:26">
      <c r="C23" s="923" t="s">
        <v>424</v>
      </c>
      <c r="D23" s="937" t="s">
        <v>423</v>
      </c>
      <c r="E23" s="889">
        <v>28260</v>
      </c>
      <c r="F23" s="954"/>
      <c r="G23" s="926">
        <v>0.28999999999999998</v>
      </c>
      <c r="H23" s="927">
        <f t="shared" si="0"/>
        <v>0.71</v>
      </c>
      <c r="I23" s="889">
        <v>0.87</v>
      </c>
      <c r="J23" s="928">
        <f t="shared" si="1"/>
        <v>71.09942422474478</v>
      </c>
      <c r="K23" s="928">
        <f t="shared" si="2"/>
        <v>0.72727776057352334</v>
      </c>
      <c r="L23" s="929">
        <f t="shared" si="3"/>
        <v>26.276136088527299</v>
      </c>
      <c r="M23" s="936">
        <v>24</v>
      </c>
      <c r="O23" s="911"/>
      <c r="P23" s="911"/>
      <c r="Q23" s="911"/>
      <c r="R23" s="911"/>
      <c r="S23" s="911"/>
      <c r="T23" s="911"/>
      <c r="U23" s="911"/>
      <c r="V23" s="911"/>
      <c r="W23" s="911"/>
      <c r="X23" s="911"/>
      <c r="Y23" s="911"/>
      <c r="Z23" s="911"/>
    </row>
    <row r="24" spans="3:26">
      <c r="C24" s="923" t="s">
        <v>439</v>
      </c>
      <c r="D24" s="924" t="s">
        <v>1708</v>
      </c>
      <c r="E24" s="889" t="s">
        <v>440</v>
      </c>
      <c r="F24" s="955"/>
      <c r="G24" s="926">
        <v>0.28999999999999998</v>
      </c>
      <c r="H24" s="927">
        <f t="shared" si="0"/>
        <v>0.71</v>
      </c>
      <c r="I24" s="29">
        <v>0.87</v>
      </c>
      <c r="J24" s="928">
        <f t="shared" si="1"/>
        <v>71.09942422474478</v>
      </c>
      <c r="K24" s="928">
        <f t="shared" si="2"/>
        <v>0.72727776057352334</v>
      </c>
      <c r="L24" s="929">
        <f t="shared" si="3"/>
        <v>26.276136088527299</v>
      </c>
      <c r="M24" s="936">
        <v>22</v>
      </c>
      <c r="O24" s="911"/>
      <c r="P24" s="911"/>
      <c r="Q24" s="911"/>
      <c r="R24" s="911"/>
      <c r="S24" s="911"/>
      <c r="T24" s="911"/>
      <c r="U24" s="911"/>
      <c r="V24" s="911"/>
      <c r="W24" s="911"/>
      <c r="X24" s="911"/>
      <c r="Y24" s="911"/>
      <c r="Z24" s="911"/>
    </row>
    <row r="25" spans="3:26">
      <c r="C25" s="923" t="s">
        <v>435</v>
      </c>
      <c r="D25" s="924" t="s">
        <v>1709</v>
      </c>
      <c r="E25" s="889">
        <v>9742</v>
      </c>
      <c r="F25" s="956"/>
      <c r="G25" s="926">
        <v>0.28999999999999998</v>
      </c>
      <c r="H25" s="927">
        <f t="shared" si="0"/>
        <v>0.71</v>
      </c>
      <c r="I25" s="889">
        <v>0.86</v>
      </c>
      <c r="J25" s="928">
        <f t="shared" si="1"/>
        <v>71.27802258515743</v>
      </c>
      <c r="K25" s="928">
        <f t="shared" si="2"/>
        <v>0.73604606216939461</v>
      </c>
      <c r="L25" s="929">
        <f t="shared" si="3"/>
        <v>25.160618655762704</v>
      </c>
      <c r="M25" s="936">
        <v>22</v>
      </c>
      <c r="O25" s="911"/>
      <c r="P25" s="911"/>
      <c r="Q25" s="911"/>
      <c r="R25" s="911"/>
      <c r="S25" s="911"/>
      <c r="T25" s="911"/>
      <c r="U25" s="911"/>
      <c r="V25" s="911"/>
      <c r="W25" s="911"/>
      <c r="X25" s="911"/>
      <c r="Y25" s="911"/>
      <c r="Z25" s="911"/>
    </row>
    <row r="26" spans="3:26">
      <c r="C26" s="923" t="s">
        <v>1711</v>
      </c>
      <c r="D26" s="924" t="s">
        <v>1708</v>
      </c>
      <c r="E26" s="889">
        <v>10321</v>
      </c>
      <c r="F26" s="957"/>
      <c r="G26" s="926">
        <v>0.35</v>
      </c>
      <c r="H26" s="927">
        <f t="shared" si="0"/>
        <v>0.65</v>
      </c>
      <c r="I26" s="29">
        <v>0.68600000000000005</v>
      </c>
      <c r="J26" s="928">
        <f t="shared" si="1"/>
        <v>71.396523939113308</v>
      </c>
      <c r="K26" s="928">
        <f t="shared" si="2"/>
        <v>0.84871979982431656</v>
      </c>
      <c r="L26" s="929">
        <f t="shared" si="3"/>
        <v>10.958197052949366</v>
      </c>
      <c r="M26" s="936">
        <v>22</v>
      </c>
      <c r="O26" s="911"/>
      <c r="P26" s="911"/>
      <c r="Q26" s="911"/>
      <c r="R26" s="911"/>
      <c r="S26" s="911"/>
      <c r="T26" s="911"/>
      <c r="U26" s="911"/>
      <c r="V26" s="911"/>
      <c r="W26" s="911"/>
      <c r="X26" s="911"/>
      <c r="Y26" s="911"/>
      <c r="Z26" s="911"/>
    </row>
    <row r="27" spans="3:26" ht="28.9">
      <c r="C27" s="923" t="s">
        <v>405</v>
      </c>
      <c r="D27" s="924" t="s">
        <v>404</v>
      </c>
      <c r="E27" s="889" t="s">
        <v>406</v>
      </c>
      <c r="F27" s="958"/>
      <c r="G27" s="926">
        <v>0.28000000000000003</v>
      </c>
      <c r="H27" s="927">
        <f t="shared" si="0"/>
        <v>0.72</v>
      </c>
      <c r="I27" s="889">
        <v>0.87</v>
      </c>
      <c r="J27" s="928">
        <f t="shared" si="1"/>
        <v>71.596779199547427</v>
      </c>
      <c r="K27" s="928">
        <f t="shared" si="2"/>
        <v>0.73789852025302927</v>
      </c>
      <c r="L27" s="929">
        <f t="shared" si="3"/>
        <v>24.925135916114307</v>
      </c>
      <c r="M27" s="930" t="s">
        <v>1705</v>
      </c>
      <c r="O27" s="911"/>
      <c r="P27" s="911"/>
      <c r="Q27" s="911"/>
      <c r="R27" s="911"/>
      <c r="S27" s="911"/>
      <c r="T27" s="911"/>
      <c r="U27" s="911"/>
      <c r="V27" s="911"/>
      <c r="W27" s="911"/>
      <c r="X27" s="911"/>
      <c r="Y27" s="911"/>
      <c r="Z27" s="911"/>
    </row>
    <row r="28" spans="3:26">
      <c r="C28" s="923" t="s">
        <v>434</v>
      </c>
      <c r="D28" s="924" t="s">
        <v>1709</v>
      </c>
      <c r="E28" s="889">
        <v>10032</v>
      </c>
      <c r="F28" s="959"/>
      <c r="G28" s="926">
        <v>0.28000000000000003</v>
      </c>
      <c r="H28" s="927">
        <f t="shared" si="0"/>
        <v>0.72</v>
      </c>
      <c r="I28" s="889">
        <v>0.84</v>
      </c>
      <c r="J28" s="928">
        <f t="shared" si="1"/>
        <v>72.143941265090348</v>
      </c>
      <c r="K28" s="928">
        <f t="shared" si="2"/>
        <v>0.76520904514318733</v>
      </c>
      <c r="L28" s="929">
        <f t="shared" si="3"/>
        <v>21.461137312144665</v>
      </c>
      <c r="M28" s="936">
        <v>22</v>
      </c>
      <c r="O28" s="911"/>
      <c r="P28" s="911"/>
      <c r="Q28" s="911"/>
      <c r="R28" s="911"/>
      <c r="S28" s="911"/>
      <c r="T28" s="911"/>
      <c r="U28" s="911"/>
      <c r="V28" s="911"/>
      <c r="W28" s="911"/>
      <c r="X28" s="911"/>
      <c r="Y28" s="911"/>
      <c r="Z28" s="911"/>
    </row>
    <row r="29" spans="3:26" ht="28.9">
      <c r="C29" s="923" t="s">
        <v>407</v>
      </c>
      <c r="D29" s="924" t="s">
        <v>404</v>
      </c>
      <c r="E29" s="889">
        <v>7602</v>
      </c>
      <c r="F29" s="960"/>
      <c r="G29" s="932">
        <v>0.26</v>
      </c>
      <c r="H29" s="927">
        <f t="shared" si="0"/>
        <v>0.74</v>
      </c>
      <c r="I29" s="889">
        <v>0.88</v>
      </c>
      <c r="J29" s="928">
        <f t="shared" si="1"/>
        <v>72.406259977471279</v>
      </c>
      <c r="K29" s="928">
        <f t="shared" si="2"/>
        <v>0.75020894624518386</v>
      </c>
      <c r="L29" s="929">
        <f t="shared" si="3"/>
        <v>23.361929433762285</v>
      </c>
      <c r="M29" s="930" t="s">
        <v>1705</v>
      </c>
      <c r="O29" s="911"/>
      <c r="P29" s="911"/>
      <c r="Q29" s="911"/>
      <c r="R29" s="911"/>
      <c r="S29" s="911"/>
      <c r="T29" s="911"/>
      <c r="U29" s="911"/>
      <c r="V29" s="911"/>
      <c r="W29" s="911"/>
      <c r="X29" s="911"/>
      <c r="Y29" s="911"/>
      <c r="Z29" s="911"/>
    </row>
    <row r="30" spans="3:26">
      <c r="C30" s="934" t="s">
        <v>1712</v>
      </c>
      <c r="D30" s="937" t="s">
        <v>1709</v>
      </c>
      <c r="E30" s="905">
        <v>9935</v>
      </c>
      <c r="F30" s="961"/>
      <c r="G30" s="939">
        <v>0.25</v>
      </c>
      <c r="H30" s="927">
        <f t="shared" si="0"/>
        <v>0.75</v>
      </c>
      <c r="I30" s="905">
        <v>0.86</v>
      </c>
      <c r="J30" s="928">
        <f t="shared" si="1"/>
        <v>73.272853961107671</v>
      </c>
      <c r="K30" s="928">
        <f t="shared" si="2"/>
        <v>0.77902308970972067</v>
      </c>
      <c r="L30" s="929">
        <f t="shared" si="3"/>
        <v>19.714483456405979</v>
      </c>
      <c r="M30" s="936">
        <v>22</v>
      </c>
      <c r="O30" s="911"/>
      <c r="P30" s="911"/>
      <c r="Q30" s="911"/>
      <c r="R30" s="911"/>
      <c r="S30" s="911"/>
      <c r="T30" s="911"/>
      <c r="U30" s="911"/>
      <c r="V30" s="911" t="s">
        <v>1713</v>
      </c>
      <c r="W30" s="911" t="s">
        <v>1714</v>
      </c>
      <c r="X30" s="911"/>
      <c r="Y30" s="911"/>
      <c r="Z30" s="911">
        <v>12</v>
      </c>
    </row>
    <row r="31" spans="3:26">
      <c r="C31" s="923" t="s">
        <v>441</v>
      </c>
      <c r="D31" s="924" t="s">
        <v>1708</v>
      </c>
      <c r="E31" s="889">
        <v>9789</v>
      </c>
      <c r="F31" s="962"/>
      <c r="G31" s="926">
        <v>0.24</v>
      </c>
      <c r="H31" s="927">
        <f t="shared" si="0"/>
        <v>0.76</v>
      </c>
      <c r="I31" s="29">
        <v>0.85</v>
      </c>
      <c r="J31" s="928">
        <f t="shared" si="1"/>
        <v>73.961348707585103</v>
      </c>
      <c r="K31" s="928">
        <f t="shared" si="2"/>
        <v>0.79937397628028684</v>
      </c>
      <c r="L31" s="929">
        <f t="shared" si="3"/>
        <v>17.148021422208846</v>
      </c>
      <c r="M31" s="936">
        <v>22</v>
      </c>
      <c r="O31" s="911"/>
      <c r="P31" s="911"/>
      <c r="Q31" s="911"/>
      <c r="R31" s="911"/>
      <c r="S31" s="911"/>
      <c r="T31" s="911"/>
      <c r="U31" s="911"/>
      <c r="V31" s="911" t="s">
        <v>1715</v>
      </c>
      <c r="W31" s="911" t="s">
        <v>1716</v>
      </c>
      <c r="X31" s="911"/>
      <c r="Y31" s="911"/>
      <c r="Z31" s="911"/>
    </row>
    <row r="32" spans="3:26">
      <c r="C32" s="923" t="s">
        <v>425</v>
      </c>
      <c r="D32" s="937" t="s">
        <v>423</v>
      </c>
      <c r="E32" s="889">
        <v>28330</v>
      </c>
      <c r="F32" s="963"/>
      <c r="G32" s="926">
        <v>0.23</v>
      </c>
      <c r="H32" s="927">
        <f t="shared" si="0"/>
        <v>0.77</v>
      </c>
      <c r="I32" s="889">
        <v>0.87</v>
      </c>
      <c r="J32" s="928">
        <f t="shared" si="1"/>
        <v>74.075210894060092</v>
      </c>
      <c r="K32" s="928">
        <f t="shared" si="2"/>
        <v>0.7910023186505587</v>
      </c>
      <c r="L32" s="929">
        <f t="shared" si="3"/>
        <v>18.202807729350983</v>
      </c>
      <c r="M32" s="936">
        <v>22</v>
      </c>
      <c r="O32" s="911"/>
      <c r="P32" s="911"/>
      <c r="Q32" s="911"/>
      <c r="R32" s="911"/>
      <c r="S32" s="911"/>
      <c r="T32" s="911"/>
      <c r="U32" s="911"/>
      <c r="V32" s="911" t="s">
        <v>1717</v>
      </c>
      <c r="W32" s="911" t="s">
        <v>1718</v>
      </c>
      <c r="X32" s="911"/>
      <c r="Y32" s="911"/>
      <c r="Z32" s="911"/>
    </row>
    <row r="33" spans="3:26">
      <c r="C33" s="923" t="s">
        <v>432</v>
      </c>
      <c r="D33" s="924" t="s">
        <v>1709</v>
      </c>
      <c r="E33" s="889">
        <v>5636</v>
      </c>
      <c r="F33" s="964"/>
      <c r="G33" s="926">
        <v>0.2</v>
      </c>
      <c r="H33" s="927">
        <f t="shared" si="0"/>
        <v>0.8</v>
      </c>
      <c r="I33" s="889">
        <v>0.86</v>
      </c>
      <c r="J33" s="928">
        <f t="shared" si="1"/>
        <v>75.753783058301622</v>
      </c>
      <c r="K33" s="928">
        <f t="shared" si="2"/>
        <v>0.83274437413512836</v>
      </c>
      <c r="L33" s="929">
        <f t="shared" si="3"/>
        <v>12.956969841071146</v>
      </c>
      <c r="M33" s="936">
        <v>22</v>
      </c>
      <c r="O33" s="911"/>
      <c r="P33" s="911"/>
      <c r="Q33" s="911"/>
      <c r="R33" s="911"/>
      <c r="S33" s="911"/>
      <c r="T33" s="911"/>
      <c r="U33" s="911"/>
      <c r="V33" s="911"/>
      <c r="W33" s="911"/>
      <c r="X33" s="911"/>
      <c r="Y33" s="911"/>
      <c r="Z33" s="911"/>
    </row>
    <row r="34" spans="3:26">
      <c r="C34" s="923" t="s">
        <v>426</v>
      </c>
      <c r="D34" s="937" t="s">
        <v>423</v>
      </c>
      <c r="E34" s="889">
        <v>28229</v>
      </c>
      <c r="F34" s="965"/>
      <c r="G34" s="926">
        <v>0.16</v>
      </c>
      <c r="H34" s="927">
        <f t="shared" si="0"/>
        <v>0.84</v>
      </c>
      <c r="I34" s="889">
        <v>0.87</v>
      </c>
      <c r="J34" s="928">
        <f t="shared" si="1"/>
        <v>77.521654363776008</v>
      </c>
      <c r="K34" s="928">
        <f t="shared" si="2"/>
        <v>0.86534763640709977</v>
      </c>
      <c r="L34" s="929">
        <f t="shared" si="3"/>
        <v>8.8830317587267942</v>
      </c>
      <c r="M34" s="936">
        <v>22</v>
      </c>
      <c r="O34" s="911"/>
      <c r="P34" s="911"/>
      <c r="Q34" s="911"/>
      <c r="R34" s="911"/>
      <c r="S34" s="911"/>
      <c r="T34" s="911"/>
      <c r="U34" s="911"/>
      <c r="V34" s="911"/>
      <c r="W34" s="911"/>
      <c r="X34" s="911"/>
      <c r="Y34" s="911"/>
      <c r="Z34" s="911"/>
    </row>
    <row r="35" spans="3:26">
      <c r="C35" s="923" t="s">
        <v>447</v>
      </c>
      <c r="D35" s="924" t="s">
        <v>1708</v>
      </c>
      <c r="E35" s="905">
        <v>28262</v>
      </c>
      <c r="F35" s="966"/>
      <c r="G35" s="926">
        <v>7.0000000000000007E-2</v>
      </c>
      <c r="H35" s="927">
        <f t="shared" si="0"/>
        <v>0.92999999999999994</v>
      </c>
      <c r="I35" s="29">
        <v>0.84</v>
      </c>
      <c r="J35" s="928">
        <f t="shared" si="1"/>
        <v>82.596339388573085</v>
      </c>
      <c r="K35" s="928">
        <f t="shared" si="2"/>
        <v>0.99621056817243991</v>
      </c>
      <c r="L35" s="929">
        <f t="shared" si="3"/>
        <v>-1</v>
      </c>
      <c r="M35" s="936">
        <v>22</v>
      </c>
      <c r="O35" s="911"/>
      <c r="P35" s="911"/>
      <c r="Q35" s="911"/>
      <c r="R35" s="911"/>
      <c r="S35" s="911"/>
      <c r="T35" s="911"/>
      <c r="U35" s="911"/>
      <c r="V35" s="911"/>
      <c r="W35" s="911"/>
      <c r="X35" s="911"/>
      <c r="Y35" s="911"/>
      <c r="Z35" s="911"/>
    </row>
    <row r="36" spans="3:26" ht="15" thickBot="1">
      <c r="C36" s="967" t="s">
        <v>51</v>
      </c>
      <c r="D36" s="968"/>
      <c r="E36" s="969" t="s">
        <v>389</v>
      </c>
      <c r="F36" s="970" t="s">
        <v>390</v>
      </c>
      <c r="G36" s="971">
        <v>0.05</v>
      </c>
      <c r="H36" s="972">
        <f t="shared" si="0"/>
        <v>0.95</v>
      </c>
      <c r="I36" s="969">
        <v>0.81</v>
      </c>
      <c r="J36" s="973">
        <f t="shared" si="1"/>
        <v>84.293604335226291</v>
      </c>
      <c r="K36" s="974">
        <f t="shared" si="2"/>
        <v>1.0569146721078166</v>
      </c>
      <c r="L36" s="975">
        <f t="shared" si="3"/>
        <v>-1</v>
      </c>
      <c r="M36" s="976"/>
      <c r="O36" s="911"/>
      <c r="P36" s="911"/>
      <c r="Q36" s="911"/>
      <c r="R36" s="911"/>
      <c r="S36" s="911"/>
      <c r="T36" s="911"/>
      <c r="U36" s="911"/>
      <c r="V36" s="911"/>
      <c r="W36" s="911"/>
      <c r="X36" s="911"/>
      <c r="Y36" s="911"/>
      <c r="Z36" s="911"/>
    </row>
    <row r="37" spans="3:26">
      <c r="O37" s="911"/>
      <c r="P37" s="911"/>
      <c r="Q37" s="911"/>
      <c r="R37" s="911"/>
      <c r="S37" s="911"/>
      <c r="T37" s="911"/>
      <c r="U37" s="911"/>
      <c r="V37" s="911"/>
      <c r="W37" s="911"/>
      <c r="X37" s="911"/>
      <c r="Y37" s="911"/>
      <c r="Z37" s="911"/>
    </row>
    <row r="38" spans="3:26">
      <c r="O38" s="911"/>
      <c r="P38" s="911"/>
      <c r="Q38" s="911"/>
      <c r="R38" s="911"/>
      <c r="S38" s="911"/>
      <c r="T38" s="911"/>
      <c r="U38" s="911"/>
      <c r="V38" s="911"/>
      <c r="W38" s="911"/>
      <c r="X38" s="911"/>
      <c r="Y38" s="911"/>
      <c r="Z38" s="911"/>
    </row>
    <row r="39" spans="3:26">
      <c r="O39" s="911"/>
      <c r="P39" s="911"/>
      <c r="Q39" s="911"/>
      <c r="R39" s="911"/>
      <c r="S39" s="911"/>
      <c r="T39" s="911"/>
      <c r="U39" s="911"/>
      <c r="V39" s="911"/>
      <c r="W39" s="911"/>
      <c r="X39" s="911"/>
      <c r="Y39" s="911"/>
      <c r="Z39" s="911"/>
    </row>
    <row r="40" spans="3:26">
      <c r="O40" s="911"/>
      <c r="P40" s="911"/>
      <c r="Q40" s="911"/>
      <c r="R40" s="911"/>
      <c r="S40" s="911"/>
      <c r="T40" s="911"/>
      <c r="U40" s="911"/>
      <c r="V40" s="911"/>
      <c r="W40" s="911"/>
      <c r="X40" s="911"/>
      <c r="Y40" s="911"/>
      <c r="Z40" s="911"/>
    </row>
    <row r="41" spans="3:26">
      <c r="O41" s="911"/>
      <c r="P41" s="911"/>
      <c r="Q41" s="911"/>
      <c r="R41" s="911"/>
      <c r="S41" s="911"/>
      <c r="T41" s="911"/>
      <c r="U41" s="911"/>
      <c r="V41" s="911"/>
      <c r="W41" s="911"/>
      <c r="X41" s="911"/>
      <c r="Y41" s="911"/>
      <c r="Z41" s="911"/>
    </row>
    <row r="42" spans="3:26">
      <c r="O42" s="911"/>
      <c r="P42" s="911"/>
      <c r="Q42" s="911"/>
      <c r="R42" s="911"/>
      <c r="S42" s="911"/>
      <c r="T42" s="911"/>
      <c r="U42" s="911"/>
      <c r="V42" s="911"/>
      <c r="W42" s="911"/>
      <c r="X42" s="911"/>
      <c r="Y42" s="911"/>
      <c r="Z42" s="911"/>
    </row>
    <row r="43" spans="3:26">
      <c r="O43" s="911"/>
      <c r="P43" s="911"/>
      <c r="Q43" s="911"/>
      <c r="R43" s="911"/>
      <c r="S43" s="911"/>
      <c r="T43" s="911"/>
      <c r="U43" s="911"/>
      <c r="V43" s="911"/>
      <c r="W43" s="911"/>
      <c r="X43" s="911"/>
      <c r="Y43" s="911"/>
      <c r="Z43" s="911"/>
    </row>
    <row r="44" spans="3:26">
      <c r="O44" s="911"/>
      <c r="P44" s="911"/>
      <c r="Q44" s="911"/>
      <c r="R44" s="911"/>
      <c r="S44" s="911"/>
      <c r="T44" s="911"/>
      <c r="U44" s="911"/>
      <c r="V44" s="911"/>
      <c r="W44" s="911"/>
      <c r="X44" s="911"/>
      <c r="Y44" s="911"/>
      <c r="Z44" s="911"/>
    </row>
    <row r="45" spans="3:26">
      <c r="O45" s="911"/>
      <c r="P45" s="911"/>
      <c r="Q45" s="911"/>
      <c r="R45" s="911"/>
      <c r="S45" s="911"/>
      <c r="T45" s="911"/>
      <c r="U45" s="911"/>
      <c r="V45" s="911"/>
      <c r="W45" s="911"/>
      <c r="X45" s="911"/>
      <c r="Y45" s="911"/>
      <c r="Z45" s="911"/>
    </row>
    <row r="46" spans="3:26">
      <c r="O46" s="911"/>
      <c r="P46" s="911"/>
      <c r="Q46" s="911"/>
      <c r="R46" s="911"/>
      <c r="S46" s="911"/>
      <c r="T46" s="911"/>
      <c r="U46" s="911"/>
      <c r="V46" s="911"/>
      <c r="W46" s="911"/>
      <c r="X46" s="911"/>
      <c r="Y46" s="911"/>
      <c r="Z46" s="911"/>
    </row>
    <row r="47" spans="3:26">
      <c r="O47" s="911"/>
      <c r="P47" s="911"/>
      <c r="Q47" s="911"/>
      <c r="R47" s="911"/>
      <c r="S47" s="911"/>
      <c r="T47" s="911"/>
      <c r="U47" s="911"/>
      <c r="V47" s="911"/>
      <c r="W47" s="911"/>
      <c r="X47" s="911"/>
      <c r="Y47" s="911"/>
      <c r="Z47" s="911"/>
    </row>
    <row r="48" spans="3:26">
      <c r="O48" s="911"/>
      <c r="P48" s="911"/>
      <c r="Q48" s="911"/>
      <c r="R48" s="911"/>
      <c r="S48" s="911"/>
      <c r="T48" s="911"/>
      <c r="U48" s="911"/>
      <c r="V48" s="911"/>
      <c r="W48" s="911"/>
      <c r="X48" s="911"/>
      <c r="Y48" s="911"/>
      <c r="Z48" s="911"/>
    </row>
    <row r="49" spans="3:26">
      <c r="O49" s="911"/>
      <c r="P49" s="911"/>
      <c r="Q49" s="911"/>
      <c r="R49" s="911"/>
      <c r="S49" s="911"/>
      <c r="T49" s="911"/>
      <c r="U49" s="911"/>
      <c r="V49" s="911"/>
      <c r="W49" s="911"/>
      <c r="X49" s="911"/>
      <c r="Y49" s="911"/>
      <c r="Z49" s="911"/>
    </row>
    <row r="50" spans="3:26">
      <c r="O50" s="911"/>
      <c r="P50" s="911"/>
      <c r="Q50" s="911"/>
      <c r="R50" s="911"/>
      <c r="S50" s="911"/>
      <c r="T50" s="911"/>
      <c r="U50" s="911"/>
      <c r="V50" s="911"/>
      <c r="W50" s="911"/>
      <c r="X50" s="911"/>
      <c r="Y50" s="911"/>
      <c r="Z50" s="911"/>
    </row>
    <row r="51" spans="3:26">
      <c r="O51" s="911"/>
      <c r="P51" s="911"/>
      <c r="Q51" s="911"/>
      <c r="R51" s="911"/>
      <c r="S51" s="911"/>
      <c r="T51" s="911"/>
      <c r="U51" s="911"/>
      <c r="V51" s="911"/>
      <c r="W51" s="911"/>
      <c r="X51" s="911"/>
      <c r="Y51" s="911"/>
      <c r="Z51" s="911"/>
    </row>
    <row r="52" spans="3:26">
      <c r="O52" s="911"/>
      <c r="P52" s="911"/>
      <c r="Q52" s="911"/>
      <c r="R52" s="911"/>
      <c r="S52" s="911"/>
      <c r="T52" s="911"/>
      <c r="U52" s="911"/>
      <c r="V52" s="911"/>
      <c r="W52" s="911"/>
      <c r="X52" s="911"/>
      <c r="Y52" s="911"/>
      <c r="Z52" s="911"/>
    </row>
    <row r="53" spans="3:26">
      <c r="O53" s="911"/>
      <c r="P53" s="911"/>
      <c r="Q53" s="911"/>
      <c r="R53" s="911"/>
      <c r="S53" s="911"/>
      <c r="T53" s="911"/>
      <c r="U53" s="911"/>
      <c r="V53" s="911"/>
      <c r="W53" s="911"/>
      <c r="X53" s="911"/>
      <c r="Y53" s="911"/>
      <c r="Z53" s="911"/>
    </row>
    <row r="54" spans="3:26">
      <c r="O54" s="911"/>
      <c r="P54" s="911"/>
      <c r="Q54" s="911"/>
      <c r="R54" s="911"/>
      <c r="S54" s="911"/>
      <c r="T54" s="911"/>
      <c r="U54" s="911"/>
      <c r="V54" s="911"/>
      <c r="W54" s="911"/>
      <c r="X54" s="911"/>
      <c r="Y54" s="911"/>
      <c r="Z54" s="911"/>
    </row>
    <row r="55" spans="3:26">
      <c r="O55" s="911"/>
      <c r="P55" s="911"/>
      <c r="Q55" s="911"/>
      <c r="R55" s="911"/>
      <c r="S55" s="911"/>
      <c r="T55" s="911"/>
      <c r="U55" s="911"/>
      <c r="V55" s="911"/>
      <c r="W55" s="911"/>
      <c r="X55" s="911"/>
      <c r="Y55" s="911"/>
      <c r="Z55" s="911"/>
    </row>
    <row r="56" spans="3:26">
      <c r="O56" s="911"/>
      <c r="P56" s="911"/>
      <c r="Q56" s="911"/>
      <c r="R56" s="911"/>
      <c r="S56" s="911"/>
      <c r="T56" s="911"/>
      <c r="U56" s="911"/>
      <c r="V56" s="911"/>
      <c r="W56" s="911"/>
      <c r="X56" s="911"/>
      <c r="Y56" s="911"/>
      <c r="Z56" s="911"/>
    </row>
    <row r="57" spans="3:26">
      <c r="O57" s="911"/>
      <c r="P57" s="911"/>
      <c r="Q57" s="911"/>
      <c r="R57" s="911"/>
      <c r="S57" s="911"/>
      <c r="T57" s="911"/>
      <c r="U57" s="911"/>
      <c r="V57" s="911"/>
      <c r="W57" s="911"/>
      <c r="X57" s="911"/>
      <c r="Y57" s="911"/>
      <c r="Z57" s="911"/>
    </row>
    <row r="62" spans="3:26" ht="21">
      <c r="C62" s="1085" t="s">
        <v>1874</v>
      </c>
      <c r="D62" s="1085"/>
    </row>
    <row r="64" spans="3:26">
      <c r="H64" s="1142" t="s">
        <v>1720</v>
      </c>
      <c r="I64" s="1143"/>
      <c r="J64" s="1143"/>
      <c r="K64" s="1143"/>
      <c r="L64" s="1143"/>
      <c r="M64" s="1143"/>
      <c r="N64" s="1143"/>
      <c r="O64" s="1144"/>
    </row>
    <row r="65" spans="3:19">
      <c r="H65" s="1142" t="s">
        <v>1721</v>
      </c>
      <c r="I65" s="1143"/>
      <c r="J65" s="1143"/>
      <c r="K65" s="1143"/>
      <c r="L65" s="1143"/>
      <c r="M65" s="1143"/>
      <c r="N65" s="1143"/>
      <c r="O65" s="1144"/>
    </row>
    <row r="66" spans="3:19" ht="14.45" customHeight="1">
      <c r="C66" s="1139" t="s">
        <v>1693</v>
      </c>
      <c r="D66" s="1133" t="s">
        <v>1694</v>
      </c>
      <c r="E66" s="1130" t="s">
        <v>1722</v>
      </c>
      <c r="F66" s="1136" t="s">
        <v>387</v>
      </c>
      <c r="G66" s="1136" t="s">
        <v>1702</v>
      </c>
      <c r="H66" s="1114" t="s">
        <v>1723</v>
      </c>
      <c r="I66" s="1115"/>
      <c r="J66" s="1114" t="s">
        <v>1724</v>
      </c>
      <c r="K66" s="1115"/>
      <c r="L66" s="1114" t="s">
        <v>1725</v>
      </c>
      <c r="M66" s="1115"/>
      <c r="N66" s="1114" t="s">
        <v>1726</v>
      </c>
      <c r="O66" s="1115"/>
    </row>
    <row r="67" spans="3:19" ht="48.6" customHeight="1">
      <c r="C67" s="1140"/>
      <c r="D67" s="1134"/>
      <c r="E67" s="1131"/>
      <c r="F67" s="1137"/>
      <c r="G67" s="1137"/>
      <c r="H67" s="1116"/>
      <c r="I67" s="1117"/>
      <c r="J67" s="1116"/>
      <c r="K67" s="1117"/>
      <c r="L67" s="1116"/>
      <c r="M67" s="1117"/>
      <c r="N67" s="1116"/>
      <c r="O67" s="1117"/>
    </row>
    <row r="68" spans="3:19">
      <c r="C68" s="1141"/>
      <c r="D68" s="1135"/>
      <c r="E68" s="1132"/>
      <c r="F68" s="1138"/>
      <c r="G68" s="1138"/>
      <c r="H68" s="977" t="s">
        <v>1727</v>
      </c>
      <c r="I68" s="977" t="s">
        <v>1728</v>
      </c>
      <c r="J68" s="977" t="s">
        <v>1727</v>
      </c>
      <c r="K68" s="977" t="s">
        <v>1728</v>
      </c>
      <c r="L68" s="977" t="s">
        <v>1727</v>
      </c>
      <c r="M68" s="977" t="s">
        <v>1728</v>
      </c>
      <c r="N68" s="977" t="s">
        <v>1727</v>
      </c>
      <c r="O68" s="977" t="s">
        <v>1728</v>
      </c>
    </row>
    <row r="69" spans="3:19" ht="15.6">
      <c r="C69" s="1124" t="s">
        <v>408</v>
      </c>
      <c r="D69" s="979" t="s">
        <v>404</v>
      </c>
      <c r="E69" s="980">
        <f>VLOOKUP(C69,$C$7:$J$36,8,FALSE)</f>
        <v>53.341586567624176</v>
      </c>
      <c r="F69" s="981">
        <v>76.588316007255287</v>
      </c>
      <c r="G69" s="982">
        <v>22</v>
      </c>
      <c r="H69" s="983">
        <f>VLOOKUP($C69,$C$159:$Q$186,9,FALSE)</f>
        <v>60</v>
      </c>
      <c r="I69" s="983">
        <f>VLOOKUP($C69,$C$159:$Q$186,6,FALSE)</f>
        <v>60</v>
      </c>
      <c r="J69" s="983">
        <f>VLOOKUP($C69,$C$159:$Q$186,9,FALSE)</f>
        <v>60</v>
      </c>
      <c r="K69" s="983">
        <f>VLOOKUP($C69,$C$159:$Q$186,6,FALSE)</f>
        <v>60</v>
      </c>
      <c r="L69" s="983">
        <f>VLOOKUP($C69,$C$159:$Q$186,15,FALSE)</f>
        <v>60</v>
      </c>
      <c r="M69" s="983">
        <f>VLOOKUP($C69,$C$159:$Q$186,12,FALSE)</f>
        <v>60</v>
      </c>
      <c r="N69" s="984" t="s">
        <v>1729</v>
      </c>
      <c r="O69" s="984">
        <v>24</v>
      </c>
    </row>
    <row r="70" spans="3:19" ht="15.6">
      <c r="C70" s="1126"/>
      <c r="D70" s="986"/>
      <c r="E70" s="980">
        <f>VLOOKUP(C69,$C$7:$J$36,8,FALSE)</f>
        <v>53.341586567624176</v>
      </c>
      <c r="F70" s="981">
        <v>76.588316007255287</v>
      </c>
      <c r="G70" s="987">
        <v>26</v>
      </c>
      <c r="H70" s="988">
        <f>VLOOKUP($C69,$C$229:$Q$256,9,FALSE)</f>
        <v>58.702659439267272</v>
      </c>
      <c r="I70" s="988">
        <f>VLOOKUP($C69,$C$229:$Q$256,6,FALSE)</f>
        <v>59.119158783083293</v>
      </c>
      <c r="J70" s="988">
        <f>VLOOKUP($C69,$C$229:$Q$256,9,FALSE)</f>
        <v>58.702659439267272</v>
      </c>
      <c r="K70" s="988">
        <f>VLOOKUP($C69,$C$229:$Q$256,6,FALSE)</f>
        <v>59.119158783083293</v>
      </c>
      <c r="L70" s="988">
        <f>VLOOKUP($C69,$C$229:$Q$256,15,FALSE)</f>
        <v>52.168231992147362</v>
      </c>
      <c r="M70" s="988">
        <f>VLOOKUP($C69,$C$229:$Q$256,12,FALSE)</f>
        <v>52.377115162879065</v>
      </c>
      <c r="N70" s="989" t="s">
        <v>1730</v>
      </c>
      <c r="O70" s="989" t="s">
        <v>1730</v>
      </c>
    </row>
    <row r="71" spans="3:19" ht="15.6">
      <c r="C71" s="978" t="s">
        <v>398</v>
      </c>
      <c r="D71" s="990" t="s">
        <v>392</v>
      </c>
      <c r="E71" s="980">
        <f>VLOOKUP(C71,$C$7:$J$36,8,FALSE)</f>
        <v>53.440740989031156</v>
      </c>
      <c r="F71" s="981">
        <v>76.330015474921325</v>
      </c>
      <c r="G71" s="984">
        <v>22</v>
      </c>
      <c r="H71" s="983">
        <f>VLOOKUP($C71,$C$159:$Q$186,9,FALSE)</f>
        <v>60</v>
      </c>
      <c r="I71" s="983">
        <f>VLOOKUP($C71,$C$159:$Q$186,6,FALSE)</f>
        <v>60</v>
      </c>
      <c r="J71" s="983">
        <f>VLOOKUP($C71,$C$159:$Q$186,9,FALSE)</f>
        <v>60</v>
      </c>
      <c r="K71" s="983">
        <f>VLOOKUP($C71,$C$159:$Q$186,6,FALSE)</f>
        <v>60</v>
      </c>
      <c r="L71" s="983">
        <f>VLOOKUP($C71,$C$159:$Q$186,15,FALSE)</f>
        <v>60</v>
      </c>
      <c r="M71" s="983">
        <f>VLOOKUP($C71,$C$159:$Q$186,12,FALSE)</f>
        <v>60</v>
      </c>
      <c r="N71" s="991" t="s">
        <v>1729</v>
      </c>
      <c r="O71" s="991" t="s">
        <v>1729</v>
      </c>
    </row>
    <row r="72" spans="3:19" ht="15.6">
      <c r="C72" s="992"/>
      <c r="D72" s="993"/>
      <c r="E72" s="980">
        <f>VLOOKUP(C71,$C$7:$J$36,8,FALSE)</f>
        <v>53.440740989031156</v>
      </c>
      <c r="F72" s="981">
        <v>76.330015474921325</v>
      </c>
      <c r="G72" s="994">
        <v>24</v>
      </c>
      <c r="H72" s="995">
        <f>VLOOKUP($C71,$C$310:$Q$337,9,FALSE)</f>
        <v>60</v>
      </c>
      <c r="I72" s="995">
        <f>VLOOKUP($C71,$C$310:$Q$337,6,FALSE)</f>
        <v>60</v>
      </c>
      <c r="J72" s="995">
        <f>VLOOKUP($C71,$C$310:$Q$337,9,FALSE)</f>
        <v>60</v>
      </c>
      <c r="K72" s="995">
        <f>VLOOKUP($C71,$C$310:$Q$337,6,FALSE)</f>
        <v>60</v>
      </c>
      <c r="L72" s="995">
        <f>VLOOKUP($C71,$C$310:$Q$337,15,FALSE)</f>
        <v>56.221056672695667</v>
      </c>
      <c r="M72" s="995">
        <f>VLOOKUP($C71,$C$310:$Q$337,6,FALSE)</f>
        <v>60</v>
      </c>
      <c r="N72" s="996" t="s">
        <v>1730</v>
      </c>
      <c r="O72" s="996" t="s">
        <v>1730</v>
      </c>
      <c r="Q72" s="132"/>
      <c r="R72" s="132"/>
      <c r="S72" s="132"/>
    </row>
    <row r="73" spans="3:19" ht="15.6">
      <c r="C73" s="997"/>
      <c r="D73" s="998"/>
      <c r="E73" s="980">
        <f>VLOOKUP(C71,$C$7:$J$36,8,FALSE)</f>
        <v>53.440740989031156</v>
      </c>
      <c r="F73" s="981">
        <v>76.330015474921325</v>
      </c>
      <c r="G73" s="999">
        <v>26</v>
      </c>
      <c r="H73" s="988">
        <f>VLOOKUP($C71,$C$229:$Q$256,9,FALSE)</f>
        <v>58.586264671102548</v>
      </c>
      <c r="I73" s="988">
        <f>VLOOKUP($C71,$C$229:$Q$256,6,FALSE)</f>
        <v>58.972861691199981</v>
      </c>
      <c r="J73" s="988">
        <f>VLOOKUP($C71,$C$229:$Q$256,9,FALSE)</f>
        <v>58.586264671102548</v>
      </c>
      <c r="K73" s="988">
        <f>VLOOKUP($C71,$C$229:$Q$256,6,FALSE)</f>
        <v>58.972861691199981</v>
      </c>
      <c r="L73" s="988">
        <f>VLOOKUP($C71,$C$229:$Q$256,15,FALSE)</f>
        <v>52.106554651238433</v>
      </c>
      <c r="M73" s="988">
        <f>VLOOKUP($C71,$C$229:$Q$256,12,FALSE)</f>
        <v>52.319324803519677</v>
      </c>
      <c r="N73" s="989" t="s">
        <v>1730</v>
      </c>
      <c r="O73" s="989" t="s">
        <v>1730</v>
      </c>
      <c r="Q73" s="1113" t="s">
        <v>1731</v>
      </c>
      <c r="R73" s="1113"/>
    </row>
    <row r="74" spans="3:19" ht="15.6">
      <c r="C74" s="1000" t="s">
        <v>1707</v>
      </c>
      <c r="D74" s="924" t="s">
        <v>1708</v>
      </c>
      <c r="E74" s="980">
        <f t="shared" ref="E74:E91" si="4">VLOOKUP(C74,$C$7:$J$36,8,FALSE)</f>
        <v>56.54731983250025</v>
      </c>
      <c r="F74" s="1001">
        <v>65.71173668121132</v>
      </c>
      <c r="G74" s="1002">
        <v>26</v>
      </c>
      <c r="H74" s="988">
        <f>VLOOKUP($C74,$C$229:$Q$256,9,FALSE)</f>
        <v>54.778199866997106</v>
      </c>
      <c r="I74" s="988">
        <f>VLOOKUP($C74,$C$229:$Q$256,6,FALSE)</f>
        <v>54.359392720761747</v>
      </c>
      <c r="J74" s="988">
        <f>VLOOKUP($C74,$C$229:$Q$256,9,FALSE)</f>
        <v>54.778199866997106</v>
      </c>
      <c r="K74" s="988">
        <f>VLOOKUP($C74,$C$229:$Q$256,6,FALSE)</f>
        <v>54.359392720761747</v>
      </c>
      <c r="L74" s="988">
        <f>VLOOKUP($C74,$C$229:$Q$256,15,FALSE)</f>
        <v>49.809665116812134</v>
      </c>
      <c r="M74" s="988">
        <f>VLOOKUP($C74,$C$229:$Q$256,12,FALSE)</f>
        <v>50.098406406870524</v>
      </c>
      <c r="N74" s="989" t="s">
        <v>1730</v>
      </c>
      <c r="O74" s="989" t="s">
        <v>1730</v>
      </c>
      <c r="Q74" s="29">
        <v>50</v>
      </c>
      <c r="R74" s="29">
        <v>52.25</v>
      </c>
    </row>
    <row r="75" spans="3:19" ht="15.6">
      <c r="C75" s="1003" t="s">
        <v>57</v>
      </c>
      <c r="D75" s="1004" t="s">
        <v>1709</v>
      </c>
      <c r="E75" s="980">
        <f t="shared" si="4"/>
        <v>56.71974203572637</v>
      </c>
      <c r="F75" s="1001">
        <v>67.561892847262285</v>
      </c>
      <c r="G75" s="1005">
        <v>22</v>
      </c>
      <c r="H75" s="983">
        <f>VLOOKUP($C75,$C$159:$Q$186,9,FALSE)</f>
        <v>59.785343347928347</v>
      </c>
      <c r="I75" s="983">
        <f>VLOOKUP($C75,$C$159:$Q$186,6,FALSE)</f>
        <v>59.02846374951568</v>
      </c>
      <c r="J75" s="983">
        <f>VLOOKUP($C75,$C$159:$Q$186,9,FALSE)</f>
        <v>59.785343347928347</v>
      </c>
      <c r="K75" s="983">
        <f>VLOOKUP($C75,$C$159:$Q$186,6,FALSE)</f>
        <v>59.02846374951568</v>
      </c>
      <c r="L75" s="983">
        <f>VLOOKUP($C75,$C$159:$Q$186,15,FALSE)</f>
        <v>58.434238544988915</v>
      </c>
      <c r="M75" s="983">
        <f>VLOOKUP($C75,$C$159:$Q$186,12,FALSE)</f>
        <v>58.163925952701447</v>
      </c>
      <c r="N75" s="1006" t="s">
        <v>1729</v>
      </c>
      <c r="O75" s="1006" t="s">
        <v>1729</v>
      </c>
      <c r="Q75" s="29">
        <v>85</v>
      </c>
      <c r="R75" s="29">
        <v>52.25</v>
      </c>
    </row>
    <row r="76" spans="3:19" ht="15.6">
      <c r="C76" s="1007" t="s">
        <v>393</v>
      </c>
      <c r="D76" s="1004" t="s">
        <v>392</v>
      </c>
      <c r="E76" s="980">
        <f t="shared" si="4"/>
        <v>57.578362514458831</v>
      </c>
      <c r="F76" s="1001">
        <v>65.295578823316177</v>
      </c>
      <c r="G76" s="1002">
        <v>26</v>
      </c>
      <c r="H76" s="988">
        <f>VLOOKUP($C76,$C$229:$Q$256,9,FALSE)</f>
        <v>52.25</v>
      </c>
      <c r="I76" s="988">
        <f>VLOOKUP($C76,$C$229:$Q$256,6,FALSE)</f>
        <v>52.25</v>
      </c>
      <c r="J76" s="988">
        <f>VLOOKUP($C76,$C$229:$Q$256,9,FALSE)</f>
        <v>52.25</v>
      </c>
      <c r="K76" s="988">
        <f>VLOOKUP($C76,$C$229:$Q$256,6,FALSE)</f>
        <v>52.25</v>
      </c>
      <c r="L76" s="1008">
        <f>VLOOKUP($C76,$C$229:$Q$256,15,FALSE)</f>
        <v>48.891212322634964</v>
      </c>
      <c r="M76" s="1008">
        <f>VLOOKUP($C76,$C$229:$Q$256,12,FALSE)</f>
        <v>49.185543783010345</v>
      </c>
      <c r="N76" s="989" t="s">
        <v>1730</v>
      </c>
      <c r="O76" s="989" t="s">
        <v>1730</v>
      </c>
    </row>
    <row r="77" spans="3:19" ht="15.6">
      <c r="C77" s="1007" t="s">
        <v>411</v>
      </c>
      <c r="D77" s="1004" t="s">
        <v>404</v>
      </c>
      <c r="E77" s="980">
        <f t="shared" si="4"/>
        <v>58.607163396818464</v>
      </c>
      <c r="F77" s="1001">
        <v>62.557463011707128</v>
      </c>
      <c r="G77" s="1005">
        <v>22</v>
      </c>
      <c r="H77" s="983">
        <f>VLOOKUP($C77,$C$159:$Q$186,9,FALSE)</f>
        <v>57.221077954987564</v>
      </c>
      <c r="I77" s="983">
        <f>VLOOKUP($C77,$C$159:$Q$186,6,FALSE)</f>
        <v>56.170116097461346</v>
      </c>
      <c r="J77" s="983">
        <f>VLOOKUP($C77,$C$159:$Q$186,9,FALSE)</f>
        <v>57.221077954987564</v>
      </c>
      <c r="K77" s="983">
        <f>VLOOKUP($C77,$C$159:$Q$186,6,FALSE)</f>
        <v>56.170116097461346</v>
      </c>
      <c r="L77" s="983">
        <f>VLOOKUP($C77,$C$159:$Q$186,15,FALSE)</f>
        <v>55.248818622948477</v>
      </c>
      <c r="M77" s="983">
        <f>VLOOKUP($C77,$C$159:$Q$186,12,FALSE)</f>
        <v>54.887710144251002</v>
      </c>
      <c r="N77" s="1006" t="s">
        <v>1729</v>
      </c>
      <c r="O77" s="1006" t="s">
        <v>1729</v>
      </c>
    </row>
    <row r="78" spans="3:19" ht="15.6">
      <c r="C78" s="1007" t="s">
        <v>400</v>
      </c>
      <c r="D78" s="1004" t="s">
        <v>392</v>
      </c>
      <c r="E78" s="980">
        <f t="shared" si="4"/>
        <v>60.526484789578774</v>
      </c>
      <c r="F78" s="1001">
        <v>57.448106218089066</v>
      </c>
      <c r="G78" s="1002">
        <v>26</v>
      </c>
      <c r="H78" s="1008">
        <f>VLOOKUP($C78,$C$229:$Q$256,9,FALSE)</f>
        <v>49.443748695079407</v>
      </c>
      <c r="I78" s="1008">
        <f>VLOOKUP($C78,$C$229:$Q$256,6,FALSE)</f>
        <v>48.36549133660823</v>
      </c>
      <c r="J78" s="1008">
        <f>VLOOKUP($C78,$C$229:$Q$256,9,FALSE)</f>
        <v>49.443748695079407</v>
      </c>
      <c r="K78" s="1008">
        <f>VLOOKUP($C78,$C$229:$Q$256,6,FALSE)</f>
        <v>48.36549133660823</v>
      </c>
      <c r="L78" s="1008">
        <f>VLOOKUP($C78,$C$229:$Q$256,15,FALSE)</f>
        <v>45.835668103531908</v>
      </c>
      <c r="M78" s="1008">
        <f>VLOOKUP($C78,$C$229:$Q$256,12,FALSE)</f>
        <v>46.092020975402207</v>
      </c>
      <c r="N78" s="989" t="s">
        <v>1730</v>
      </c>
      <c r="O78" s="989" t="s">
        <v>1730</v>
      </c>
      <c r="Q78" s="1113" t="s">
        <v>1732</v>
      </c>
      <c r="R78" s="1113"/>
    </row>
    <row r="79" spans="3:19" ht="15.6">
      <c r="C79" s="1007" t="s">
        <v>401</v>
      </c>
      <c r="D79" s="1004" t="s">
        <v>392</v>
      </c>
      <c r="E79" s="980">
        <f t="shared" si="4"/>
        <v>63.06609980042964</v>
      </c>
      <c r="F79" s="1001">
        <v>50.708748736227776</v>
      </c>
      <c r="G79" s="1002">
        <v>26</v>
      </c>
      <c r="H79" s="1008">
        <f>VLOOKUP($C79,$C$229:$Q$256,9,FALSE)</f>
        <v>45.770957795627311</v>
      </c>
      <c r="I79" s="1008">
        <f>VLOOKUP($C79,$C$229:$Q$256,6,FALSE)</f>
        <v>44.490349288410485</v>
      </c>
      <c r="J79" s="1008">
        <f>VLOOKUP($C79,$C$229:$Q$256,9,FALSE)</f>
        <v>45.770957795627311</v>
      </c>
      <c r="K79" s="1008">
        <f>VLOOKUP($C79,$C$229:$Q$256,6,FALSE)</f>
        <v>44.490349288410485</v>
      </c>
      <c r="L79" s="1008">
        <f>VLOOKUP($C79,$C$229:$Q$256,15,FALSE)</f>
        <v>42.693431412390176</v>
      </c>
      <c r="M79" s="1008">
        <f>VLOOKUP($C79,$C$229:$Q$256,12,FALSE)</f>
        <v>42.852959203964403</v>
      </c>
      <c r="N79" s="989" t="s">
        <v>1730</v>
      </c>
      <c r="O79" s="989" t="s">
        <v>1730</v>
      </c>
      <c r="Q79" s="29">
        <v>50</v>
      </c>
      <c r="R79" s="29">
        <v>82</v>
      </c>
    </row>
    <row r="80" spans="3:19" ht="15.6">
      <c r="C80" s="1009" t="s">
        <v>442</v>
      </c>
      <c r="D80" s="1004" t="s">
        <v>1708</v>
      </c>
      <c r="E80" s="980">
        <f t="shared" si="4"/>
        <v>63.422144167614476</v>
      </c>
      <c r="F80" s="1001">
        <v>49.808439438890836</v>
      </c>
      <c r="G80" s="1005">
        <v>22</v>
      </c>
      <c r="H80" s="983">
        <f>VLOOKUP($C80,$C$159:$Q$186,9,FALSE)</f>
        <v>50.885947896995859</v>
      </c>
      <c r="I80" s="1010">
        <f>VLOOKUP($C80,$C$159:$Q$186,6,FALSE)</f>
        <v>49.310659444890064</v>
      </c>
      <c r="J80" s="1010">
        <f>VLOOKUP($C80,$C$159:$Q$186,9,FALSE)</f>
        <v>50.885947896995859</v>
      </c>
      <c r="K80" s="1010">
        <f>VLOOKUP($C80,$C$159:$Q$186,6,FALSE)</f>
        <v>49.310659444890064</v>
      </c>
      <c r="L80" s="1010">
        <f>VLOOKUP($C80,$C$159:$Q$186,15,FALSE)</f>
        <v>47.842191587280269</v>
      </c>
      <c r="M80" s="1010">
        <f>VLOOKUP($C80,$C$159:$Q$186,12,FALSE)</f>
        <v>47.27849942195553</v>
      </c>
      <c r="N80" s="1006" t="s">
        <v>1729</v>
      </c>
      <c r="O80" s="1006" t="s">
        <v>1729</v>
      </c>
      <c r="Q80" s="29">
        <v>85</v>
      </c>
      <c r="R80" s="29">
        <v>82</v>
      </c>
    </row>
    <row r="81" spans="3:15" ht="15.6">
      <c r="C81" s="1003" t="s">
        <v>422</v>
      </c>
      <c r="D81" s="1004" t="s">
        <v>404</v>
      </c>
      <c r="E81" s="980">
        <f t="shared" si="4"/>
        <v>63.572354166699597</v>
      </c>
      <c r="F81" s="1001">
        <v>49.366967664816904</v>
      </c>
      <c r="G81" s="1005">
        <v>22</v>
      </c>
      <c r="H81" s="983">
        <f>VLOOKUP($C81,$C$159:$Q$186,9,FALSE)</f>
        <v>46</v>
      </c>
      <c r="I81" s="1010">
        <f>VLOOKUP($C81,$C$159:$Q$186,6,FALSE)</f>
        <v>45</v>
      </c>
      <c r="J81" s="1010">
        <f>VLOOKUP($C81,$C$159:$Q$186,9,FALSE)</f>
        <v>46</v>
      </c>
      <c r="K81" s="1010">
        <f>VLOOKUP($C81,$C$159:$Q$186,6,FALSE)</f>
        <v>45</v>
      </c>
      <c r="L81" s="1010">
        <f>VLOOKUP($C81,$C$159:$Q$186,15,FALSE)</f>
        <v>43</v>
      </c>
      <c r="M81" s="1010">
        <f>VLOOKUP($C81,$C$159:$Q$186,12,FALSE)</f>
        <v>42</v>
      </c>
      <c r="N81" s="1006" t="s">
        <v>1729</v>
      </c>
      <c r="O81" s="1006" t="s">
        <v>1729</v>
      </c>
    </row>
    <row r="82" spans="3:15" ht="15.6">
      <c r="C82" s="1007" t="s">
        <v>446</v>
      </c>
      <c r="D82" s="1004" t="s">
        <v>1708</v>
      </c>
      <c r="E82" s="980">
        <f t="shared" si="4"/>
        <v>66.537654513875623</v>
      </c>
      <c r="F82" s="1001">
        <v>41.565281297853929</v>
      </c>
      <c r="G82" s="1005">
        <v>22</v>
      </c>
      <c r="H82" s="983">
        <f>VLOOKUP($C82,$C$159:$Q$186,9,FALSE)</f>
        <v>46.944960377287401</v>
      </c>
      <c r="I82" s="1010">
        <f>VLOOKUP($C82,$C$159:$Q$186,6,FALSE)</f>
        <v>45.203361592428877</v>
      </c>
      <c r="J82" s="1010">
        <f>VLOOKUP($C82,$C$159:$Q$186,9,FALSE)</f>
        <v>46.944960377287401</v>
      </c>
      <c r="K82" s="1010">
        <f>VLOOKUP($C82,$C$159:$Q$186,6,FALSE)</f>
        <v>45.203361592428877</v>
      </c>
      <c r="L82" s="1010">
        <f>VLOOKUP($C82,$C$159:$Q$186,15,FALSE)</f>
        <v>43.60074673918237</v>
      </c>
      <c r="M82" s="1010">
        <f>VLOOKUP($C82,$C$159:$Q$186,12,FALSE)</f>
        <v>42.928210539911703</v>
      </c>
      <c r="N82" s="1006" t="s">
        <v>1733</v>
      </c>
      <c r="O82" s="1006" t="s">
        <v>1734</v>
      </c>
    </row>
    <row r="83" spans="3:15" ht="15.6">
      <c r="C83" s="1003" t="s">
        <v>429</v>
      </c>
      <c r="D83" s="1004" t="s">
        <v>423</v>
      </c>
      <c r="E83" s="980">
        <f t="shared" si="4"/>
        <v>66.598199913018846</v>
      </c>
      <c r="F83" s="1001">
        <v>41.35891421108137</v>
      </c>
      <c r="G83" s="1005">
        <v>22</v>
      </c>
      <c r="H83" s="983">
        <f>VLOOKUP($C83,$C$159:$Q$186,9,FALSE)</f>
        <v>46.869603724961706</v>
      </c>
      <c r="I83" s="1010">
        <f>VLOOKUP($C83,$C$159:$Q$186,6,FALSE)</f>
        <v>45.126119010314227</v>
      </c>
      <c r="J83" s="1010">
        <f>VLOOKUP($C83,$C$159:$Q$186,9,FALSE)</f>
        <v>46.869603724961706</v>
      </c>
      <c r="K83" s="1010">
        <f>VLOOKUP($C83,$C$159:$Q$186,6,FALSE)</f>
        <v>45.126119010314227</v>
      </c>
      <c r="L83" s="1010">
        <f>VLOOKUP($C83,$C$159:$Q$186,15,FALSE)</f>
        <v>43.522608636389862</v>
      </c>
      <c r="M83" s="1010">
        <f>VLOOKUP($C83,$C$159:$Q$186,12,FALSE)</f>
        <v>42.848130278091247</v>
      </c>
      <c r="N83" s="1006" t="s">
        <v>1733</v>
      </c>
      <c r="O83" s="1006" t="s">
        <v>1734</v>
      </c>
    </row>
    <row r="84" spans="3:15" ht="15.6">
      <c r="C84" s="1003" t="s">
        <v>415</v>
      </c>
      <c r="D84" s="1004" t="s">
        <v>404</v>
      </c>
      <c r="E84" s="980">
        <f t="shared" si="4"/>
        <v>68.10361392462795</v>
      </c>
      <c r="F84" s="1001">
        <v>37.382294396539798</v>
      </c>
      <c r="G84" s="1005">
        <v>22</v>
      </c>
      <c r="H84" s="983">
        <f>VLOOKUP($C84,$C$159:$Q$186,9,FALSE)</f>
        <v>45.011006953639182</v>
      </c>
      <c r="I84" s="1010">
        <f>VLOOKUP($C84,$C$159:$Q$186,6,FALSE)</f>
        <v>43.237131989993401</v>
      </c>
      <c r="J84" s="1010">
        <f>VLOOKUP($C84,$C$159:$Q$186,9,FALSE)</f>
        <v>45.011006953639182</v>
      </c>
      <c r="K84" s="1010">
        <f>VLOOKUP($C84,$C$159:$Q$186,6,FALSE)</f>
        <v>43.237131989993401</v>
      </c>
      <c r="L84" s="1010">
        <f>VLOOKUP($C84,$C$159:$Q$186,15,FALSE)</f>
        <v>41.632336208010742</v>
      </c>
      <c r="M84" s="1010">
        <f>VLOOKUP($C84,$C$159:$Q$186,12,FALSE)</f>
        <v>40.911689259495063</v>
      </c>
      <c r="N84" s="1006" t="s">
        <v>1733</v>
      </c>
      <c r="O84" s="1006" t="s">
        <v>1734</v>
      </c>
    </row>
    <row r="85" spans="3:15" ht="15.6">
      <c r="C85" s="1003" t="s">
        <v>1710</v>
      </c>
      <c r="D85" s="1004" t="s">
        <v>392</v>
      </c>
      <c r="E85" s="980">
        <f t="shared" si="4"/>
        <v>68.604306171230803</v>
      </c>
      <c r="F85" s="1001">
        <v>36.060814741666881</v>
      </c>
      <c r="G85" s="1011">
        <v>24</v>
      </c>
      <c r="H85" s="1012">
        <f>VLOOKUP($C85,$C$310:$Q$337,9,FALSE)</f>
        <v>36.292449365709018</v>
      </c>
      <c r="I85" s="1012">
        <f>VLOOKUP($C85,$C$310:$Q$337,6,FALSE)</f>
        <v>35.373051426052299</v>
      </c>
      <c r="J85" s="1012">
        <f>VLOOKUP($C85,$C$310:$Q$337,9,FALSE)</f>
        <v>36.292449365709018</v>
      </c>
      <c r="K85" s="1012">
        <f>VLOOKUP($C85,$C$310:$Q$337,6,FALSE)</f>
        <v>35.373051426052299</v>
      </c>
      <c r="L85" s="1012">
        <f>VLOOKUP($C85,$C$310:$Q$337,15,FALSE)</f>
        <v>33.970041124335907</v>
      </c>
      <c r="M85" s="1012">
        <f>VLOOKUP($C85,$C$310:$Q$337,6,FALSE)</f>
        <v>35.373051426052299</v>
      </c>
      <c r="N85" s="996" t="s">
        <v>1730</v>
      </c>
      <c r="O85" s="996" t="s">
        <v>1730</v>
      </c>
    </row>
    <row r="86" spans="3:15" ht="15.6">
      <c r="C86" s="1003" t="s">
        <v>427</v>
      </c>
      <c r="D86" s="1004" t="s">
        <v>423</v>
      </c>
      <c r="E86" s="980">
        <f t="shared" si="4"/>
        <v>71.063733383987255</v>
      </c>
      <c r="F86" s="1001">
        <v>29.550113595398031</v>
      </c>
      <c r="G86" s="1005">
        <v>22</v>
      </c>
      <c r="H86" s="983">
        <f>VLOOKUP($C86,$C$159:$Q$186,9,FALSE)</f>
        <v>41.441017109604672</v>
      </c>
      <c r="I86" s="1010">
        <f>VLOOKUP($C86,$C$159:$Q$186,6,FALSE)</f>
        <v>39.69991490477949</v>
      </c>
      <c r="J86" s="1010">
        <f>VLOOKUP($C86,$C$159:$Q$186,9,FALSE)</f>
        <v>41.441017109604672</v>
      </c>
      <c r="K86" s="1010">
        <f>VLOOKUP($C86,$C$159:$Q$186,6,FALSE)</f>
        <v>39.69991490477949</v>
      </c>
      <c r="L86" s="1010">
        <f>VLOOKUP($C86,$C$159:$Q$186,15,FALSE)</f>
        <v>38.210236365996735</v>
      </c>
      <c r="M86" s="1010">
        <f>VLOOKUP($C86,$C$159:$Q$186,12,FALSE)</f>
        <v>37.410704047192439</v>
      </c>
      <c r="N86" s="1006" t="s">
        <v>1733</v>
      </c>
      <c r="O86" s="1006" t="s">
        <v>1734</v>
      </c>
    </row>
    <row r="87" spans="3:15" ht="15.6">
      <c r="C87" s="1007" t="s">
        <v>424</v>
      </c>
      <c r="D87" s="1004" t="s">
        <v>423</v>
      </c>
      <c r="E87" s="980">
        <f t="shared" si="4"/>
        <v>71.09942422474478</v>
      </c>
      <c r="F87" s="1001">
        <v>29.48386859210915</v>
      </c>
      <c r="G87" s="1013">
        <v>24</v>
      </c>
      <c r="H87" s="1012">
        <f>VLOOKUP($C87,$C$310:$Q$337,9,FALSE)</f>
        <v>34</v>
      </c>
      <c r="I87" s="1012">
        <f>VLOOKUP($C87,$C$310:$Q$337,6,FALSE)</f>
        <v>33</v>
      </c>
      <c r="J87" s="1012">
        <f>VLOOKUP($C87,$C$310:$Q$337,9,FALSE)</f>
        <v>34</v>
      </c>
      <c r="K87" s="1012">
        <f>VLOOKUP($C87,$C$310:$Q$337,6,FALSE)</f>
        <v>33</v>
      </c>
      <c r="L87" s="1012">
        <f>VLOOKUP($C87,$C$310:$Q$337,15,FALSE)</f>
        <v>32</v>
      </c>
      <c r="M87" s="1012">
        <f>VLOOKUP($C87,$C$310:$Q$337,6,FALSE)</f>
        <v>33</v>
      </c>
      <c r="N87" s="996" t="s">
        <v>1730</v>
      </c>
      <c r="O87" s="996" t="s">
        <v>1730</v>
      </c>
    </row>
    <row r="88" spans="3:15" ht="15.6">
      <c r="C88" s="1007" t="s">
        <v>439</v>
      </c>
      <c r="D88" s="1004" t="s">
        <v>1708</v>
      </c>
      <c r="E88" s="980">
        <f t="shared" si="4"/>
        <v>71.09942422474478</v>
      </c>
      <c r="F88" s="1001">
        <v>29.48386859210915</v>
      </c>
      <c r="G88" s="1005">
        <v>22</v>
      </c>
      <c r="H88" s="983">
        <f>VLOOKUP($C88,$C$159:$Q$186,9,FALSE)</f>
        <v>41.398657228555081</v>
      </c>
      <c r="I88" s="1010">
        <f>VLOOKUP($C88,$C$159:$Q$186,6,FALSE)</f>
        <v>39.658698633334922</v>
      </c>
      <c r="J88" s="1010">
        <f>VLOOKUP($C88,$C$159:$Q$186,9,FALSE)</f>
        <v>41.398657228555081</v>
      </c>
      <c r="K88" s="1010">
        <f>VLOOKUP($C88,$C$159:$Q$186,6,FALSE)</f>
        <v>39.658698633334922</v>
      </c>
      <c r="L88" s="1010">
        <f>VLOOKUP($C88,$C$159:$Q$186,15,FALSE)</f>
        <v>38.171359704211653</v>
      </c>
      <c r="M88" s="1010">
        <f>VLOOKUP($C88,$C$159:$Q$186,12,FALSE)</f>
        <v>37.370972477054067</v>
      </c>
      <c r="N88" s="1006" t="s">
        <v>1733</v>
      </c>
      <c r="O88" s="1006" t="s">
        <v>1734</v>
      </c>
    </row>
    <row r="89" spans="3:15" ht="15.6">
      <c r="C89" s="1007" t="s">
        <v>435</v>
      </c>
      <c r="D89" s="1004" t="s">
        <v>1709</v>
      </c>
      <c r="E89" s="980">
        <f t="shared" si="4"/>
        <v>71.27802258515743</v>
      </c>
      <c r="F89" s="1001">
        <v>29.022665972706776</v>
      </c>
      <c r="G89" s="1005">
        <v>22</v>
      </c>
      <c r="H89" s="983">
        <f>VLOOKUP($C89,$C$159:$Q$186,9,FALSE)</f>
        <v>41.186931669061792</v>
      </c>
      <c r="I89" s="1010">
        <f>VLOOKUP($C89,$C$159:$Q$186,6,FALSE)</f>
        <v>39.452963642848118</v>
      </c>
      <c r="J89" s="1010">
        <f>VLOOKUP($C89,$C$159:$Q$186,9,FALSE)</f>
        <v>41.186931669061792</v>
      </c>
      <c r="K89" s="1010">
        <f>VLOOKUP($C89,$C$159:$Q$186,6,FALSE)</f>
        <v>39.452963642848118</v>
      </c>
      <c r="L89" s="1010">
        <f>VLOOKUP($C89,$C$159:$Q$186,15,FALSE)</f>
        <v>37.977672829921715</v>
      </c>
      <c r="M89" s="1010">
        <f>VLOOKUP($C89,$C$159:$Q$186,12,FALSE)</f>
        <v>37.173042052521424</v>
      </c>
      <c r="N89" s="1006" t="s">
        <v>1733</v>
      </c>
      <c r="O89" s="1006" t="s">
        <v>1734</v>
      </c>
    </row>
    <row r="90" spans="3:15" ht="15.6">
      <c r="C90" s="978" t="s">
        <v>1711</v>
      </c>
      <c r="D90" s="1004" t="s">
        <v>1708</v>
      </c>
      <c r="E90" s="980">
        <f t="shared" si="4"/>
        <v>71.396523939113308</v>
      </c>
      <c r="F90" s="1001">
        <v>28.841932665094735</v>
      </c>
      <c r="G90" s="1005">
        <v>22</v>
      </c>
      <c r="H90" s="983">
        <f>VLOOKUP($C90,$C$159:$Q$186,9,FALSE)</f>
        <v>41.046675492626775</v>
      </c>
      <c r="I90" s="1010">
        <f>VLOOKUP($C90,$C$159:$Q$186,6,FALSE)</f>
        <v>39.316928700985414</v>
      </c>
      <c r="J90" s="1010">
        <f>VLOOKUP($C90,$C$159:$Q$186,9,FALSE)</f>
        <v>41.046675492626775</v>
      </c>
      <c r="K90" s="1010">
        <f>VLOOKUP($C90,$C$159:$Q$186,6,FALSE)</f>
        <v>39.316928700985414</v>
      </c>
      <c r="L90" s="1010">
        <f>VLOOKUP($C90,$C$159:$Q$186,15,FALSE)</f>
        <v>37.849945243467715</v>
      </c>
      <c r="M90" s="1010">
        <f>VLOOKUP($C90,$C$159:$Q$186,12,FALSE)</f>
        <v>37.04253052464594</v>
      </c>
      <c r="N90" s="1006" t="s">
        <v>1733</v>
      </c>
      <c r="O90" s="1006" t="s">
        <v>1734</v>
      </c>
    </row>
    <row r="91" spans="3:15" ht="15.6">
      <c r="C91" s="1014" t="s">
        <v>405</v>
      </c>
      <c r="D91" s="1015" t="s">
        <v>1735</v>
      </c>
      <c r="E91" s="980">
        <f t="shared" si="4"/>
        <v>71.596779199547427</v>
      </c>
      <c r="F91" s="981">
        <v>28</v>
      </c>
      <c r="G91" s="982">
        <v>22</v>
      </c>
      <c r="H91" s="983">
        <f>VLOOKUP($C91,$C$159:$Q$186,9,FALSE)</f>
        <v>42</v>
      </c>
      <c r="I91" s="1010">
        <f>VLOOKUP($C91,$C$159:$Q$186,6,FALSE)</f>
        <v>39.08789881465799</v>
      </c>
      <c r="J91" s="1010">
        <f>VLOOKUP($C91,$C$159:$Q$186,9,FALSE)</f>
        <v>42</v>
      </c>
      <c r="K91" s="1010">
        <f>VLOOKUP($C91,$C$159:$Q$186,6,FALSE)</f>
        <v>39.08789881465799</v>
      </c>
      <c r="L91" s="1010">
        <f>VLOOKUP($C91,$C$159:$Q$186,15,FALSE)</f>
        <v>37.635522055524831</v>
      </c>
      <c r="M91" s="1010">
        <f>VLOOKUP($C91,$C$159:$Q$186,12,FALSE)</f>
        <v>38</v>
      </c>
      <c r="N91" s="1006" t="s">
        <v>1733</v>
      </c>
      <c r="O91" s="984" t="s">
        <v>1734</v>
      </c>
    </row>
    <row r="92" spans="3:15" ht="15.6">
      <c r="C92" s="1016"/>
      <c r="D92" s="1017"/>
      <c r="E92" s="980">
        <f>VLOOKUP(C91,$C$7:$J$36,8,FALSE)</f>
        <v>71.596779199547427</v>
      </c>
      <c r="F92" s="981">
        <v>28</v>
      </c>
      <c r="G92" s="987">
        <v>26</v>
      </c>
      <c r="H92" s="1008">
        <f>VLOOKUP($C91,$C$229:$Q$256,9,FALSE)</f>
        <v>31.904008808618663</v>
      </c>
      <c r="I92" s="1008">
        <f>VLOOKUP($C91,$C$229:$Q$256,6,FALSE)</f>
        <v>31.190263971356543</v>
      </c>
      <c r="J92" s="1008">
        <f>VLOOKUP($C91,$C$229:$Q$256,9,FALSE)</f>
        <v>31.904008808618663</v>
      </c>
      <c r="K92" s="1008">
        <f>VLOOKUP($C91,$C$229:$Q$256,6,FALSE)</f>
        <v>31.190263971356543</v>
      </c>
      <c r="L92" s="1008">
        <f>VLOOKUP($C91,$C$229:$Q$256,15,FALSE)</f>
        <v>28.682120027548599</v>
      </c>
      <c r="M92" s="1008">
        <f>VLOOKUP($C91,$C$229:$Q$256,12,FALSE)</f>
        <v>28.081997272944321</v>
      </c>
      <c r="N92" s="989" t="s">
        <v>1730</v>
      </c>
      <c r="O92" s="989" t="s">
        <v>1730</v>
      </c>
    </row>
    <row r="93" spans="3:15" ht="15.6">
      <c r="C93" s="1018" t="s">
        <v>434</v>
      </c>
      <c r="D93" s="986" t="s">
        <v>1709</v>
      </c>
      <c r="E93" s="980">
        <f>VLOOKUP(C93,$C$7:$J$36,8,FALSE)</f>
        <v>72.143941265090348</v>
      </c>
      <c r="F93" s="1001">
        <v>27</v>
      </c>
      <c r="G93" s="1005">
        <v>22</v>
      </c>
      <c r="H93" s="983">
        <f>VLOOKUP($C93,$C$159:$Q$186,9,FALSE)</f>
        <v>41</v>
      </c>
      <c r="I93" s="1010">
        <f>VLOOKUP($C93,$C$159:$Q$186,6,FALSE)</f>
        <v>40</v>
      </c>
      <c r="J93" s="1010">
        <f>VLOOKUP($C93,$C$159:$Q$186,9,FALSE)</f>
        <v>41</v>
      </c>
      <c r="K93" s="1010">
        <f>VLOOKUP($C93,$C$159:$Q$186,6,FALSE)</f>
        <v>40</v>
      </c>
      <c r="L93" s="1010">
        <f>VLOOKUP($C93,$C$159:$Q$186,15,FALSE)</f>
        <v>39</v>
      </c>
      <c r="M93" s="1010">
        <f>VLOOKUP($C93,$C$159:$Q$186,12,FALSE)</f>
        <v>38</v>
      </c>
      <c r="N93" s="1006" t="s">
        <v>1733</v>
      </c>
      <c r="O93" s="1006" t="s">
        <v>1734</v>
      </c>
    </row>
    <row r="94" spans="3:15" ht="15.6">
      <c r="C94" s="978" t="s">
        <v>407</v>
      </c>
      <c r="D94" s="979" t="s">
        <v>404</v>
      </c>
      <c r="E94" s="980">
        <f>VLOOKUP(C94,$C$7:$J$36,8,FALSE)</f>
        <v>72.406259977471279</v>
      </c>
      <c r="F94" s="981">
        <v>26</v>
      </c>
      <c r="G94" s="982">
        <v>22</v>
      </c>
      <c r="H94" s="983">
        <f>VLOOKUP($C94,$C$159:$Q$186,9,FALSE)</f>
        <v>41</v>
      </c>
      <c r="I94" s="1010">
        <f>VLOOKUP($C94,$C$159:$Q$186,6,FALSE)</f>
        <v>40</v>
      </c>
      <c r="J94" s="1010">
        <f>VLOOKUP($C94,$C$159:$Q$186,9,FALSE)</f>
        <v>41</v>
      </c>
      <c r="K94" s="1010">
        <f>VLOOKUP($C94,$C$159:$Q$186,6,FALSE)</f>
        <v>40</v>
      </c>
      <c r="L94" s="1010">
        <f>VLOOKUP($C94,$C$159:$Q$186,15,FALSE)</f>
        <v>39</v>
      </c>
      <c r="M94" s="1010">
        <f>VLOOKUP($C94,$C$159:$Q$186,12,FALSE)</f>
        <v>38</v>
      </c>
      <c r="N94" s="1006" t="s">
        <v>1733</v>
      </c>
      <c r="O94" s="984" t="s">
        <v>1734</v>
      </c>
    </row>
    <row r="95" spans="3:15" ht="15.6">
      <c r="C95" s="985"/>
      <c r="D95" s="1019"/>
      <c r="E95" s="980">
        <f>VLOOKUP(C94,$C$7:$J$36,8,FALSE)</f>
        <v>72.406259977471279</v>
      </c>
      <c r="F95" s="981">
        <v>26</v>
      </c>
      <c r="G95" s="987">
        <v>26</v>
      </c>
      <c r="H95" s="1008">
        <f>VLOOKUP($C94,$C$229:$Q$256,9,FALSE)</f>
        <v>30.46568350788646</v>
      </c>
      <c r="I95" s="1008">
        <f>VLOOKUP($C94,$C$229:$Q$256,6,FALSE)</f>
        <v>29.905529648247466</v>
      </c>
      <c r="J95" s="1008">
        <f>VLOOKUP($C94,$C$229:$Q$256,9,FALSE)</f>
        <v>30.46568350788646</v>
      </c>
      <c r="K95" s="1008">
        <f>VLOOKUP($C94,$C$229:$Q$256,6,FALSE)</f>
        <v>29.905529648247466</v>
      </c>
      <c r="L95" s="1008">
        <f>VLOOKUP($C94,$C$229:$Q$256,15,FALSE)</f>
        <v>27.075858226305293</v>
      </c>
      <c r="M95" s="1008">
        <f>VLOOKUP($C94,$C$229:$Q$256,12,FALSE)</f>
        <v>26.368872692300371</v>
      </c>
      <c r="N95" s="989" t="s">
        <v>1730</v>
      </c>
      <c r="O95" s="989" t="s">
        <v>1730</v>
      </c>
    </row>
    <row r="96" spans="3:15" ht="15.6">
      <c r="C96" s="1020" t="s">
        <v>1712</v>
      </c>
      <c r="D96" s="1004" t="s">
        <v>1709</v>
      </c>
      <c r="E96" s="980">
        <f t="shared" ref="E96:E101" si="5">VLOOKUP(C96,$C$7:$J$36,8,FALSE)</f>
        <v>73.272853961107671</v>
      </c>
      <c r="F96" s="1001">
        <v>23.775959883961661</v>
      </c>
      <c r="G96" s="1005">
        <v>22</v>
      </c>
      <c r="H96" s="983">
        <f t="shared" ref="H96:H101" si="6">VLOOKUP($C96,$C$159:$Q$186,9,FALSE)</f>
        <v>38.849838316422762</v>
      </c>
      <c r="I96" s="1010">
        <f t="shared" ref="I96:I101" si="7">VLOOKUP($C96,$C$159:$Q$186,6,FALSE)</f>
        <v>37.213130559720611</v>
      </c>
      <c r="J96" s="1010">
        <f t="shared" ref="J96:J101" si="8">VLOOKUP($C96,$C$159:$Q$186,9,FALSE)</f>
        <v>38.849838316422762</v>
      </c>
      <c r="K96" s="1010">
        <f t="shared" ref="K96:K101" si="9">VLOOKUP($C96,$C$159:$Q$186,6,FALSE)</f>
        <v>37.213130559720611</v>
      </c>
      <c r="L96" s="1010">
        <f t="shared" ref="L96:L101" si="10">VLOOKUP($C96,$C$159:$Q$186,15,FALSE)</f>
        <v>35.910996698271475</v>
      </c>
      <c r="M96" s="1010">
        <f t="shared" ref="M96:M101" si="11">VLOOKUP($C96,$C$159:$Q$186,12,FALSE)</f>
        <v>35.062870196424399</v>
      </c>
      <c r="N96" s="1006" t="s">
        <v>1733</v>
      </c>
      <c r="O96" s="1006" t="s">
        <v>1734</v>
      </c>
    </row>
    <row r="97" spans="1:18" ht="15.6">
      <c r="C97" s="1007" t="s">
        <v>441</v>
      </c>
      <c r="D97" s="1004" t="s">
        <v>1708</v>
      </c>
      <c r="E97" s="980">
        <f t="shared" si="5"/>
        <v>73.961348707585103</v>
      </c>
      <c r="F97" s="1001">
        <v>21.976800802777156</v>
      </c>
      <c r="G97" s="1005">
        <v>22</v>
      </c>
      <c r="H97" s="983">
        <f t="shared" si="6"/>
        <v>41</v>
      </c>
      <c r="I97" s="1010">
        <f t="shared" si="7"/>
        <v>40</v>
      </c>
      <c r="J97" s="1010">
        <f t="shared" si="8"/>
        <v>41</v>
      </c>
      <c r="K97" s="1010">
        <f t="shared" si="9"/>
        <v>40</v>
      </c>
      <c r="L97" s="1010">
        <f t="shared" si="10"/>
        <v>38</v>
      </c>
      <c r="M97" s="1010">
        <f t="shared" si="11"/>
        <v>37</v>
      </c>
      <c r="N97" s="1006" t="s">
        <v>1733</v>
      </c>
      <c r="O97" s="1006" t="s">
        <v>1734</v>
      </c>
    </row>
    <row r="98" spans="1:18" ht="15.6">
      <c r="C98" s="1007" t="s">
        <v>425</v>
      </c>
      <c r="D98" s="1004" t="s">
        <v>423</v>
      </c>
      <c r="E98" s="980">
        <f t="shared" si="5"/>
        <v>74.075210894060092</v>
      </c>
      <c r="F98" s="1001">
        <v>21.658527887215072</v>
      </c>
      <c r="G98" s="1005">
        <v>22</v>
      </c>
      <c r="H98" s="983">
        <f t="shared" si="6"/>
        <v>37.924181280020889</v>
      </c>
      <c r="I98" s="1010">
        <f t="shared" si="7"/>
        <v>36.342303750947934</v>
      </c>
      <c r="J98" s="1010">
        <f t="shared" si="8"/>
        <v>37.924181280020889</v>
      </c>
      <c r="K98" s="1010">
        <f t="shared" si="9"/>
        <v>36.342303750947934</v>
      </c>
      <c r="L98" s="1010">
        <f t="shared" si="10"/>
        <v>35.129791375439396</v>
      </c>
      <c r="M98" s="1010">
        <f t="shared" si="11"/>
        <v>34.266190022731195</v>
      </c>
      <c r="N98" s="1006" t="s">
        <v>1733</v>
      </c>
      <c r="O98" s="1006" t="s">
        <v>1736</v>
      </c>
    </row>
    <row r="99" spans="1:18" ht="15.6">
      <c r="C99" s="1007" t="s">
        <v>432</v>
      </c>
      <c r="D99" s="1004" t="s">
        <v>1709</v>
      </c>
      <c r="E99" s="980">
        <f t="shared" si="5"/>
        <v>75.753783058301622</v>
      </c>
      <c r="F99" s="1001">
        <v>17.263687313437785</v>
      </c>
      <c r="G99" s="1005">
        <v>22</v>
      </c>
      <c r="H99" s="983">
        <f t="shared" si="6"/>
        <v>36.01431120658205</v>
      </c>
      <c r="I99" s="1010">
        <f t="shared" si="7"/>
        <v>34.576292276641311</v>
      </c>
      <c r="J99" s="1010">
        <f t="shared" si="8"/>
        <v>36.01431120658205</v>
      </c>
      <c r="K99" s="1010">
        <f t="shared" si="9"/>
        <v>34.576292276641311</v>
      </c>
      <c r="L99" s="1010">
        <f t="shared" si="10"/>
        <v>33.588336005630453</v>
      </c>
      <c r="M99" s="1010">
        <f t="shared" si="11"/>
        <v>32.696108441954209</v>
      </c>
      <c r="N99" s="1006" t="s">
        <v>1733</v>
      </c>
      <c r="O99" s="1006" t="s">
        <v>1736</v>
      </c>
    </row>
    <row r="100" spans="1:18" ht="15.6">
      <c r="C100" s="1007" t="s">
        <v>426</v>
      </c>
      <c r="D100" s="1004" t="s">
        <v>423</v>
      </c>
      <c r="E100" s="980">
        <f t="shared" si="5"/>
        <v>77.521654363776008</v>
      </c>
      <c r="F100" s="1001">
        <v>11.338428213302135</v>
      </c>
      <c r="G100" s="1005">
        <v>22</v>
      </c>
      <c r="H100" s="983">
        <f t="shared" si="6"/>
        <v>31</v>
      </c>
      <c r="I100" s="1010">
        <f t="shared" si="7"/>
        <v>30</v>
      </c>
      <c r="J100" s="1010">
        <f t="shared" si="8"/>
        <v>31</v>
      </c>
      <c r="K100" s="1010">
        <f t="shared" si="9"/>
        <v>30</v>
      </c>
      <c r="L100" s="1010">
        <f t="shared" si="10"/>
        <v>28</v>
      </c>
      <c r="M100" s="1010">
        <f t="shared" si="11"/>
        <v>27</v>
      </c>
      <c r="N100" s="1021" t="s">
        <v>1730</v>
      </c>
      <c r="O100" s="1021" t="s">
        <v>1730</v>
      </c>
    </row>
    <row r="101" spans="1:18" ht="15.6">
      <c r="C101" s="1007" t="s">
        <v>447</v>
      </c>
      <c r="D101" s="1004" t="s">
        <v>1708</v>
      </c>
      <c r="E101" s="980">
        <f t="shared" si="5"/>
        <v>82.596339388573085</v>
      </c>
      <c r="F101" s="1001">
        <v>-1</v>
      </c>
      <c r="G101" s="1005">
        <v>22</v>
      </c>
      <c r="H101" s="983">
        <f t="shared" si="6"/>
        <v>28</v>
      </c>
      <c r="I101" s="1010">
        <f t="shared" si="7"/>
        <v>28</v>
      </c>
      <c r="J101" s="1010">
        <f t="shared" si="8"/>
        <v>28</v>
      </c>
      <c r="K101" s="1010">
        <f t="shared" si="9"/>
        <v>28</v>
      </c>
      <c r="L101" s="1010">
        <f t="shared" si="10"/>
        <v>28.604955127122338</v>
      </c>
      <c r="M101" s="1010">
        <f t="shared" si="11"/>
        <v>27.64851092635115</v>
      </c>
      <c r="N101" s="1021" t="s">
        <v>1730</v>
      </c>
      <c r="O101" s="1021" t="s">
        <v>1730</v>
      </c>
    </row>
    <row r="104" spans="1:18" ht="21">
      <c r="C104" s="1085" t="s">
        <v>1737</v>
      </c>
      <c r="D104" s="1085"/>
    </row>
    <row r="106" spans="1:18">
      <c r="A106" s="911"/>
      <c r="B106" s="911"/>
      <c r="C106" s="911"/>
      <c r="D106" s="911"/>
      <c r="E106" s="911"/>
      <c r="F106" s="911"/>
      <c r="G106" s="911"/>
      <c r="H106" s="911"/>
      <c r="I106" s="911"/>
      <c r="J106" s="911"/>
      <c r="K106" s="911"/>
      <c r="L106" s="911"/>
      <c r="M106" s="911"/>
      <c r="N106" s="911"/>
    </row>
    <row r="107" spans="1:18">
      <c r="A107" s="911"/>
      <c r="B107" s="911"/>
      <c r="C107" s="911"/>
      <c r="D107" s="911"/>
      <c r="E107" s="911"/>
      <c r="F107" s="911"/>
      <c r="G107" s="911"/>
      <c r="H107" s="911"/>
      <c r="I107" s="911"/>
      <c r="J107" s="911"/>
      <c r="K107" s="911"/>
      <c r="L107" s="911"/>
      <c r="M107" s="911"/>
      <c r="N107" s="911"/>
    </row>
    <row r="108" spans="1:18">
      <c r="A108" s="911"/>
      <c r="B108" s="911"/>
      <c r="C108" s="911"/>
      <c r="D108" s="911"/>
      <c r="E108" s="911"/>
      <c r="F108" s="911"/>
      <c r="G108" s="911"/>
      <c r="H108" s="911"/>
      <c r="I108" s="911"/>
      <c r="J108" s="911"/>
      <c r="K108" s="911"/>
      <c r="L108" s="911"/>
      <c r="M108" s="911"/>
      <c r="N108" s="911"/>
    </row>
    <row r="109" spans="1:18">
      <c r="A109" s="911"/>
      <c r="B109" s="911"/>
      <c r="C109" s="911"/>
      <c r="D109" s="911"/>
      <c r="E109" s="911"/>
      <c r="F109" s="911"/>
      <c r="G109" s="911"/>
      <c r="H109" s="911"/>
      <c r="I109" s="911"/>
      <c r="J109" s="911"/>
      <c r="K109" s="911"/>
      <c r="L109" s="911"/>
      <c r="M109" s="911"/>
      <c r="N109" s="911"/>
      <c r="P109" s="792"/>
      <c r="Q109" s="1022"/>
      <c r="R109" s="1022"/>
    </row>
    <row r="110" spans="1:18">
      <c r="A110" s="911"/>
      <c r="B110" s="911"/>
      <c r="C110" s="911"/>
      <c r="D110" s="911"/>
      <c r="E110" s="911"/>
      <c r="F110" s="911"/>
      <c r="G110" s="911"/>
      <c r="H110" s="911"/>
      <c r="I110" s="911"/>
      <c r="J110" s="911"/>
      <c r="K110" s="911"/>
      <c r="L110" s="911"/>
      <c r="M110" s="911"/>
      <c r="N110" s="911"/>
      <c r="Q110" s="1023"/>
      <c r="R110" s="1024"/>
    </row>
    <row r="111" spans="1:18">
      <c r="A111" s="911"/>
      <c r="B111" s="911"/>
      <c r="C111" s="911"/>
      <c r="D111" s="911"/>
      <c r="E111" s="911"/>
      <c r="F111" s="911"/>
      <c r="G111" s="911"/>
      <c r="H111" s="911"/>
      <c r="I111" s="911"/>
      <c r="J111" s="911"/>
      <c r="K111" s="911"/>
      <c r="L111" s="911"/>
      <c r="M111" s="911"/>
      <c r="N111" s="911"/>
      <c r="Q111" s="1023"/>
      <c r="R111" s="1024"/>
    </row>
    <row r="112" spans="1:18">
      <c r="A112" s="911"/>
      <c r="B112" s="911"/>
      <c r="C112" s="911"/>
      <c r="D112" s="911"/>
      <c r="E112" s="911"/>
      <c r="F112" s="911"/>
      <c r="G112" s="911"/>
      <c r="H112" s="911"/>
      <c r="I112" s="911"/>
      <c r="J112" s="911"/>
      <c r="K112" s="911"/>
      <c r="L112" s="911"/>
      <c r="M112" s="911"/>
      <c r="N112" s="911"/>
      <c r="Q112" s="1023"/>
      <c r="R112" s="1024"/>
    </row>
    <row r="113" spans="1:18">
      <c r="A113" s="911"/>
      <c r="B113" s="911"/>
      <c r="C113" s="911"/>
      <c r="D113" s="911"/>
      <c r="E113" s="911"/>
      <c r="F113" s="911"/>
      <c r="G113" s="911"/>
      <c r="H113" s="911"/>
      <c r="I113" s="911"/>
      <c r="J113" s="911"/>
      <c r="K113" s="911"/>
      <c r="L113" s="911"/>
      <c r="M113" s="911"/>
      <c r="N113" s="911"/>
      <c r="Q113" s="1023"/>
      <c r="R113" s="1024"/>
    </row>
    <row r="114" spans="1:18">
      <c r="A114" s="911"/>
      <c r="B114" s="911"/>
      <c r="C114" s="911"/>
      <c r="D114" s="911"/>
      <c r="E114" s="911"/>
      <c r="F114" s="911"/>
      <c r="G114" s="911"/>
      <c r="H114" s="911"/>
      <c r="I114" s="911"/>
      <c r="J114" s="911"/>
      <c r="K114" s="911"/>
      <c r="L114" s="911"/>
      <c r="M114" s="911"/>
      <c r="N114" s="911"/>
      <c r="Q114" s="1023"/>
      <c r="R114" s="1024"/>
    </row>
    <row r="115" spans="1:18">
      <c r="A115" s="911"/>
      <c r="B115" s="911"/>
      <c r="C115" s="911"/>
      <c r="D115" s="911"/>
      <c r="E115" s="911"/>
      <c r="F115" s="911"/>
      <c r="G115" s="911"/>
      <c r="H115" s="911"/>
      <c r="I115" s="911"/>
      <c r="J115" s="911"/>
      <c r="K115" s="911"/>
      <c r="L115" s="911"/>
      <c r="M115" s="911"/>
      <c r="N115" s="911"/>
      <c r="Q115" s="1023"/>
      <c r="R115" s="1024"/>
    </row>
    <row r="116" spans="1:18">
      <c r="A116" s="911"/>
      <c r="B116" s="911"/>
      <c r="C116" s="911"/>
      <c r="D116" s="911"/>
      <c r="E116" s="911"/>
      <c r="F116" s="911"/>
      <c r="G116" s="911"/>
      <c r="H116" s="911"/>
      <c r="I116" s="911"/>
      <c r="J116" s="911"/>
      <c r="K116" s="911"/>
      <c r="L116" s="911"/>
      <c r="M116" s="911"/>
      <c r="N116" s="911"/>
      <c r="Q116" s="1023"/>
      <c r="R116" s="1024"/>
    </row>
    <row r="117" spans="1:18">
      <c r="A117" s="911"/>
      <c r="B117" s="911"/>
      <c r="C117" s="911"/>
      <c r="D117" s="911"/>
      <c r="E117" s="911"/>
      <c r="F117" s="911"/>
      <c r="G117" s="911"/>
      <c r="H117" s="911"/>
      <c r="I117" s="911"/>
      <c r="J117" s="911"/>
      <c r="K117" s="911"/>
      <c r="L117" s="911"/>
      <c r="M117" s="911"/>
      <c r="N117" s="911"/>
      <c r="Q117" s="1025"/>
      <c r="R117" s="1024"/>
    </row>
    <row r="118" spans="1:18">
      <c r="A118" s="911"/>
      <c r="B118" s="911"/>
      <c r="C118" s="911"/>
      <c r="D118" s="911"/>
      <c r="E118" s="911"/>
      <c r="F118" s="911"/>
      <c r="G118" s="911"/>
      <c r="H118" s="911"/>
      <c r="I118" s="911"/>
      <c r="J118" s="911"/>
      <c r="K118" s="911"/>
      <c r="L118" s="911"/>
      <c r="M118" s="911"/>
      <c r="N118" s="911"/>
      <c r="Q118" s="1025"/>
      <c r="R118" s="1024"/>
    </row>
    <row r="119" spans="1:18">
      <c r="A119" s="911"/>
      <c r="B119" s="911"/>
      <c r="C119" s="911"/>
      <c r="D119" s="911"/>
      <c r="E119" s="911"/>
      <c r="F119" s="911"/>
      <c r="G119" s="911"/>
      <c r="H119" s="911"/>
      <c r="I119" s="911"/>
      <c r="J119" s="911"/>
      <c r="K119" s="911"/>
      <c r="L119" s="911"/>
      <c r="M119" s="911"/>
      <c r="N119" s="911"/>
      <c r="Q119" s="1025"/>
      <c r="R119" s="1024"/>
    </row>
    <row r="120" spans="1:18">
      <c r="A120" s="911"/>
      <c r="B120" s="911"/>
      <c r="C120" s="911"/>
      <c r="D120" s="911"/>
      <c r="E120" s="911"/>
      <c r="F120" s="911"/>
      <c r="G120" s="911"/>
      <c r="H120" s="911"/>
      <c r="I120" s="911"/>
      <c r="J120" s="911"/>
      <c r="K120" s="911"/>
      <c r="L120" s="911"/>
      <c r="M120" s="911"/>
      <c r="N120" s="911"/>
      <c r="Q120" s="1025"/>
      <c r="R120" s="1024"/>
    </row>
    <row r="121" spans="1:18">
      <c r="A121" s="911"/>
      <c r="B121" s="911"/>
      <c r="C121" s="911"/>
      <c r="D121" s="911"/>
      <c r="E121" s="911"/>
      <c r="F121" s="911"/>
      <c r="G121" s="911"/>
      <c r="H121" s="911"/>
      <c r="I121" s="911"/>
      <c r="J121" s="911"/>
      <c r="K121" s="911"/>
      <c r="L121" s="911"/>
      <c r="M121" s="911"/>
      <c r="N121" s="911"/>
      <c r="Q121" s="1025"/>
      <c r="R121" s="1024"/>
    </row>
    <row r="122" spans="1:18">
      <c r="A122" s="911"/>
      <c r="B122" s="911"/>
      <c r="C122" s="911"/>
      <c r="D122" s="911"/>
      <c r="E122" s="911"/>
      <c r="F122" s="911"/>
      <c r="G122" s="911"/>
      <c r="H122" s="911"/>
      <c r="I122" s="911"/>
      <c r="J122" s="911"/>
      <c r="K122" s="911"/>
      <c r="L122" s="911"/>
      <c r="M122" s="911"/>
      <c r="N122" s="911"/>
      <c r="Q122" s="1025"/>
      <c r="R122" s="1024"/>
    </row>
    <row r="123" spans="1:18">
      <c r="A123" s="911"/>
      <c r="B123" s="911"/>
      <c r="C123" s="911"/>
      <c r="D123" s="911"/>
      <c r="E123" s="911"/>
      <c r="F123" s="911"/>
      <c r="G123" s="911"/>
      <c r="H123" s="911"/>
      <c r="I123" s="911"/>
      <c r="J123" s="911"/>
      <c r="K123" s="911"/>
      <c r="L123" s="911"/>
      <c r="M123" s="911"/>
      <c r="N123" s="911"/>
      <c r="Q123" s="1025"/>
      <c r="R123" s="1024"/>
    </row>
    <row r="124" spans="1:18">
      <c r="A124" s="911"/>
      <c r="B124" s="911"/>
      <c r="C124" s="911"/>
      <c r="D124" s="911"/>
      <c r="E124" s="911"/>
      <c r="F124" s="911"/>
      <c r="G124" s="911"/>
      <c r="H124" s="911"/>
      <c r="I124" s="911"/>
      <c r="J124" s="911"/>
      <c r="K124" s="911"/>
      <c r="L124" s="911"/>
      <c r="M124" s="911"/>
      <c r="N124" s="911"/>
      <c r="Q124" s="1025"/>
      <c r="R124" s="1024"/>
    </row>
    <row r="125" spans="1:18">
      <c r="A125" s="911"/>
      <c r="B125" s="911"/>
      <c r="C125" s="911"/>
      <c r="D125" s="911"/>
      <c r="E125" s="911"/>
      <c r="F125" s="911"/>
      <c r="G125" s="911"/>
      <c r="H125" s="911"/>
      <c r="I125" s="911"/>
      <c r="J125" s="911"/>
      <c r="K125" s="911"/>
      <c r="L125" s="911"/>
      <c r="M125" s="911"/>
      <c r="N125" s="911"/>
      <c r="Q125" s="1025"/>
      <c r="R125" s="1024"/>
    </row>
    <row r="126" spans="1:18">
      <c r="A126" s="911"/>
      <c r="B126" s="911"/>
      <c r="C126" s="911"/>
      <c r="D126" s="911"/>
      <c r="E126" s="911"/>
      <c r="F126" s="911"/>
      <c r="G126" s="911"/>
      <c r="H126" s="911"/>
      <c r="I126" s="911"/>
      <c r="J126" s="911"/>
      <c r="K126" s="911"/>
      <c r="L126" s="911"/>
      <c r="M126" s="911"/>
      <c r="N126" s="911"/>
      <c r="Q126" s="1025"/>
      <c r="R126" s="1024"/>
    </row>
    <row r="127" spans="1:18">
      <c r="A127" s="911"/>
      <c r="B127" s="911"/>
      <c r="C127" s="911"/>
      <c r="D127" s="911"/>
      <c r="E127" s="911"/>
      <c r="F127" s="911"/>
      <c r="G127" s="911"/>
      <c r="H127" s="911"/>
      <c r="I127" s="911"/>
      <c r="J127" s="911"/>
      <c r="K127" s="911"/>
      <c r="L127" s="911"/>
      <c r="M127" s="911"/>
      <c r="N127" s="911"/>
      <c r="Q127" s="1025"/>
      <c r="R127" s="1024"/>
    </row>
    <row r="128" spans="1:18">
      <c r="A128" s="911"/>
      <c r="B128" s="911"/>
      <c r="C128" s="911"/>
      <c r="D128" s="911"/>
      <c r="E128" s="911"/>
      <c r="F128" s="911"/>
      <c r="G128" s="911"/>
      <c r="H128" s="911"/>
      <c r="I128" s="911"/>
      <c r="J128" s="911"/>
      <c r="K128" s="911"/>
      <c r="L128" s="911"/>
      <c r="M128" s="911"/>
      <c r="N128" s="911"/>
      <c r="Q128" s="1025"/>
      <c r="R128" s="1024"/>
    </row>
    <row r="129" spans="1:18">
      <c r="A129" s="911"/>
      <c r="B129" s="911"/>
      <c r="C129" s="911"/>
      <c r="D129" s="911"/>
      <c r="E129" s="911"/>
      <c r="F129" s="911"/>
      <c r="G129" s="911"/>
      <c r="H129" s="911"/>
      <c r="I129" s="911"/>
      <c r="J129" s="911"/>
      <c r="K129" s="911"/>
      <c r="L129" s="911"/>
      <c r="M129" s="911"/>
      <c r="N129" s="911"/>
      <c r="Q129" s="1025"/>
      <c r="R129" s="1024"/>
    </row>
    <row r="130" spans="1:18">
      <c r="A130" s="911"/>
      <c r="B130" s="911"/>
      <c r="C130" s="911"/>
      <c r="D130" s="911"/>
      <c r="E130" s="911"/>
      <c r="F130" s="911"/>
      <c r="G130" s="911"/>
      <c r="H130" s="911"/>
      <c r="I130" s="911"/>
      <c r="J130" s="911"/>
      <c r="K130" s="911"/>
      <c r="L130" s="911"/>
      <c r="M130" s="911"/>
      <c r="N130" s="911"/>
      <c r="Q130" s="1025"/>
      <c r="R130" s="1024"/>
    </row>
    <row r="131" spans="1:18">
      <c r="A131" s="911"/>
      <c r="B131" s="911"/>
      <c r="C131" s="911"/>
      <c r="D131" s="911"/>
      <c r="E131" s="911"/>
      <c r="F131" s="911"/>
      <c r="G131" s="911"/>
      <c r="H131" s="911"/>
      <c r="I131" s="911"/>
      <c r="J131" s="911"/>
      <c r="K131" s="911"/>
      <c r="L131" s="911"/>
      <c r="M131" s="911"/>
      <c r="N131" s="911"/>
      <c r="Q131" s="1025"/>
      <c r="R131" s="1024"/>
    </row>
    <row r="132" spans="1:18">
      <c r="A132" s="911"/>
      <c r="B132" s="911"/>
      <c r="C132" s="911"/>
      <c r="D132" s="911"/>
      <c r="E132" s="911"/>
      <c r="F132" s="911"/>
      <c r="G132" s="911"/>
      <c r="H132" s="911"/>
      <c r="I132" s="911"/>
      <c r="J132" s="911"/>
      <c r="K132" s="911"/>
      <c r="L132" s="911"/>
      <c r="M132" s="911"/>
      <c r="N132" s="911"/>
      <c r="Q132" s="1026"/>
      <c r="R132" s="1024"/>
    </row>
    <row r="133" spans="1:18">
      <c r="A133" s="911"/>
      <c r="B133" s="911"/>
      <c r="C133" s="911"/>
      <c r="D133" s="911"/>
      <c r="E133" s="911"/>
      <c r="F133" s="911"/>
      <c r="G133" s="911"/>
      <c r="H133" s="911"/>
      <c r="I133" s="911"/>
      <c r="J133" s="911"/>
      <c r="K133" s="911"/>
      <c r="L133" s="911"/>
      <c r="M133" s="911"/>
      <c r="N133" s="911"/>
      <c r="Q133" s="1025"/>
      <c r="R133" s="1024"/>
    </row>
    <row r="134" spans="1:18">
      <c r="A134" s="911"/>
      <c r="B134" s="911"/>
      <c r="C134" s="911"/>
      <c r="D134" s="911"/>
      <c r="E134" s="911"/>
      <c r="F134" s="911"/>
      <c r="G134" s="911"/>
      <c r="H134" s="911"/>
      <c r="I134" s="911"/>
      <c r="J134" s="911"/>
      <c r="K134" s="911"/>
      <c r="L134" s="911"/>
      <c r="M134" s="911"/>
      <c r="N134" s="911"/>
      <c r="Q134" s="1025"/>
      <c r="R134" s="1024"/>
    </row>
    <row r="135" spans="1:18">
      <c r="A135" s="911"/>
      <c r="B135" s="911"/>
      <c r="C135" s="911"/>
      <c r="D135" s="911"/>
      <c r="E135" s="911"/>
      <c r="F135" s="911"/>
      <c r="G135" s="911"/>
      <c r="H135" s="911"/>
      <c r="I135" s="911"/>
      <c r="J135" s="911"/>
      <c r="K135" s="911"/>
      <c r="L135" s="911"/>
      <c r="M135" s="911"/>
      <c r="N135" s="911"/>
      <c r="Q135" s="1025"/>
      <c r="R135" s="1024"/>
    </row>
    <row r="136" spans="1:18">
      <c r="A136" s="911"/>
      <c r="B136" s="911"/>
      <c r="C136" s="911"/>
      <c r="D136" s="911"/>
      <c r="E136" s="911"/>
      <c r="F136" s="911"/>
      <c r="G136" s="911"/>
      <c r="H136" s="911"/>
      <c r="I136" s="911"/>
      <c r="J136" s="911"/>
      <c r="K136" s="911"/>
      <c r="L136" s="911"/>
      <c r="M136" s="911"/>
      <c r="N136" s="911"/>
      <c r="Q136" s="1025"/>
      <c r="R136" s="1024"/>
    </row>
    <row r="137" spans="1:18">
      <c r="A137" s="911"/>
      <c r="B137" s="911"/>
      <c r="C137" s="911"/>
      <c r="D137" s="911"/>
      <c r="E137" s="911"/>
      <c r="F137" s="911"/>
      <c r="G137" s="911"/>
      <c r="H137" s="911"/>
      <c r="I137" s="911"/>
      <c r="J137" s="911"/>
      <c r="K137" s="911"/>
      <c r="L137" s="911"/>
      <c r="M137" s="911"/>
      <c r="N137" s="911"/>
      <c r="Q137" s="1025"/>
      <c r="R137" s="1024"/>
    </row>
    <row r="138" spans="1:18">
      <c r="A138" s="911"/>
      <c r="B138" s="911"/>
      <c r="C138" s="911"/>
      <c r="D138" s="911"/>
      <c r="E138" s="911"/>
      <c r="F138" s="911"/>
      <c r="G138" s="911"/>
      <c r="H138" s="911"/>
      <c r="I138" s="911"/>
      <c r="J138" s="911"/>
      <c r="K138" s="911"/>
      <c r="L138" s="911"/>
      <c r="M138" s="911"/>
      <c r="N138" s="911"/>
    </row>
    <row r="139" spans="1:18">
      <c r="A139" s="911"/>
      <c r="B139" s="911"/>
      <c r="C139" s="911"/>
      <c r="D139" s="911"/>
      <c r="E139" s="911"/>
      <c r="F139" s="911"/>
      <c r="G139" s="911"/>
      <c r="H139" s="911"/>
      <c r="I139" s="911"/>
      <c r="J139" s="911"/>
      <c r="K139" s="911"/>
      <c r="L139" s="911"/>
      <c r="M139" s="911"/>
      <c r="N139" s="911"/>
    </row>
    <row r="140" spans="1:18">
      <c r="A140" s="911"/>
      <c r="B140" s="911"/>
      <c r="C140" s="911"/>
      <c r="D140" s="911"/>
      <c r="E140" s="911"/>
      <c r="F140" s="911"/>
      <c r="G140" s="911"/>
      <c r="H140" s="911"/>
      <c r="I140" s="911"/>
      <c r="J140" s="911"/>
      <c r="K140" s="911"/>
      <c r="L140" s="911"/>
      <c r="M140" s="911"/>
      <c r="N140" s="911"/>
    </row>
    <row r="141" spans="1:18">
      <c r="A141" s="911"/>
      <c r="B141" s="911"/>
      <c r="C141" s="911"/>
      <c r="D141" s="911"/>
      <c r="E141" s="911"/>
      <c r="F141" s="911"/>
      <c r="G141" s="911"/>
      <c r="H141" s="911"/>
      <c r="I141" s="911"/>
      <c r="J141" s="911"/>
      <c r="K141" s="911"/>
      <c r="L141" s="911"/>
      <c r="M141" s="911"/>
      <c r="N141" s="911"/>
    </row>
    <row r="142" spans="1:18">
      <c r="A142" s="911"/>
      <c r="B142" s="911"/>
      <c r="C142" s="911"/>
      <c r="D142" s="911"/>
      <c r="E142" s="911"/>
      <c r="F142" s="911"/>
      <c r="G142" s="911"/>
      <c r="H142" s="911"/>
      <c r="I142" s="911"/>
      <c r="J142" s="911"/>
      <c r="K142" s="911"/>
      <c r="L142" s="911"/>
      <c r="M142" s="911"/>
      <c r="N142" s="911"/>
    </row>
    <row r="143" spans="1:18">
      <c r="A143" s="911"/>
      <c r="B143" s="911"/>
      <c r="C143" s="911"/>
      <c r="D143" s="911"/>
      <c r="E143" s="911"/>
      <c r="F143" s="911"/>
      <c r="G143" s="911"/>
      <c r="H143" s="911"/>
      <c r="I143" s="911"/>
      <c r="J143" s="911"/>
      <c r="K143" s="911"/>
      <c r="L143" s="911"/>
      <c r="M143" s="911"/>
      <c r="N143" s="911"/>
    </row>
    <row r="144" spans="1:18">
      <c r="A144" s="911"/>
      <c r="B144" s="911"/>
      <c r="C144" s="911"/>
      <c r="D144" s="911"/>
      <c r="E144" s="911"/>
      <c r="F144" s="911"/>
      <c r="G144" s="911"/>
      <c r="H144" s="911"/>
      <c r="I144" s="911"/>
      <c r="J144" s="911"/>
      <c r="K144" s="911"/>
      <c r="L144" s="911"/>
      <c r="M144" s="911"/>
      <c r="N144" s="911"/>
    </row>
    <row r="145" spans="1:17">
      <c r="A145" s="911"/>
      <c r="B145" s="911"/>
      <c r="C145" s="911"/>
      <c r="D145" s="911"/>
      <c r="E145" s="911"/>
      <c r="F145" s="911"/>
      <c r="G145" s="911"/>
      <c r="H145" s="911"/>
      <c r="I145" s="911"/>
      <c r="J145" s="911"/>
      <c r="K145" s="911"/>
      <c r="L145" s="911"/>
      <c r="M145" s="911"/>
      <c r="N145" s="911"/>
    </row>
    <row r="146" spans="1:17">
      <c r="A146" s="911"/>
      <c r="B146" s="911"/>
      <c r="C146" s="911"/>
      <c r="D146" s="911"/>
      <c r="E146" s="911"/>
      <c r="F146" s="911"/>
      <c r="G146" s="911"/>
      <c r="H146" s="911"/>
      <c r="I146" s="911"/>
      <c r="J146" s="911"/>
      <c r="K146" s="911"/>
      <c r="L146" s="911"/>
      <c r="M146" s="911"/>
      <c r="N146" s="911"/>
    </row>
    <row r="147" spans="1:17">
      <c r="A147" s="911"/>
      <c r="B147" s="911"/>
      <c r="C147" s="911"/>
      <c r="D147" s="911"/>
      <c r="E147" s="911"/>
      <c r="F147" s="911"/>
      <c r="G147" s="911"/>
      <c r="H147" s="911"/>
      <c r="I147" s="911"/>
      <c r="J147" s="911"/>
      <c r="K147" s="911"/>
      <c r="L147" s="911"/>
      <c r="M147" s="911"/>
      <c r="N147" s="911"/>
    </row>
    <row r="148" spans="1:17">
      <c r="A148" s="911"/>
      <c r="B148" s="911"/>
      <c r="C148" s="911"/>
      <c r="D148" s="911"/>
      <c r="E148" s="911"/>
      <c r="F148" s="911"/>
      <c r="G148" s="911"/>
      <c r="H148" s="911"/>
      <c r="I148" s="911"/>
      <c r="J148" s="911"/>
      <c r="K148" s="911"/>
      <c r="L148" s="911"/>
      <c r="M148" s="911"/>
      <c r="N148" s="911"/>
    </row>
    <row r="149" spans="1:17">
      <c r="A149" s="911"/>
      <c r="B149" s="911"/>
      <c r="C149" s="911"/>
      <c r="D149" s="911"/>
      <c r="E149" s="911"/>
      <c r="F149" s="911"/>
      <c r="G149" s="911"/>
      <c r="H149" s="911"/>
      <c r="I149" s="911"/>
      <c r="J149" s="911"/>
      <c r="K149" s="911"/>
      <c r="L149" s="911"/>
      <c r="M149" s="911"/>
      <c r="N149" s="911"/>
    </row>
    <row r="150" spans="1:17">
      <c r="A150" s="911"/>
      <c r="B150" s="911"/>
      <c r="C150" s="911"/>
      <c r="D150" s="911"/>
      <c r="E150" s="911"/>
      <c r="F150" s="911"/>
      <c r="G150" s="911"/>
      <c r="H150" s="911"/>
      <c r="I150" s="911"/>
      <c r="J150" s="911"/>
      <c r="K150" s="911"/>
      <c r="L150" s="911"/>
      <c r="M150" s="911"/>
      <c r="N150" s="911"/>
    </row>
    <row r="151" spans="1:17">
      <c r="A151" s="911"/>
      <c r="B151" s="911"/>
      <c r="C151" s="911"/>
      <c r="D151" s="911"/>
      <c r="E151" s="911"/>
      <c r="F151" s="911"/>
      <c r="G151" s="911"/>
      <c r="H151" s="911"/>
      <c r="I151" s="911"/>
      <c r="J151" s="911"/>
      <c r="K151" s="911"/>
      <c r="L151" s="911"/>
      <c r="M151" s="911"/>
      <c r="N151" s="911"/>
    </row>
    <row r="152" spans="1:17">
      <c r="A152" s="911"/>
      <c r="B152" s="911"/>
      <c r="C152" s="911"/>
      <c r="D152" s="911"/>
      <c r="E152" s="911"/>
      <c r="F152" s="911"/>
      <c r="G152" s="911"/>
      <c r="H152" s="911"/>
      <c r="I152" s="911"/>
      <c r="J152" s="911"/>
      <c r="K152" s="911"/>
      <c r="L152" s="911"/>
      <c r="M152" s="911"/>
      <c r="N152" s="911"/>
    </row>
    <row r="153" spans="1:17">
      <c r="A153" s="911"/>
      <c r="B153" s="911"/>
      <c r="C153" s="911"/>
      <c r="D153" s="911"/>
      <c r="E153" s="911"/>
      <c r="F153" s="911"/>
      <c r="G153" s="911"/>
      <c r="H153" s="911"/>
      <c r="I153" s="911"/>
      <c r="J153" s="911"/>
      <c r="K153" s="911"/>
      <c r="L153" s="911"/>
      <c r="M153" s="911"/>
      <c r="N153" s="911"/>
    </row>
    <row r="155" spans="1:17" ht="21">
      <c r="C155" s="1085" t="s">
        <v>1738</v>
      </c>
      <c r="D155" s="1085"/>
    </row>
    <row r="156" spans="1:17" ht="15" thickBot="1"/>
    <row r="157" spans="1:17" ht="34.15" customHeight="1">
      <c r="F157" s="1107" t="s">
        <v>1739</v>
      </c>
      <c r="G157" s="1108"/>
      <c r="H157" s="1109"/>
      <c r="I157" s="1107" t="s">
        <v>1740</v>
      </c>
      <c r="J157" s="1108"/>
      <c r="K157" s="1109"/>
      <c r="L157" s="1110" t="s">
        <v>1741</v>
      </c>
      <c r="M157" s="1111"/>
      <c r="N157" s="1112"/>
      <c r="O157" s="1110" t="s">
        <v>1742</v>
      </c>
      <c r="P157" s="1111"/>
      <c r="Q157" s="1112"/>
    </row>
    <row r="158" spans="1:17" s="132" customFormat="1" ht="57.6">
      <c r="B158" s="792"/>
      <c r="C158" s="1027" t="s">
        <v>1743</v>
      </c>
      <c r="D158" s="1027" t="s">
        <v>1702</v>
      </c>
      <c r="E158" s="1028" t="s">
        <v>1744</v>
      </c>
      <c r="F158" s="1029" t="s">
        <v>1745</v>
      </c>
      <c r="G158" s="1027" t="s">
        <v>1746</v>
      </c>
      <c r="H158" s="1030" t="s">
        <v>1747</v>
      </c>
      <c r="I158" s="1029" t="s">
        <v>1745</v>
      </c>
      <c r="J158" s="1029" t="s">
        <v>1746</v>
      </c>
      <c r="K158" s="1031" t="s">
        <v>1747</v>
      </c>
      <c r="L158" s="1029" t="s">
        <v>1745</v>
      </c>
      <c r="M158" s="1029" t="s">
        <v>1746</v>
      </c>
      <c r="N158" s="1031" t="s">
        <v>1747</v>
      </c>
      <c r="O158" s="1029" t="s">
        <v>1745</v>
      </c>
      <c r="P158" s="1029" t="s">
        <v>1746</v>
      </c>
      <c r="Q158" s="1031" t="s">
        <v>1747</v>
      </c>
    </row>
    <row r="159" spans="1:17">
      <c r="B159" s="776">
        <v>1</v>
      </c>
      <c r="C159" s="1032" t="s">
        <v>408</v>
      </c>
      <c r="D159" s="1033">
        <v>22</v>
      </c>
      <c r="E159" s="980">
        <f>VLOOKUP(C159,$C$7:$J$36,8,FALSE)</f>
        <v>53.341586567624176</v>
      </c>
      <c r="F159" s="1034">
        <v>65</v>
      </c>
      <c r="G159" s="43">
        <f>$C$220*$E159^2+$F$220*$E159+$I$220</f>
        <v>64.38276651157156</v>
      </c>
      <c r="H159" s="1035" cm="1">
        <f t="array" ref="H159">IF(F159=0,IF(G159&gt;=60,60,G159),_xlfn.IFS(F159&gt;=60,60,F159&lt;60,F159))</f>
        <v>60</v>
      </c>
      <c r="I159" s="1034">
        <v>65</v>
      </c>
      <c r="J159" s="43">
        <f>$M$220*$E159^2+$P$220*$E159+$S$220</f>
        <v>64.488774531990998</v>
      </c>
      <c r="K159" s="1035" cm="1">
        <f t="array" ref="K159">IF(I159=0,IF(J159&gt;=60,60,J159),_xlfn.IFS(I159&gt;=60,60,I159&lt;60,I159))</f>
        <v>60</v>
      </c>
      <c r="L159" s="1034">
        <v>65</v>
      </c>
      <c r="M159" s="43">
        <f>$X$220*$E159^2+$AA$220*$E159+$AD$220</f>
        <v>64.440461710773889</v>
      </c>
      <c r="N159" s="1035" cm="1">
        <f t="array" ref="N159">IF(L159=0,IF(M159&gt;=60,60,M159),_xlfn.IFS(L159&gt;=60,60,L159&lt;60,L159))</f>
        <v>60</v>
      </c>
      <c r="O159" s="1036">
        <v>65</v>
      </c>
      <c r="P159" s="43">
        <f>$AJ$220*$E159^2+$AM$220*$E159+$AP$220</f>
        <v>64.532256338599808</v>
      </c>
      <c r="Q159" s="1035" cm="1">
        <f t="array" ref="Q159">IF(O159=0,IF(P159&gt;=60,60,P159),_xlfn.IFS(O159&gt;=60,60,O159&lt;60,O159))</f>
        <v>60</v>
      </c>
    </row>
    <row r="160" spans="1:17">
      <c r="B160" s="776">
        <v>2</v>
      </c>
      <c r="C160" s="1032" t="s">
        <v>398</v>
      </c>
      <c r="D160" s="1033">
        <v>22</v>
      </c>
      <c r="E160" s="980">
        <f>VLOOKUP(C160,C8:J36,8,FALSE)</f>
        <v>53.440740989031156</v>
      </c>
      <c r="F160" s="1034">
        <v>65</v>
      </c>
      <c r="G160" s="43">
        <f>$C$220*$E160^2+$F$220*$E160+$I$220</f>
        <v>64.22125220768244</v>
      </c>
      <c r="H160" s="1035" cm="1">
        <f t="array" ref="H160">IF(F160=0,IF(G160&gt;=60,60,G160),_xlfn.IFS(F160&gt;=60,60,F160&lt;60,F160))</f>
        <v>60</v>
      </c>
      <c r="I160" s="1034">
        <v>65</v>
      </c>
      <c r="J160" s="43">
        <f>$M$220*$E160^2+$P$220*$E160+$S$220</f>
        <v>64.34864027202137</v>
      </c>
      <c r="K160" s="1035" cm="1">
        <f t="array" ref="K160">IF(I160=0,IF(J160&gt;=60,60,J160),_xlfn.IFS(I160&gt;=60,60,I160&lt;60,I160))</f>
        <v>60</v>
      </c>
      <c r="L160" s="1034">
        <v>65</v>
      </c>
      <c r="M160" s="43">
        <f>$X$220*$E160^2+$AA$220*$E160+$AD$220</f>
        <v>64.248692101983721</v>
      </c>
      <c r="N160" s="1035" cm="1">
        <f t="array" ref="N160">IF(L160=0,IF(M160&gt;=60,60,M160),_xlfn.IFS(L160&gt;=60,60,L160&lt;60,L160))</f>
        <v>60</v>
      </c>
      <c r="O160" s="1036">
        <v>65</v>
      </c>
      <c r="P160" s="43">
        <f>$AJ$220*$E160^2+$AM$220*$E160+$AP$220</f>
        <v>64.346019140506513</v>
      </c>
      <c r="Q160" s="1035" cm="1">
        <f t="array" ref="Q160">IF(O160=0,IF(P160&gt;=60,60,P160),_xlfn.IFS(O160&gt;=60,60,O160&lt;60,O160))</f>
        <v>60</v>
      </c>
    </row>
    <row r="161" spans="2:17">
      <c r="B161" s="776">
        <v>3</v>
      </c>
      <c r="C161" s="1037" t="s">
        <v>1707</v>
      </c>
      <c r="D161" s="1038" t="s">
        <v>1748</v>
      </c>
      <c r="E161" s="980">
        <f>VLOOKUP(C161,C9:J37,8,FALSE)</f>
        <v>56.54731983250025</v>
      </c>
      <c r="F161" s="1039"/>
      <c r="G161" s="1038"/>
      <c r="H161" s="1040"/>
      <c r="I161" s="1039"/>
      <c r="J161" s="1038"/>
      <c r="K161" s="1040"/>
      <c r="L161" s="1039"/>
      <c r="M161" s="1038"/>
      <c r="N161" s="1040"/>
      <c r="O161" s="1039"/>
      <c r="P161" s="1038"/>
      <c r="Q161" s="1040"/>
    </row>
    <row r="162" spans="2:17">
      <c r="B162" s="776">
        <v>4</v>
      </c>
      <c r="C162" s="1032" t="s">
        <v>57</v>
      </c>
      <c r="D162" s="1033">
        <v>22</v>
      </c>
      <c r="E162" s="980">
        <f>VLOOKUP(C162,C9:J37,8,FALSE)</f>
        <v>56.71974203572637</v>
      </c>
      <c r="F162" s="1041"/>
      <c r="G162" s="43">
        <f>$C$220*$E162^2+$F$220*$E162+$I$220</f>
        <v>59.02846374951568</v>
      </c>
      <c r="H162" s="1035" cm="1">
        <f t="array" ref="H162">IF(F162=0,IF(G162&gt;=60,60,G162),_xlfn.IFS(F162&gt;=60,60,F162&lt;60,F162))</f>
        <v>59.02846374951568</v>
      </c>
      <c r="I162" s="514"/>
      <c r="J162" s="43">
        <f>$M$220*$E162^2+$P$220*$E162+$S$220</f>
        <v>59.785343347928347</v>
      </c>
      <c r="K162" s="1035" cm="1">
        <f t="array" ref="K162">IF(I162=0,IF(J162&gt;=60,60,J162),_xlfn.IFS(I162&gt;=60,60,I162&lt;60,I162))</f>
        <v>59.785343347928347</v>
      </c>
      <c r="L162" s="1041"/>
      <c r="M162" s="43">
        <f>$X$220*$E162^2+$AA$220*$E162+$AD$220</f>
        <v>58.163925952701447</v>
      </c>
      <c r="N162" s="1035" cm="1">
        <f t="array" ref="N162">IF(L162=0,IF(M162&gt;=60,60,M162),_xlfn.IFS(L162&gt;=60,60,L162&lt;60,L162))</f>
        <v>58.163925952701447</v>
      </c>
      <c r="O162" s="1041"/>
      <c r="P162" s="43">
        <f>$AJ$220*$E162^2+$AM$220*$E162+$AP$220</f>
        <v>58.434238544988915</v>
      </c>
      <c r="Q162" s="1035" cm="1">
        <f t="array" ref="Q162">IF(O162=0,IF(P162&gt;=60,60,P162),_xlfn.IFS(O162&gt;=60,60,O162&lt;60,O162))</f>
        <v>58.434238544988915</v>
      </c>
    </row>
    <row r="163" spans="2:17">
      <c r="B163" s="776">
        <v>5</v>
      </c>
      <c r="C163" s="1032" t="s">
        <v>393</v>
      </c>
      <c r="D163" s="1038" t="s">
        <v>1748</v>
      </c>
      <c r="E163" s="1042">
        <f t="shared" ref="E163:E186" si="12">VLOOKUP(C163,C11:J38,8,FALSE)</f>
        <v>57.578362514458831</v>
      </c>
      <c r="F163" s="1039"/>
      <c r="G163" s="1038"/>
      <c r="H163" s="1040"/>
      <c r="I163" s="1039"/>
      <c r="J163" s="1038"/>
      <c r="K163" s="1040"/>
      <c r="L163" s="1039"/>
      <c r="M163" s="1038"/>
      <c r="N163" s="1040"/>
      <c r="O163" s="1039"/>
      <c r="P163" s="1038"/>
      <c r="Q163" s="1040"/>
    </row>
    <row r="164" spans="2:17">
      <c r="B164" s="776">
        <v>6</v>
      </c>
      <c r="C164" s="1032" t="s">
        <v>411</v>
      </c>
      <c r="D164" s="1033">
        <v>22</v>
      </c>
      <c r="E164" s="980">
        <f t="shared" si="12"/>
        <v>58.607163396818464</v>
      </c>
      <c r="F164" s="1041"/>
      <c r="G164" s="43">
        <f>$C$220*$E164^2+$F$220*$E164+$I$220</f>
        <v>56.170116097461346</v>
      </c>
      <c r="H164" s="1035" cm="1">
        <f t="array" ref="H164">IF(F164=0,IF(G164&gt;=60,60,G164),_xlfn.IFS(F164&gt;=60,60,F164&lt;60,F164))</f>
        <v>56.170116097461346</v>
      </c>
      <c r="I164" s="514"/>
      <c r="J164" s="43">
        <f>$M$220*$E164^2+$P$220*$E164+$S$220</f>
        <v>57.221077954987564</v>
      </c>
      <c r="K164" s="1035" cm="1">
        <f t="array" ref="K164">IF(I164=0,IF(J164&gt;=60,60,J164),_xlfn.IFS(I164&gt;=60,60,I164&lt;60,I164))</f>
        <v>57.221077954987564</v>
      </c>
      <c r="L164" s="1041"/>
      <c r="M164" s="43">
        <f>$X$220*$E164^2+$AA$220*$E164+$AD$220</f>
        <v>54.887710144251002</v>
      </c>
      <c r="N164" s="1035" cm="1">
        <f t="array" ref="N164">IF(L164=0,IF(M164&gt;=60,60,M164),_xlfn.IFS(L164&gt;=60,60,L164&lt;60,L164))</f>
        <v>54.887710144251002</v>
      </c>
      <c r="O164" s="1041"/>
      <c r="P164" s="43">
        <f>$AJ$220*$E164^2+$AM$220*$E164+$AP$220</f>
        <v>55.248818622948477</v>
      </c>
      <c r="Q164" s="1035" cm="1">
        <f t="array" ref="Q164">IF(O164=0,IF(P164&gt;=60,60,P164),_xlfn.IFS(O164&gt;=60,60,O164&lt;60,O164))</f>
        <v>55.248818622948477</v>
      </c>
    </row>
    <row r="165" spans="2:17">
      <c r="B165" s="776">
        <v>7</v>
      </c>
      <c r="C165" s="1032" t="s">
        <v>400</v>
      </c>
      <c r="D165" s="1038" t="s">
        <v>1748</v>
      </c>
      <c r="E165" s="1042">
        <f t="shared" si="12"/>
        <v>60.526484789578774</v>
      </c>
      <c r="F165" s="1039"/>
      <c r="G165" s="1038"/>
      <c r="H165" s="1040"/>
      <c r="I165" s="1039"/>
      <c r="J165" s="1038"/>
      <c r="K165" s="1040"/>
      <c r="L165" s="1039"/>
      <c r="M165" s="1038"/>
      <c r="N165" s="1040"/>
      <c r="O165" s="1039"/>
      <c r="P165" s="1038"/>
      <c r="Q165" s="1040"/>
    </row>
    <row r="166" spans="2:17">
      <c r="B166" s="776">
        <v>8</v>
      </c>
      <c r="C166" s="1032" t="s">
        <v>401</v>
      </c>
      <c r="D166" s="1038" t="s">
        <v>1748</v>
      </c>
      <c r="E166" s="1042">
        <f t="shared" si="12"/>
        <v>63.06609980042964</v>
      </c>
      <c r="F166" s="1039"/>
      <c r="G166" s="1038"/>
      <c r="H166" s="1040"/>
      <c r="I166" s="1039"/>
      <c r="J166" s="1038"/>
      <c r="K166" s="1040"/>
      <c r="L166" s="1039"/>
      <c r="M166" s="1038"/>
      <c r="N166" s="1040"/>
      <c r="O166" s="1039"/>
      <c r="P166" s="1038"/>
      <c r="Q166" s="1040"/>
    </row>
    <row r="167" spans="2:17">
      <c r="B167" s="776">
        <v>9</v>
      </c>
      <c r="C167" s="1032" t="s">
        <v>442</v>
      </c>
      <c r="D167" s="1033">
        <v>22</v>
      </c>
      <c r="E167" s="980">
        <f t="shared" si="12"/>
        <v>63.422144167614476</v>
      </c>
      <c r="F167" s="1041"/>
      <c r="G167" s="43">
        <f>$C$220*$E167^2+$F$220*$E167+$I$220</f>
        <v>49.310659444890064</v>
      </c>
      <c r="H167" s="1035" cm="1">
        <f t="array" ref="H167">IF(F167=0,IF(G167&gt;=52.25,52.25,G167),_xlfn.IFS(F167&gt;=52.25,52.25,F167&lt;52.25,F167))</f>
        <v>49.310659444890064</v>
      </c>
      <c r="I167" s="514"/>
      <c r="J167" s="43">
        <f>$M$220*$E167^2+$P$220*$E167+$S$220</f>
        <v>50.885947896995859</v>
      </c>
      <c r="K167" s="1035" cm="1">
        <f t="array" ref="K167">IF(I167=0,IF(J167&gt;=52.25,52.25,J167),_xlfn.IFS(I167&gt;=52.25,52.25,I167&lt;52.25,I167))</f>
        <v>50.885947896995859</v>
      </c>
      <c r="L167" s="514"/>
      <c r="M167" s="43">
        <f>$X$220*$E167^2+$AA$220*$E167+$AD$220</f>
        <v>47.27849942195553</v>
      </c>
      <c r="N167" s="1035" cm="1">
        <f t="array" ref="N167">IF(L167=0,IF(M167&gt;=52.25,52.25,M167),_xlfn.IFS(L167&gt;=52.25,52.25,L167&lt;52.25,L167))</f>
        <v>47.27849942195553</v>
      </c>
      <c r="O167" s="514"/>
      <c r="P167" s="43">
        <f>$AJ$220*$E167^2+$AM$220*$E167+$AP$220</f>
        <v>47.842191587280269</v>
      </c>
      <c r="Q167" s="1035" cm="1">
        <f t="array" ref="Q167">IF(O167=0,IF(P167&gt;=52.25,52.25,P167),_xlfn.IFS(O167&gt;=52.25,52.25,O167&lt;52.25,O167))</f>
        <v>47.842191587280269</v>
      </c>
    </row>
    <row r="168" spans="2:17">
      <c r="B168" s="776">
        <v>10</v>
      </c>
      <c r="C168" s="1032" t="s">
        <v>422</v>
      </c>
      <c r="D168" s="1033">
        <v>22</v>
      </c>
      <c r="E168" s="980">
        <f t="shared" si="12"/>
        <v>63.572354166699597</v>
      </c>
      <c r="F168" s="1043">
        <v>45</v>
      </c>
      <c r="G168" s="43">
        <f>$C$220*$E168^2+$F$220*$E168+$I$220</f>
        <v>49.106663192302818</v>
      </c>
      <c r="H168" s="1035" cm="1">
        <f t="array" ref="H168">IF(F168=0,IF(G168&gt;=52.25,52.25,G168),_xlfn.IFS(F168&gt;=52.25,52.25,F168&lt;52.25,F168))</f>
        <v>45</v>
      </c>
      <c r="I168" s="1034">
        <v>46</v>
      </c>
      <c r="J168" s="43">
        <f>$M$220*$E168^2+$P$220*$E168+$S$220</f>
        <v>50.693087990177204</v>
      </c>
      <c r="K168" s="1035" cm="1">
        <f t="array" ref="K168">IF(I168=0,IF(J168&gt;=52.25,52.25,J168),_xlfn.IFS(I168&gt;=52.25,52.25,I168&lt;52.25,I168))</f>
        <v>46</v>
      </c>
      <c r="L168" s="1043">
        <v>42</v>
      </c>
      <c r="M168" s="43">
        <f>$X$220*$E168^2+$AA$220*$E168+$AD$220</f>
        <v>47.058422600695224</v>
      </c>
      <c r="N168" s="1035" cm="1">
        <f t="array" ref="N168">IF(L168=0,IF(M168&gt;=52.25,52.25,M168),_xlfn.IFS(L168&gt;=52.25,52.25,L168&lt;52.25,L168))</f>
        <v>42</v>
      </c>
      <c r="O168" s="1036">
        <v>43</v>
      </c>
      <c r="P168" s="43">
        <f>$AJ$220*$E168^2+$AM$220*$E168+$AP$220</f>
        <v>47.627763405750244</v>
      </c>
      <c r="Q168" s="1035" cm="1">
        <f t="array" ref="Q168">IF(O168=0,IF(P168&gt;=52.25,52.25,P168),_xlfn.IFS(O168&gt;=52.25,52.25,O168&lt;52.25,O168))</f>
        <v>43</v>
      </c>
    </row>
    <row r="169" spans="2:17">
      <c r="B169" s="776">
        <v>11</v>
      </c>
      <c r="C169" s="1032" t="s">
        <v>446</v>
      </c>
      <c r="D169" s="1033">
        <v>22</v>
      </c>
      <c r="E169" s="980">
        <f t="shared" si="12"/>
        <v>66.537654513875623</v>
      </c>
      <c r="F169" s="1041"/>
      <c r="G169" s="43">
        <f>$C$220*$E169^2+$F$220*$E169+$I$220</f>
        <v>45.203361592428877</v>
      </c>
      <c r="H169" s="1035" cm="1">
        <f t="array" ref="H169">IF(F169=0,IF(G169&gt;=52.25,52.25,G169),_xlfn.IFS(F169&gt;=52.25,52.25,F169&lt;52.25,F169))</f>
        <v>45.203361592428877</v>
      </c>
      <c r="I169" s="514"/>
      <c r="J169" s="43">
        <f>$M$220*$E169^2+$P$220*$E169+$S$220</f>
        <v>46.944960377287401</v>
      </c>
      <c r="K169" s="1035" cm="1">
        <f t="array" ref="K169">IF(I169=0,IF(J169&gt;=52.25,52.25,J169),_xlfn.IFS(I169&gt;=52.25,52.25,I169&lt;52.25,I169))</f>
        <v>46.944960377287401</v>
      </c>
      <c r="L169" s="1041"/>
      <c r="M169" s="43">
        <f>$X$220*$E169^2+$AA$220*$E169+$AD$220</f>
        <v>42.928210539911703</v>
      </c>
      <c r="N169" s="1035" cm="1">
        <f t="array" ref="N169">IF(L169=0,IF(M169&gt;=52.25,52.25,M169),_xlfn.IFS(L169&gt;=52.25,52.25,L169&lt;52.25,L169))</f>
        <v>42.928210539911703</v>
      </c>
      <c r="O169" s="1041"/>
      <c r="P169" s="43">
        <f>$AJ$220*$E169^2+$AM$220*$E169+$AP$220</f>
        <v>43.60074673918237</v>
      </c>
      <c r="Q169" s="1035" cm="1">
        <f t="array" ref="Q169">IF(O169=0,IF(P169&gt;=52.25,52.25,P169),_xlfn.IFS(O169&gt;=52.25,52.25,O169&lt;52.25,O169))</f>
        <v>43.60074673918237</v>
      </c>
    </row>
    <row r="170" spans="2:17">
      <c r="B170" s="776">
        <v>12</v>
      </c>
      <c r="C170" s="1032" t="s">
        <v>429</v>
      </c>
      <c r="D170" s="1033">
        <v>22</v>
      </c>
      <c r="E170" s="980">
        <f t="shared" si="12"/>
        <v>66.598199913018846</v>
      </c>
      <c r="F170" s="1041"/>
      <c r="G170" s="43">
        <f>$C$220*$E170^2+$F$220*$E170+$I$220</f>
        <v>45.126119010314227</v>
      </c>
      <c r="H170" s="1035" cm="1">
        <f t="array" ref="H170">IF(F170=0,IF(G170&gt;=52.25,52.25,G170),_xlfn.IFS(F170&gt;=52.25,52.25,F170&lt;52.25,F170))</f>
        <v>45.126119010314227</v>
      </c>
      <c r="I170" s="514"/>
      <c r="J170" s="43">
        <f>$M$220*$E170^2+$P$220*$E170+$S$220</f>
        <v>46.869603724961706</v>
      </c>
      <c r="K170" s="1035" cm="1">
        <f t="array" ref="K170">IF(I170=0,IF(J170&gt;=52.25,52.25,J170),_xlfn.IFS(I170&gt;=52.25,52.25,I170&lt;52.25,I170))</f>
        <v>46.869603724961706</v>
      </c>
      <c r="L170" s="1041"/>
      <c r="M170" s="43">
        <f>$X$220*$E170^2+$AA$220*$E170+$AD$220</f>
        <v>42.848130278091247</v>
      </c>
      <c r="N170" s="1035" cm="1">
        <f t="array" ref="N170">IF(L170=0,IF(M170&gt;=52.25,52.25,M170),_xlfn.IFS(L170&gt;=52.25,52.25,L170&lt;52.25,L170))</f>
        <v>42.848130278091247</v>
      </c>
      <c r="O170" s="1041"/>
      <c r="P170" s="43">
        <f>$AJ$220*$E170^2+$AM$220*$E170+$AP$220</f>
        <v>43.522608636389862</v>
      </c>
      <c r="Q170" s="1035" cm="1">
        <f t="array" ref="Q170">IF(O170=0,IF(P170&gt;=52.25,52.25,P170),_xlfn.IFS(O170&gt;=52.25,52.25,O170&lt;52.25,O170))</f>
        <v>43.522608636389862</v>
      </c>
    </row>
    <row r="171" spans="2:17">
      <c r="B171" s="776">
        <v>13</v>
      </c>
      <c r="C171" s="1032" t="s">
        <v>415</v>
      </c>
      <c r="D171" s="1033">
        <v>22</v>
      </c>
      <c r="E171" s="980">
        <f t="shared" si="12"/>
        <v>68.10361392462795</v>
      </c>
      <c r="F171" s="1041"/>
      <c r="G171" s="43">
        <f>$C$220*$E171^2+$F$220*$E171+$I$220</f>
        <v>43.237131989993401</v>
      </c>
      <c r="H171" s="1035" cm="1">
        <f t="array" ref="H171">IF(F171=0,IF(G171&gt;=52.25,52.25,G171),_xlfn.IFS(F171&gt;=52.25,52.25,F171&lt;52.25,F171))</f>
        <v>43.237131989993401</v>
      </c>
      <c r="I171" s="514"/>
      <c r="J171" s="43">
        <f>$M$220*$E171^2+$P$220*$E171+$S$220</f>
        <v>45.011006953639182</v>
      </c>
      <c r="K171" s="1035" cm="1">
        <f t="array" ref="K171">IF(I171=0,IF(J171&gt;=52.25,52.25,J171),_xlfn.IFS(I171&gt;=52.25,52.25,I171&lt;52.25,I171))</f>
        <v>45.011006953639182</v>
      </c>
      <c r="L171" s="1041"/>
      <c r="M171" s="43">
        <f>$X$220*$E171^2+$AA$220*$E171+$AD$220</f>
        <v>40.911689259495063</v>
      </c>
      <c r="N171" s="1035" cm="1">
        <f t="array" ref="N171">IF(L171=0,IF(M171&gt;=52.25,52.25,M171),_xlfn.IFS(L171&gt;=52.25,52.25,L171&lt;52.25,L171))</f>
        <v>40.911689259495063</v>
      </c>
      <c r="O171" s="1041"/>
      <c r="P171" s="43">
        <f>$AJ$220*$E171^2+$AM$220*$E171+$AP$220</f>
        <v>41.632336208010742</v>
      </c>
      <c r="Q171" s="1035" cm="1">
        <f t="array" ref="Q171">IF(O171=0,IF(P171&gt;=52.25,52.25,P171),_xlfn.IFS(O171&gt;=52.25,52.25,O171&lt;52.25,O171))</f>
        <v>41.632336208010742</v>
      </c>
    </row>
    <row r="172" spans="2:17">
      <c r="B172" s="776">
        <v>14</v>
      </c>
      <c r="C172" s="1032" t="s">
        <v>1710</v>
      </c>
      <c r="D172" s="1038" t="s">
        <v>1749</v>
      </c>
      <c r="E172" s="1042">
        <f t="shared" si="12"/>
        <v>68.604306171230803</v>
      </c>
      <c r="F172" s="1039"/>
      <c r="G172" s="1038"/>
      <c r="H172" s="1040"/>
      <c r="I172" s="1039"/>
      <c r="J172" s="1038"/>
      <c r="K172" s="1040"/>
      <c r="L172" s="1039"/>
      <c r="M172" s="1038"/>
      <c r="N172" s="1040"/>
      <c r="O172" s="1039"/>
      <c r="P172" s="1038"/>
      <c r="Q172" s="1040"/>
    </row>
    <row r="173" spans="2:17">
      <c r="B173" s="776">
        <v>15</v>
      </c>
      <c r="C173" s="1032" t="s">
        <v>427</v>
      </c>
      <c r="D173" s="1033">
        <v>22</v>
      </c>
      <c r="E173" s="980">
        <f t="shared" si="12"/>
        <v>71.063733383987255</v>
      </c>
      <c r="F173" s="1041"/>
      <c r="G173" s="43">
        <f>$C$220*$E173^2+$F$220*$E173+$I$220</f>
        <v>39.69991490477949</v>
      </c>
      <c r="H173" s="1035" cm="1">
        <f t="array" ref="H173">IF(F173=0,IF(G173&gt;=52.25,52.25,G173),_xlfn.IFS(F173&gt;=52.25,52.25,F173&lt;52.25,F173))</f>
        <v>39.69991490477949</v>
      </c>
      <c r="I173" s="514"/>
      <c r="J173" s="43">
        <f>$M$220*$E173^2+$P$220*$E173+$S$220</f>
        <v>41.441017109604672</v>
      </c>
      <c r="K173" s="1035" cm="1">
        <f t="array" ref="K173">IF(I173=0,IF(J173&gt;=52.25,52.25,J173),_xlfn.IFS(I173&gt;=52.25,52.25,I173&lt;52.25,I173))</f>
        <v>41.441017109604672</v>
      </c>
      <c r="L173" s="1041"/>
      <c r="M173" s="43">
        <f>$X$220*$E173^2+$AA$220*$E173+$AD$220</f>
        <v>37.410704047192439</v>
      </c>
      <c r="N173" s="1035" cm="1">
        <f t="array" ref="N173">IF(L173=0,IF(M173&gt;=52.25,52.25,M173),_xlfn.IFS(L173&gt;=52.25,52.25,L173&lt;52.25,L173))</f>
        <v>37.410704047192439</v>
      </c>
      <c r="O173" s="1041"/>
      <c r="P173" s="43">
        <f>$AJ$220*$E173^2+$AM$220*$E173+$AP$220</f>
        <v>38.210236365996735</v>
      </c>
      <c r="Q173" s="1035" cm="1">
        <f t="array" ref="Q173">IF(O173=0,IF(P173&gt;=52.25,52.25,P173),_xlfn.IFS(O173&gt;=52.25,52.25,O173&lt;52.25,O173))</f>
        <v>38.210236365996735</v>
      </c>
    </row>
    <row r="174" spans="2:17">
      <c r="B174" s="776">
        <v>16</v>
      </c>
      <c r="C174" s="1032" t="s">
        <v>424</v>
      </c>
      <c r="D174" s="1038" t="s">
        <v>1749</v>
      </c>
      <c r="E174" s="1042">
        <f t="shared" si="12"/>
        <v>71.09942422474478</v>
      </c>
      <c r="F174" s="1039"/>
      <c r="G174" s="1038"/>
      <c r="H174" s="1040"/>
      <c r="I174" s="1039"/>
      <c r="J174" s="1038"/>
      <c r="K174" s="1040"/>
      <c r="L174" s="1039"/>
      <c r="M174" s="1038"/>
      <c r="N174" s="1040"/>
      <c r="O174" s="1039"/>
      <c r="P174" s="1038"/>
      <c r="Q174" s="1040"/>
    </row>
    <row r="175" spans="2:17">
      <c r="B175" s="776">
        <v>17</v>
      </c>
      <c r="C175" s="1032" t="s">
        <v>439</v>
      </c>
      <c r="D175" s="1033">
        <v>22</v>
      </c>
      <c r="E175" s="980">
        <f t="shared" si="12"/>
        <v>71.09942422474478</v>
      </c>
      <c r="F175" s="1041"/>
      <c r="G175" s="43">
        <f t="shared" ref="G175:G186" si="13">$C$220*$E175^2+$F$220*$E175+$I$220</f>
        <v>39.658698633334922</v>
      </c>
      <c r="H175" s="1035" cm="1">
        <f t="array" ref="H175">IF(F175=0,IF(G175&gt;=52.25,52.25,G175),_xlfn.IFS(F175&gt;=52.25,52.25,F175&lt;52.25,F175))</f>
        <v>39.658698633334922</v>
      </c>
      <c r="I175" s="514"/>
      <c r="J175" s="43">
        <f t="shared" ref="J175:J186" si="14">$M$220*$E175^2+$P$220*$E175+$S$220</f>
        <v>41.398657228555081</v>
      </c>
      <c r="K175" s="1035" cm="1">
        <f t="array" ref="K175">IF(I175=0,IF(J175&gt;=52.25,52.25,J175),_xlfn.IFS(I175&gt;=52.25,52.25,I175&lt;52.25,I175))</f>
        <v>41.398657228555081</v>
      </c>
      <c r="L175" s="1041"/>
      <c r="M175" s="43">
        <f t="shared" ref="M175:M186" si="15">$X$220*$E175^2+$AA$220*$E175+$AD$220</f>
        <v>37.370972477054067</v>
      </c>
      <c r="N175" s="1035" cm="1">
        <f t="array" ref="N175">IF(L175=0,IF(M175&gt;=52.25,52.25,M175),_xlfn.IFS(L175&gt;=52.25,52.25,L175&lt;52.25,L175))</f>
        <v>37.370972477054067</v>
      </c>
      <c r="O175" s="1041"/>
      <c r="P175" s="43">
        <f t="shared" ref="P175:P186" si="16">$AJ$220*$E175^2+$AM$220*$E175+$AP$220</f>
        <v>38.171359704211653</v>
      </c>
      <c r="Q175" s="1035" cm="1">
        <f t="array" ref="Q175">IF(O175=0,IF(P175&gt;=52.25,52.25,P175),_xlfn.IFS(O175&gt;=52.25,52.25,O175&lt;52.25,O175))</f>
        <v>38.171359704211653</v>
      </c>
    </row>
    <row r="176" spans="2:17">
      <c r="B176" s="776">
        <v>18</v>
      </c>
      <c r="C176" s="1032" t="s">
        <v>435</v>
      </c>
      <c r="D176" s="1033">
        <v>22</v>
      </c>
      <c r="E176" s="980">
        <f t="shared" si="12"/>
        <v>71.27802258515743</v>
      </c>
      <c r="F176" s="1044"/>
      <c r="G176" s="43">
        <f t="shared" si="13"/>
        <v>39.452963642848118</v>
      </c>
      <c r="H176" s="1035" cm="1">
        <f t="array" ref="H176">IF(F176=0,IF(G176&gt;=52.25,52.25,G176),_xlfn.IFS(F176&gt;=52.25,52.25,F176&lt;52.25,F176))</f>
        <v>39.452963642848118</v>
      </c>
      <c r="I176" s="514"/>
      <c r="J176" s="43">
        <f t="shared" si="14"/>
        <v>41.186931669061792</v>
      </c>
      <c r="K176" s="1035" cm="1">
        <f t="array" ref="K176">IF(I176=0,IF(J176&gt;=52.25,52.25,J176),_xlfn.IFS(I176&gt;=52.25,52.25,I176&lt;52.25,I176))</f>
        <v>41.186931669061792</v>
      </c>
      <c r="L176" s="1041"/>
      <c r="M176" s="43">
        <f t="shared" si="15"/>
        <v>37.173042052521424</v>
      </c>
      <c r="N176" s="1035" cm="1">
        <f t="array" ref="N176">IF(L176=0,IF(M176&gt;=52.25,52.25,M176),_xlfn.IFS(L176&gt;=52.25,52.25,L176&lt;52.25,L176))</f>
        <v>37.173042052521424</v>
      </c>
      <c r="O176" s="1041"/>
      <c r="P176" s="43">
        <f t="shared" si="16"/>
        <v>37.977672829921715</v>
      </c>
      <c r="Q176" s="1035" cm="1">
        <f t="array" ref="Q176">IF(O176=0,IF(P176&gt;=52.25,52.25,P176),_xlfn.IFS(O176&gt;=52.25,52.25,O176&lt;52.25,O176))</f>
        <v>37.977672829921715</v>
      </c>
    </row>
    <row r="177" spans="2:17">
      <c r="B177" s="776">
        <v>19</v>
      </c>
      <c r="C177" s="1032" t="s">
        <v>1711</v>
      </c>
      <c r="D177" s="1033">
        <v>22</v>
      </c>
      <c r="E177" s="980">
        <f t="shared" si="12"/>
        <v>71.396523939113308</v>
      </c>
      <c r="F177" s="1041"/>
      <c r="G177" s="43">
        <f t="shared" si="13"/>
        <v>39.316928700985414</v>
      </c>
      <c r="H177" s="1035" cm="1">
        <f t="array" ref="H177">IF(F177=0,IF(G177&gt;=52.25,52.25,G177),_xlfn.IFS(F177&gt;=52.25,52.25,F177&lt;52.25,F177))</f>
        <v>39.316928700985414</v>
      </c>
      <c r="I177" s="514"/>
      <c r="J177" s="43">
        <f t="shared" si="14"/>
        <v>41.046675492626775</v>
      </c>
      <c r="K177" s="1035" cm="1">
        <f t="array" ref="K177">IF(I177=0,IF(J177&gt;=52.25,52.25,J177),_xlfn.IFS(I177&gt;=52.25,52.25,I177&lt;52.25,I177))</f>
        <v>41.046675492626775</v>
      </c>
      <c r="L177" s="1041"/>
      <c r="M177" s="43">
        <f t="shared" si="15"/>
        <v>37.04253052464594</v>
      </c>
      <c r="N177" s="1035" cm="1">
        <f t="array" ref="N177">IF(L177=0,IF(M177&gt;=52.25,52.25,M177),_xlfn.IFS(L177&gt;=52.25,52.25,L177&lt;52.25,L177))</f>
        <v>37.04253052464594</v>
      </c>
      <c r="O177" s="1041"/>
      <c r="P177" s="43">
        <f t="shared" si="16"/>
        <v>37.849945243467715</v>
      </c>
      <c r="Q177" s="1035" cm="1">
        <f t="array" ref="Q177">IF(O177=0,IF(P177&gt;=52.25,52.25,P177),_xlfn.IFS(O177&gt;=52.25,52.25,O177&lt;52.25,O177))</f>
        <v>37.849945243467715</v>
      </c>
    </row>
    <row r="178" spans="2:17">
      <c r="B178" s="776">
        <v>20</v>
      </c>
      <c r="C178" s="1032" t="s">
        <v>405</v>
      </c>
      <c r="D178" s="1033">
        <v>22</v>
      </c>
      <c r="E178" s="980">
        <f t="shared" si="12"/>
        <v>71.596779199547427</v>
      </c>
      <c r="F178" s="1044"/>
      <c r="G178" s="43">
        <f t="shared" si="13"/>
        <v>39.08789881465799</v>
      </c>
      <c r="H178" s="1035" cm="1">
        <f t="array" ref="H178">IF(F178=0,IF(G178&gt;=52.25,52.25,G178),_xlfn.IFS(F178&gt;=52.25,52.25,F178&lt;52.25,F178))</f>
        <v>39.08789881465799</v>
      </c>
      <c r="I178" s="1034">
        <v>42</v>
      </c>
      <c r="J178" s="43">
        <f t="shared" si="14"/>
        <v>40.810065319500907</v>
      </c>
      <c r="K178" s="1035" cm="1">
        <f t="array" ref="K178">IF(I178=0,IF(J178&gt;=52.25,52.25,J178),_xlfn.IFS(I178&gt;=52.25,52.25,I178&lt;52.25,I178))</f>
        <v>42</v>
      </c>
      <c r="L178" s="1043">
        <v>38</v>
      </c>
      <c r="M178" s="43">
        <f t="shared" si="15"/>
        <v>36.823460207687361</v>
      </c>
      <c r="N178" s="1035" cm="1">
        <f t="array" ref="N178">IF(L178=0,IF(M178&gt;=52.25,52.25,M178),_xlfn.IFS(L178&gt;=52.25,52.25,L178&lt;52.25,L178))</f>
        <v>38</v>
      </c>
      <c r="O178" s="1041"/>
      <c r="P178" s="43">
        <f t="shared" si="16"/>
        <v>37.635522055524831</v>
      </c>
      <c r="Q178" s="1035" cm="1">
        <f t="array" ref="Q178">IF(O178=0,IF(P178&gt;=52.25,52.25,P178),_xlfn.IFS(O178&gt;=52.25,52.25,O178&lt;52.25,O178))</f>
        <v>37.635522055524831</v>
      </c>
    </row>
    <row r="179" spans="2:17">
      <c r="B179" s="776">
        <v>21</v>
      </c>
      <c r="C179" s="1032" t="s">
        <v>434</v>
      </c>
      <c r="D179" s="1033">
        <v>22</v>
      </c>
      <c r="E179" s="980">
        <f t="shared" si="12"/>
        <v>72.143941265090348</v>
      </c>
      <c r="F179" s="1036">
        <v>40</v>
      </c>
      <c r="G179" s="43">
        <f t="shared" si="13"/>
        <v>38.467595217971336</v>
      </c>
      <c r="H179" s="1035" cm="1">
        <f t="array" ref="H179">IF(F179=0,IF(G179&gt;=52.25,52.25,G179),_xlfn.IFS(F179&gt;=52.25,52.25,F179&lt;52.25,F179))</f>
        <v>40</v>
      </c>
      <c r="I179" s="1034">
        <v>41</v>
      </c>
      <c r="J179" s="43">
        <f t="shared" si="14"/>
        <v>40.166187221554253</v>
      </c>
      <c r="K179" s="1035" cm="1">
        <f t="array" ref="K179">IF(I179=0,IF(J179&gt;=52.25,52.25,J179),_xlfn.IFS(I179&gt;=52.25,52.25,I179&lt;52.25,I179))</f>
        <v>41</v>
      </c>
      <c r="L179" s="1036">
        <v>38</v>
      </c>
      <c r="M179" s="43">
        <f t="shared" si="15"/>
        <v>36.234377164431123</v>
      </c>
      <c r="N179" s="1035" cm="1">
        <f t="array" ref="N179">IF(L179=0,IF(M179&gt;=52.25,52.25,M179),_xlfn.IFS(L179&gt;=52.25,52.25,L179&lt;52.25,L179))</f>
        <v>38</v>
      </c>
      <c r="O179" s="1036">
        <v>39</v>
      </c>
      <c r="P179" s="43">
        <f t="shared" si="16"/>
        <v>37.058768407463617</v>
      </c>
      <c r="Q179" s="1035" cm="1">
        <f t="array" ref="Q179">IF(O179=0,IF(P179&gt;=52.25,52.25,P179),_xlfn.IFS(O179&gt;=52.25,52.25,O179&lt;52.25,O179))</f>
        <v>39</v>
      </c>
    </row>
    <row r="180" spans="2:17">
      <c r="B180" s="776">
        <v>22</v>
      </c>
      <c r="C180" s="1032" t="s">
        <v>407</v>
      </c>
      <c r="D180" s="1033">
        <v>22</v>
      </c>
      <c r="E180" s="980">
        <f t="shared" si="12"/>
        <v>72.406259977471279</v>
      </c>
      <c r="F180" s="1036">
        <v>40</v>
      </c>
      <c r="G180" s="43">
        <f t="shared" si="13"/>
        <v>38.173056605530491</v>
      </c>
      <c r="H180" s="1035" cm="1">
        <f t="array" ref="H180">IF(F180=0,IF(G180&gt;=52.25,52.25,G180),_xlfn.IFS(F180&gt;=52.25,52.25,F180&lt;52.25,F180))</f>
        <v>40</v>
      </c>
      <c r="I180" s="1034">
        <v>41</v>
      </c>
      <c r="J180" s="43">
        <f t="shared" si="14"/>
        <v>39.858860202357022</v>
      </c>
      <c r="K180" s="1035" cm="1">
        <f t="array" ref="K180">IF(I180=0,IF(J180&gt;=52.25,52.25,J180),_xlfn.IFS(I180&gt;=52.25,52.25,I180&lt;52.25,I180))</f>
        <v>41</v>
      </c>
      <c r="L180" s="1043">
        <v>38</v>
      </c>
      <c r="M180" s="43">
        <f t="shared" si="15"/>
        <v>35.95688716244689</v>
      </c>
      <c r="N180" s="1035" cm="1">
        <f t="array" ref="N180">IF(L180=0,IF(M180&gt;=52.25,52.25,M180),_xlfn.IFS(L180&gt;=52.25,52.25,L180&lt;52.25,L180))</f>
        <v>38</v>
      </c>
      <c r="O180" s="1036">
        <v>39</v>
      </c>
      <c r="P180" s="43">
        <f t="shared" si="16"/>
        <v>36.78699821749214</v>
      </c>
      <c r="Q180" s="1035" cm="1">
        <f t="array" ref="Q180">IF(O180=0,IF(P180&gt;=52.25,52.25,P180),_xlfn.IFS(O180&gt;=52.25,52.25,O180&lt;52.25,O180))</f>
        <v>39</v>
      </c>
    </row>
    <row r="181" spans="2:17">
      <c r="B181" s="776">
        <v>23</v>
      </c>
      <c r="C181" s="1045" t="s">
        <v>1712</v>
      </c>
      <c r="D181" s="1033">
        <v>22</v>
      </c>
      <c r="E181" s="980">
        <f t="shared" si="12"/>
        <v>73.272853961107671</v>
      </c>
      <c r="F181" s="1044"/>
      <c r="G181" s="43">
        <f t="shared" si="13"/>
        <v>37.213130559720611</v>
      </c>
      <c r="H181" s="1035" cm="1">
        <f t="array" ref="H181">IF(F181=0,IF(G181&gt;=52.25,52.25,G181),_xlfn.IFS(F181&gt;=52.25,52.25,F181&lt;52.25,F181))</f>
        <v>37.213130559720611</v>
      </c>
      <c r="I181" s="514"/>
      <c r="J181" s="43">
        <f t="shared" si="14"/>
        <v>38.849838316422762</v>
      </c>
      <c r="K181" s="1035" cm="1">
        <f t="array" ref="K181">IF(I181=0,IF(J181&gt;=52.25,52.25,J181),_xlfn.IFS(I181&gt;=52.25,52.25,I181&lt;52.25,I181))</f>
        <v>38.849838316422762</v>
      </c>
      <c r="L181" s="1044"/>
      <c r="M181" s="43">
        <f t="shared" si="15"/>
        <v>35.062870196424399</v>
      </c>
      <c r="N181" s="1035" cm="1">
        <f t="array" ref="N181">IF(L181=0,IF(M181&gt;=52.25,52.25,M181),_xlfn.IFS(L181&gt;=52.25,52.25,L181&lt;52.25,L181))</f>
        <v>35.062870196424399</v>
      </c>
      <c r="O181" s="1044"/>
      <c r="P181" s="43">
        <f t="shared" si="16"/>
        <v>35.910996698271475</v>
      </c>
      <c r="Q181" s="1035" cm="1">
        <f t="array" ref="Q181">IF(O181=0,IF(P181&gt;=52.25,52.25,P181),_xlfn.IFS(O181&gt;=52.25,52.25,O181&lt;52.25,O181))</f>
        <v>35.910996698271475</v>
      </c>
    </row>
    <row r="182" spans="2:17">
      <c r="B182" s="776">
        <v>24</v>
      </c>
      <c r="C182" s="1032" t="s">
        <v>441</v>
      </c>
      <c r="D182" s="1033">
        <v>22</v>
      </c>
      <c r="E182" s="980">
        <f t="shared" si="12"/>
        <v>73.961348707585103</v>
      </c>
      <c r="F182" s="1036">
        <f>40</f>
        <v>40</v>
      </c>
      <c r="G182" s="43">
        <f t="shared" si="13"/>
        <v>36.464831999974109</v>
      </c>
      <c r="H182" s="1035" cm="1">
        <f t="array" ref="H182">IF(F182=0,IF(G182&gt;=52.25,52.25,G182),_xlfn.IFS(F182&gt;=52.25,52.25,F182&lt;52.25,F182))</f>
        <v>40</v>
      </c>
      <c r="I182" s="1034">
        <v>41</v>
      </c>
      <c r="J182" s="43">
        <f t="shared" si="14"/>
        <v>38.055039221734347</v>
      </c>
      <c r="K182" s="1035" cm="1">
        <f t="array" ref="K182">IF(I182=0,IF(J182&gt;=52.25,52.25,J182),_xlfn.IFS(I182&gt;=52.25,52.25,I182&lt;52.25,I182))</f>
        <v>41</v>
      </c>
      <c r="L182" s="1036">
        <v>37</v>
      </c>
      <c r="M182" s="43">
        <f t="shared" si="15"/>
        <v>34.377427892723091</v>
      </c>
      <c r="N182" s="1035" cm="1">
        <f t="array" ref="N182">IF(L182=0,IF(M182&gt;=52.25,52.25,M182),_xlfn.IFS(L182&gt;=52.25,52.25,L182&lt;52.25,L182))</f>
        <v>37</v>
      </c>
      <c r="O182" s="1036">
        <v>38</v>
      </c>
      <c r="P182" s="43">
        <f t="shared" si="16"/>
        <v>35.238903769024745</v>
      </c>
      <c r="Q182" s="1035" cm="1">
        <f t="array" ref="Q182">IF(O182=0,IF(P182&gt;=52.25,52.25,P182),_xlfn.IFS(O182&gt;=52.25,52.25,O182&lt;52.25,O182))</f>
        <v>38</v>
      </c>
    </row>
    <row r="183" spans="2:17">
      <c r="B183" s="776">
        <v>25</v>
      </c>
      <c r="C183" s="1032" t="s">
        <v>425</v>
      </c>
      <c r="D183" s="1033">
        <v>22</v>
      </c>
      <c r="E183" s="980">
        <f t="shared" si="12"/>
        <v>74.075210894060092</v>
      </c>
      <c r="F183" s="1044"/>
      <c r="G183" s="43">
        <f t="shared" si="13"/>
        <v>36.342303750947934</v>
      </c>
      <c r="H183" s="1035" cm="1">
        <f t="array" ref="H183">IF(F183=0,IF(G183&gt;=52.25,52.25,G183),_xlfn.IFS(F183&gt;=52.25,52.25,F183&lt;52.25,F183))</f>
        <v>36.342303750947934</v>
      </c>
      <c r="I183" s="514"/>
      <c r="J183" s="43">
        <f t="shared" si="14"/>
        <v>37.924181280020889</v>
      </c>
      <c r="K183" s="1035" cm="1">
        <f t="array" ref="K183">IF(I183=0,IF(J183&gt;=52.25,52.25,J183),_xlfn.IFS(I183&gt;=52.25,52.25,I183&lt;52.25,I183))</f>
        <v>37.924181280020889</v>
      </c>
      <c r="L183" s="1044"/>
      <c r="M183" s="43">
        <f t="shared" si="15"/>
        <v>34.266190022731195</v>
      </c>
      <c r="N183" s="1035" cm="1">
        <f t="array" ref="N183">IF(L183=0,IF(M183&gt;=52.25,52.25,M183),_xlfn.IFS(L183&gt;=52.25,52.25,L183&lt;52.25,L183))</f>
        <v>34.266190022731195</v>
      </c>
      <c r="O183" s="1044"/>
      <c r="P183" s="43">
        <f t="shared" si="16"/>
        <v>35.129791375439396</v>
      </c>
      <c r="Q183" s="1035" cm="1">
        <f t="array" ref="Q183">IF(O183=0,IF(P183&gt;=52.25,52.25,P183),_xlfn.IFS(O183&gt;=52.25,52.25,O183&lt;52.25,O183))</f>
        <v>35.129791375439396</v>
      </c>
    </row>
    <row r="184" spans="2:17">
      <c r="B184" s="776">
        <v>26</v>
      </c>
      <c r="C184" s="1032" t="s">
        <v>432</v>
      </c>
      <c r="D184" s="1033">
        <v>22</v>
      </c>
      <c r="E184" s="980">
        <f t="shared" si="12"/>
        <v>75.753783058301622</v>
      </c>
      <c r="F184" s="1044"/>
      <c r="G184" s="43">
        <f t="shared" si="13"/>
        <v>34.576292276641311</v>
      </c>
      <c r="H184" s="1035" cm="1">
        <f t="array" ref="H184">IF(F184=0,IF(G184&gt;=52.25,52.25,G184),_xlfn.IFS(F184&gt;=52.25,52.25,F184&lt;52.25,F184))</f>
        <v>34.576292276641311</v>
      </c>
      <c r="I184" s="514"/>
      <c r="J184" s="43">
        <f t="shared" si="14"/>
        <v>36.01431120658205</v>
      </c>
      <c r="K184" s="1035" cm="1">
        <f t="array" ref="K184">IF(I184=0,IF(J184&gt;=52.25,52.25,J184),_xlfn.IFS(I184&gt;=52.25,52.25,I184&lt;52.25,I184))</f>
        <v>36.01431120658205</v>
      </c>
      <c r="L184" s="1044"/>
      <c r="M184" s="43">
        <f t="shared" si="15"/>
        <v>32.696108441954209</v>
      </c>
      <c r="N184" s="1035" cm="1">
        <f t="array" ref="N184">IF(L184=0,IF(M184&gt;=52.25,52.25,M184),_xlfn.IFS(L184&gt;=52.25,52.25,L184&lt;52.25,L184))</f>
        <v>32.696108441954209</v>
      </c>
      <c r="O184" s="1044"/>
      <c r="P184" s="43">
        <f t="shared" si="16"/>
        <v>33.588336005630453</v>
      </c>
      <c r="Q184" s="1035" cm="1">
        <f t="array" ref="Q184">IF(O184=0,IF(P184&gt;=52.25,52.25,P184),_xlfn.IFS(O184&gt;=52.25,52.25,O184&lt;52.25,O184))</f>
        <v>33.588336005630453</v>
      </c>
    </row>
    <row r="185" spans="2:17">
      <c r="B185" s="776">
        <v>27</v>
      </c>
      <c r="C185" s="1032" t="s">
        <v>426</v>
      </c>
      <c r="D185" s="1033">
        <v>22</v>
      </c>
      <c r="E185" s="980">
        <f t="shared" si="12"/>
        <v>77.521654363776008</v>
      </c>
      <c r="F185" s="1036">
        <v>30</v>
      </c>
      <c r="G185" s="43">
        <f t="shared" si="13"/>
        <v>32.797974374694633</v>
      </c>
      <c r="H185" s="1035" cm="1">
        <f t="array" ref="H185">IF(F185=0,IF(G185&gt;=52.25,52.25,G185),_xlfn.IFS(F185&gt;=52.25,52.25,F185&lt;52.25,F185))</f>
        <v>30</v>
      </c>
      <c r="I185" s="1034">
        <v>31</v>
      </c>
      <c r="J185" s="43">
        <f t="shared" si="14"/>
        <v>34.041831425370077</v>
      </c>
      <c r="K185" s="1035" cm="1">
        <f t="array" ref="K185">IF(I185=0,IF(J185&gt;=52.25,52.25,J185),_xlfn.IFS(I185&gt;=52.25,52.25,I185&lt;52.25,I185))</f>
        <v>31</v>
      </c>
      <c r="L185" s="1036">
        <v>27</v>
      </c>
      <c r="M185" s="43">
        <f t="shared" si="15"/>
        <v>31.18385391052314</v>
      </c>
      <c r="N185" s="1035" cm="1">
        <f t="array" ref="N185">IF(L185=0,IF(M185&gt;=52.25,52.25,M185),_xlfn.IFS(L185&gt;=52.25,52.25,L185&lt;52.25,L185))</f>
        <v>27</v>
      </c>
      <c r="O185" s="1036">
        <v>28</v>
      </c>
      <c r="P185" s="43">
        <f t="shared" si="16"/>
        <v>32.100747002613616</v>
      </c>
      <c r="Q185" s="1035" cm="1">
        <f t="array" ref="Q185">IF(O185=0,IF(P185&gt;=52.25,52.25,P185),_xlfn.IFS(O185&gt;=52.25,52.25,O185&lt;52.25,O185))</f>
        <v>28</v>
      </c>
    </row>
    <row r="186" spans="2:17" ht="15" thickBot="1">
      <c r="B186" s="776">
        <v>28</v>
      </c>
      <c r="C186" s="1032" t="s">
        <v>447</v>
      </c>
      <c r="D186" s="1033">
        <v>22</v>
      </c>
      <c r="E186" s="980">
        <f t="shared" si="12"/>
        <v>82.596339388573085</v>
      </c>
      <c r="F186" s="1046">
        <v>28</v>
      </c>
      <c r="G186" s="60">
        <f t="shared" si="13"/>
        <v>28.158601496101568</v>
      </c>
      <c r="H186" s="1047" cm="1">
        <f t="array" ref="H186">IF(F186=0,IF(G186&gt;=52.25,52.25,G186),_xlfn.IFS(F186&gt;=52.25,52.25,F186&lt;52.25,F186))</f>
        <v>28</v>
      </c>
      <c r="I186" s="1048">
        <v>28</v>
      </c>
      <c r="J186" s="60">
        <f t="shared" si="14"/>
        <v>28.602048998489863</v>
      </c>
      <c r="K186" s="1047" cm="1">
        <f t="array" ref="K186">IF(I186=0,IF(J186&gt;=52.25,52.25,J186),_xlfn.IFS(I186&gt;=52.25,52.25,I186&lt;52.25,I186))</f>
        <v>28</v>
      </c>
      <c r="L186" s="49"/>
      <c r="M186" s="60">
        <f t="shared" si="15"/>
        <v>27.64851092635115</v>
      </c>
      <c r="N186" s="1047" cm="1">
        <f t="array" ref="N186">IF(L186=0,IF(M186&gt;=52.25,52.25,M186),_xlfn.IFS(L186&gt;=52.25,52.25,L186&lt;52.25,L186))</f>
        <v>27.64851092635115</v>
      </c>
      <c r="O186" s="1049"/>
      <c r="P186" s="60">
        <f t="shared" si="16"/>
        <v>28.604955127122338</v>
      </c>
      <c r="Q186" s="1047" cm="1">
        <f t="array" ref="Q186">IF(O186=0,IF(P186&gt;=52.25,52.25,P186),_xlfn.IFS(O186&gt;=52.25,52.25,O186&lt;52.25,O186))</f>
        <v>28.604955127122338</v>
      </c>
    </row>
    <row r="188" spans="2:17" s="911" customFormat="1"/>
    <row r="189" spans="2:17" s="911" customFormat="1"/>
    <row r="190" spans="2:17" s="911" customFormat="1"/>
    <row r="191" spans="2:17" s="911" customFormat="1"/>
    <row r="192" spans="2:17" s="911" customFormat="1"/>
    <row r="193" s="911" customFormat="1"/>
    <row r="194" s="911" customFormat="1"/>
    <row r="195" s="911" customFormat="1"/>
    <row r="196" s="911" customFormat="1"/>
    <row r="197" s="911" customFormat="1"/>
    <row r="198" s="911" customFormat="1"/>
    <row r="199" s="911" customFormat="1"/>
    <row r="200" s="911" customFormat="1"/>
    <row r="201" s="911" customFormat="1"/>
    <row r="202" s="911" customFormat="1"/>
    <row r="203" s="911" customFormat="1"/>
    <row r="204" s="911" customFormat="1"/>
    <row r="205" s="911" customFormat="1"/>
    <row r="206" s="911" customFormat="1"/>
    <row r="207" s="911" customFormat="1"/>
    <row r="208" s="911" customFormat="1"/>
    <row r="209" spans="2:42" s="911" customFormat="1"/>
    <row r="210" spans="2:42" s="911" customFormat="1"/>
    <row r="211" spans="2:42" s="911" customFormat="1"/>
    <row r="212" spans="2:42" s="911" customFormat="1"/>
    <row r="213" spans="2:42" s="911" customFormat="1"/>
    <row r="214" spans="2:42" s="911" customFormat="1"/>
    <row r="215" spans="2:42" s="911" customFormat="1"/>
    <row r="216" spans="2:42" s="911" customFormat="1"/>
    <row r="217" spans="2:42" s="911" customFormat="1"/>
    <row r="218" spans="2:42" s="911" customFormat="1"/>
    <row r="219" spans="2:42" s="911" customFormat="1"/>
    <row r="220" spans="2:42" s="911" customFormat="1" ht="16.149999999999999">
      <c r="B220" s="1050" t="s">
        <v>1750</v>
      </c>
      <c r="C220" s="1051">
        <v>1.34E-2</v>
      </c>
      <c r="D220" s="1051" t="s">
        <v>1751</v>
      </c>
      <c r="E220" s="1052" t="str">
        <f>"+"</f>
        <v>+</v>
      </c>
      <c r="F220" s="1051">
        <v>-3.0598000000000001</v>
      </c>
      <c r="G220" s="1051" t="s">
        <v>403</v>
      </c>
      <c r="H220" s="1052" t="s">
        <v>1752</v>
      </c>
      <c r="I220" s="1053">
        <v>189.47</v>
      </c>
      <c r="L220" s="1050" t="s">
        <v>1750</v>
      </c>
      <c r="M220" s="1051">
        <v>6.4000000000000003E-3</v>
      </c>
      <c r="N220" s="1051" t="s">
        <v>1751</v>
      </c>
      <c r="O220" s="1052" t="str">
        <f>"+"</f>
        <v>+</v>
      </c>
      <c r="P220" s="1051">
        <v>-2.0966999999999998</v>
      </c>
      <c r="Q220" s="1051" t="s">
        <v>403</v>
      </c>
      <c r="R220" s="1052" t="s">
        <v>1752</v>
      </c>
      <c r="S220" s="1053">
        <v>158.12</v>
      </c>
      <c r="W220" s="1050" t="s">
        <v>1750</v>
      </c>
      <c r="X220" s="1051">
        <v>2.3199999999999998E-2</v>
      </c>
      <c r="Y220" s="1051" t="s">
        <v>1751</v>
      </c>
      <c r="Z220" s="1052" t="str">
        <f>"+"</f>
        <v>+</v>
      </c>
      <c r="AA220" s="1051">
        <v>-4.4114000000000004</v>
      </c>
      <c r="AB220" s="1051" t="s">
        <v>403</v>
      </c>
      <c r="AC220" s="1052" t="s">
        <v>1752</v>
      </c>
      <c r="AD220" s="1053">
        <v>233.74</v>
      </c>
      <c r="AI220" s="1050" t="s">
        <v>1750</v>
      </c>
      <c r="AJ220" s="1051">
        <v>2.23E-2</v>
      </c>
      <c r="AK220" s="1051" t="s">
        <v>1751</v>
      </c>
      <c r="AL220" s="1052" t="str">
        <f>"+"</f>
        <v>+</v>
      </c>
      <c r="AM220" s="1051">
        <v>-4.2595000000000001</v>
      </c>
      <c r="AN220" s="1051" t="s">
        <v>403</v>
      </c>
      <c r="AO220" s="1052" t="s">
        <v>1752</v>
      </c>
      <c r="AP220" s="1053">
        <v>228.29</v>
      </c>
    </row>
    <row r="221" spans="2:42" s="911" customFormat="1"/>
    <row r="222" spans="2:42" s="911" customFormat="1"/>
    <row r="225" spans="2:20" ht="21">
      <c r="C225" s="1085" t="s">
        <v>1753</v>
      </c>
      <c r="D225" s="1085"/>
    </row>
    <row r="226" spans="2:20" ht="21.6" thickBot="1">
      <c r="C226" s="1054"/>
      <c r="D226" s="1054"/>
    </row>
    <row r="227" spans="2:20">
      <c r="F227" s="1107" t="s">
        <v>1739</v>
      </c>
      <c r="G227" s="1108"/>
      <c r="H227" s="1109"/>
      <c r="I227" s="1107" t="s">
        <v>1740</v>
      </c>
      <c r="J227" s="1108"/>
      <c r="K227" s="1109"/>
      <c r="L227" s="1110" t="s">
        <v>1741</v>
      </c>
      <c r="M227" s="1111"/>
      <c r="N227" s="1112"/>
      <c r="O227" s="1110" t="s">
        <v>1742</v>
      </c>
      <c r="P227" s="1111"/>
      <c r="Q227" s="1112"/>
    </row>
    <row r="228" spans="2:20" ht="57.6">
      <c r="B228" s="792"/>
      <c r="C228" s="1027" t="s">
        <v>1743</v>
      </c>
      <c r="D228" s="1027" t="s">
        <v>1702</v>
      </c>
      <c r="E228" s="1028" t="s">
        <v>1744</v>
      </c>
      <c r="F228" s="1029" t="s">
        <v>1745</v>
      </c>
      <c r="G228" s="1027" t="s">
        <v>1746</v>
      </c>
      <c r="H228" s="1030" t="s">
        <v>1747</v>
      </c>
      <c r="I228" s="1029" t="s">
        <v>1745</v>
      </c>
      <c r="J228" s="1027" t="s">
        <v>1746</v>
      </c>
      <c r="K228" s="1031" t="s">
        <v>1747</v>
      </c>
      <c r="L228" s="1029" t="s">
        <v>1745</v>
      </c>
      <c r="M228" s="1027" t="s">
        <v>1746</v>
      </c>
      <c r="N228" s="1031" t="s">
        <v>1747</v>
      </c>
      <c r="O228" s="1029" t="s">
        <v>1745</v>
      </c>
      <c r="P228" s="1027" t="s">
        <v>1746</v>
      </c>
      <c r="Q228" s="1031" t="s">
        <v>1747</v>
      </c>
    </row>
    <row r="229" spans="2:20">
      <c r="B229" s="776">
        <v>1</v>
      </c>
      <c r="C229" s="1032" t="s">
        <v>408</v>
      </c>
      <c r="D229" s="28">
        <v>26</v>
      </c>
      <c r="E229" s="980">
        <f t="shared" ref="E229:E256" si="17">VLOOKUP(C229,$C$7:$J$36,8,FALSE)</f>
        <v>53.341586567624176</v>
      </c>
      <c r="F229" s="1034">
        <v>60</v>
      </c>
      <c r="G229" s="342">
        <f>($C$299*($E229^2))+($F$299*$E229)+$I$299</f>
        <v>59.119158783083293</v>
      </c>
      <c r="H229" s="1035" cm="1">
        <f t="array" ref="H229">IF(G229=0,IF(F229&gt;=60,60,F229),_xlfn.IFS(G229&gt;=60,60,G229&lt;60,G229))</f>
        <v>59.119158783083293</v>
      </c>
      <c r="I229" s="1034">
        <v>60</v>
      </c>
      <c r="J229" s="342">
        <f>($M$299*($E229^2))+($P$299*$E229)+$S$299</f>
        <v>58.702659439267272</v>
      </c>
      <c r="K229" s="1035" cm="1">
        <f t="array" ref="K229">IF(J229=0,IF(I229&gt;=60,60,I229),_xlfn.IFS(J229&gt;=60,60,J229&lt;60,J229))</f>
        <v>58.702659439267272</v>
      </c>
      <c r="M229" s="342">
        <f>($Z$299*($E229^2))+($AC$299*$E229)+$AF$299</f>
        <v>52.377115162879065</v>
      </c>
      <c r="N229" s="1035" cm="1">
        <f t="array" ref="N229">IF(M229=0,IF(L229&gt;=60,60,L229),_xlfn.IFS(M229&gt;=60,60,M229&lt;60,M229))</f>
        <v>52.377115162879065</v>
      </c>
      <c r="P229" s="342">
        <f>($AM$299*($E229^2))+($AP$299*$E229)+$AS$299</f>
        <v>52.168231992147362</v>
      </c>
      <c r="Q229" s="1035" cm="1">
        <f t="array" ref="Q229">IF(P229=0,IF(O229&gt;=60,60,O229),_xlfn.IFS(P229&gt;=60,60,P229&lt;60,P229))</f>
        <v>52.168231992147362</v>
      </c>
    </row>
    <row r="230" spans="2:20">
      <c r="B230" s="776">
        <v>2</v>
      </c>
      <c r="C230" s="1032" t="s">
        <v>398</v>
      </c>
      <c r="D230" s="28">
        <v>26</v>
      </c>
      <c r="E230" s="980">
        <f t="shared" si="17"/>
        <v>53.440740989031156</v>
      </c>
      <c r="F230" s="1034">
        <v>60</v>
      </c>
      <c r="G230" s="342">
        <f>($C$299*($E230^2))+($F$299*$E230)+$I$299</f>
        <v>58.972861691199981</v>
      </c>
      <c r="H230" s="1035" cm="1">
        <f t="array" ref="H230">IF(G230=0,IF(F230&gt;=60,60,F230),_xlfn.IFS(G230&gt;=60,60,G230&lt;60,G230))</f>
        <v>58.972861691199981</v>
      </c>
      <c r="I230" s="1034">
        <v>60</v>
      </c>
      <c r="J230" s="342">
        <f>($M$299*($E230^2))+($P$299*$E230)+$S$299</f>
        <v>58.586264671102548</v>
      </c>
      <c r="K230" s="1035" cm="1">
        <f t="array" ref="K230">IF(J230=0,IF(I230&gt;=60,60,I230),_xlfn.IFS(J230&gt;=60,60,J230&lt;60,J230))</f>
        <v>58.586264671102548</v>
      </c>
      <c r="L230" s="514">
        <v>52.25</v>
      </c>
      <c r="M230" s="342">
        <f>($Z$299*($E230^2))+($AC$299*$E230)+$AF$299</f>
        <v>52.319324803519677</v>
      </c>
      <c r="N230" s="1035" cm="1">
        <f t="array" ref="N230">IF(M230=0,IF(L230&gt;=60,60,L230),_xlfn.IFS(M230&gt;=60,60,M230&lt;60,M230))</f>
        <v>52.319324803519677</v>
      </c>
      <c r="O230" s="514">
        <v>52.25</v>
      </c>
      <c r="P230" s="342">
        <f>($AM$299*($E230^2))+($AP$299*$E230)+$AS$299</f>
        <v>52.106554651238433</v>
      </c>
      <c r="Q230" s="1035" cm="1">
        <f t="array" ref="Q230">IF(P230=0,IF(O230&gt;=60,60,O230),_xlfn.IFS(P230&gt;=60,60,P230&lt;60,P230))</f>
        <v>52.106554651238433</v>
      </c>
      <c r="S230" s="132"/>
      <c r="T230" s="132"/>
    </row>
    <row r="231" spans="2:20">
      <c r="B231" s="776">
        <v>3</v>
      </c>
      <c r="C231" s="1055" t="s">
        <v>1707</v>
      </c>
      <c r="D231" s="28">
        <v>26</v>
      </c>
      <c r="E231" s="980">
        <f t="shared" si="17"/>
        <v>56.54731983250025</v>
      </c>
      <c r="F231" s="514"/>
      <c r="G231" s="342">
        <f>($C$299*($E231^2))+($F$299*$E231)+$I$299</f>
        <v>54.359392720761747</v>
      </c>
      <c r="H231" s="1035" cm="1">
        <f t="array" ref="H231">IF(G231=0,IF(F231&gt;=60,60,F231),_xlfn.IFS(G231&gt;=60,60,G231&lt;60,G231))</f>
        <v>54.359392720761747</v>
      </c>
      <c r="I231" s="514"/>
      <c r="J231" s="342">
        <f>($M$299*($E231^2))+($P$299*$E231)+$S$299</f>
        <v>54.778199866997106</v>
      </c>
      <c r="K231" s="1035" cm="1">
        <f t="array" ref="K231">IF(J231=0,IF(I231&gt;=60,60,I231),_xlfn.IFS(J231&gt;=60,60,J231&lt;60,J231))</f>
        <v>54.778199866997106</v>
      </c>
      <c r="L231" s="514"/>
      <c r="M231" s="342">
        <f>($Z$299*($E231^2))+($AC$299*$E231)+$AF$299</f>
        <v>50.098406406870524</v>
      </c>
      <c r="N231" s="1035" cm="1">
        <f t="array" ref="N231">IF(M231=0,IF(L231&gt;=60,60,L231),_xlfn.IFS(M231&gt;=60,60,M231&lt;60,M231))</f>
        <v>50.098406406870524</v>
      </c>
      <c r="O231" s="514"/>
      <c r="P231" s="342">
        <f>($AM$299*($E231^2))+($AP$299*$E231)+$AS$299</f>
        <v>49.809665116812134</v>
      </c>
      <c r="Q231" s="1035" cm="1">
        <f t="array" ref="Q231">IF(P231=0,IF(O231&gt;=60,60,O231),_xlfn.IFS(P231&gt;=60,60,P231&lt;60,P231))</f>
        <v>49.809665116812134</v>
      </c>
      <c r="S231" s="132"/>
      <c r="T231" s="132"/>
    </row>
    <row r="232" spans="2:20">
      <c r="B232" s="776">
        <v>4</v>
      </c>
      <c r="C232" s="1032" t="s">
        <v>57</v>
      </c>
      <c r="D232" s="1038" t="s">
        <v>1754</v>
      </c>
      <c r="E232" s="1056">
        <f t="shared" si="17"/>
        <v>56.71974203572637</v>
      </c>
      <c r="F232" s="1039"/>
      <c r="G232" s="1038"/>
      <c r="H232" s="1040"/>
      <c r="I232" s="1039"/>
      <c r="J232" s="1038"/>
      <c r="K232" s="1040"/>
      <c r="L232" s="1039"/>
      <c r="M232" s="1038"/>
      <c r="N232" s="1040"/>
      <c r="O232" s="1039"/>
      <c r="P232" s="1038"/>
      <c r="Q232" s="1040"/>
      <c r="S232" s="132"/>
      <c r="T232" s="132"/>
    </row>
    <row r="233" spans="2:20">
      <c r="B233" s="776">
        <v>5</v>
      </c>
      <c r="C233" s="1032" t="s">
        <v>393</v>
      </c>
      <c r="D233" s="28">
        <v>26</v>
      </c>
      <c r="E233" s="980">
        <f t="shared" si="17"/>
        <v>57.578362514458831</v>
      </c>
      <c r="F233" s="1034">
        <v>48</v>
      </c>
      <c r="G233" s="342">
        <f>($C$299*($E233^2))+($F$299*$E233)+$I$299</f>
        <v>52.815429970009305</v>
      </c>
      <c r="H233" s="1035" cm="1">
        <f t="array" ref="H233">IF(G233=0,IF(F233&gt;=52.25,52.25,F233),_xlfn.IFS(G233&gt;=52.25,52.25,G233&lt;52.25,G233))</f>
        <v>52.25</v>
      </c>
      <c r="I233" s="1034">
        <v>48</v>
      </c>
      <c r="J233" s="342">
        <f>($M$299*($E233^2))+($P$299*$E233)+$S$299</f>
        <v>53.445230714526822</v>
      </c>
      <c r="K233" s="1035" cm="1">
        <f t="array" ref="K233">IF(J233=0,IF(I233&gt;=52.25,52.25,I233),_xlfn.IFS(J233&gt;52.25,52.25,J233&lt;52.25,J233))</f>
        <v>52.25</v>
      </c>
      <c r="L233" s="514"/>
      <c r="M233" s="342">
        <f>($Z$299*($E233^2))+($AC$299*$E233)+$AF$299</f>
        <v>49.185543783010345</v>
      </c>
      <c r="N233" s="1035" cm="1">
        <f t="array" ref="N233">IF(M233=0,IF(L233&gt;=52.25,52.25,L233),_xlfn.IFS(M233&gt;=52.25,52.25,M233&lt;52.25,M233))</f>
        <v>49.185543783010345</v>
      </c>
      <c r="O233" s="514"/>
      <c r="P233" s="342">
        <f>($AM$299*($E233^2))+($AP$299*$E233)+$AS$299</f>
        <v>48.891212322634964</v>
      </c>
      <c r="Q233" s="1035" cm="1">
        <f t="array" ref="Q233">IF(P233=0,IF(O233&gt;=52.25,52.25,O233),_xlfn.IFS(P233&gt;=52.25,52.25,P233&lt;52.25,P233))</f>
        <v>48.891212322634964</v>
      </c>
    </row>
    <row r="234" spans="2:20">
      <c r="B234" s="776">
        <v>6</v>
      </c>
      <c r="C234" s="1032" t="s">
        <v>411</v>
      </c>
      <c r="D234" s="1038" t="s">
        <v>1754</v>
      </c>
      <c r="E234" s="1056">
        <f t="shared" si="17"/>
        <v>58.607163396818464</v>
      </c>
      <c r="F234" s="1039"/>
      <c r="G234" s="1038"/>
      <c r="H234" s="1040"/>
      <c r="I234" s="1039"/>
      <c r="J234" s="1038"/>
      <c r="K234" s="1040"/>
      <c r="L234" s="1039"/>
      <c r="M234" s="1038"/>
      <c r="N234" s="1040"/>
      <c r="O234" s="1039"/>
      <c r="P234" s="1038"/>
      <c r="Q234" s="1040"/>
    </row>
    <row r="235" spans="2:20">
      <c r="B235" s="776">
        <v>7</v>
      </c>
      <c r="C235" s="1032" t="s">
        <v>400</v>
      </c>
      <c r="D235" s="28">
        <v>26</v>
      </c>
      <c r="E235" s="980">
        <f t="shared" si="17"/>
        <v>60.526484789578774</v>
      </c>
      <c r="F235" s="1034">
        <v>48</v>
      </c>
      <c r="G235" s="342">
        <f>($C$299*($E235^2))+($F$299*$E235)+$I$299</f>
        <v>48.36549133660823</v>
      </c>
      <c r="H235" s="1035" cm="1">
        <f t="array" ref="H235">IF(G235=0,IF(F235&gt;=52.25,52.25,F235),_xlfn.IFS(G235&gt;=52.25,52.25,G235&lt;52.25,G235))</f>
        <v>48.36549133660823</v>
      </c>
      <c r="I235" s="514"/>
      <c r="J235" s="342">
        <f>($M$299*($E235^2))+($P$299*$E235)+$S$299</f>
        <v>49.443748695079407</v>
      </c>
      <c r="K235" s="1035" cm="1">
        <f t="array" ref="K235">IF(J235=0,IF(I235&gt;=52.25,52.25,I235),_xlfn.IFS(J235&gt;52.25,52.25,J235&lt;52.25,J235))</f>
        <v>49.443748695079407</v>
      </c>
      <c r="L235" s="514"/>
      <c r="M235" s="342">
        <f>($Z$299*($E235^2))+($AC$299*$E235)+$AF$299</f>
        <v>46.092020975402207</v>
      </c>
      <c r="N235" s="1035" cm="1">
        <f t="array" ref="N235">IF(M235=0,IF(L235&gt;=52.25,52.25,L235),_xlfn.IFS(M235&gt;=52.25,52.25,M235&lt;52.25,M235))</f>
        <v>46.092020975402207</v>
      </c>
      <c r="O235" s="514"/>
      <c r="P235" s="342">
        <f>($AM$299*($E235^2))+($AP$299*$E235)+$AS$299</f>
        <v>45.835668103531908</v>
      </c>
      <c r="Q235" s="1035" cm="1">
        <f t="array" ref="Q235">IF(P235=0,IF(O235&gt;=52.25,52.25,O235),_xlfn.IFS(P235&gt;=52.25,52.25,P235&lt;52.25,P235))</f>
        <v>45.835668103531908</v>
      </c>
      <c r="S235" s="132"/>
      <c r="T235" s="132"/>
    </row>
    <row r="236" spans="2:20" ht="15.6">
      <c r="B236" s="776">
        <v>8</v>
      </c>
      <c r="C236" s="1032" t="s">
        <v>401</v>
      </c>
      <c r="D236" s="28">
        <v>26</v>
      </c>
      <c r="E236" s="980">
        <f t="shared" si="17"/>
        <v>63.06609980042964</v>
      </c>
      <c r="F236" s="1057">
        <v>48</v>
      </c>
      <c r="G236" s="342">
        <f>($C$299*($E236^2))+($F$299*$E236)+$I$299</f>
        <v>44.490349288410485</v>
      </c>
      <c r="H236" s="1035" cm="1">
        <f t="array" ref="H236">IF(G236=0,IF(F236&gt;=52.25,52.25,F236),_xlfn.IFS(G236&gt;=52.25,52.25,G236&lt;52.25,G236))</f>
        <v>44.490349288410485</v>
      </c>
      <c r="I236" s="1057">
        <v>50</v>
      </c>
      <c r="J236" s="342">
        <f>($M$299*($E236^2))+($P$299*$E236)+$S$299</f>
        <v>45.770957795627311</v>
      </c>
      <c r="K236" s="1035" cm="1">
        <f t="array" ref="K236">IF(J236=0,IF(I236&gt;=52.25,52.25,I236),_xlfn.IFS(J236&gt;52.25,52.25,J236&lt;52.25,J236))</f>
        <v>45.770957795627311</v>
      </c>
      <c r="L236" s="1057">
        <v>46</v>
      </c>
      <c r="M236" s="342">
        <f>($Z$299*($E236^2))+($AC$299*$E236)+$AF$299</f>
        <v>42.852959203964403</v>
      </c>
      <c r="N236" s="1035" cm="1">
        <f t="array" ref="N236">IF(M236=0,IF(L236&gt;=52.25,52.25,L236),_xlfn.IFS(M236&gt;=52.25,52.25,M236&lt;52.25,M236))</f>
        <v>42.852959203964403</v>
      </c>
      <c r="O236" s="1058">
        <v>46</v>
      </c>
      <c r="P236" s="342">
        <f>($AM$299*($E236^2))+($AP$299*$E236)+$AS$299</f>
        <v>42.693431412390176</v>
      </c>
      <c r="Q236" s="1035" cm="1">
        <f t="array" ref="Q236">IF(P236=0,IF(O236&gt;=52.25,52.25,O236),_xlfn.IFS(P236&gt;=52.25,52.25,P236&lt;52.25,P236))</f>
        <v>42.693431412390176</v>
      </c>
      <c r="S236" s="132"/>
      <c r="T236" s="132"/>
    </row>
    <row r="237" spans="2:20">
      <c r="B237" s="776">
        <v>9</v>
      </c>
      <c r="C237" s="1032" t="s">
        <v>442</v>
      </c>
      <c r="D237" s="1038" t="s">
        <v>1754</v>
      </c>
      <c r="E237" s="1056">
        <f t="shared" si="17"/>
        <v>63.422144167614476</v>
      </c>
      <c r="F237" s="1039"/>
      <c r="G237" s="1038"/>
      <c r="H237" s="1040"/>
      <c r="I237" s="1039"/>
      <c r="J237" s="1038"/>
      <c r="K237" s="1040"/>
      <c r="L237" s="1039"/>
      <c r="M237" s="1038"/>
      <c r="N237" s="1040"/>
      <c r="O237" s="1039"/>
      <c r="P237" s="1038"/>
      <c r="Q237" s="1040"/>
    </row>
    <row r="238" spans="2:20">
      <c r="B238" s="776">
        <v>10</v>
      </c>
      <c r="C238" s="1032" t="s">
        <v>422</v>
      </c>
      <c r="D238" s="1038" t="s">
        <v>1754</v>
      </c>
      <c r="E238" s="1056">
        <f t="shared" si="17"/>
        <v>63.572354166699597</v>
      </c>
      <c r="F238" s="1039"/>
      <c r="G238" s="1038"/>
      <c r="H238" s="1040"/>
      <c r="I238" s="1039"/>
      <c r="J238" s="1038"/>
      <c r="K238" s="1040"/>
      <c r="L238" s="1039"/>
      <c r="M238" s="1038"/>
      <c r="N238" s="1040"/>
      <c r="O238" s="1039"/>
      <c r="P238" s="1038"/>
      <c r="Q238" s="1040"/>
    </row>
    <row r="239" spans="2:20">
      <c r="B239" s="776">
        <v>11</v>
      </c>
      <c r="C239" s="1032" t="s">
        <v>446</v>
      </c>
      <c r="D239" s="1038" t="s">
        <v>1754</v>
      </c>
      <c r="E239" s="1056">
        <f t="shared" si="17"/>
        <v>66.537654513875623</v>
      </c>
      <c r="F239" s="1039"/>
      <c r="G239" s="1038"/>
      <c r="H239" s="1040"/>
      <c r="I239" s="1039"/>
      <c r="J239" s="1038"/>
      <c r="K239" s="1040"/>
      <c r="L239" s="1039"/>
      <c r="M239" s="1038"/>
      <c r="N239" s="1040"/>
      <c r="O239" s="1039"/>
      <c r="P239" s="1038"/>
      <c r="Q239" s="1040"/>
    </row>
    <row r="240" spans="2:20">
      <c r="B240" s="776">
        <v>12</v>
      </c>
      <c r="C240" s="1032" t="s">
        <v>429</v>
      </c>
      <c r="D240" s="1038" t="s">
        <v>1754</v>
      </c>
      <c r="E240" s="1056">
        <f t="shared" si="17"/>
        <v>66.598199913018846</v>
      </c>
      <c r="F240" s="1039"/>
      <c r="G240" s="1038"/>
      <c r="H240" s="1040"/>
      <c r="I240" s="1039"/>
      <c r="J240" s="1038"/>
      <c r="K240" s="1040"/>
      <c r="L240" s="1039"/>
      <c r="M240" s="1038"/>
      <c r="N240" s="1040"/>
      <c r="O240" s="1039"/>
      <c r="P240" s="1038"/>
      <c r="Q240" s="1040"/>
    </row>
    <row r="241" spans="2:17">
      <c r="B241" s="776">
        <v>13</v>
      </c>
      <c r="C241" s="1032" t="s">
        <v>415</v>
      </c>
      <c r="D241" s="1038" t="s">
        <v>1754</v>
      </c>
      <c r="E241" s="1056">
        <f t="shared" si="17"/>
        <v>68.10361392462795</v>
      </c>
      <c r="F241" s="1039"/>
      <c r="G241" s="1038"/>
      <c r="H241" s="1040"/>
      <c r="I241" s="1039"/>
      <c r="J241" s="1038"/>
      <c r="K241" s="1040"/>
      <c r="L241" s="1039"/>
      <c r="M241" s="1038"/>
      <c r="N241" s="1040"/>
      <c r="O241" s="1039"/>
      <c r="P241" s="1038"/>
      <c r="Q241" s="1040"/>
    </row>
    <row r="242" spans="2:17">
      <c r="B242" s="776">
        <v>14</v>
      </c>
      <c r="C242" s="1032" t="s">
        <v>1710</v>
      </c>
      <c r="D242" s="1038" t="s">
        <v>1749</v>
      </c>
      <c r="E242" s="1056">
        <f t="shared" si="17"/>
        <v>68.604306171230803</v>
      </c>
      <c r="F242" s="1039"/>
      <c r="G242" s="1038"/>
      <c r="H242" s="1040"/>
      <c r="I242" s="1039"/>
      <c r="J242" s="1038"/>
      <c r="K242" s="1040"/>
      <c r="L242" s="1039"/>
      <c r="M242" s="1038"/>
      <c r="N242" s="1040"/>
      <c r="O242" s="1039"/>
      <c r="P242" s="1038"/>
      <c r="Q242" s="1040"/>
    </row>
    <row r="243" spans="2:17">
      <c r="B243" s="776">
        <v>15</v>
      </c>
      <c r="C243" s="1032" t="s">
        <v>427</v>
      </c>
      <c r="D243" s="1038" t="s">
        <v>1754</v>
      </c>
      <c r="E243" s="1056">
        <f t="shared" si="17"/>
        <v>71.063733383987255</v>
      </c>
      <c r="F243" s="1039"/>
      <c r="G243" s="1038"/>
      <c r="H243" s="1040"/>
      <c r="I243" s="1039"/>
      <c r="J243" s="1038"/>
      <c r="K243" s="1040"/>
      <c r="L243" s="1039"/>
      <c r="M243" s="1038"/>
      <c r="N243" s="1040"/>
      <c r="O243" s="1039"/>
      <c r="P243" s="1038"/>
      <c r="Q243" s="1040"/>
    </row>
    <row r="244" spans="2:17">
      <c r="B244" s="776">
        <v>16</v>
      </c>
      <c r="C244" s="1032" t="s">
        <v>424</v>
      </c>
      <c r="D244" s="1038" t="s">
        <v>1749</v>
      </c>
      <c r="E244" s="1056">
        <f t="shared" si="17"/>
        <v>71.09942422474478</v>
      </c>
      <c r="F244" s="1039"/>
      <c r="G244" s="1038"/>
      <c r="H244" s="1040"/>
      <c r="I244" s="1039"/>
      <c r="J244" s="1038"/>
      <c r="K244" s="1040"/>
      <c r="L244" s="1039"/>
      <c r="M244" s="1038"/>
      <c r="N244" s="1040"/>
      <c r="O244" s="1039"/>
      <c r="P244" s="1038"/>
      <c r="Q244" s="1040"/>
    </row>
    <row r="245" spans="2:17">
      <c r="B245" s="776">
        <v>17</v>
      </c>
      <c r="C245" s="1032" t="s">
        <v>439</v>
      </c>
      <c r="D245" s="1038" t="s">
        <v>1754</v>
      </c>
      <c r="E245" s="1056">
        <f t="shared" si="17"/>
        <v>71.09942422474478</v>
      </c>
      <c r="F245" s="1039"/>
      <c r="G245" s="1038"/>
      <c r="H245" s="1040"/>
      <c r="I245" s="1039"/>
      <c r="J245" s="1038"/>
      <c r="K245" s="1040"/>
      <c r="L245" s="1039"/>
      <c r="M245" s="1038"/>
      <c r="N245" s="1040"/>
      <c r="O245" s="1039"/>
      <c r="P245" s="1038"/>
      <c r="Q245" s="1040"/>
    </row>
    <row r="246" spans="2:17">
      <c r="B246" s="776">
        <v>18</v>
      </c>
      <c r="C246" s="1032" t="s">
        <v>435</v>
      </c>
      <c r="D246" s="1038" t="s">
        <v>1754</v>
      </c>
      <c r="E246" s="1056">
        <f t="shared" si="17"/>
        <v>71.27802258515743</v>
      </c>
      <c r="F246" s="1039"/>
      <c r="G246" s="1038"/>
      <c r="H246" s="1040"/>
      <c r="I246" s="1039"/>
      <c r="J246" s="1038"/>
      <c r="K246" s="1040"/>
      <c r="L246" s="1039"/>
      <c r="M246" s="1038"/>
      <c r="N246" s="1040"/>
      <c r="O246" s="1039"/>
      <c r="P246" s="1038"/>
      <c r="Q246" s="1040"/>
    </row>
    <row r="247" spans="2:17">
      <c r="B247" s="776">
        <v>19</v>
      </c>
      <c r="C247" s="1032" t="s">
        <v>1711</v>
      </c>
      <c r="D247" s="1038" t="s">
        <v>1754</v>
      </c>
      <c r="E247" s="1056">
        <f t="shared" si="17"/>
        <v>71.396523939113308</v>
      </c>
      <c r="F247" s="1039"/>
      <c r="G247" s="1038"/>
      <c r="H247" s="1040"/>
      <c r="I247" s="1039"/>
      <c r="J247" s="1038"/>
      <c r="K247" s="1040"/>
      <c r="L247" s="1039"/>
      <c r="M247" s="1038"/>
      <c r="N247" s="1040"/>
      <c r="O247" s="1039"/>
      <c r="P247" s="1038"/>
      <c r="Q247" s="1040"/>
    </row>
    <row r="248" spans="2:17">
      <c r="B248" s="776">
        <v>20</v>
      </c>
      <c r="C248" s="1032" t="s">
        <v>405</v>
      </c>
      <c r="D248" s="28">
        <v>26</v>
      </c>
      <c r="E248" s="980">
        <f t="shared" si="17"/>
        <v>71.596779199547427</v>
      </c>
      <c r="F248" s="1034">
        <v>30</v>
      </c>
      <c r="G248" s="342">
        <f>($C$299*($E248^2))+($F$299*$E248)+$I$299</f>
        <v>31.190263971356543</v>
      </c>
      <c r="H248" s="1035" cm="1">
        <f t="array" ref="H248">IF(G248=0,IF(F248&gt;=52.25,52.25,F248),_xlfn.IFS(G248&gt;=52.25,52.25,G248&lt;52.25,G248))</f>
        <v>31.190263971356543</v>
      </c>
      <c r="I248" s="1034">
        <v>31</v>
      </c>
      <c r="J248" s="342">
        <f>($M$299*($E248^2))+($P$299*$E248)+$S$299</f>
        <v>31.904008808618663</v>
      </c>
      <c r="K248" s="1035" cm="1">
        <f t="array" ref="K248">IF(J248=0,IF(I248&gt;=52.25,52.25,I248),_xlfn.IFS(J248&gt;52.25,52.25,J248&lt;52.25,J248))</f>
        <v>31.904008808618663</v>
      </c>
      <c r="L248" s="1034">
        <v>28</v>
      </c>
      <c r="M248" s="342">
        <f>($Z$299*($E248^2))+($AC$299*$E248)+$AF$299</f>
        <v>28.081997272944321</v>
      </c>
      <c r="N248" s="1035" cm="1">
        <f t="array" ref="N248">IF(M248=0,IF(L248&gt;=52.25,52.25,L248),_xlfn.IFS(M248&gt;=52.25,52.25,M248&lt;52.25,M248))</f>
        <v>28.081997272944321</v>
      </c>
      <c r="O248" s="1034">
        <v>29</v>
      </c>
      <c r="P248" s="342">
        <f>($AM$299*($E248^2))+($AP$299*$E248)+$AS$299</f>
        <v>28.682120027548599</v>
      </c>
      <c r="Q248" s="1035" cm="1">
        <f t="array" ref="Q248">IF(P248=0,IF(O248&gt;=52.25,52.25,O248),_xlfn.IFS(P248&gt;=52.25,52.25,P248&lt;52.25,P248))</f>
        <v>28.682120027548599</v>
      </c>
    </row>
    <row r="249" spans="2:17">
      <c r="B249" s="776">
        <v>21</v>
      </c>
      <c r="C249" s="1032" t="s">
        <v>434</v>
      </c>
      <c r="D249" s="1038" t="s">
        <v>1754</v>
      </c>
      <c r="E249" s="1056">
        <f t="shared" si="17"/>
        <v>72.143941265090348</v>
      </c>
      <c r="F249" s="1039"/>
      <c r="G249" s="1038"/>
      <c r="H249" s="1040"/>
      <c r="I249" s="1039"/>
      <c r="J249" s="1038"/>
      <c r="K249" s="1040"/>
      <c r="L249" s="1039"/>
      <c r="M249" s="1038"/>
      <c r="N249" s="1040"/>
      <c r="O249" s="1039"/>
      <c r="P249" s="1038"/>
      <c r="Q249" s="1040"/>
    </row>
    <row r="250" spans="2:17">
      <c r="B250" s="776">
        <v>22</v>
      </c>
      <c r="C250" s="1032" t="s">
        <v>407</v>
      </c>
      <c r="D250" s="28">
        <v>26</v>
      </c>
      <c r="E250" s="980">
        <f t="shared" si="17"/>
        <v>72.406259977471279</v>
      </c>
      <c r="F250" s="1034">
        <v>30</v>
      </c>
      <c r="G250" s="342">
        <f>($C$299*($E250^2))+($F$299*$E250)+$I$299</f>
        <v>29.905529648247466</v>
      </c>
      <c r="H250" s="1035" cm="1">
        <f t="array" ref="H250">IF(G250=0,IF(F250&gt;=52.25,52.25,F250),_xlfn.IFS(G250&gt;=52.25,52.25,G250&lt;52.25,G250))</f>
        <v>29.905529648247466</v>
      </c>
      <c r="I250" s="1034">
        <v>31</v>
      </c>
      <c r="J250" s="342">
        <f>($M$299*($E250^2))+($P$299*$E250)+$S$299</f>
        <v>30.46568350788646</v>
      </c>
      <c r="K250" s="1035" cm="1">
        <f t="array" ref="K250">IF(J250=0,IF(I250&gt;=52.25,52.25,I250),_xlfn.IFS(J250&gt;52.25,52.25,J250&lt;52.25,J250))</f>
        <v>30.46568350788646</v>
      </c>
      <c r="L250" s="1034">
        <v>27</v>
      </c>
      <c r="M250" s="342">
        <f>($Z$299*($E250^2))+($AC$299*$E250)+$AF$299</f>
        <v>26.368872692300371</v>
      </c>
      <c r="N250" s="1035" cm="1">
        <f t="array" ref="N250">IF(M250=0,IF(L250&gt;=52.25,52.25,L250),_xlfn.IFS(M250&gt;=52.25,52.25,M250&lt;52.25,M250))</f>
        <v>26.368872692300371</v>
      </c>
      <c r="O250" s="1034">
        <v>28</v>
      </c>
      <c r="P250" s="342">
        <f>($AM$299*($E250^2))+($AP$299*$E250)+$AS$299</f>
        <v>27.075858226305293</v>
      </c>
      <c r="Q250" s="1035" cm="1">
        <f t="array" ref="Q250">IF(P250=0,IF(O250&gt;=52.25,52.25,O250),_xlfn.IFS(P250&gt;=52.25,52.25,P250&lt;52.25,P250))</f>
        <v>27.075858226305293</v>
      </c>
    </row>
    <row r="251" spans="2:17">
      <c r="B251" s="776">
        <v>23</v>
      </c>
      <c r="C251" s="1045" t="s">
        <v>1712</v>
      </c>
      <c r="D251" s="1038" t="s">
        <v>1754</v>
      </c>
      <c r="E251" s="1056">
        <f t="shared" si="17"/>
        <v>73.272853961107671</v>
      </c>
      <c r="F251" s="1039"/>
      <c r="G251" s="1038"/>
      <c r="H251" s="1040"/>
      <c r="I251" s="1039"/>
      <c r="J251" s="1038"/>
      <c r="K251" s="1040"/>
      <c r="L251" s="1039"/>
      <c r="M251" s="1038"/>
      <c r="N251" s="1040"/>
      <c r="O251" s="1039"/>
      <c r="P251" s="1038"/>
      <c r="Q251" s="1040"/>
    </row>
    <row r="252" spans="2:17">
      <c r="B252" s="776">
        <v>24</v>
      </c>
      <c r="C252" s="1032" t="s">
        <v>441</v>
      </c>
      <c r="D252" s="1038" t="s">
        <v>1754</v>
      </c>
      <c r="E252" s="1056">
        <f t="shared" si="17"/>
        <v>73.961348707585103</v>
      </c>
      <c r="F252" s="1039"/>
      <c r="G252" s="1038"/>
      <c r="H252" s="1040"/>
      <c r="I252" s="1039"/>
      <c r="J252" s="1038"/>
      <c r="K252" s="1040"/>
      <c r="L252" s="1039"/>
      <c r="M252" s="1038"/>
      <c r="N252" s="1040"/>
      <c r="O252" s="1039"/>
      <c r="P252" s="1038"/>
      <c r="Q252" s="1040"/>
    </row>
    <row r="253" spans="2:17">
      <c r="B253" s="776">
        <v>25</v>
      </c>
      <c r="C253" s="1032" t="s">
        <v>425</v>
      </c>
      <c r="D253" s="1038" t="s">
        <v>1754</v>
      </c>
      <c r="E253" s="1056">
        <f t="shared" si="17"/>
        <v>74.075210894060092</v>
      </c>
      <c r="F253" s="1039"/>
      <c r="G253" s="1038"/>
      <c r="H253" s="1040"/>
      <c r="I253" s="1039"/>
      <c r="J253" s="1038"/>
      <c r="K253" s="1040"/>
      <c r="L253" s="1039"/>
      <c r="M253" s="1038"/>
      <c r="N253" s="1040"/>
      <c r="O253" s="1039"/>
      <c r="P253" s="1038"/>
      <c r="Q253" s="1040"/>
    </row>
    <row r="254" spans="2:17">
      <c r="B254" s="776">
        <v>26</v>
      </c>
      <c r="C254" s="1032" t="s">
        <v>432</v>
      </c>
      <c r="D254" s="1038" t="s">
        <v>1754</v>
      </c>
      <c r="E254" s="1056">
        <f t="shared" si="17"/>
        <v>75.753783058301622</v>
      </c>
      <c r="F254" s="1039"/>
      <c r="G254" s="1038"/>
      <c r="H254" s="1040"/>
      <c r="I254" s="1039"/>
      <c r="J254" s="1038"/>
      <c r="K254" s="1040"/>
      <c r="L254" s="1039"/>
      <c r="M254" s="1038"/>
      <c r="N254" s="1040"/>
      <c r="O254" s="1039"/>
      <c r="P254" s="1038"/>
      <c r="Q254" s="1040"/>
    </row>
    <row r="255" spans="2:17">
      <c r="B255" s="776">
        <v>27</v>
      </c>
      <c r="C255" s="1032" t="s">
        <v>426</v>
      </c>
      <c r="D255" s="1038" t="s">
        <v>1754</v>
      </c>
      <c r="E255" s="1056">
        <f t="shared" si="17"/>
        <v>77.521654363776008</v>
      </c>
      <c r="F255" s="1039"/>
      <c r="G255" s="1038"/>
      <c r="H255" s="1040"/>
      <c r="I255" s="1039"/>
      <c r="J255" s="1038"/>
      <c r="K255" s="1040"/>
      <c r="L255" s="1039"/>
      <c r="M255" s="1038"/>
      <c r="N255" s="1040"/>
      <c r="O255" s="1039"/>
      <c r="P255" s="1038"/>
      <c r="Q255" s="1040"/>
    </row>
    <row r="256" spans="2:17" ht="15" thickBot="1">
      <c r="B256" s="776">
        <v>28</v>
      </c>
      <c r="C256" s="1032" t="s">
        <v>447</v>
      </c>
      <c r="D256" s="1038" t="s">
        <v>1754</v>
      </c>
      <c r="E256" s="1056">
        <f t="shared" si="17"/>
        <v>82.596339388573085</v>
      </c>
      <c r="F256" s="1059"/>
      <c r="G256" s="1060"/>
      <c r="H256" s="1061"/>
      <c r="I256" s="1059"/>
      <c r="J256" s="1060"/>
      <c r="K256" s="1061"/>
      <c r="L256" s="1059"/>
      <c r="M256" s="1060"/>
      <c r="N256" s="1061"/>
      <c r="O256" s="1059"/>
      <c r="P256" s="1060"/>
      <c r="Q256" s="1061"/>
    </row>
    <row r="259" s="911" customFormat="1"/>
    <row r="260" s="911" customFormat="1"/>
    <row r="261" s="911" customFormat="1"/>
    <row r="262" s="911" customFormat="1"/>
    <row r="263" s="911" customFormat="1"/>
    <row r="264" s="911" customFormat="1"/>
    <row r="265" s="911" customFormat="1"/>
    <row r="266" s="911" customFormat="1"/>
    <row r="267" s="911" customFormat="1"/>
    <row r="268" s="911" customFormat="1"/>
    <row r="269" s="911" customFormat="1"/>
    <row r="270" s="911" customFormat="1"/>
    <row r="271" s="911" customFormat="1"/>
    <row r="272" s="911" customFormat="1"/>
    <row r="273" s="911" customFormat="1"/>
    <row r="274" s="911" customFormat="1"/>
    <row r="275" s="911" customFormat="1"/>
    <row r="276" s="911" customFormat="1"/>
    <row r="277" s="911" customFormat="1"/>
    <row r="278" s="911" customFormat="1"/>
    <row r="279" s="911" customFormat="1"/>
    <row r="280" s="911" customFormat="1"/>
    <row r="281" s="911" customFormat="1"/>
    <row r="282" s="911" customFormat="1"/>
    <row r="283" s="911" customFormat="1"/>
    <row r="284" s="911" customFormat="1"/>
    <row r="285" s="911" customFormat="1"/>
    <row r="286" s="911" customFormat="1"/>
    <row r="287" s="911" customFormat="1"/>
    <row r="288" s="911" customFormat="1"/>
    <row r="289" spans="2:45" s="911" customFormat="1"/>
    <row r="290" spans="2:45" s="911" customFormat="1"/>
    <row r="291" spans="2:45" s="911" customFormat="1"/>
    <row r="292" spans="2:45" s="911" customFormat="1"/>
    <row r="293" spans="2:45" s="911" customFormat="1"/>
    <row r="294" spans="2:45" s="911" customFormat="1"/>
    <row r="295" spans="2:45" s="911" customFormat="1"/>
    <row r="296" spans="2:45" s="911" customFormat="1"/>
    <row r="297" spans="2:45" s="911" customFormat="1"/>
    <row r="298" spans="2:45" s="911" customFormat="1"/>
    <row r="299" spans="2:45" s="911" customFormat="1" ht="16.149999999999999">
      <c r="B299" s="1050" t="s">
        <v>1750</v>
      </c>
      <c r="C299" s="1062">
        <v>-3.0000000000000001E-3</v>
      </c>
      <c r="D299" s="1051" t="s">
        <v>1751</v>
      </c>
      <c r="E299" s="1052" t="s">
        <v>1752</v>
      </c>
      <c r="F299" s="1051">
        <v>-1.1551</v>
      </c>
      <c r="G299" s="1051" t="s">
        <v>403</v>
      </c>
      <c r="H299" s="1052" t="s">
        <v>1752</v>
      </c>
      <c r="I299" s="1053">
        <v>129.27000000000001</v>
      </c>
      <c r="L299" s="1050" t="s">
        <v>1750</v>
      </c>
      <c r="M299" s="1051">
        <v>-1.6199999999999999E-2</v>
      </c>
      <c r="N299" s="1051" t="s">
        <v>1751</v>
      </c>
      <c r="O299" s="1052" t="s">
        <v>1752</v>
      </c>
      <c r="P299" s="1051">
        <v>0.55600000000000005</v>
      </c>
      <c r="Q299" s="1051" t="s">
        <v>403</v>
      </c>
      <c r="R299" s="1052" t="s">
        <v>1752</v>
      </c>
      <c r="S299" s="1053">
        <v>75.138999999999996</v>
      </c>
      <c r="Y299" s="1050" t="s">
        <v>1750</v>
      </c>
      <c r="Z299" s="1051">
        <v>-4.1200000000000001E-2</v>
      </c>
      <c r="AA299" s="1051" t="s">
        <v>1751</v>
      </c>
      <c r="AB299" s="1052" t="s">
        <v>1752</v>
      </c>
      <c r="AC299" s="1051">
        <v>3.8166000000000002</v>
      </c>
      <c r="AD299" s="1051" t="s">
        <v>403</v>
      </c>
      <c r="AE299" s="1052" t="s">
        <v>1752</v>
      </c>
      <c r="AF299" s="1053">
        <v>-33.978999999999999</v>
      </c>
      <c r="AL299" s="1050" t="s">
        <v>1750</v>
      </c>
      <c r="AM299" s="1051">
        <v>-3.6600000000000001E-2</v>
      </c>
      <c r="AN299" s="1051" t="s">
        <v>1751</v>
      </c>
      <c r="AO299" s="1052" t="s">
        <v>1752</v>
      </c>
      <c r="AP299" s="1051">
        <v>3.2862</v>
      </c>
      <c r="AQ299" s="1051" t="s">
        <v>403</v>
      </c>
      <c r="AR299" s="1052" t="s">
        <v>1752</v>
      </c>
      <c r="AS299" s="1053">
        <v>-18.984000000000002</v>
      </c>
    </row>
    <row r="300" spans="2:45" s="911" customFormat="1"/>
    <row r="301" spans="2:45" s="911" customFormat="1"/>
    <row r="302" spans="2:45" s="911" customFormat="1"/>
    <row r="305" spans="2:17" ht="21">
      <c r="C305" s="1085" t="s">
        <v>1755</v>
      </c>
      <c r="D305" s="1085"/>
    </row>
    <row r="307" spans="2:17" ht="15" thickBot="1"/>
    <row r="308" spans="2:17">
      <c r="F308" s="1107" t="s">
        <v>1739</v>
      </c>
      <c r="G308" s="1108"/>
      <c r="H308" s="1109"/>
      <c r="I308" s="1107" t="s">
        <v>1740</v>
      </c>
      <c r="J308" s="1108"/>
      <c r="K308" s="1109"/>
      <c r="L308" s="1110" t="s">
        <v>1741</v>
      </c>
      <c r="M308" s="1111"/>
      <c r="N308" s="1112"/>
      <c r="O308" s="1110" t="s">
        <v>1742</v>
      </c>
      <c r="P308" s="1111"/>
      <c r="Q308" s="1112"/>
    </row>
    <row r="309" spans="2:17" ht="57.6">
      <c r="B309" s="792"/>
      <c r="C309" s="1027" t="s">
        <v>1743</v>
      </c>
      <c r="D309" s="1027" t="s">
        <v>1702</v>
      </c>
      <c r="E309" s="1028" t="s">
        <v>1744</v>
      </c>
      <c r="F309" s="1029" t="s">
        <v>1745</v>
      </c>
      <c r="G309" s="1027" t="s">
        <v>1746</v>
      </c>
      <c r="H309" s="1030" t="s">
        <v>1747</v>
      </c>
      <c r="I309" s="1029" t="s">
        <v>1745</v>
      </c>
      <c r="J309" s="1027" t="s">
        <v>1746</v>
      </c>
      <c r="K309" s="1030" t="s">
        <v>1747</v>
      </c>
      <c r="L309" s="1029" t="s">
        <v>1745</v>
      </c>
      <c r="M309" s="1027" t="s">
        <v>1746</v>
      </c>
      <c r="N309" s="1030" t="s">
        <v>1747</v>
      </c>
      <c r="O309" s="1029" t="s">
        <v>1745</v>
      </c>
      <c r="P309" s="1027" t="s">
        <v>1746</v>
      </c>
      <c r="Q309" s="1030" t="s">
        <v>1747</v>
      </c>
    </row>
    <row r="310" spans="2:17">
      <c r="B310" s="776">
        <v>1</v>
      </c>
      <c r="C310" s="1032" t="s">
        <v>408</v>
      </c>
      <c r="D310" s="1063"/>
      <c r="E310" s="1056">
        <f t="shared" ref="E310:E337" si="18">VLOOKUP(C310,$C$7:$J$36,8,FALSE)</f>
        <v>53.341586567624176</v>
      </c>
      <c r="F310" s="1064"/>
      <c r="G310" s="1063"/>
      <c r="H310" s="1065"/>
      <c r="I310" s="1064"/>
      <c r="J310" s="1063"/>
      <c r="K310" s="1065"/>
      <c r="L310" s="1064"/>
      <c r="M310" s="1063"/>
      <c r="N310" s="1065"/>
      <c r="O310" s="1064"/>
      <c r="P310" s="1063"/>
      <c r="Q310" s="1065"/>
    </row>
    <row r="311" spans="2:17">
      <c r="B311" s="776">
        <v>2</v>
      </c>
      <c r="C311" s="1032" t="s">
        <v>398</v>
      </c>
      <c r="D311" s="29">
        <v>24</v>
      </c>
      <c r="E311" s="980">
        <f t="shared" si="18"/>
        <v>53.440740989031156</v>
      </c>
      <c r="F311" s="1066">
        <f>(F230+F160)/2</f>
        <v>62.5</v>
      </c>
      <c r="G311" s="946">
        <f>($E$380*$E311)+($H$380)</f>
        <v>62.165554746480865</v>
      </c>
      <c r="H311" s="1035" cm="1">
        <f t="array" ref="H311">IF(G311=0,IF(F311&gt;=60,60,F311),_xlfn.IFS(G311&gt;=60,60,G311&lt;60,G311))</f>
        <v>60</v>
      </c>
      <c r="I311" s="1066">
        <f>(I230+I160)/2</f>
        <v>62.5</v>
      </c>
      <c r="J311" s="946">
        <f>($N$380*$E311)+($Q$380)</f>
        <v>62.17665513172382</v>
      </c>
      <c r="K311" s="1035" cm="1">
        <f t="array" ref="K311">IF(J311=0,IF(I311&gt;=60,60,I311),_xlfn.IFS(J311&gt;=60,60,J311&lt;60,J311))</f>
        <v>60</v>
      </c>
      <c r="L311" s="1066" t="e">
        <f>(#REF!+L160)/2</f>
        <v>#REF!</v>
      </c>
      <c r="M311" s="946">
        <f>($Z$380*$E311)+($AC$380)</f>
        <v>56.209956287452727</v>
      </c>
      <c r="N311" s="1035" cm="1">
        <f t="array" ref="N311">IF(M311=0,IF(L311&gt;=60,60,L311),_xlfn.IFS(M311&gt;=60,60,M311&lt;60,M311))</f>
        <v>56.209956287452727</v>
      </c>
      <c r="O311" s="1066" t="e">
        <f>(#REF!+O160)/2</f>
        <v>#REF!</v>
      </c>
      <c r="P311" s="946">
        <f>($AL$380*$E311)+($AO$380)</f>
        <v>56.221056672695667</v>
      </c>
      <c r="Q311" s="1035" cm="1">
        <f t="array" ref="Q311">IF(P311=0,IF(O311&gt;=60,60,O311),_xlfn.IFS(P311&gt;=60,60,P311&lt;60,P311))</f>
        <v>56.221056672695667</v>
      </c>
    </row>
    <row r="312" spans="2:17">
      <c r="B312" s="776">
        <v>3</v>
      </c>
      <c r="C312" s="1055" t="s">
        <v>1707</v>
      </c>
      <c r="D312" s="1038"/>
      <c r="E312" s="1056">
        <f t="shared" si="18"/>
        <v>56.54731983250025</v>
      </c>
      <c r="F312" s="1039"/>
      <c r="G312" s="1038"/>
      <c r="H312" s="1040"/>
      <c r="I312" s="1039"/>
      <c r="J312" s="1038"/>
      <c r="K312" s="1040"/>
      <c r="L312" s="1039"/>
      <c r="M312" s="1038"/>
      <c r="N312" s="1040"/>
      <c r="O312" s="1039"/>
      <c r="P312" s="1038"/>
      <c r="Q312" s="1040"/>
    </row>
    <row r="313" spans="2:17">
      <c r="B313" s="776">
        <v>4</v>
      </c>
      <c r="C313" s="1032" t="s">
        <v>57</v>
      </c>
      <c r="D313" s="1038"/>
      <c r="E313" s="1056">
        <f t="shared" si="18"/>
        <v>56.71974203572637</v>
      </c>
      <c r="F313" s="1039"/>
      <c r="G313" s="1038"/>
      <c r="H313" s="1040"/>
      <c r="I313" s="1039"/>
      <c r="J313" s="1038"/>
      <c r="K313" s="1040"/>
      <c r="L313" s="1039"/>
      <c r="M313" s="1038"/>
      <c r="N313" s="1040"/>
      <c r="O313" s="1039"/>
      <c r="P313" s="1038"/>
      <c r="Q313" s="1040"/>
    </row>
    <row r="314" spans="2:17">
      <c r="B314" s="776">
        <v>5</v>
      </c>
      <c r="C314" s="1032" t="s">
        <v>393</v>
      </c>
      <c r="D314" s="1038"/>
      <c r="E314" s="1056">
        <f t="shared" si="18"/>
        <v>57.578362514458831</v>
      </c>
      <c r="F314" s="1039"/>
      <c r="G314" s="1038"/>
      <c r="H314" s="1040"/>
      <c r="I314" s="1039"/>
      <c r="J314" s="1038"/>
      <c r="K314" s="1040"/>
      <c r="L314" s="1039"/>
      <c r="M314" s="1038"/>
      <c r="N314" s="1040"/>
      <c r="O314" s="1039"/>
      <c r="P314" s="1038"/>
      <c r="Q314" s="1040"/>
    </row>
    <row r="315" spans="2:17">
      <c r="B315" s="776">
        <v>6</v>
      </c>
      <c r="C315" s="1032" t="s">
        <v>411</v>
      </c>
      <c r="D315" s="1038"/>
      <c r="E315" s="1056">
        <f t="shared" si="18"/>
        <v>58.607163396818464</v>
      </c>
      <c r="F315" s="1039"/>
      <c r="G315" s="1038"/>
      <c r="H315" s="1040"/>
      <c r="I315" s="1039"/>
      <c r="J315" s="1038"/>
      <c r="K315" s="1040"/>
      <c r="L315" s="1039"/>
      <c r="M315" s="1038"/>
      <c r="N315" s="1040"/>
      <c r="O315" s="1039"/>
      <c r="P315" s="1038"/>
      <c r="Q315" s="1040"/>
    </row>
    <row r="316" spans="2:17">
      <c r="B316" s="776">
        <v>7</v>
      </c>
      <c r="C316" s="1032" t="s">
        <v>400</v>
      </c>
      <c r="D316" s="1038"/>
      <c r="E316" s="1056">
        <f t="shared" si="18"/>
        <v>60.526484789578774</v>
      </c>
      <c r="F316" s="1039"/>
      <c r="G316" s="1038"/>
      <c r="H316" s="1040"/>
      <c r="I316" s="1039"/>
      <c r="J316" s="1038"/>
      <c r="K316" s="1040"/>
      <c r="L316" s="1039"/>
      <c r="M316" s="1038"/>
      <c r="N316" s="1040"/>
      <c r="O316" s="1039"/>
      <c r="P316" s="1038"/>
      <c r="Q316" s="1040"/>
    </row>
    <row r="317" spans="2:17">
      <c r="B317" s="776">
        <v>8</v>
      </c>
      <c r="C317" s="1032" t="s">
        <v>401</v>
      </c>
      <c r="D317" s="1038"/>
      <c r="E317" s="1056">
        <f t="shared" si="18"/>
        <v>63.06609980042964</v>
      </c>
      <c r="F317" s="1039"/>
      <c r="G317" s="1038"/>
      <c r="H317" s="1040"/>
      <c r="I317" s="1039"/>
      <c r="J317" s="1038"/>
      <c r="K317" s="1040"/>
      <c r="L317" s="1039"/>
      <c r="M317" s="1038"/>
      <c r="N317" s="1040"/>
      <c r="O317" s="1039"/>
      <c r="P317" s="1038"/>
      <c r="Q317" s="1040"/>
    </row>
    <row r="318" spans="2:17">
      <c r="B318" s="776">
        <v>9</v>
      </c>
      <c r="C318" s="1032" t="s">
        <v>442</v>
      </c>
      <c r="D318" s="1038"/>
      <c r="E318" s="1056">
        <f t="shared" si="18"/>
        <v>63.422144167614476</v>
      </c>
      <c r="F318" s="1039"/>
      <c r="G318" s="1038"/>
      <c r="H318" s="1040"/>
      <c r="I318" s="1039"/>
      <c r="J318" s="1038"/>
      <c r="K318" s="1040"/>
      <c r="L318" s="1039"/>
      <c r="M318" s="1038"/>
      <c r="N318" s="1040"/>
      <c r="O318" s="1039"/>
      <c r="P318" s="1038"/>
      <c r="Q318" s="1040"/>
    </row>
    <row r="319" spans="2:17">
      <c r="B319" s="776">
        <v>10</v>
      </c>
      <c r="C319" s="1032" t="s">
        <v>422</v>
      </c>
      <c r="D319" s="1038"/>
      <c r="E319" s="1056">
        <f t="shared" si="18"/>
        <v>63.572354166699597</v>
      </c>
      <c r="F319" s="1039"/>
      <c r="G319" s="1038"/>
      <c r="H319" s="1040"/>
      <c r="I319" s="1039"/>
      <c r="J319" s="1038"/>
      <c r="K319" s="1040"/>
      <c r="L319" s="1039"/>
      <c r="M319" s="1038"/>
      <c r="N319" s="1040"/>
      <c r="O319" s="1039"/>
      <c r="P319" s="1038"/>
      <c r="Q319" s="1040"/>
    </row>
    <row r="320" spans="2:17">
      <c r="B320" s="776">
        <v>11</v>
      </c>
      <c r="C320" s="1032" t="s">
        <v>446</v>
      </c>
      <c r="D320" s="1038"/>
      <c r="E320" s="1056">
        <f t="shared" si="18"/>
        <v>66.537654513875623</v>
      </c>
      <c r="F320" s="1039"/>
      <c r="G320" s="1038"/>
      <c r="H320" s="1040"/>
      <c r="I320" s="1039"/>
      <c r="J320" s="1038"/>
      <c r="K320" s="1040"/>
      <c r="L320" s="1039"/>
      <c r="M320" s="1038"/>
      <c r="N320" s="1040"/>
      <c r="O320" s="1039"/>
      <c r="P320" s="1038"/>
      <c r="Q320" s="1040"/>
    </row>
    <row r="321" spans="2:17">
      <c r="B321" s="776">
        <v>12</v>
      </c>
      <c r="C321" s="1032" t="s">
        <v>429</v>
      </c>
      <c r="D321" s="1038"/>
      <c r="E321" s="1056">
        <f t="shared" si="18"/>
        <v>66.598199913018846</v>
      </c>
      <c r="F321" s="1039"/>
      <c r="G321" s="1038"/>
      <c r="H321" s="1040"/>
      <c r="I321" s="1039"/>
      <c r="J321" s="1038"/>
      <c r="K321" s="1040"/>
      <c r="L321" s="1039"/>
      <c r="M321" s="1038"/>
      <c r="N321" s="1040"/>
      <c r="O321" s="1039"/>
      <c r="P321" s="1038"/>
      <c r="Q321" s="1040"/>
    </row>
    <row r="322" spans="2:17">
      <c r="B322" s="776">
        <v>13</v>
      </c>
      <c r="C322" s="1032" t="s">
        <v>415</v>
      </c>
      <c r="D322" s="1038"/>
      <c r="E322" s="1056">
        <f t="shared" si="18"/>
        <v>68.10361392462795</v>
      </c>
      <c r="F322" s="1039"/>
      <c r="G322" s="1038"/>
      <c r="H322" s="1040"/>
      <c r="I322" s="1039"/>
      <c r="J322" s="1038"/>
      <c r="K322" s="1040"/>
      <c r="L322" s="1039"/>
      <c r="M322" s="1038"/>
      <c r="N322" s="1040"/>
      <c r="O322" s="1039"/>
      <c r="P322" s="1038"/>
      <c r="Q322" s="1040"/>
    </row>
    <row r="323" spans="2:17">
      <c r="B323" s="776">
        <v>14</v>
      </c>
      <c r="C323" s="1032" t="s">
        <v>1710</v>
      </c>
      <c r="D323" s="29">
        <v>24</v>
      </c>
      <c r="E323" s="1035">
        <f t="shared" si="18"/>
        <v>68.604306171230803</v>
      </c>
      <c r="F323" s="1066">
        <v>33</v>
      </c>
      <c r="G323" s="946">
        <f>($E$380*$E323)+($H$380)</f>
        <v>35.373051426052299</v>
      </c>
      <c r="H323" s="1035" cm="1">
        <f t="array" ref="H323">IF(G323=0,IF(F323&gt;=52.25,52.25,F323),_xlfn.IFS(G323&gt;=52.25,52.25,G323&lt;52.25,G323))</f>
        <v>35.373051426052299</v>
      </c>
      <c r="I323" s="1066">
        <v>34</v>
      </c>
      <c r="J323" s="946">
        <f>($N$380*$E323)+($Q$380)</f>
        <v>36.292449365709018</v>
      </c>
      <c r="K323" s="1035" cm="1">
        <f t="array" ref="K323">IF(J323=0,IF(I323&gt;=52.25,52.25,I323),_xlfn.IFS(J323&gt;=52.25,52.25,J323&lt;52.25,J323))</f>
        <v>36.292449365709018</v>
      </c>
      <c r="L323" s="1066">
        <v>31</v>
      </c>
      <c r="M323" s="946">
        <f>($Z$380*$E323)+($AC$380)</f>
        <v>33.050643184679203</v>
      </c>
      <c r="N323" s="1035" cm="1">
        <f t="array" ref="N323">IF(M323=0,IF(L323&gt;=52.25,52.25,L323),_xlfn.IFS(M323&gt;=52.25,52.25,M323&lt;52.25,M323))</f>
        <v>33.050643184679203</v>
      </c>
      <c r="O323" s="1066">
        <v>32</v>
      </c>
      <c r="P323" s="946">
        <f>($AL$380*$E323)+($AO$380)</f>
        <v>33.970041124335907</v>
      </c>
      <c r="Q323" s="1035" cm="1">
        <f t="array" ref="Q323">IF(P323=0,IF(O323&gt;=52.25,52.25,O323),_xlfn.IFS(P323&gt;=52.25,52.25,P323&lt;52.25,P323))</f>
        <v>33.970041124335907</v>
      </c>
    </row>
    <row r="324" spans="2:17">
      <c r="B324" s="776">
        <v>15</v>
      </c>
      <c r="C324" s="1032" t="s">
        <v>427</v>
      </c>
      <c r="D324" s="1038"/>
      <c r="E324" s="1056">
        <f t="shared" si="18"/>
        <v>71.063733383987255</v>
      </c>
      <c r="F324" s="1039"/>
      <c r="G324" s="1038"/>
      <c r="H324" s="1040"/>
      <c r="I324" s="1039"/>
      <c r="J324" s="1038"/>
      <c r="K324" s="1040"/>
      <c r="L324" s="1039"/>
      <c r="M324" s="1038"/>
      <c r="N324" s="1040"/>
      <c r="O324" s="1039"/>
      <c r="P324" s="1038"/>
      <c r="Q324" s="1040"/>
    </row>
    <row r="325" spans="2:17">
      <c r="B325" s="776">
        <v>16</v>
      </c>
      <c r="C325" s="1032" t="s">
        <v>424</v>
      </c>
      <c r="D325" s="29">
        <v>24</v>
      </c>
      <c r="E325" s="1035">
        <f t="shared" si="18"/>
        <v>71.09942422474478</v>
      </c>
      <c r="F325" s="1066">
        <v>33</v>
      </c>
      <c r="G325" s="946">
        <f>($E$380*$E325)+($H$380)</f>
        <v>30.96442733729846</v>
      </c>
      <c r="H325" s="1035">
        <f>F325</f>
        <v>33</v>
      </c>
      <c r="I325" s="1066">
        <v>34</v>
      </c>
      <c r="J325" s="946">
        <f>($N$380*$E325)+($Q$380)</f>
        <v>32.033282848360656</v>
      </c>
      <c r="K325" s="1035">
        <f>I325</f>
        <v>34</v>
      </c>
      <c r="L325" s="1066">
        <v>31</v>
      </c>
      <c r="M325" s="946">
        <f>($Z$380*$E325)+($AC$380)</f>
        <v>29.239849381547302</v>
      </c>
      <c r="N325" s="1035">
        <f>L325</f>
        <v>31</v>
      </c>
      <c r="O325" s="1066">
        <v>32</v>
      </c>
      <c r="P325" s="946">
        <f>($AL$380*$E325)+($AO$380)</f>
        <v>30.308704892609498</v>
      </c>
      <c r="Q325" s="1035">
        <f>O325</f>
        <v>32</v>
      </c>
    </row>
    <row r="326" spans="2:17">
      <c r="B326" s="776">
        <v>17</v>
      </c>
      <c r="C326" s="1032" t="s">
        <v>439</v>
      </c>
      <c r="D326" s="1038"/>
      <c r="E326" s="1056">
        <f t="shared" si="18"/>
        <v>71.09942422474478</v>
      </c>
      <c r="F326" s="1039"/>
      <c r="G326" s="1038"/>
      <c r="H326" s="1040"/>
      <c r="I326" s="1039"/>
      <c r="J326" s="1038"/>
      <c r="K326" s="1040"/>
      <c r="L326" s="1039"/>
      <c r="M326" s="1038"/>
      <c r="N326" s="1040"/>
      <c r="O326" s="1039"/>
      <c r="P326" s="1038"/>
      <c r="Q326" s="1040"/>
    </row>
    <row r="327" spans="2:17">
      <c r="B327" s="776">
        <v>18</v>
      </c>
      <c r="C327" s="1032" t="s">
        <v>435</v>
      </c>
      <c r="D327" s="1038"/>
      <c r="E327" s="1056">
        <f t="shared" si="18"/>
        <v>71.27802258515743</v>
      </c>
      <c r="F327" s="1039"/>
      <c r="G327" s="1038"/>
      <c r="H327" s="1040"/>
      <c r="I327" s="1039"/>
      <c r="J327" s="1038"/>
      <c r="K327" s="1040"/>
      <c r="L327" s="1039"/>
      <c r="M327" s="1038"/>
      <c r="N327" s="1040"/>
      <c r="O327" s="1039"/>
      <c r="P327" s="1038"/>
      <c r="Q327" s="1040"/>
    </row>
    <row r="328" spans="2:17">
      <c r="B328" s="776">
        <v>19</v>
      </c>
      <c r="C328" s="1032" t="s">
        <v>1711</v>
      </c>
      <c r="D328" s="1038"/>
      <c r="E328" s="1056">
        <f t="shared" si="18"/>
        <v>71.396523939113308</v>
      </c>
      <c r="F328" s="1039"/>
      <c r="G328" s="1038"/>
      <c r="H328" s="1040"/>
      <c r="I328" s="1039"/>
      <c r="J328" s="1038"/>
      <c r="K328" s="1040"/>
      <c r="L328" s="1039"/>
      <c r="M328" s="1038"/>
      <c r="N328" s="1040"/>
      <c r="O328" s="1039"/>
      <c r="P328" s="1038"/>
      <c r="Q328" s="1040"/>
    </row>
    <row r="329" spans="2:17">
      <c r="B329" s="776">
        <v>20</v>
      </c>
      <c r="C329" s="1032" t="s">
        <v>405</v>
      </c>
      <c r="D329" s="1038"/>
      <c r="E329" s="1056">
        <f t="shared" si="18"/>
        <v>71.596779199547427</v>
      </c>
      <c r="F329" s="1039"/>
      <c r="G329" s="1038"/>
      <c r="H329" s="1040"/>
      <c r="I329" s="1039"/>
      <c r="J329" s="1038"/>
      <c r="K329" s="1040"/>
      <c r="L329" s="1039"/>
      <c r="M329" s="1038"/>
      <c r="N329" s="1040"/>
      <c r="O329" s="1039"/>
      <c r="P329" s="1038"/>
      <c r="Q329" s="1040"/>
    </row>
    <row r="330" spans="2:17">
      <c r="B330" s="776">
        <v>21</v>
      </c>
      <c r="C330" s="1032" t="s">
        <v>434</v>
      </c>
      <c r="D330" s="1038"/>
      <c r="E330" s="1056">
        <f t="shared" si="18"/>
        <v>72.143941265090348</v>
      </c>
      <c r="F330" s="1067"/>
      <c r="G330" s="1038"/>
      <c r="H330" s="1068"/>
      <c r="I330" s="1067"/>
      <c r="J330" s="1038"/>
      <c r="K330" s="1068"/>
      <c r="L330" s="1067"/>
      <c r="M330" s="1038"/>
      <c r="N330" s="1068"/>
      <c r="O330" s="1067"/>
      <c r="P330" s="1038"/>
      <c r="Q330" s="1040"/>
    </row>
    <row r="331" spans="2:17">
      <c r="B331" s="776">
        <v>22</v>
      </c>
      <c r="C331" s="1032" t="s">
        <v>407</v>
      </c>
      <c r="D331" s="1038"/>
      <c r="E331" s="1056">
        <f t="shared" si="18"/>
        <v>72.406259977471279</v>
      </c>
      <c r="F331" s="1039"/>
      <c r="G331" s="1038"/>
      <c r="H331" s="1040"/>
      <c r="I331" s="1039"/>
      <c r="J331" s="1038"/>
      <c r="K331" s="1040"/>
      <c r="L331" s="1039"/>
      <c r="M331" s="1038"/>
      <c r="N331" s="1040"/>
      <c r="O331" s="1039"/>
      <c r="P331" s="1038"/>
      <c r="Q331" s="1040"/>
    </row>
    <row r="332" spans="2:17">
      <c r="B332" s="776">
        <v>23</v>
      </c>
      <c r="C332" s="1045" t="s">
        <v>1712</v>
      </c>
      <c r="D332" s="1063"/>
      <c r="E332" s="1056">
        <f t="shared" si="18"/>
        <v>73.272853961107671</v>
      </c>
      <c r="F332" s="1064"/>
      <c r="G332" s="1063"/>
      <c r="H332" s="1065"/>
      <c r="I332" s="1064"/>
      <c r="J332" s="1063"/>
      <c r="K332" s="1065"/>
      <c r="L332" s="1064"/>
      <c r="M332" s="1063"/>
      <c r="N332" s="1065"/>
      <c r="O332" s="1064"/>
      <c r="P332" s="1063"/>
      <c r="Q332" s="1065"/>
    </row>
    <row r="333" spans="2:17">
      <c r="B333" s="776">
        <v>24</v>
      </c>
      <c r="C333" s="1032" t="s">
        <v>441</v>
      </c>
      <c r="D333" s="1063"/>
      <c r="E333" s="1056">
        <f t="shared" si="18"/>
        <v>73.961348707585103</v>
      </c>
      <c r="F333" s="1064"/>
      <c r="G333" s="1063"/>
      <c r="H333" s="1065"/>
      <c r="I333" s="1064"/>
      <c r="J333" s="1063"/>
      <c r="K333" s="1065"/>
      <c r="L333" s="1064"/>
      <c r="M333" s="1063"/>
      <c r="N333" s="1065"/>
      <c r="O333" s="1064"/>
      <c r="P333" s="1063"/>
      <c r="Q333" s="1065"/>
    </row>
    <row r="334" spans="2:17">
      <c r="B334" s="776">
        <v>25</v>
      </c>
      <c r="C334" s="1032" t="s">
        <v>425</v>
      </c>
      <c r="D334" s="1063"/>
      <c r="E334" s="1056">
        <f t="shared" si="18"/>
        <v>74.075210894060092</v>
      </c>
      <c r="F334" s="1064"/>
      <c r="G334" s="1063"/>
      <c r="H334" s="1065"/>
      <c r="I334" s="1064"/>
      <c r="J334" s="1063"/>
      <c r="K334" s="1065"/>
      <c r="L334" s="1064"/>
      <c r="M334" s="1063"/>
      <c r="N334" s="1065"/>
      <c r="O334" s="1064"/>
      <c r="P334" s="1063"/>
      <c r="Q334" s="1065"/>
    </row>
    <row r="335" spans="2:17">
      <c r="B335" s="776">
        <v>26</v>
      </c>
      <c r="C335" s="1032" t="s">
        <v>432</v>
      </c>
      <c r="D335" s="1063"/>
      <c r="E335" s="1056">
        <f t="shared" si="18"/>
        <v>75.753783058301622</v>
      </c>
      <c r="F335" s="1064"/>
      <c r="G335" s="1063"/>
      <c r="H335" s="1065"/>
      <c r="I335" s="1064"/>
      <c r="J335" s="1063"/>
      <c r="K335" s="1065"/>
      <c r="L335" s="1064"/>
      <c r="M335" s="1063"/>
      <c r="N335" s="1065"/>
      <c r="O335" s="1064"/>
      <c r="P335" s="1063"/>
      <c r="Q335" s="1065"/>
    </row>
    <row r="336" spans="2:17">
      <c r="B336" s="776">
        <v>27</v>
      </c>
      <c r="C336" s="1032" t="s">
        <v>426</v>
      </c>
      <c r="D336" s="1063"/>
      <c r="E336" s="1056">
        <f t="shared" si="18"/>
        <v>77.521654363776008</v>
      </c>
      <c r="F336" s="1064"/>
      <c r="G336" s="1063"/>
      <c r="H336" s="1065"/>
      <c r="I336" s="1064"/>
      <c r="J336" s="1063"/>
      <c r="K336" s="1065"/>
      <c r="L336" s="1064"/>
      <c r="M336" s="1063"/>
      <c r="N336" s="1065"/>
      <c r="O336" s="1064"/>
      <c r="P336" s="1063"/>
      <c r="Q336" s="1065"/>
    </row>
    <row r="337" spans="2:17" ht="15" thickBot="1">
      <c r="B337" s="776">
        <v>28</v>
      </c>
      <c r="C337" s="1032" t="s">
        <v>447</v>
      </c>
      <c r="D337" s="1063"/>
      <c r="E337" s="1056">
        <f t="shared" si="18"/>
        <v>82.596339388573085</v>
      </c>
      <c r="F337" s="1069"/>
      <c r="G337" s="1070"/>
      <c r="H337" s="1071"/>
      <c r="I337" s="1069"/>
      <c r="J337" s="1070"/>
      <c r="K337" s="1071"/>
      <c r="L337" s="1069"/>
      <c r="M337" s="1070"/>
      <c r="N337" s="1071"/>
      <c r="O337" s="1069"/>
      <c r="P337" s="1070"/>
      <c r="Q337" s="1071"/>
    </row>
    <row r="340" spans="2:17" s="911" customFormat="1"/>
    <row r="341" spans="2:17" s="911" customFormat="1"/>
    <row r="342" spans="2:17" s="911" customFormat="1"/>
    <row r="343" spans="2:17" s="911" customFormat="1"/>
    <row r="344" spans="2:17" s="911" customFormat="1"/>
    <row r="345" spans="2:17" s="911" customFormat="1"/>
    <row r="346" spans="2:17" s="911" customFormat="1"/>
    <row r="347" spans="2:17" s="911" customFormat="1"/>
    <row r="348" spans="2:17" s="911" customFormat="1"/>
    <row r="349" spans="2:17" s="911" customFormat="1"/>
    <row r="350" spans="2:17" s="911" customFormat="1"/>
    <row r="351" spans="2:17" s="911" customFormat="1"/>
    <row r="352" spans="2:17" s="911" customFormat="1"/>
    <row r="353" s="911" customFormat="1"/>
    <row r="354" s="911" customFormat="1"/>
    <row r="355" s="911" customFormat="1"/>
    <row r="356" s="911" customFormat="1"/>
    <row r="357" s="911" customFormat="1"/>
    <row r="358" s="911" customFormat="1"/>
    <row r="359" s="911" customFormat="1"/>
    <row r="360" s="911" customFormat="1"/>
    <row r="361" s="911" customFormat="1"/>
    <row r="362" s="911" customFormat="1"/>
    <row r="363" s="911" customFormat="1"/>
    <row r="364" s="911" customFormat="1"/>
    <row r="365" s="911" customFormat="1"/>
    <row r="366" s="911" customFormat="1"/>
    <row r="367" s="911" customFormat="1"/>
    <row r="368" s="911" customFormat="1"/>
    <row r="369" spans="4:41" s="911" customFormat="1"/>
    <row r="370" spans="4:41" s="911" customFormat="1"/>
    <row r="371" spans="4:41" s="911" customFormat="1"/>
    <row r="372" spans="4:41" s="911" customFormat="1"/>
    <row r="373" spans="4:41" s="911" customFormat="1"/>
    <row r="374" spans="4:41" s="911" customFormat="1"/>
    <row r="375" spans="4:41" s="911" customFormat="1"/>
    <row r="376" spans="4:41" s="911" customFormat="1"/>
    <row r="377" spans="4:41" s="911" customFormat="1"/>
    <row r="378" spans="4:41" s="911" customFormat="1"/>
    <row r="379" spans="4:41" s="911" customFormat="1"/>
    <row r="380" spans="4:41" s="911" customFormat="1">
      <c r="D380" s="1050" t="s">
        <v>1750</v>
      </c>
      <c r="E380" s="1062">
        <v>-1.7668999999999999</v>
      </c>
      <c r="F380" s="1051" t="s">
        <v>403</v>
      </c>
      <c r="G380" s="1052" t="s">
        <v>1752</v>
      </c>
      <c r="H380" s="1053">
        <v>156.59</v>
      </c>
      <c r="M380" s="1050" t="s">
        <v>1750</v>
      </c>
      <c r="N380" s="1062">
        <v>-1.7070000000000001</v>
      </c>
      <c r="O380" s="1051" t="s">
        <v>403</v>
      </c>
      <c r="P380" s="1052" t="s">
        <v>1752</v>
      </c>
      <c r="Q380" s="1053">
        <v>153.4</v>
      </c>
      <c r="Y380" s="1050" t="s">
        <v>1750</v>
      </c>
      <c r="Z380" s="1062">
        <v>-1.5273000000000001</v>
      </c>
      <c r="AA380" s="1051" t="s">
        <v>403</v>
      </c>
      <c r="AB380" s="1052" t="s">
        <v>1752</v>
      </c>
      <c r="AC380" s="1053">
        <v>137.83000000000001</v>
      </c>
      <c r="AK380" s="1050" t="s">
        <v>1750</v>
      </c>
      <c r="AL380" s="1062">
        <v>-1.4674</v>
      </c>
      <c r="AM380" s="1051" t="s">
        <v>403</v>
      </c>
      <c r="AN380" s="1052" t="s">
        <v>1752</v>
      </c>
      <c r="AO380" s="1053">
        <v>134.63999999999999</v>
      </c>
    </row>
    <row r="381" spans="4:41" s="911" customFormat="1"/>
    <row r="382" spans="4:41" s="911" customFormat="1"/>
  </sheetData>
  <mergeCells count="44">
    <mergeCell ref="F308:H308"/>
    <mergeCell ref="I308:K308"/>
    <mergeCell ref="L308:N308"/>
    <mergeCell ref="O308:Q308"/>
    <mergeCell ref="C104:D104"/>
    <mergeCell ref="C155:D155"/>
    <mergeCell ref="F157:H157"/>
    <mergeCell ref="I157:K157"/>
    <mergeCell ref="C225:D225"/>
    <mergeCell ref="L157:N157"/>
    <mergeCell ref="O157:Q157"/>
    <mergeCell ref="C305:D305"/>
    <mergeCell ref="F227:H227"/>
    <mergeCell ref="I227:K227"/>
    <mergeCell ref="L227:N227"/>
    <mergeCell ref="O227:Q227"/>
    <mergeCell ref="J66:K67"/>
    <mergeCell ref="L66:M67"/>
    <mergeCell ref="N66:O67"/>
    <mergeCell ref="C69:C70"/>
    <mergeCell ref="Q73:R73"/>
    <mergeCell ref="Q78:R78"/>
    <mergeCell ref="O6:T7"/>
    <mergeCell ref="C62:D62"/>
    <mergeCell ref="H64:O64"/>
    <mergeCell ref="H65:O65"/>
    <mergeCell ref="C66:C68"/>
    <mergeCell ref="D66:D68"/>
    <mergeCell ref="E66:E68"/>
    <mergeCell ref="F66:F68"/>
    <mergeCell ref="G66:G68"/>
    <mergeCell ref="H66:I67"/>
    <mergeCell ref="H5:H6"/>
    <mergeCell ref="I5:I6"/>
    <mergeCell ref="J5:J6"/>
    <mergeCell ref="K5:K6"/>
    <mergeCell ref="L5:L6"/>
    <mergeCell ref="M5:M6"/>
    <mergeCell ref="C2:D2"/>
    <mergeCell ref="C5:C6"/>
    <mergeCell ref="D5:D6"/>
    <mergeCell ref="E5:E6"/>
    <mergeCell ref="F5:F6"/>
    <mergeCell ref="G5:G6"/>
  </mergeCells>
  <conditionalFormatting sqref="L14:M36 L7:M7 L8:L13">
    <cfRule type="top10" dxfId="1" priority="1" rank="2"/>
    <cfRule type="top10" dxfId="0" priority="2" bottom="1" rank="2"/>
  </conditionalFormatting>
  <hyperlinks>
    <hyperlink ref="O5" r:id="rId1" display="https://neotechcoatings.com/wp-content/uploads/2022/08/ASTM-E-1980.pdf" xr:uid="{C65EC26E-EF6D-4ABF-B990-B7951795AB9A}"/>
  </hyperlinks>
  <pageMargins left="0.7" right="0.7" top="0.75" bottom="0.75" header="0.3" footer="0.3"/>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nymetquoi_x003f_ xmlns="ab990006-f1d7-4960-89f3-80900ec9e51b" xsi:nil="true"/>
    <_ip_UnifiedCompliancePolicyUIAction xmlns="http://schemas.microsoft.com/sharepoint/v3" xsi:nil="true"/>
    <_ip_UnifiedCompliancePolicyProperties xmlns="http://schemas.microsoft.com/sharepoint/v3" xsi:nil="true"/>
    <lcf76f155ced4ddcb4097134ff3c332f xmlns="ab990006-f1d7-4960-89f3-80900ec9e51b">
      <Terms xmlns="http://schemas.microsoft.com/office/infopath/2007/PartnerControls"/>
    </lcf76f155ced4ddcb4097134ff3c332f>
    <TaxCatchAll xmlns="a8423fb9-442f-48aa-b541-da905111a46b" xsi:nil="true"/>
    <ECO_x003f_ xmlns="ab990006-f1d7-4960-89f3-80900ec9e51b">false</ECO_x003f_>
    <SharedWithUsers xmlns="a8423fb9-442f-48aa-b541-da905111a46b">
      <UserInfo>
        <DisplayName>Vicky Beland</DisplayName>
        <AccountId>319</AccountId>
        <AccountType/>
      </UserInfo>
      <UserInfo>
        <DisplayName>Marwene Ben Dewed</DisplayName>
        <AccountId>329</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BE0CEB5A49BF041B4B582A0ABA4EB17" ma:contentTypeVersion="23" ma:contentTypeDescription="Crée un document." ma:contentTypeScope="" ma:versionID="d0de3f35b53faf846c2ecedf46f8352a">
  <xsd:schema xmlns:xsd="http://www.w3.org/2001/XMLSchema" xmlns:xs="http://www.w3.org/2001/XMLSchema" xmlns:p="http://schemas.microsoft.com/office/2006/metadata/properties" xmlns:ns1="http://schemas.microsoft.com/sharepoint/v3" xmlns:ns2="ab990006-f1d7-4960-89f3-80900ec9e51b" xmlns:ns3="a8423fb9-442f-48aa-b541-da905111a46b" targetNamespace="http://schemas.microsoft.com/office/2006/metadata/properties" ma:root="true" ma:fieldsID="d277eeb0e432449ccfd72878f4c71cb8" ns1:_="" ns2:_="" ns3:_="">
    <xsd:import namespace="http://schemas.microsoft.com/sharepoint/v3"/>
    <xsd:import namespace="ab990006-f1d7-4960-89f3-80900ec9e51b"/>
    <xsd:import namespace="a8423fb9-442f-48aa-b541-da905111a46b"/>
    <xsd:element name="properties">
      <xsd:complexType>
        <xsd:sequence>
          <xsd:element name="documentManagement">
            <xsd:complexType>
              <xsd:all>
                <xsd:element ref="ns2:MediaServiceMetadata" minOccurs="0"/>
                <xsd:element ref="ns2:MediaServiceFastMetadata" minOccurs="0"/>
                <xsd:element ref="ns2:Onymetquoi_x003f_" minOccurs="0"/>
                <xsd:element ref="ns2:MediaServiceDateTaken" minOccurs="0"/>
                <xsd:element ref="ns2:MediaLengthInSeconds" minOccurs="0"/>
                <xsd:element ref="ns3:SharedWithUsers" minOccurs="0"/>
                <xsd:element ref="ns3:SharedWithDetails" minOccurs="0"/>
                <xsd:element ref="ns2:MediaServiceAutoKeyPoints" minOccurs="0"/>
                <xsd:element ref="ns2:MediaServiceKeyPoints" minOccurs="0"/>
                <xsd:element ref="ns2:MediaServiceLocation" minOccurs="0"/>
                <xsd:element ref="ns2:MediaServiceGenerationTime" minOccurs="0"/>
                <xsd:element ref="ns2:MediaServiceEventHashCode" minOccurs="0"/>
                <xsd:element ref="ns2:MediaServiceAutoTags" minOccurs="0"/>
                <xsd:element ref="ns2:MediaServiceOCR" minOccurs="0"/>
                <xsd:element ref="ns1:_ip_UnifiedCompliancePolicyProperties" minOccurs="0"/>
                <xsd:element ref="ns1:_ip_UnifiedCompliancePolicyUIAction" minOccurs="0"/>
                <xsd:element ref="ns2:lcf76f155ced4ddcb4097134ff3c332f" minOccurs="0"/>
                <xsd:element ref="ns3:TaxCatchAll" minOccurs="0"/>
                <xsd:element ref="ns2:ECO_x003f_"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Propriétés de la stratégie de conformité unifiée" ma:hidden="true" ma:internalName="_ip_UnifiedCompliancePolicyProperties">
      <xsd:simpleType>
        <xsd:restriction base="dms:Note"/>
      </xsd:simpleType>
    </xsd:element>
    <xsd:element name="_ip_UnifiedCompliancePolicyUIAction" ma:index="23" nillable="true" ma:displayName="Action d’interface utilisateur de la stratégie de conformité unifiée"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90006-f1d7-4960-89f3-80900ec9e5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Onymetquoi_x003f_" ma:index="10" nillable="true" ma:displayName="On y met quoi?" ma:format="Dropdown" ma:internalName="Onymetquoi_x003f_">
      <xsd:simpleType>
        <xsd:restriction base="dms:Text">
          <xsd:maxLength value="255"/>
        </xsd:restriction>
      </xsd:simpleType>
    </xsd:element>
    <xsd:element name="MediaServiceDateTaken" ma:index="11" nillable="true" ma:displayName="MediaServiceDateTaken" ma:hidden="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AutoTags" ma:index="20" nillable="true" ma:displayName="Tags" ma:internalName="MediaServiceAutoTags"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lcf76f155ced4ddcb4097134ff3c332f" ma:index="25" nillable="true" ma:taxonomy="true" ma:internalName="lcf76f155ced4ddcb4097134ff3c332f" ma:taxonomyFieldName="MediaServiceImageTags" ma:displayName="Balises d’images" ma:readOnly="false" ma:fieldId="{5cf76f15-5ced-4ddc-b409-7134ff3c332f}" ma:taxonomyMulti="true" ma:sspId="d01456de-795d-428a-9444-ef121c8b9ac6" ma:termSetId="09814cd3-568e-fe90-9814-8d621ff8fb84" ma:anchorId="fba54fb3-c3e1-fe81-a776-ca4b69148c4d" ma:open="true" ma:isKeyword="false">
      <xsd:complexType>
        <xsd:sequence>
          <xsd:element ref="pc:Terms" minOccurs="0" maxOccurs="1"/>
        </xsd:sequence>
      </xsd:complexType>
    </xsd:element>
    <xsd:element name="ECO_x003f_" ma:index="27" nillable="true" ma:displayName="ECO?" ma:default="0" ma:format="Dropdown" ma:internalName="ECO_x003f_">
      <xsd:simpleType>
        <xsd:restriction base="dms:Boolean"/>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BillingMetadata" ma:index="30"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8423fb9-442f-48aa-b541-da905111a46b"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26" nillable="true" ma:displayName="Taxonomy Catch All Column" ma:hidden="true" ma:list="{653fa9f3-ba80-4dce-b7a0-92627fc4536a}" ma:internalName="TaxCatchAll" ma:showField="CatchAllData" ma:web="a8423fb9-442f-48aa-b541-da905111a46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5237FA7-D646-4375-AD30-6BA5E1386436}"/>
</file>

<file path=customXml/itemProps2.xml><?xml version="1.0" encoding="utf-8"?>
<ds:datastoreItem xmlns:ds="http://schemas.openxmlformats.org/officeDocument/2006/customXml" ds:itemID="{F6D38E27-2C03-4CF9-AAB7-E8E8A73984FD}"/>
</file>

<file path=customXml/itemProps3.xml><?xml version="1.0" encoding="utf-8"?>
<ds:datastoreItem xmlns:ds="http://schemas.openxmlformats.org/officeDocument/2006/customXml" ds:itemID="{83B19466-FA57-4683-84B3-3FB10457A29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Laurent Dessureault</dc:creator>
  <cp:keywords/>
  <dc:description/>
  <cp:lastModifiedBy>Alexandra Strebel</cp:lastModifiedBy>
  <cp:revision/>
  <dcterms:created xsi:type="dcterms:W3CDTF">2015-04-10T15:36:40Z</dcterms:created>
  <dcterms:modified xsi:type="dcterms:W3CDTF">2026-04-24T17:03:19Z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0x0101006BE0CEB5A49BF041B4B582A0ABA4EB17</vt:lpwstr>
  </property>
  <property fmtid="{D5CDD505-2E9C-101B-9397-08002B2CF9AE}" pid="3" name="MediaServiceImageTags">
    <vt:lpwstr/>
  </property>
</Properties>
</file>